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never" codeName="ThisWorkbook"/>
  <mc:AlternateContent xmlns:mc="http://schemas.openxmlformats.org/markup-compatibility/2006">
    <mc:Choice Requires="x15">
      <x15ac:absPath xmlns:x15ac="http://schemas.microsoft.com/office/spreadsheetml/2010/11/ac" url="C:\Users\michael.leyton\MiDjango_\tutorial_P3_4\PowerBI\BD Dash\"/>
    </mc:Choice>
  </mc:AlternateContent>
  <bookViews>
    <workbookView xWindow="0" yWindow="0" windowWidth="20430" windowHeight="10545" tabRatio="810" firstSheet="17" activeTab="17"/>
  </bookViews>
  <sheets>
    <sheet name="Cover" sheetId="11" state="hidden" r:id="rId1"/>
    <sheet name="Scope - Summary legal 2020" sheetId="64" state="hidden" r:id="rId2"/>
    <sheet name="Legal (2020)" sheetId="65" state="hidden" r:id="rId3"/>
    <sheet name="Summaery legal 2019" sheetId="62" state="hidden" r:id="rId4"/>
    <sheet name="Legal (2019)" sheetId="63" state="hidden" r:id="rId5"/>
    <sheet name="Summary" sheetId="17" r:id="rId6"/>
    <sheet name="Hoja1" sheetId="55" state="hidden" r:id="rId7"/>
    <sheet name="Cash+accruals" sheetId="56" r:id="rId8"/>
    <sheet name="Fases" sheetId="60" r:id="rId9"/>
    <sheet name="BD CRegL" sheetId="66" r:id="rId10"/>
    <sheet name="682 Scope - Summary Adm" sheetId="41" r:id="rId11"/>
    <sheet name="Administration" sheetId="42" r:id="rId12"/>
    <sheet name="Scope - Summary Vallenar" sheetId="43" r:id="rId13"/>
    <sheet name="Office_Vallenar" sheetId="44" r:id="rId14"/>
    <sheet name="682 Scope-Summary IT" sheetId="24" r:id="rId15"/>
    <sheet name="IT" sheetId="25" r:id="rId16"/>
    <sheet name="682 Scope-Summary Business Serv" sheetId="22" r:id="rId17"/>
    <sheet name="Business_Service" sheetId="23" r:id="rId18"/>
    <sheet name=" 683 Scope-Summary Legal" sheetId="59" r:id="rId19"/>
    <sheet name="Legal_1" sheetId="61" r:id="rId20"/>
    <sheet name="684Scope-Summary Environmental" sheetId="51" r:id="rId21"/>
    <sheet name="Environmental" sheetId="67" r:id="rId22"/>
    <sheet name="Environmental (GINE)" sheetId="52" r:id="rId23"/>
    <sheet name="DSS" sheetId="40" state="hidden" r:id="rId24"/>
    <sheet name="683 Scope-Summary Legal" sheetId="26" state="hidden" r:id="rId25"/>
    <sheet name="Legal" sheetId="27" r:id="rId26"/>
    <sheet name="684 Scope-Summary Communication" sheetId="38" r:id="rId27"/>
    <sheet name="Communication" sheetId="39" r:id="rId28"/>
    <sheet name="684 Scope-Summary Resettlement" sheetId="32" r:id="rId29"/>
    <sheet name="Resettlement" sheetId="33" r:id="rId30"/>
    <sheet name="Scope - Summary Engagement" sheetId="45" r:id="rId31"/>
    <sheet name="Engagement" sheetId="46" r:id="rId32"/>
    <sheet name="684 Scope-Summary Development" sheetId="36" r:id="rId33"/>
    <sheet name="Development" sheetId="37" r:id="rId34"/>
    <sheet name="685 Scope -Summary Engineering" sheetId="10" r:id="rId35"/>
    <sheet name="Engineering" sheetId="2" r:id="rId36"/>
    <sheet name="Healt_and_saffety" sheetId="14" r:id="rId37"/>
    <sheet name="Metallurgy" sheetId="12" r:id="rId38"/>
    <sheet name="Drilling" sheetId="16" r:id="rId39"/>
    <sheet name="Camp" sheetId="15" r:id="rId40"/>
    <sheet name="687 Scope-Summary Operations " sheetId="18" r:id="rId41"/>
    <sheet name="Mine" sheetId="19" r:id="rId42"/>
    <sheet name="Geology" sheetId="20" r:id="rId43"/>
    <sheet name="Geotechnical" sheetId="21" r:id="rId44"/>
    <sheet name="688 Scope-Summary General Man" sheetId="34" r:id="rId45"/>
    <sheet name="General_Management" sheetId="35" r:id="rId46"/>
    <sheet name="688 Scope-Summary Management" sheetId="28" r:id="rId47"/>
    <sheet name="Service_Management" sheetId="29" r:id="rId48"/>
    <sheet name="Scope - Summary Contract" sheetId="49" r:id="rId49"/>
    <sheet name="Contract" sheetId="50" r:id="rId50"/>
    <sheet name="Cost Report" sheetId="57" r:id="rId51"/>
    <sheet name="Lists" sheetId="8" r:id="rId52"/>
    <sheet name="CCs &amp; Accounts" sheetId="9" state="hidden" r:id="rId53"/>
  </sheets>
  <externalReferences>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s>
  <definedNames>
    <definedName name="_xlnm._FilterDatabase" localSheetId="9" hidden="1">'BD CRegL'!$A$1:$AZ$423</definedName>
    <definedName name="_xlnm._FilterDatabase" localSheetId="52" hidden="1">'CCs &amp; Accounts'!$A$1:$C$56</definedName>
    <definedName name="_xlnm.Print_Area" localSheetId="10">'682 Scope - Summary Adm'!$A$3:$G$23</definedName>
    <definedName name="_xlnm.Print_Area" localSheetId="16">'682 Scope-Summary Business Serv'!$A$3:$H$22</definedName>
    <definedName name="_xlnm.Print_Area" localSheetId="14">'682 Scope-Summary IT'!$A$3:$H$24</definedName>
    <definedName name="_xlnm.Print_Area" localSheetId="24">'683 Scope-Summary Legal'!$A$3:$H$23</definedName>
    <definedName name="_xlnm.Print_Area" localSheetId="26">'684 Scope-Summary Communication'!$A$3:$H$23</definedName>
    <definedName name="_xlnm.Print_Area" localSheetId="32">'684 Scope-Summary Development'!$A$3:$H$22</definedName>
    <definedName name="_xlnm.Print_Area" localSheetId="28">'684 Scope-Summary Resettlement'!$A$3:$H$23</definedName>
    <definedName name="_xlnm.Print_Area" localSheetId="20">'684Scope-Summary Environmental'!$A$3:$H$23</definedName>
    <definedName name="_xlnm.Print_Area" localSheetId="34">'685 Scope -Summary Engineering'!$A$3:$H$38</definedName>
    <definedName name="_xlnm.Print_Area" localSheetId="40">'687 Scope-Summary Operations '!$A$3:$H$36</definedName>
    <definedName name="_xlnm.Print_Area" localSheetId="44">'688 Scope-Summary General Man'!$A$3:$N$30</definedName>
    <definedName name="_xlnm.Print_Area" localSheetId="46">'688 Scope-Summary Management'!$A$3:$N$22</definedName>
    <definedName name="_xlnm.Print_Area" localSheetId="11">Administration!$A$6:$Z$181</definedName>
    <definedName name="_xlnm.Print_Area" localSheetId="17">Business_Service!$A$6:$Z$144</definedName>
    <definedName name="_xlnm.Print_Area" localSheetId="39">Camp!$A$6:$Z$212</definedName>
    <definedName name="_xlnm.Print_Area" localSheetId="27">Communication!$A$6:$Z$184</definedName>
    <definedName name="_xlnm.Print_Area" localSheetId="49">Contract!$A$6:$Z$194</definedName>
    <definedName name="_xlnm.Print_Area" localSheetId="0">Cover!$A$1:$I$33</definedName>
    <definedName name="_xlnm.Print_Area" localSheetId="33">Development!$A$6:$Z$185</definedName>
    <definedName name="_xlnm.Print_Area" localSheetId="38">Drilling!$A$6:$Z$194</definedName>
    <definedName name="_xlnm.Print_Area" localSheetId="31">Engagement!$A$6:$Z$78</definedName>
    <definedName name="_xlnm.Print_Area" localSheetId="35">Engineering!$A$6:$Z$194</definedName>
    <definedName name="_xlnm.Print_Area" localSheetId="21">Environmental!$A$6:$Z$183</definedName>
    <definedName name="_xlnm.Print_Area" localSheetId="22">'Environmental (GINE)'!$A$6:$Z$155</definedName>
    <definedName name="_xlnm.Print_Area" localSheetId="36">Healt_and_saffety!$A$6:$Z$194</definedName>
    <definedName name="_xlnm.Print_Area" localSheetId="15">IT!$A$6:$Z$145</definedName>
    <definedName name="_xlnm.Print_Area" localSheetId="25">Legal!$A$6:$Z$201</definedName>
    <definedName name="_xlnm.Print_Area" localSheetId="4">'Legal (2019)'!$A$32:$L$68</definedName>
    <definedName name="_xlnm.Print_Area" localSheetId="2">'Legal (2020)'!$A$32:$L$69</definedName>
    <definedName name="_xlnm.Print_Area" localSheetId="41">Mine!$A$6:$Z$147</definedName>
    <definedName name="_xlnm.Print_Area" localSheetId="13">Office_Vallenar!$A$6:$Z$94</definedName>
    <definedName name="_xlnm.Print_Area" localSheetId="29">Resettlement!$A$6:$Z$194</definedName>
    <definedName name="_xlnm.Print_Area" localSheetId="48">'Scope - Summary Contract'!$A$3:$H$27</definedName>
    <definedName name="_xlnm.Print_Area" localSheetId="30">'Scope - Summary Engagement'!$A$3:$H$26</definedName>
    <definedName name="_xlnm.Print_Area" localSheetId="1">'Scope - Summary legal 2020'!$A$3:$M$33</definedName>
    <definedName name="_xlnm.Print_Area" localSheetId="12">'Scope - Summary Vallenar'!$A$3:$H$23</definedName>
    <definedName name="_xlnm.Print_Area" localSheetId="3">'Summaery legal 2019'!$A$3:$M$33</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1" i="23" l="1"/>
  <c r="N93" i="23"/>
  <c r="N92" i="23"/>
  <c r="AH65" i="66"/>
  <c r="AI65" i="66"/>
  <c r="AJ65" i="66"/>
  <c r="AK65" i="66"/>
  <c r="AL65" i="66"/>
  <c r="AM65" i="66"/>
  <c r="AN65" i="66"/>
  <c r="AO65" i="66"/>
  <c r="AP65" i="66"/>
  <c r="AE65" i="66"/>
  <c r="AF65" i="66"/>
  <c r="AG65" i="66"/>
  <c r="AQ65" i="66"/>
  <c r="Z87" i="19" l="1"/>
  <c r="Y87" i="19"/>
  <c r="X87" i="19"/>
  <c r="W87" i="19"/>
  <c r="V87" i="19"/>
  <c r="N114" i="67" l="1"/>
  <c r="N116" i="67"/>
  <c r="N121" i="67"/>
  <c r="P121" i="67"/>
  <c r="Q121" i="67"/>
  <c r="R121" i="67"/>
  <c r="S121" i="67"/>
  <c r="T121" i="67"/>
  <c r="U121" i="67"/>
  <c r="V121" i="67"/>
  <c r="W121" i="67"/>
  <c r="X121" i="67"/>
  <c r="Y121" i="67"/>
  <c r="Z121" i="67"/>
  <c r="O121" i="67"/>
  <c r="N93" i="67"/>
  <c r="N94" i="67"/>
  <c r="N103" i="67"/>
  <c r="N104" i="67"/>
  <c r="N105" i="67"/>
  <c r="N106" i="67"/>
  <c r="N107" i="67"/>
  <c r="N108" i="67"/>
  <c r="N109" i="67"/>
  <c r="N110" i="67"/>
  <c r="N111" i="67"/>
  <c r="N109" i="12"/>
  <c r="O153" i="61"/>
  <c r="P153" i="61"/>
  <c r="Q153" i="61"/>
  <c r="R153" i="61"/>
  <c r="S153" i="61"/>
  <c r="T153" i="61"/>
  <c r="U153" i="61"/>
  <c r="V153" i="61"/>
  <c r="W153" i="61"/>
  <c r="X153" i="61"/>
  <c r="Y153" i="61"/>
  <c r="Z153" i="61"/>
  <c r="N153" i="61"/>
  <c r="O120" i="12"/>
  <c r="P120" i="12"/>
  <c r="Q120" i="12"/>
  <c r="R120" i="12"/>
  <c r="R17" i="12" s="1"/>
  <c r="S120" i="12"/>
  <c r="T120" i="12"/>
  <c r="U120" i="12"/>
  <c r="V120" i="12"/>
  <c r="W120" i="12"/>
  <c r="X120" i="12"/>
  <c r="Y120" i="12"/>
  <c r="Z120" i="12"/>
  <c r="N106" i="12"/>
  <c r="N107" i="12"/>
  <c r="N108" i="12"/>
  <c r="N110" i="12"/>
  <c r="N111" i="12"/>
  <c r="N112" i="12"/>
  <c r="N105" i="12"/>
  <c r="N96" i="12"/>
  <c r="N97" i="12"/>
  <c r="N98" i="12"/>
  <c r="N99" i="12"/>
  <c r="N100" i="12"/>
  <c r="N101" i="12"/>
  <c r="B14" i="36"/>
  <c r="AT324" i="66"/>
  <c r="AU324" i="66"/>
  <c r="AV324" i="66"/>
  <c r="AT158" i="66"/>
  <c r="AU158" i="66"/>
  <c r="AV158" i="66"/>
  <c r="Z153" i="33"/>
  <c r="Y153" i="33"/>
  <c r="X153" i="33"/>
  <c r="W153" i="33"/>
  <c r="V153" i="33"/>
  <c r="U153" i="33"/>
  <c r="T153" i="33"/>
  <c r="S153" i="33"/>
  <c r="R153" i="33"/>
  <c r="Q153" i="33"/>
  <c r="P153" i="33"/>
  <c r="O153" i="33"/>
  <c r="N153" i="33"/>
  <c r="Z152" i="33"/>
  <c r="Y152" i="33"/>
  <c r="X152" i="33"/>
  <c r="W152" i="33"/>
  <c r="V152" i="33"/>
  <c r="U152" i="33"/>
  <c r="T152" i="33"/>
  <c r="S152" i="33"/>
  <c r="R152" i="33"/>
  <c r="Q152" i="33"/>
  <c r="P152" i="33"/>
  <c r="N152" i="33"/>
  <c r="O152" i="33"/>
  <c r="Z151" i="33"/>
  <c r="Y151" i="33"/>
  <c r="X151" i="33"/>
  <c r="W151" i="33"/>
  <c r="V151" i="33"/>
  <c r="U151" i="33"/>
  <c r="T151" i="33"/>
  <c r="S151" i="33"/>
  <c r="R151" i="33"/>
  <c r="Q151" i="33"/>
  <c r="N151" i="33"/>
  <c r="P151" i="33"/>
  <c r="O151" i="33"/>
  <c r="A149" i="33"/>
  <c r="N180" i="67"/>
  <c r="Z179" i="67"/>
  <c r="Y179" i="67"/>
  <c r="X179" i="67"/>
  <c r="W179" i="67"/>
  <c r="V179" i="67"/>
  <c r="U179" i="67"/>
  <c r="T179" i="67"/>
  <c r="S179" i="67"/>
  <c r="R179" i="67"/>
  <c r="Q179" i="67"/>
  <c r="P179" i="67"/>
  <c r="O179" i="67"/>
  <c r="D179" i="67"/>
  <c r="C179" i="67"/>
  <c r="A179" i="67"/>
  <c r="Z178" i="67"/>
  <c r="Y178" i="67"/>
  <c r="X178" i="67"/>
  <c r="W178" i="67"/>
  <c r="V178" i="67"/>
  <c r="U178" i="67"/>
  <c r="T178" i="67"/>
  <c r="S178" i="67"/>
  <c r="R178" i="67"/>
  <c r="Q178" i="67"/>
  <c r="P178" i="67"/>
  <c r="O178" i="67"/>
  <c r="D178" i="67"/>
  <c r="C178" i="67"/>
  <c r="A178" i="67"/>
  <c r="Z177" i="67"/>
  <c r="Y177" i="67"/>
  <c r="X177" i="67"/>
  <c r="W177" i="67"/>
  <c r="V177" i="67"/>
  <c r="U177" i="67"/>
  <c r="T177" i="67"/>
  <c r="S177" i="67"/>
  <c r="R177" i="67"/>
  <c r="Q177" i="67"/>
  <c r="P177" i="67"/>
  <c r="O177" i="67"/>
  <c r="D177" i="67"/>
  <c r="C177" i="67"/>
  <c r="A177" i="67"/>
  <c r="Z176" i="67"/>
  <c r="Y176" i="67"/>
  <c r="X176" i="67"/>
  <c r="W176" i="67"/>
  <c r="V176" i="67"/>
  <c r="U176" i="67"/>
  <c r="T176" i="67"/>
  <c r="S176" i="67"/>
  <c r="R176" i="67"/>
  <c r="Q176" i="67"/>
  <c r="P176" i="67"/>
  <c r="O176" i="67"/>
  <c r="D176" i="67"/>
  <c r="C176" i="67"/>
  <c r="A176" i="67"/>
  <c r="Z175" i="67"/>
  <c r="Y175" i="67"/>
  <c r="X175" i="67"/>
  <c r="W175" i="67"/>
  <c r="V175" i="67"/>
  <c r="U175" i="67"/>
  <c r="T175" i="67"/>
  <c r="S175" i="67"/>
  <c r="R175" i="67"/>
  <c r="Q175" i="67"/>
  <c r="P175" i="67"/>
  <c r="O175" i="67"/>
  <c r="D175" i="67"/>
  <c r="C175" i="67"/>
  <c r="A175" i="67"/>
  <c r="Z174" i="67"/>
  <c r="Y174" i="67"/>
  <c r="X174" i="67"/>
  <c r="W174" i="67"/>
  <c r="V174" i="67"/>
  <c r="U174" i="67"/>
  <c r="T174" i="67"/>
  <c r="S174" i="67"/>
  <c r="R174" i="67"/>
  <c r="Q174" i="67"/>
  <c r="P174" i="67"/>
  <c r="O174" i="67"/>
  <c r="D174" i="67"/>
  <c r="C174" i="67"/>
  <c r="A174" i="67"/>
  <c r="Z173" i="67"/>
  <c r="Y173" i="67"/>
  <c r="X173" i="67"/>
  <c r="W173" i="67"/>
  <c r="V173" i="67"/>
  <c r="U173" i="67"/>
  <c r="T173" i="67"/>
  <c r="S173" i="67"/>
  <c r="R173" i="67"/>
  <c r="Q173" i="67"/>
  <c r="P173" i="67"/>
  <c r="O173" i="67"/>
  <c r="D173" i="67"/>
  <c r="C173" i="67"/>
  <c r="A173" i="67"/>
  <c r="D172" i="67"/>
  <c r="C172" i="67"/>
  <c r="A172" i="67"/>
  <c r="D171" i="67"/>
  <c r="C171" i="67"/>
  <c r="A171" i="67"/>
  <c r="D170" i="67"/>
  <c r="C170" i="67"/>
  <c r="A166" i="67"/>
  <c r="Z165" i="67"/>
  <c r="Y165" i="67"/>
  <c r="X165" i="67"/>
  <c r="W165" i="67"/>
  <c r="V165" i="67"/>
  <c r="U165" i="67"/>
  <c r="T165" i="67"/>
  <c r="S165" i="67"/>
  <c r="R165" i="67"/>
  <c r="Q165" i="67"/>
  <c r="P165" i="67"/>
  <c r="O165" i="67"/>
  <c r="M165" i="67"/>
  <c r="L165" i="67"/>
  <c r="N164" i="67"/>
  <c r="N163" i="67"/>
  <c r="N161" i="67"/>
  <c r="N162" i="67"/>
  <c r="N165" i="67"/>
  <c r="A159" i="67"/>
  <c r="Z158" i="67"/>
  <c r="Y158" i="67"/>
  <c r="X158" i="67"/>
  <c r="W158" i="67"/>
  <c r="V158" i="67"/>
  <c r="U158" i="67"/>
  <c r="T158" i="67"/>
  <c r="S158" i="67"/>
  <c r="R158" i="67"/>
  <c r="Q158" i="67"/>
  <c r="P158" i="67"/>
  <c r="O158" i="67"/>
  <c r="M158" i="67"/>
  <c r="L158" i="67"/>
  <c r="N157" i="67"/>
  <c r="N156" i="67"/>
  <c r="N154" i="67"/>
  <c r="N155" i="67"/>
  <c r="N158" i="67"/>
  <c r="A152" i="67"/>
  <c r="Z151" i="67"/>
  <c r="Y151" i="67"/>
  <c r="X151" i="67"/>
  <c r="W151" i="67"/>
  <c r="V151" i="67"/>
  <c r="U151" i="67"/>
  <c r="T151" i="67"/>
  <c r="S151" i="67"/>
  <c r="R151" i="67"/>
  <c r="Q151" i="67"/>
  <c r="P151" i="67"/>
  <c r="O151" i="67"/>
  <c r="M151" i="67"/>
  <c r="L151" i="67"/>
  <c r="N150" i="67"/>
  <c r="N149" i="67"/>
  <c r="N147" i="67"/>
  <c r="N148" i="67"/>
  <c r="N151" i="67"/>
  <c r="A145" i="67"/>
  <c r="Z144" i="67"/>
  <c r="Y144" i="67"/>
  <c r="X144" i="67"/>
  <c r="W144" i="67"/>
  <c r="V144" i="67"/>
  <c r="U144" i="67"/>
  <c r="T144" i="67"/>
  <c r="S144" i="67"/>
  <c r="R144" i="67"/>
  <c r="Q144" i="67"/>
  <c r="P144" i="67"/>
  <c r="O144" i="67"/>
  <c r="M144" i="67"/>
  <c r="L144" i="67"/>
  <c r="N143" i="67"/>
  <c r="N142" i="67"/>
  <c r="N140" i="67"/>
  <c r="N141" i="67"/>
  <c r="N144" i="67"/>
  <c r="A138" i="67"/>
  <c r="Z137" i="67"/>
  <c r="Y137" i="67"/>
  <c r="X137" i="67"/>
  <c r="W137" i="67"/>
  <c r="V137" i="67"/>
  <c r="U137" i="67"/>
  <c r="T137" i="67"/>
  <c r="S137" i="67"/>
  <c r="R137" i="67"/>
  <c r="Q137" i="67"/>
  <c r="P137" i="67"/>
  <c r="O137" i="67"/>
  <c r="M137" i="67"/>
  <c r="L137" i="67"/>
  <c r="N136" i="67"/>
  <c r="N135" i="67"/>
  <c r="N133" i="67"/>
  <c r="N134" i="67"/>
  <c r="N137" i="67"/>
  <c r="A131" i="67"/>
  <c r="Z130" i="67"/>
  <c r="Y130" i="67"/>
  <c r="X130" i="67"/>
  <c r="W130" i="67"/>
  <c r="V130" i="67"/>
  <c r="U130" i="67"/>
  <c r="T130" i="67"/>
  <c r="S130" i="67"/>
  <c r="R130" i="67"/>
  <c r="Q130" i="67"/>
  <c r="P130" i="67"/>
  <c r="O130" i="67"/>
  <c r="M130" i="67"/>
  <c r="L130" i="67"/>
  <c r="N127" i="67"/>
  <c r="N126" i="67"/>
  <c r="N125" i="67"/>
  <c r="N130" i="67"/>
  <c r="A122" i="67"/>
  <c r="Y18" i="67"/>
  <c r="U18" i="67"/>
  <c r="Q18" i="67"/>
  <c r="R18" i="67"/>
  <c r="S18" i="67"/>
  <c r="T18" i="67"/>
  <c r="V18" i="67"/>
  <c r="W18" i="67"/>
  <c r="X18" i="67"/>
  <c r="Z18" i="67"/>
  <c r="O18" i="67"/>
  <c r="P18" i="67"/>
  <c r="Q171" i="67"/>
  <c r="M121" i="67"/>
  <c r="M18" i="67"/>
  <c r="L121" i="67"/>
  <c r="N120" i="67"/>
  <c r="N119" i="67"/>
  <c r="N117" i="67"/>
  <c r="N115" i="67"/>
  <c r="N112" i="67"/>
  <c r="N102" i="67"/>
  <c r="N101" i="67"/>
  <c r="N100" i="67"/>
  <c r="N99" i="67"/>
  <c r="N97" i="67"/>
  <c r="N96" i="67"/>
  <c r="N95" i="67"/>
  <c r="N92" i="67"/>
  <c r="N90" i="67"/>
  <c r="A88" i="67"/>
  <c r="Z87" i="67"/>
  <c r="Y87" i="67"/>
  <c r="Y17" i="67"/>
  <c r="X87" i="67"/>
  <c r="W87" i="67"/>
  <c r="V87" i="67"/>
  <c r="U87" i="67"/>
  <c r="U17" i="67"/>
  <c r="T87" i="67"/>
  <c r="S87" i="67"/>
  <c r="R87" i="67"/>
  <c r="Q87" i="67"/>
  <c r="Q17" i="67"/>
  <c r="P87" i="67"/>
  <c r="O87" i="67"/>
  <c r="M87" i="67"/>
  <c r="M17" i="67"/>
  <c r="M19" i="67"/>
  <c r="M27" i="67"/>
  <c r="L87" i="67"/>
  <c r="N86" i="67"/>
  <c r="N85" i="67"/>
  <c r="N84" i="67"/>
  <c r="N83" i="67"/>
  <c r="N80" i="67"/>
  <c r="N87" i="67"/>
  <c r="A78" i="67"/>
  <c r="A70" i="67"/>
  <c r="A64" i="67"/>
  <c r="A58" i="67"/>
  <c r="A52" i="67"/>
  <c r="A46" i="67"/>
  <c r="A40" i="67"/>
  <c r="A37" i="67"/>
  <c r="C35" i="67"/>
  <c r="A34" i="67"/>
  <c r="A31" i="67"/>
  <c r="Z19" i="67"/>
  <c r="O19" i="67"/>
  <c r="P19" i="67"/>
  <c r="Q19" i="67"/>
  <c r="R19" i="67"/>
  <c r="S19" i="67"/>
  <c r="T19" i="67"/>
  <c r="U19" i="67"/>
  <c r="V19" i="67"/>
  <c r="W19" i="67"/>
  <c r="X19" i="67"/>
  <c r="Y19" i="67"/>
  <c r="Z172" i="67"/>
  <c r="X172" i="67"/>
  <c r="W172" i="67"/>
  <c r="V172" i="67"/>
  <c r="T172" i="67"/>
  <c r="S172" i="67"/>
  <c r="Q172" i="67"/>
  <c r="P172" i="67"/>
  <c r="O172" i="67"/>
  <c r="N19" i="67"/>
  <c r="Z171" i="67"/>
  <c r="X17" i="67"/>
  <c r="X27" i="67"/>
  <c r="W171" i="67"/>
  <c r="T171" i="67"/>
  <c r="R171" i="67"/>
  <c r="P17" i="67"/>
  <c r="P27" i="67"/>
  <c r="O171" i="67"/>
  <c r="Z17" i="67"/>
  <c r="O17" i="67"/>
  <c r="R17" i="67"/>
  <c r="S17" i="67"/>
  <c r="T17" i="67"/>
  <c r="V17" i="67"/>
  <c r="W17" i="67"/>
  <c r="Z170" i="67"/>
  <c r="X170" i="67"/>
  <c r="W27" i="67"/>
  <c r="V170" i="67"/>
  <c r="T170" i="67"/>
  <c r="S27" i="67"/>
  <c r="R170" i="67"/>
  <c r="P170" i="67"/>
  <c r="D10" i="67"/>
  <c r="B10" i="67"/>
  <c r="AV422" i="66"/>
  <c r="AU422" i="66"/>
  <c r="AT422" i="66"/>
  <c r="AS422" i="66"/>
  <c r="AQ422" i="66"/>
  <c r="AU421" i="66"/>
  <c r="AV420" i="66"/>
  <c r="AU420" i="66"/>
  <c r="AV419" i="66"/>
  <c r="AU419" i="66"/>
  <c r="AU418" i="66"/>
  <c r="AV417" i="66"/>
  <c r="AU417" i="66"/>
  <c r="AU416" i="66"/>
  <c r="AV415" i="66"/>
  <c r="AU415" i="66"/>
  <c r="AV414" i="66"/>
  <c r="AU414" i="66"/>
  <c r="AT414" i="66"/>
  <c r="AS414" i="66"/>
  <c r="AQ414" i="66"/>
  <c r="AV413" i="66"/>
  <c r="AU413" i="66"/>
  <c r="AT413" i="66"/>
  <c r="AS413" i="66"/>
  <c r="AQ413" i="66"/>
  <c r="AV412" i="66"/>
  <c r="AU412" i="66"/>
  <c r="AT412" i="66"/>
  <c r="AS412" i="66"/>
  <c r="AQ412" i="66"/>
  <c r="AV411" i="66"/>
  <c r="AU411" i="66"/>
  <c r="AT411" i="66"/>
  <c r="AS411" i="66"/>
  <c r="AQ411" i="66"/>
  <c r="AV410" i="66"/>
  <c r="AU410" i="66"/>
  <c r="AT410" i="66"/>
  <c r="AS410" i="66"/>
  <c r="AQ410" i="66"/>
  <c r="AV409" i="66"/>
  <c r="AU409" i="66"/>
  <c r="AT409" i="66"/>
  <c r="AS409" i="66"/>
  <c r="AQ409" i="66"/>
  <c r="AV408" i="66"/>
  <c r="AU408" i="66"/>
  <c r="AT408" i="66"/>
  <c r="AS408" i="66"/>
  <c r="AQ408" i="66"/>
  <c r="AV407" i="66"/>
  <c r="AU407" i="66"/>
  <c r="AV406" i="66"/>
  <c r="AU406" i="66"/>
  <c r="AV405" i="66"/>
  <c r="AU405" i="66"/>
  <c r="AT405" i="66"/>
  <c r="AS405" i="66"/>
  <c r="AQ405" i="66"/>
  <c r="AV404" i="66"/>
  <c r="AU404" i="66"/>
  <c r="AT404" i="66"/>
  <c r="AS404" i="66"/>
  <c r="AQ404" i="66"/>
  <c r="AU403" i="66"/>
  <c r="AV402" i="66"/>
  <c r="AU402" i="66"/>
  <c r="AV401" i="66"/>
  <c r="AU401" i="66"/>
  <c r="AV400" i="66"/>
  <c r="AU400" i="66"/>
  <c r="AV399" i="66"/>
  <c r="AU399" i="66"/>
  <c r="AV398" i="66"/>
  <c r="AU398" i="66"/>
  <c r="AT398" i="66"/>
  <c r="AS398" i="66"/>
  <c r="AQ398" i="66"/>
  <c r="AV397" i="66"/>
  <c r="AU397" i="66"/>
  <c r="AT397" i="66"/>
  <c r="AS397" i="66"/>
  <c r="AQ397" i="66"/>
  <c r="AV396" i="66"/>
  <c r="AU396" i="66"/>
  <c r="AT396" i="66"/>
  <c r="AS396" i="66"/>
  <c r="AQ396" i="66"/>
  <c r="AV395" i="66"/>
  <c r="AU395" i="66"/>
  <c r="AT395" i="66"/>
  <c r="AS395" i="66"/>
  <c r="AQ395" i="66"/>
  <c r="AV394" i="66"/>
  <c r="AU394" i="66"/>
  <c r="AT394" i="66"/>
  <c r="AS394" i="66"/>
  <c r="AQ394" i="66"/>
  <c r="AV393" i="66"/>
  <c r="AU393" i="66"/>
  <c r="AT393" i="66"/>
  <c r="AS393" i="66"/>
  <c r="AQ393" i="66"/>
  <c r="AV392" i="66"/>
  <c r="AU392" i="66"/>
  <c r="AT392" i="66"/>
  <c r="AS392" i="66"/>
  <c r="AQ392" i="66"/>
  <c r="AV391" i="66"/>
  <c r="AU391" i="66"/>
  <c r="AT391" i="66"/>
  <c r="AS391" i="66"/>
  <c r="AQ391" i="66"/>
  <c r="AV390" i="66"/>
  <c r="AU390" i="66"/>
  <c r="AV389" i="66"/>
  <c r="AU389" i="66"/>
  <c r="AV388" i="66"/>
  <c r="AU388" i="66"/>
  <c r="AT388" i="66"/>
  <c r="AS388" i="66"/>
  <c r="AQ388" i="66"/>
  <c r="AV387" i="66"/>
  <c r="AU387" i="66"/>
  <c r="AT387" i="66"/>
  <c r="AS387" i="66"/>
  <c r="AQ387" i="66"/>
  <c r="AV386" i="66"/>
  <c r="AU386" i="66"/>
  <c r="AT386" i="66"/>
  <c r="AS386" i="66"/>
  <c r="AQ386" i="66"/>
  <c r="AV385" i="66"/>
  <c r="AU385" i="66"/>
  <c r="AT385" i="66"/>
  <c r="AS385" i="66"/>
  <c r="AQ385" i="66"/>
  <c r="AV384" i="66"/>
  <c r="AU384" i="66"/>
  <c r="AT384" i="66"/>
  <c r="AS384" i="66"/>
  <c r="AQ384" i="66"/>
  <c r="AV383" i="66"/>
  <c r="AU383" i="66"/>
  <c r="AT383" i="66"/>
  <c r="AS383" i="66"/>
  <c r="AQ383" i="66"/>
  <c r="AV382" i="66"/>
  <c r="AU382" i="66"/>
  <c r="AT382" i="66"/>
  <c r="AS382" i="66"/>
  <c r="AQ382" i="66"/>
  <c r="AV381" i="66"/>
  <c r="AU381" i="66"/>
  <c r="AT381" i="66"/>
  <c r="AS381" i="66"/>
  <c r="AQ381" i="66"/>
  <c r="AV380" i="66"/>
  <c r="AU380" i="66"/>
  <c r="AT380" i="66"/>
  <c r="AS380" i="66"/>
  <c r="AQ380" i="66"/>
  <c r="AV379" i="66"/>
  <c r="AU379" i="66"/>
  <c r="AT379" i="66"/>
  <c r="AS379" i="66"/>
  <c r="AQ379" i="66"/>
  <c r="AV378" i="66"/>
  <c r="AU378" i="66"/>
  <c r="AV377" i="66"/>
  <c r="AU377" i="66"/>
  <c r="AV376" i="66"/>
  <c r="AU376" i="66"/>
  <c r="AV375" i="66"/>
  <c r="AU375" i="66"/>
  <c r="AV374" i="66"/>
  <c r="AU374" i="66"/>
  <c r="AV373" i="66"/>
  <c r="AU373" i="66"/>
  <c r="AV372" i="66"/>
  <c r="AU372" i="66"/>
  <c r="AV371" i="66"/>
  <c r="AU371" i="66"/>
  <c r="AU370" i="66"/>
  <c r="AV369" i="66"/>
  <c r="AU369" i="66"/>
  <c r="AV368" i="66"/>
  <c r="AU368" i="66"/>
  <c r="AT368" i="66"/>
  <c r="AS368" i="66"/>
  <c r="AQ368" i="66"/>
  <c r="AU367" i="66"/>
  <c r="AV366" i="66"/>
  <c r="AU366" i="66"/>
  <c r="AT366" i="66"/>
  <c r="AS366" i="66"/>
  <c r="AQ366" i="66"/>
  <c r="AU365" i="66"/>
  <c r="AU364" i="66"/>
  <c r="AV363" i="66"/>
  <c r="AU363" i="66"/>
  <c r="AV362" i="66"/>
  <c r="AU362" i="66"/>
  <c r="AT362" i="66"/>
  <c r="AS362" i="66"/>
  <c r="AQ362" i="66"/>
  <c r="AU361" i="66"/>
  <c r="AU360" i="66"/>
  <c r="AU359" i="66"/>
  <c r="AV358" i="66"/>
  <c r="AU358" i="66"/>
  <c r="AT358" i="66"/>
  <c r="AS358" i="66"/>
  <c r="AQ358" i="66"/>
  <c r="AV357" i="66"/>
  <c r="AU357" i="66"/>
  <c r="AV356" i="66"/>
  <c r="AU356" i="66"/>
  <c r="AV355" i="66"/>
  <c r="AU355" i="66"/>
  <c r="AT355" i="66"/>
  <c r="AS355" i="66"/>
  <c r="AQ355" i="66"/>
  <c r="AV354" i="66"/>
  <c r="AU354" i="66"/>
  <c r="AT354" i="66"/>
  <c r="AS354" i="66"/>
  <c r="AQ354" i="66"/>
  <c r="AV353" i="66"/>
  <c r="AU353" i="66"/>
  <c r="AT353" i="66"/>
  <c r="AS353" i="66"/>
  <c r="AQ353" i="66"/>
  <c r="AV352" i="66"/>
  <c r="AU352" i="66"/>
  <c r="AT352" i="66"/>
  <c r="AS352" i="66"/>
  <c r="AQ352" i="66"/>
  <c r="AV351" i="66"/>
  <c r="AU351" i="66"/>
  <c r="AT351" i="66"/>
  <c r="AS351" i="66"/>
  <c r="AQ351" i="66"/>
  <c r="AV350" i="66"/>
  <c r="AU350" i="66"/>
  <c r="AT350" i="66"/>
  <c r="AS350" i="66"/>
  <c r="AQ350" i="66"/>
  <c r="AV349" i="66"/>
  <c r="AU349" i="66"/>
  <c r="AT349" i="66"/>
  <c r="AS349" i="66"/>
  <c r="AQ349" i="66"/>
  <c r="AV348" i="66"/>
  <c r="AU348" i="66"/>
  <c r="AT348" i="66"/>
  <c r="AS348" i="66"/>
  <c r="AQ348" i="66"/>
  <c r="AV347" i="66"/>
  <c r="AU347" i="66"/>
  <c r="AT347" i="66"/>
  <c r="AS347" i="66"/>
  <c r="AQ347" i="66"/>
  <c r="AU346" i="66"/>
  <c r="AV345" i="66"/>
  <c r="AU345" i="66"/>
  <c r="AT345" i="66"/>
  <c r="AS345" i="66"/>
  <c r="AQ345" i="66"/>
  <c r="AU344" i="66"/>
  <c r="AV343" i="66"/>
  <c r="AU343" i="66"/>
  <c r="AT343" i="66"/>
  <c r="AS343" i="66"/>
  <c r="AQ343" i="66"/>
  <c r="AV342" i="66"/>
  <c r="AU342" i="66"/>
  <c r="AT342" i="66"/>
  <c r="AS342" i="66"/>
  <c r="AQ342" i="66"/>
  <c r="AV341" i="66"/>
  <c r="AU341" i="66"/>
  <c r="AT341" i="66"/>
  <c r="AS341" i="66"/>
  <c r="AQ341" i="66"/>
  <c r="AV340" i="66"/>
  <c r="AU340" i="66"/>
  <c r="AT340" i="66"/>
  <c r="AS340" i="66"/>
  <c r="AQ340" i="66"/>
  <c r="AV339" i="66"/>
  <c r="AU339" i="66"/>
  <c r="AV338" i="66"/>
  <c r="AU338" i="66"/>
  <c r="AT338" i="66"/>
  <c r="AS338" i="66"/>
  <c r="AQ338" i="66"/>
  <c r="AV337" i="66"/>
  <c r="AU337" i="66"/>
  <c r="AT337" i="66"/>
  <c r="AS337" i="66"/>
  <c r="AQ337" i="66"/>
  <c r="AV336" i="66"/>
  <c r="AU336" i="66"/>
  <c r="AT336" i="66"/>
  <c r="AS336" i="66"/>
  <c r="AQ336" i="66"/>
  <c r="AU335" i="66"/>
  <c r="AT335" i="66"/>
  <c r="AV335" i="66" s="1"/>
  <c r="AS335" i="66"/>
  <c r="AQ335" i="66"/>
  <c r="AV334" i="66"/>
  <c r="AU334" i="66"/>
  <c r="AT334" i="66"/>
  <c r="AS334" i="66"/>
  <c r="AQ334" i="66"/>
  <c r="AV333" i="66"/>
  <c r="AU333" i="66"/>
  <c r="AT333" i="66"/>
  <c r="AS333" i="66"/>
  <c r="AQ333" i="66"/>
  <c r="AV332" i="66"/>
  <c r="AU332" i="66"/>
  <c r="AT332" i="66"/>
  <c r="AS332" i="66"/>
  <c r="AQ332" i="66"/>
  <c r="AV331" i="66"/>
  <c r="AU331" i="66"/>
  <c r="AT331" i="66"/>
  <c r="AS331" i="66"/>
  <c r="AQ331" i="66"/>
  <c r="AV330" i="66"/>
  <c r="AU330" i="66"/>
  <c r="AT330" i="66"/>
  <c r="AS330" i="66"/>
  <c r="AQ330" i="66"/>
  <c r="AV329" i="66"/>
  <c r="AU329" i="66"/>
  <c r="AT329" i="66"/>
  <c r="AS329" i="66"/>
  <c r="AQ329" i="66"/>
  <c r="AV328" i="66"/>
  <c r="AU328" i="66"/>
  <c r="AT328" i="66"/>
  <c r="AS328" i="66"/>
  <c r="AQ328" i="66"/>
  <c r="AV327" i="66"/>
  <c r="AU327" i="66"/>
  <c r="AT327" i="66"/>
  <c r="AS327" i="66"/>
  <c r="AQ327" i="66"/>
  <c r="AV326" i="66"/>
  <c r="AU326" i="66"/>
  <c r="AT326" i="66"/>
  <c r="AS326" i="66"/>
  <c r="AQ326" i="66"/>
  <c r="AV325" i="66"/>
  <c r="AU325" i="66"/>
  <c r="AT325" i="66"/>
  <c r="AS325" i="66"/>
  <c r="AQ325" i="66"/>
  <c r="AV323" i="66"/>
  <c r="AU323" i="66"/>
  <c r="AT323" i="66"/>
  <c r="AS323" i="66"/>
  <c r="AQ323" i="66"/>
  <c r="AV322" i="66"/>
  <c r="AU322" i="66"/>
  <c r="AT322" i="66"/>
  <c r="AS322" i="66"/>
  <c r="AQ322" i="66"/>
  <c r="AV321" i="66"/>
  <c r="AU321" i="66"/>
  <c r="AT321" i="66"/>
  <c r="AS321" i="66"/>
  <c r="AQ321" i="66"/>
  <c r="AU320" i="66"/>
  <c r="AV319" i="66"/>
  <c r="AU319" i="66"/>
  <c r="AT319" i="66"/>
  <c r="AS319" i="66"/>
  <c r="AQ319" i="66"/>
  <c r="AV318" i="66"/>
  <c r="AU318" i="66"/>
  <c r="AT318" i="66"/>
  <c r="AS318" i="66"/>
  <c r="AQ318" i="66"/>
  <c r="AV317" i="66"/>
  <c r="AU317" i="66"/>
  <c r="AV316" i="66"/>
  <c r="AU316" i="66"/>
  <c r="AT316" i="66"/>
  <c r="AS316" i="66"/>
  <c r="AQ316" i="66"/>
  <c r="AV315" i="66"/>
  <c r="AU315" i="66"/>
  <c r="AT315" i="66"/>
  <c r="AS315" i="66"/>
  <c r="AQ315" i="66"/>
  <c r="AU314" i="66"/>
  <c r="AV313" i="66"/>
  <c r="AU313" i="66"/>
  <c r="AT313" i="66"/>
  <c r="AS313" i="66"/>
  <c r="AQ313" i="66"/>
  <c r="AV312" i="66"/>
  <c r="AU312" i="66"/>
  <c r="AV311" i="66"/>
  <c r="AU311" i="66"/>
  <c r="AV310" i="66"/>
  <c r="AU310" i="66"/>
  <c r="AV309" i="66"/>
  <c r="AU309" i="66"/>
  <c r="AT309" i="66"/>
  <c r="AS309" i="66"/>
  <c r="AQ309" i="66"/>
  <c r="AV308" i="66"/>
  <c r="AU308" i="66"/>
  <c r="AT308" i="66"/>
  <c r="AS308" i="66"/>
  <c r="AQ308" i="66"/>
  <c r="AV307" i="66"/>
  <c r="AU307" i="66"/>
  <c r="AT307" i="66"/>
  <c r="AS307" i="66"/>
  <c r="AQ307" i="66"/>
  <c r="AV306" i="66"/>
  <c r="AU306" i="66"/>
  <c r="AT306" i="66"/>
  <c r="AS306" i="66"/>
  <c r="AQ306" i="66"/>
  <c r="AV305" i="66"/>
  <c r="AU305" i="66"/>
  <c r="AT305" i="66"/>
  <c r="AS305" i="66"/>
  <c r="AQ305" i="66"/>
  <c r="AV304" i="66"/>
  <c r="AU304" i="66"/>
  <c r="AU303" i="66"/>
  <c r="AV302" i="66"/>
  <c r="AU302" i="66"/>
  <c r="AU301" i="66"/>
  <c r="AV300" i="66"/>
  <c r="AU300" i="66"/>
  <c r="AT300" i="66"/>
  <c r="AS300" i="66"/>
  <c r="AQ300" i="66"/>
  <c r="AV299" i="66"/>
  <c r="AU299" i="66"/>
  <c r="AU298" i="66"/>
  <c r="AV297" i="66"/>
  <c r="AU297" i="66"/>
  <c r="AU296" i="66"/>
  <c r="AV295" i="66"/>
  <c r="AU295" i="66"/>
  <c r="AT295" i="66"/>
  <c r="AS295" i="66"/>
  <c r="AQ295" i="66"/>
  <c r="AV294" i="66"/>
  <c r="AU294" i="66"/>
  <c r="AT294" i="66"/>
  <c r="AS294" i="66"/>
  <c r="AQ294" i="66"/>
  <c r="AV293" i="66"/>
  <c r="AU293" i="66"/>
  <c r="AV292" i="66"/>
  <c r="AU292" i="66"/>
  <c r="AV291" i="66"/>
  <c r="AU291" i="66"/>
  <c r="AT291" i="66"/>
  <c r="AS291" i="66"/>
  <c r="AQ291" i="66"/>
  <c r="AV290" i="66"/>
  <c r="AU290" i="66"/>
  <c r="AT290" i="66"/>
  <c r="AS290" i="66"/>
  <c r="AQ290" i="66"/>
  <c r="AU289" i="66"/>
  <c r="AV288" i="66"/>
  <c r="AU288" i="66"/>
  <c r="AT288" i="66"/>
  <c r="AS288" i="66"/>
  <c r="AQ288" i="66"/>
  <c r="AV287" i="66"/>
  <c r="AU287" i="66"/>
  <c r="AT287" i="66"/>
  <c r="AS287" i="66"/>
  <c r="AQ287" i="66"/>
  <c r="AV286" i="66"/>
  <c r="AU286" i="66"/>
  <c r="AV285" i="66"/>
  <c r="AU285" i="66"/>
  <c r="AT285" i="66"/>
  <c r="AS285" i="66"/>
  <c r="AQ285" i="66"/>
  <c r="AV284" i="66"/>
  <c r="AU284" i="66"/>
  <c r="AT284" i="66"/>
  <c r="AS284" i="66"/>
  <c r="AQ284" i="66"/>
  <c r="AV283" i="66"/>
  <c r="AU283" i="66"/>
  <c r="AT283" i="66"/>
  <c r="AS283" i="66"/>
  <c r="AQ283" i="66"/>
  <c r="AV282" i="66"/>
  <c r="AU282" i="66"/>
  <c r="AT282" i="66"/>
  <c r="AS282" i="66"/>
  <c r="AQ282" i="66"/>
  <c r="AU281" i="66"/>
  <c r="AU280" i="66"/>
  <c r="AU279" i="66"/>
  <c r="AU278" i="66"/>
  <c r="AU277" i="66"/>
  <c r="AU276" i="66"/>
  <c r="AU275" i="66"/>
  <c r="AV274" i="66"/>
  <c r="AU274" i="66"/>
  <c r="AT274" i="66"/>
  <c r="AS274" i="66"/>
  <c r="AQ274" i="66"/>
  <c r="AV273" i="66"/>
  <c r="AU273" i="66"/>
  <c r="AV272" i="66"/>
  <c r="AU272" i="66"/>
  <c r="AV271" i="66"/>
  <c r="AU271" i="66"/>
  <c r="AV270" i="66"/>
  <c r="AU270" i="66"/>
  <c r="AV269" i="66"/>
  <c r="AU269" i="66"/>
  <c r="AU268" i="66"/>
  <c r="AV267" i="66"/>
  <c r="AU267" i="66"/>
  <c r="AV266" i="66"/>
  <c r="AU266" i="66"/>
  <c r="AT266" i="66"/>
  <c r="AS266" i="66"/>
  <c r="AQ266" i="66"/>
  <c r="AV265" i="66"/>
  <c r="AU265" i="66"/>
  <c r="AT265" i="66"/>
  <c r="AS265" i="66"/>
  <c r="AQ265" i="66"/>
  <c r="AV264" i="66"/>
  <c r="AU264" i="66"/>
  <c r="AT264" i="66"/>
  <c r="AS264" i="66"/>
  <c r="AQ264" i="66"/>
  <c r="AV263" i="66"/>
  <c r="AU263" i="66"/>
  <c r="AT263" i="66"/>
  <c r="AS263" i="66"/>
  <c r="AQ263" i="66"/>
  <c r="AV262" i="66"/>
  <c r="AU262" i="66"/>
  <c r="AT262" i="66"/>
  <c r="AS262" i="66"/>
  <c r="AQ262" i="66"/>
  <c r="AV261" i="66"/>
  <c r="AU261" i="66"/>
  <c r="AT261" i="66"/>
  <c r="AS261" i="66"/>
  <c r="AQ261" i="66"/>
  <c r="AV260" i="66"/>
  <c r="AU260" i="66"/>
  <c r="AV259" i="66"/>
  <c r="AU259" i="66"/>
  <c r="AV258" i="66"/>
  <c r="AU258" i="66"/>
  <c r="AU257" i="66"/>
  <c r="AV256" i="66"/>
  <c r="AU256" i="66"/>
  <c r="AU255" i="66"/>
  <c r="AU254" i="66"/>
  <c r="AU253" i="66"/>
  <c r="AU252" i="66"/>
  <c r="AU251" i="66"/>
  <c r="AU250" i="66"/>
  <c r="AV249" i="66"/>
  <c r="AU249" i="66"/>
  <c r="AV248" i="66"/>
  <c r="AU248" i="66"/>
  <c r="AT248" i="66"/>
  <c r="AS248" i="66"/>
  <c r="AQ248" i="66"/>
  <c r="AU247" i="66"/>
  <c r="AU246" i="66"/>
  <c r="AV245" i="66"/>
  <c r="AU245" i="66"/>
  <c r="AV244" i="66"/>
  <c r="AU244" i="66"/>
  <c r="AT244" i="66"/>
  <c r="AS244" i="66"/>
  <c r="AQ244" i="66"/>
  <c r="AV243" i="66"/>
  <c r="AU243" i="66"/>
  <c r="AV242" i="66"/>
  <c r="AU242" i="66"/>
  <c r="AV241" i="66"/>
  <c r="AU241" i="66"/>
  <c r="AV240" i="66"/>
  <c r="AU240" i="66"/>
  <c r="AV239" i="66"/>
  <c r="AU239" i="66"/>
  <c r="AV238" i="66"/>
  <c r="AU238" i="66"/>
  <c r="AV237" i="66"/>
  <c r="AU237" i="66"/>
  <c r="AU236" i="66"/>
  <c r="AV235" i="66"/>
  <c r="AU235" i="66"/>
  <c r="AU234" i="66"/>
  <c r="AU233" i="66"/>
  <c r="AU232" i="66"/>
  <c r="AU231" i="66"/>
  <c r="AV230" i="66"/>
  <c r="AU230" i="66"/>
  <c r="AT230" i="66"/>
  <c r="AS230" i="66"/>
  <c r="AQ230" i="66"/>
  <c r="AV229" i="66"/>
  <c r="AU229" i="66"/>
  <c r="AV228" i="66"/>
  <c r="AU228" i="66"/>
  <c r="AV227" i="66"/>
  <c r="AU227" i="66"/>
  <c r="AV226" i="66"/>
  <c r="AU226" i="66"/>
  <c r="AV225" i="66"/>
  <c r="AU225" i="66"/>
  <c r="AT225" i="66"/>
  <c r="AS225" i="66"/>
  <c r="AQ225" i="66"/>
  <c r="AV224" i="66"/>
  <c r="AU224" i="66"/>
  <c r="AU223" i="66"/>
  <c r="AV222" i="66"/>
  <c r="AU222" i="66"/>
  <c r="AV221" i="66"/>
  <c r="AU221" i="66"/>
  <c r="AU220" i="66"/>
  <c r="AU219" i="66"/>
  <c r="AV218" i="66"/>
  <c r="AU218" i="66"/>
  <c r="AV217" i="66"/>
  <c r="AU217" i="66"/>
  <c r="AT217" i="66"/>
  <c r="AS217" i="66"/>
  <c r="AQ217" i="66"/>
  <c r="AV216" i="66"/>
  <c r="AU216" i="66"/>
  <c r="AV215" i="66"/>
  <c r="AU215" i="66"/>
  <c r="AV214" i="66"/>
  <c r="AU214" i="66"/>
  <c r="AV213" i="66"/>
  <c r="AU213" i="66"/>
  <c r="AT213" i="66"/>
  <c r="AS213" i="66"/>
  <c r="AQ213" i="66"/>
  <c r="AV212" i="66"/>
  <c r="AU212" i="66"/>
  <c r="AT212" i="66"/>
  <c r="AS212" i="66"/>
  <c r="AQ212" i="66"/>
  <c r="AV211" i="66"/>
  <c r="AU211" i="66"/>
  <c r="AT211" i="66"/>
  <c r="AS211" i="66"/>
  <c r="AQ211" i="66"/>
  <c r="AV210" i="66"/>
  <c r="AU210" i="66"/>
  <c r="AT210" i="66"/>
  <c r="AS210" i="66"/>
  <c r="AQ210" i="66"/>
  <c r="AV209" i="66"/>
  <c r="AU209" i="66"/>
  <c r="AT209" i="66"/>
  <c r="AS209" i="66"/>
  <c r="AQ209" i="66"/>
  <c r="AV208" i="66"/>
  <c r="AU208" i="66"/>
  <c r="AV207" i="66"/>
  <c r="AU207" i="66"/>
  <c r="AV206" i="66"/>
  <c r="AU206" i="66"/>
  <c r="AV205" i="66"/>
  <c r="AU205" i="66"/>
  <c r="AU204" i="66"/>
  <c r="AV203" i="66"/>
  <c r="AU203" i="66"/>
  <c r="AV202" i="66"/>
  <c r="AU202" i="66"/>
  <c r="AU201" i="66"/>
  <c r="AU200" i="66"/>
  <c r="AV199" i="66"/>
  <c r="AU199" i="66"/>
  <c r="AU198" i="66"/>
  <c r="AU197" i="66"/>
  <c r="AU196" i="66"/>
  <c r="AU195" i="66"/>
  <c r="AV194" i="66"/>
  <c r="AU194" i="66"/>
  <c r="AU193" i="66"/>
  <c r="AU192" i="66"/>
  <c r="AV191" i="66"/>
  <c r="AU191" i="66"/>
  <c r="AU190" i="66"/>
  <c r="AV189" i="66"/>
  <c r="AU189" i="66"/>
  <c r="AV188" i="66"/>
  <c r="AU188" i="66"/>
  <c r="AV187" i="66"/>
  <c r="AU187" i="66"/>
  <c r="AT187" i="66"/>
  <c r="AS187" i="66"/>
  <c r="AQ187" i="66"/>
  <c r="AV186" i="66"/>
  <c r="AU186" i="66"/>
  <c r="AT186" i="66"/>
  <c r="AS186" i="66"/>
  <c r="AQ186" i="66"/>
  <c r="AV185" i="66"/>
  <c r="AU185" i="66"/>
  <c r="AV184" i="66"/>
  <c r="AU184" i="66"/>
  <c r="AV183" i="66"/>
  <c r="AU183" i="66"/>
  <c r="AV182" i="66"/>
  <c r="AU182" i="66"/>
  <c r="AT182" i="66"/>
  <c r="AS182" i="66"/>
  <c r="AQ182" i="66"/>
  <c r="AV181" i="66"/>
  <c r="AU181" i="66"/>
  <c r="AT181" i="66"/>
  <c r="AS181" i="66"/>
  <c r="AQ181" i="66"/>
  <c r="AV180" i="66"/>
  <c r="AU180" i="66"/>
  <c r="AT180" i="66"/>
  <c r="AS180" i="66"/>
  <c r="AQ180" i="66"/>
  <c r="AU179" i="66"/>
  <c r="AV178" i="66"/>
  <c r="AU178" i="66"/>
  <c r="AT178" i="66"/>
  <c r="AS178" i="66"/>
  <c r="AQ178" i="66"/>
  <c r="AV177" i="66"/>
  <c r="AU177" i="66"/>
  <c r="AT177" i="66"/>
  <c r="AS177" i="66"/>
  <c r="AQ177" i="66"/>
  <c r="AV176" i="66"/>
  <c r="AU176" i="66"/>
  <c r="AT176" i="66"/>
  <c r="AS176" i="66"/>
  <c r="AQ176" i="66"/>
  <c r="AV175" i="66"/>
  <c r="AU175" i="66"/>
  <c r="AT175" i="66"/>
  <c r="AS175" i="66"/>
  <c r="AQ175" i="66"/>
  <c r="AV174" i="66"/>
  <c r="AU174" i="66"/>
  <c r="AT174" i="66"/>
  <c r="AS174" i="66"/>
  <c r="AQ174" i="66"/>
  <c r="AV173" i="66"/>
  <c r="AU173" i="66"/>
  <c r="AV172" i="66"/>
  <c r="AU172" i="66"/>
  <c r="AT172" i="66"/>
  <c r="AS172" i="66"/>
  <c r="AQ172" i="66"/>
  <c r="AU171" i="66"/>
  <c r="AV170" i="66"/>
  <c r="AU170" i="66"/>
  <c r="AT170" i="66"/>
  <c r="AS170" i="66"/>
  <c r="AQ170" i="66"/>
  <c r="AV169" i="66"/>
  <c r="AU169" i="66"/>
  <c r="AV168" i="66"/>
  <c r="AU168" i="66"/>
  <c r="AV167" i="66"/>
  <c r="AU167" i="66"/>
  <c r="AV166" i="66"/>
  <c r="AU166" i="66"/>
  <c r="AT166" i="66"/>
  <c r="AS166" i="66"/>
  <c r="AQ166" i="66"/>
  <c r="AV165" i="66"/>
  <c r="AU165" i="66"/>
  <c r="AT165" i="66"/>
  <c r="AS165" i="66"/>
  <c r="AQ165" i="66"/>
  <c r="AV164" i="66"/>
  <c r="AU164" i="66"/>
  <c r="AV163" i="66"/>
  <c r="AU163" i="66"/>
  <c r="AV162" i="66"/>
  <c r="AU162" i="66"/>
  <c r="AT162" i="66"/>
  <c r="AS162" i="66"/>
  <c r="AQ162" i="66"/>
  <c r="AV161" i="66"/>
  <c r="AU161" i="66"/>
  <c r="AV160" i="66"/>
  <c r="AU160" i="66"/>
  <c r="AV159" i="66"/>
  <c r="AU159" i="66"/>
  <c r="AT159" i="66"/>
  <c r="AS159" i="66"/>
  <c r="AQ159" i="66"/>
  <c r="AV157" i="66"/>
  <c r="AU157" i="66"/>
  <c r="AT157" i="66"/>
  <c r="AS157" i="66"/>
  <c r="AQ157" i="66"/>
  <c r="AV156" i="66"/>
  <c r="AU156" i="66"/>
  <c r="AT156" i="66"/>
  <c r="AS156" i="66"/>
  <c r="AQ156" i="66"/>
  <c r="AV155" i="66"/>
  <c r="AU155" i="66"/>
  <c r="AT155" i="66"/>
  <c r="AS155" i="66"/>
  <c r="AQ155" i="66"/>
  <c r="AV154" i="66"/>
  <c r="AU154" i="66"/>
  <c r="AT154" i="66"/>
  <c r="AS154" i="66"/>
  <c r="AQ154" i="66"/>
  <c r="AV153" i="66"/>
  <c r="AU153" i="66"/>
  <c r="AT153" i="66"/>
  <c r="AS153" i="66"/>
  <c r="AQ153" i="66"/>
  <c r="AV152" i="66"/>
  <c r="AU152" i="66"/>
  <c r="AT152" i="66"/>
  <c r="AS152" i="66"/>
  <c r="AQ152" i="66"/>
  <c r="AV151" i="66"/>
  <c r="AU151" i="66"/>
  <c r="AT151" i="66"/>
  <c r="AS151" i="66"/>
  <c r="AQ151" i="66"/>
  <c r="AV150" i="66"/>
  <c r="AU150" i="66"/>
  <c r="AT150" i="66"/>
  <c r="AS150" i="66"/>
  <c r="AQ150" i="66"/>
  <c r="AV149" i="66"/>
  <c r="AU149" i="66"/>
  <c r="AT149" i="66"/>
  <c r="AS149" i="66"/>
  <c r="AQ149" i="66"/>
  <c r="AV148" i="66"/>
  <c r="AU148" i="66"/>
  <c r="AT148" i="66"/>
  <c r="AS148" i="66"/>
  <c r="AQ148" i="66"/>
  <c r="AV147" i="66"/>
  <c r="AU147" i="66"/>
  <c r="AT147" i="66"/>
  <c r="AS147" i="66"/>
  <c r="AQ147" i="66"/>
  <c r="AV146" i="66"/>
  <c r="AU146" i="66"/>
  <c r="AT146" i="66"/>
  <c r="AS146" i="66"/>
  <c r="AQ146" i="66"/>
  <c r="AV145" i="66"/>
  <c r="AU145" i="66"/>
  <c r="AT145" i="66"/>
  <c r="AS145" i="66"/>
  <c r="AQ145" i="66"/>
  <c r="AV144" i="66"/>
  <c r="AU144" i="66"/>
  <c r="AT144" i="66"/>
  <c r="AS144" i="66"/>
  <c r="AQ144" i="66"/>
  <c r="AV143" i="66"/>
  <c r="AU143" i="66"/>
  <c r="AT143" i="66"/>
  <c r="AS143" i="66"/>
  <c r="AQ143" i="66"/>
  <c r="AV142" i="66"/>
  <c r="AU142" i="66"/>
  <c r="AT142" i="66"/>
  <c r="AS142" i="66"/>
  <c r="AQ142" i="66"/>
  <c r="AV141" i="66"/>
  <c r="AU141" i="66"/>
  <c r="AT141" i="66"/>
  <c r="AS141" i="66"/>
  <c r="AQ141" i="66"/>
  <c r="AV140" i="66"/>
  <c r="AU140" i="66"/>
  <c r="AT140" i="66"/>
  <c r="AS140" i="66"/>
  <c r="AQ140" i="66"/>
  <c r="AV139" i="66"/>
  <c r="AU139" i="66"/>
  <c r="AT139" i="66"/>
  <c r="AS139" i="66"/>
  <c r="AQ139" i="66"/>
  <c r="AV138" i="66"/>
  <c r="AU138" i="66"/>
  <c r="AT138" i="66"/>
  <c r="AS138" i="66"/>
  <c r="AQ138" i="66"/>
  <c r="AV137" i="66"/>
  <c r="AU137" i="66"/>
  <c r="AT137" i="66"/>
  <c r="AS137" i="66"/>
  <c r="AQ137" i="66"/>
  <c r="AV136" i="66"/>
  <c r="AU136" i="66"/>
  <c r="AT136" i="66"/>
  <c r="AS136" i="66"/>
  <c r="AQ136" i="66"/>
  <c r="AV135" i="66"/>
  <c r="AU135" i="66"/>
  <c r="AT135" i="66"/>
  <c r="AS135" i="66"/>
  <c r="AQ135" i="66"/>
  <c r="AV134" i="66"/>
  <c r="AU134" i="66"/>
  <c r="AT134" i="66"/>
  <c r="AS134" i="66"/>
  <c r="AQ134" i="66"/>
  <c r="AV133" i="66"/>
  <c r="AU133" i="66"/>
  <c r="AT133" i="66"/>
  <c r="AS133" i="66"/>
  <c r="AQ133" i="66"/>
  <c r="AV132" i="66"/>
  <c r="AU132" i="66"/>
  <c r="AT132" i="66"/>
  <c r="AS132" i="66"/>
  <c r="AQ132" i="66"/>
  <c r="AV131" i="66"/>
  <c r="AU131" i="66"/>
  <c r="AT131" i="66"/>
  <c r="AS131" i="66"/>
  <c r="AQ131" i="66"/>
  <c r="AV130" i="66"/>
  <c r="AU130" i="66"/>
  <c r="AT130" i="66"/>
  <c r="AS130" i="66"/>
  <c r="AQ130" i="66"/>
  <c r="AV129" i="66"/>
  <c r="AU129" i="66"/>
  <c r="AT129" i="66"/>
  <c r="AS129" i="66"/>
  <c r="AQ129" i="66"/>
  <c r="AV128" i="66"/>
  <c r="AU128" i="66"/>
  <c r="AT128" i="66"/>
  <c r="AS128" i="66"/>
  <c r="AQ128" i="66"/>
  <c r="AV127" i="66"/>
  <c r="AU127" i="66"/>
  <c r="AT127" i="66"/>
  <c r="AS127" i="66"/>
  <c r="AQ127" i="66"/>
  <c r="AV126" i="66"/>
  <c r="AU126" i="66"/>
  <c r="AT126" i="66"/>
  <c r="AS126" i="66"/>
  <c r="AQ126" i="66"/>
  <c r="AV125" i="66"/>
  <c r="AU125" i="66"/>
  <c r="AT125" i="66"/>
  <c r="AS125" i="66"/>
  <c r="AQ125" i="66"/>
  <c r="AV124" i="66"/>
  <c r="AU124" i="66"/>
  <c r="AT124" i="66"/>
  <c r="AS124" i="66"/>
  <c r="AQ124" i="66"/>
  <c r="AV123" i="66"/>
  <c r="AU123" i="66"/>
  <c r="AT123" i="66"/>
  <c r="AS123" i="66"/>
  <c r="AQ123" i="66"/>
  <c r="AV122" i="66"/>
  <c r="AU122" i="66"/>
  <c r="AT122" i="66"/>
  <c r="AS122" i="66"/>
  <c r="AQ122" i="66"/>
  <c r="AV121" i="66"/>
  <c r="AU121" i="66"/>
  <c r="AT121" i="66"/>
  <c r="AS121" i="66"/>
  <c r="AQ121" i="66"/>
  <c r="AV120" i="66"/>
  <c r="AU120" i="66"/>
  <c r="AT120" i="66"/>
  <c r="AS120" i="66"/>
  <c r="AQ120" i="66"/>
  <c r="AV119" i="66"/>
  <c r="AU119" i="66"/>
  <c r="AV118" i="66"/>
  <c r="AU118" i="66"/>
  <c r="AV117" i="66"/>
  <c r="AU117" i="66"/>
  <c r="AV116" i="66"/>
  <c r="AU116" i="66"/>
  <c r="AV115" i="66"/>
  <c r="AU115" i="66"/>
  <c r="AU114" i="66"/>
  <c r="AU113" i="66"/>
  <c r="AU112" i="66"/>
  <c r="AU111" i="66"/>
  <c r="AV110" i="66"/>
  <c r="AU110" i="66"/>
  <c r="AV109" i="66"/>
  <c r="AU109" i="66"/>
  <c r="AV108" i="66"/>
  <c r="AU108" i="66"/>
  <c r="AV107" i="66"/>
  <c r="AU107" i="66"/>
  <c r="AV106" i="66"/>
  <c r="AU106" i="66"/>
  <c r="AV105" i="66"/>
  <c r="AU105" i="66"/>
  <c r="AV104" i="66"/>
  <c r="AU104" i="66"/>
  <c r="AV103" i="66"/>
  <c r="AU103" i="66"/>
  <c r="AV102" i="66"/>
  <c r="AU102" i="66"/>
  <c r="AT102" i="66"/>
  <c r="AS102" i="66"/>
  <c r="AQ102" i="66"/>
  <c r="AV101" i="66"/>
  <c r="AU101" i="66"/>
  <c r="AT101" i="66"/>
  <c r="AS101" i="66"/>
  <c r="AQ101" i="66"/>
  <c r="AV100" i="66"/>
  <c r="AU100" i="66"/>
  <c r="AT100" i="66"/>
  <c r="AS100" i="66"/>
  <c r="AQ100" i="66"/>
  <c r="AV99" i="66"/>
  <c r="AU99" i="66"/>
  <c r="AT99" i="66"/>
  <c r="AS99" i="66"/>
  <c r="AQ99" i="66"/>
  <c r="AV98" i="66"/>
  <c r="AU98" i="66"/>
  <c r="AV97" i="66"/>
  <c r="AU97" i="66"/>
  <c r="AT97" i="66"/>
  <c r="AS97" i="66"/>
  <c r="AQ97" i="66"/>
  <c r="AV96" i="66"/>
  <c r="AU96" i="66"/>
  <c r="AT96" i="66"/>
  <c r="AS96" i="66"/>
  <c r="AQ96" i="66"/>
  <c r="AV95" i="66"/>
  <c r="AU95" i="66"/>
  <c r="AT95" i="66"/>
  <c r="AS95" i="66"/>
  <c r="AQ95" i="66"/>
  <c r="AV94" i="66"/>
  <c r="AU94" i="66"/>
  <c r="AT94" i="66"/>
  <c r="AS94" i="66"/>
  <c r="AQ94" i="66"/>
  <c r="AV93" i="66"/>
  <c r="AU93" i="66"/>
  <c r="AT93" i="66"/>
  <c r="AS93" i="66"/>
  <c r="AQ93" i="66"/>
  <c r="AV92" i="66"/>
  <c r="AU92" i="66"/>
  <c r="AT92" i="66"/>
  <c r="AS92" i="66"/>
  <c r="AQ92" i="66"/>
  <c r="AV91" i="66"/>
  <c r="AU91" i="66"/>
  <c r="AT91" i="66"/>
  <c r="AS91" i="66"/>
  <c r="AQ91" i="66"/>
  <c r="AV90" i="66"/>
  <c r="AU90" i="66"/>
  <c r="AT90" i="66"/>
  <c r="AS90" i="66"/>
  <c r="AQ90" i="66"/>
  <c r="AV89" i="66"/>
  <c r="AU89" i="66"/>
  <c r="AV88" i="66"/>
  <c r="AU88" i="66"/>
  <c r="AT88" i="66"/>
  <c r="AS88" i="66"/>
  <c r="AQ88" i="66"/>
  <c r="AV87" i="66"/>
  <c r="AU87" i="66"/>
  <c r="AT87" i="66"/>
  <c r="AS87" i="66"/>
  <c r="AQ87" i="66"/>
  <c r="AV86" i="66"/>
  <c r="AU86" i="66"/>
  <c r="AT86" i="66"/>
  <c r="AS86" i="66"/>
  <c r="AQ86" i="66"/>
  <c r="AV85" i="66"/>
  <c r="AU85" i="66"/>
  <c r="AT85" i="66"/>
  <c r="AS85" i="66"/>
  <c r="AQ85" i="66"/>
  <c r="AV84" i="66"/>
  <c r="AU84" i="66"/>
  <c r="AT84" i="66"/>
  <c r="AS84" i="66"/>
  <c r="AQ84" i="66"/>
  <c r="AV83" i="66"/>
  <c r="AU83" i="66"/>
  <c r="AV82" i="66"/>
  <c r="AU82" i="66"/>
  <c r="AV81" i="66"/>
  <c r="AU81" i="66"/>
  <c r="AT81" i="66"/>
  <c r="AS81" i="66"/>
  <c r="AQ81" i="66"/>
  <c r="AV80" i="66"/>
  <c r="AU80" i="66"/>
  <c r="AT80" i="66"/>
  <c r="AS80" i="66"/>
  <c r="AQ80" i="66"/>
  <c r="AV79" i="66"/>
  <c r="AU79" i="66"/>
  <c r="AT79" i="66"/>
  <c r="AS79" i="66"/>
  <c r="AQ79" i="66"/>
  <c r="AV78" i="66"/>
  <c r="AU78" i="66"/>
  <c r="AV77" i="66"/>
  <c r="AU77" i="66"/>
  <c r="AV76" i="66"/>
  <c r="AU76" i="66"/>
  <c r="AV75" i="66"/>
  <c r="AU75" i="66"/>
  <c r="AV74" i="66"/>
  <c r="AU74" i="66"/>
  <c r="AV73" i="66"/>
  <c r="AU73" i="66"/>
  <c r="AV72" i="66"/>
  <c r="AU72" i="66"/>
  <c r="AT72" i="66"/>
  <c r="AS72" i="66"/>
  <c r="AQ72" i="66"/>
  <c r="AV71" i="66"/>
  <c r="AU71" i="66"/>
  <c r="AV70" i="66"/>
  <c r="AU70" i="66"/>
  <c r="AT70" i="66"/>
  <c r="AS70" i="66"/>
  <c r="AQ70" i="66"/>
  <c r="AV69" i="66"/>
  <c r="AU69" i="66"/>
  <c r="AV68" i="66"/>
  <c r="AU68" i="66"/>
  <c r="AV67" i="66"/>
  <c r="AU67" i="66"/>
  <c r="AT67" i="66"/>
  <c r="AS67" i="66"/>
  <c r="AQ67" i="66"/>
  <c r="AV66" i="66"/>
  <c r="AU66" i="66"/>
  <c r="AT66" i="66"/>
  <c r="AS66" i="66"/>
  <c r="AQ66" i="66"/>
  <c r="AV65" i="66"/>
  <c r="AU65" i="66"/>
  <c r="AT65" i="66"/>
  <c r="AS65" i="66"/>
  <c r="AV64" i="66"/>
  <c r="AU64" i="66"/>
  <c r="AT64" i="66"/>
  <c r="AS64" i="66"/>
  <c r="AQ64" i="66"/>
  <c r="AV63" i="66"/>
  <c r="AU63" i="66"/>
  <c r="AT63" i="66"/>
  <c r="AS63" i="66"/>
  <c r="AQ63" i="66"/>
  <c r="AV62" i="66"/>
  <c r="AU62" i="66"/>
  <c r="AT62" i="66"/>
  <c r="AS62" i="66"/>
  <c r="AQ62" i="66"/>
  <c r="AV61" i="66"/>
  <c r="AU61" i="66"/>
  <c r="AT61" i="66"/>
  <c r="AS61" i="66"/>
  <c r="AQ61" i="66"/>
  <c r="AV60" i="66"/>
  <c r="AU60" i="66"/>
  <c r="AT60" i="66"/>
  <c r="AS60" i="66"/>
  <c r="AQ60" i="66"/>
  <c r="AV59" i="66"/>
  <c r="AU59" i="66"/>
  <c r="AT59" i="66"/>
  <c r="AS59" i="66"/>
  <c r="AQ59" i="66"/>
  <c r="AV58" i="66"/>
  <c r="AU58" i="66"/>
  <c r="AT58" i="66"/>
  <c r="AS58" i="66"/>
  <c r="AQ58" i="66"/>
  <c r="AV57" i="66"/>
  <c r="AU57" i="66"/>
  <c r="AT57" i="66"/>
  <c r="AS57" i="66"/>
  <c r="AQ57" i="66"/>
  <c r="AV56" i="66"/>
  <c r="AU56" i="66"/>
  <c r="AT56" i="66"/>
  <c r="AS56" i="66"/>
  <c r="AQ56" i="66"/>
  <c r="AV55" i="66"/>
  <c r="AU55" i="66"/>
  <c r="AT55" i="66"/>
  <c r="AS55" i="66"/>
  <c r="AQ55" i="66"/>
  <c r="AV54" i="66"/>
  <c r="AU54" i="66"/>
  <c r="AT54" i="66"/>
  <c r="AS54" i="66"/>
  <c r="AQ54" i="66"/>
  <c r="AV53" i="66"/>
  <c r="AU53" i="66"/>
  <c r="AT53" i="66"/>
  <c r="AS53" i="66"/>
  <c r="AQ53" i="66"/>
  <c r="AV52" i="66"/>
  <c r="AU52" i="66"/>
  <c r="AT52" i="66"/>
  <c r="AS52" i="66"/>
  <c r="AQ52" i="66"/>
  <c r="AV51" i="66"/>
  <c r="AU51" i="66"/>
  <c r="AT51" i="66"/>
  <c r="AS51" i="66"/>
  <c r="AQ51" i="66"/>
  <c r="AV50" i="66"/>
  <c r="AU50" i="66"/>
  <c r="AT50" i="66"/>
  <c r="AS50" i="66"/>
  <c r="AQ50" i="66"/>
  <c r="AV49" i="66"/>
  <c r="AU49" i="66"/>
  <c r="AT49" i="66"/>
  <c r="AS49" i="66"/>
  <c r="AQ49" i="66"/>
  <c r="AV48" i="66"/>
  <c r="AU48" i="66"/>
  <c r="AT48" i="66"/>
  <c r="AS48" i="66"/>
  <c r="AQ48" i="66"/>
  <c r="AV47" i="66"/>
  <c r="AU47" i="66"/>
  <c r="AT47" i="66"/>
  <c r="AS47" i="66"/>
  <c r="AQ47" i="66"/>
  <c r="AV46" i="66"/>
  <c r="AU46" i="66"/>
  <c r="AT46" i="66"/>
  <c r="AS46" i="66"/>
  <c r="AQ46" i="66"/>
  <c r="AV45" i="66"/>
  <c r="AU45" i="66"/>
  <c r="AT45" i="66"/>
  <c r="AS45" i="66"/>
  <c r="AQ45" i="66"/>
  <c r="AV44" i="66"/>
  <c r="AU44" i="66"/>
  <c r="AT44" i="66"/>
  <c r="AS44" i="66"/>
  <c r="AQ44" i="66"/>
  <c r="AV43" i="66"/>
  <c r="AU43" i="66"/>
  <c r="AT43" i="66"/>
  <c r="AS43" i="66"/>
  <c r="AQ43" i="66"/>
  <c r="AV42" i="66"/>
  <c r="AU42" i="66"/>
  <c r="AT42" i="66"/>
  <c r="AS42" i="66"/>
  <c r="AQ42" i="66"/>
  <c r="AV41" i="66"/>
  <c r="AU41" i="66"/>
  <c r="AT41" i="66"/>
  <c r="AS41" i="66"/>
  <c r="AQ41" i="66"/>
  <c r="AV40" i="66"/>
  <c r="AU40" i="66"/>
  <c r="AT40" i="66"/>
  <c r="AS40" i="66"/>
  <c r="AQ40" i="66"/>
  <c r="AV39" i="66"/>
  <c r="AU39" i="66"/>
  <c r="AT39" i="66"/>
  <c r="AS39" i="66"/>
  <c r="AQ39" i="66"/>
  <c r="AV38" i="66"/>
  <c r="AU38" i="66"/>
  <c r="AT38" i="66"/>
  <c r="AS38" i="66"/>
  <c r="AQ38" i="66"/>
  <c r="AV37" i="66"/>
  <c r="AU37" i="66"/>
  <c r="AT37" i="66"/>
  <c r="AS37" i="66"/>
  <c r="AQ37" i="66"/>
  <c r="AV36" i="66"/>
  <c r="AU36" i="66"/>
  <c r="AT36" i="66"/>
  <c r="AS36" i="66"/>
  <c r="AQ36" i="66"/>
  <c r="AV35" i="66"/>
  <c r="AU35" i="66"/>
  <c r="AT35" i="66"/>
  <c r="AS35" i="66"/>
  <c r="AQ35" i="66"/>
  <c r="AV34" i="66"/>
  <c r="AU34" i="66"/>
  <c r="AT34" i="66"/>
  <c r="AS34" i="66"/>
  <c r="AQ34" i="66"/>
  <c r="AV33" i="66"/>
  <c r="AU33" i="66"/>
  <c r="AT33" i="66"/>
  <c r="AS33" i="66"/>
  <c r="AQ33" i="66"/>
  <c r="AV32" i="66"/>
  <c r="AU32" i="66"/>
  <c r="AT32" i="66"/>
  <c r="AS32" i="66"/>
  <c r="AQ32" i="66"/>
  <c r="AV31" i="66"/>
  <c r="AU31" i="66"/>
  <c r="AV30" i="66"/>
  <c r="AU30" i="66"/>
  <c r="AT30" i="66"/>
  <c r="AS30" i="66"/>
  <c r="AQ30" i="66"/>
  <c r="AV29" i="66"/>
  <c r="AU29" i="66"/>
  <c r="AT29" i="66"/>
  <c r="AS29" i="66"/>
  <c r="AQ29" i="66"/>
  <c r="AV28" i="66"/>
  <c r="AU28" i="66"/>
  <c r="AT28" i="66"/>
  <c r="AS28" i="66"/>
  <c r="AQ28" i="66"/>
  <c r="AV27" i="66"/>
  <c r="AU27" i="66"/>
  <c r="AT27" i="66"/>
  <c r="AS27" i="66"/>
  <c r="AQ27" i="66"/>
  <c r="AV26" i="66"/>
  <c r="AU26" i="66"/>
  <c r="AT26" i="66"/>
  <c r="AS26" i="66"/>
  <c r="AQ26" i="66"/>
  <c r="AV25" i="66"/>
  <c r="AU25" i="66"/>
  <c r="AT25" i="66"/>
  <c r="AS25" i="66"/>
  <c r="AQ25" i="66"/>
  <c r="AV24" i="66"/>
  <c r="AU24" i="66"/>
  <c r="AV23" i="66"/>
  <c r="AU23" i="66"/>
  <c r="AV22" i="66"/>
  <c r="AU22" i="66"/>
  <c r="AV21" i="66"/>
  <c r="AU21" i="66"/>
  <c r="AT21" i="66"/>
  <c r="AS21" i="66"/>
  <c r="AQ21" i="66"/>
  <c r="AV20" i="66"/>
  <c r="AU20" i="66"/>
  <c r="AT20" i="66"/>
  <c r="AS20" i="66"/>
  <c r="AQ20" i="66"/>
  <c r="AV19" i="66"/>
  <c r="AU19" i="66"/>
  <c r="AT19" i="66"/>
  <c r="AS19" i="66"/>
  <c r="AQ19" i="66"/>
  <c r="AV18" i="66"/>
  <c r="AU18" i="66"/>
  <c r="AV17" i="66"/>
  <c r="AU17" i="66"/>
  <c r="AT17" i="66"/>
  <c r="AS17" i="66"/>
  <c r="AQ17" i="66"/>
  <c r="AV16" i="66"/>
  <c r="AU16" i="66"/>
  <c r="AT16" i="66"/>
  <c r="AS16" i="66"/>
  <c r="AQ16" i="66"/>
  <c r="AV15" i="66"/>
  <c r="AU15" i="66"/>
  <c r="AT15" i="66"/>
  <c r="AS15" i="66"/>
  <c r="AQ15" i="66"/>
  <c r="AV14" i="66"/>
  <c r="AU14" i="66"/>
  <c r="AV13" i="66"/>
  <c r="AU13" i="66"/>
  <c r="AT13" i="66"/>
  <c r="AS13" i="66"/>
  <c r="AQ13" i="66"/>
  <c r="AV12" i="66"/>
  <c r="AU12" i="66"/>
  <c r="AT12" i="66"/>
  <c r="AS12" i="66"/>
  <c r="AQ12" i="66"/>
  <c r="AV11" i="66"/>
  <c r="AU11" i="66"/>
  <c r="AT11" i="66"/>
  <c r="AS11" i="66"/>
  <c r="AQ11" i="66"/>
  <c r="AV10" i="66"/>
  <c r="AU10" i="66"/>
  <c r="AT10" i="66"/>
  <c r="AS10" i="66"/>
  <c r="AQ10" i="66"/>
  <c r="AV9" i="66"/>
  <c r="AU9" i="66"/>
  <c r="AV8" i="66"/>
  <c r="AU8" i="66"/>
  <c r="AT8" i="66"/>
  <c r="AS8" i="66"/>
  <c r="AQ8" i="66"/>
  <c r="AV7" i="66"/>
  <c r="AU7" i="66"/>
  <c r="AU6" i="66"/>
  <c r="AV5" i="66"/>
  <c r="AU5" i="66"/>
  <c r="AT5" i="66"/>
  <c r="AS5" i="66"/>
  <c r="AQ5" i="66"/>
  <c r="AV4" i="66"/>
  <c r="AU4" i="66"/>
  <c r="AV3" i="66"/>
  <c r="AU3" i="66"/>
  <c r="AV2" i="66"/>
  <c r="AU2" i="66"/>
  <c r="V171" i="67"/>
  <c r="U171" i="67"/>
  <c r="Y171" i="67"/>
  <c r="S171" i="67"/>
  <c r="Q170" i="67"/>
  <c r="W170" i="67"/>
  <c r="S170" i="67"/>
  <c r="Q27" i="67"/>
  <c r="O170" i="67"/>
  <c r="N17" i="67"/>
  <c r="U170" i="67"/>
  <c r="U27" i="67"/>
  <c r="Y170" i="67"/>
  <c r="Y27" i="67"/>
  <c r="Y172" i="67"/>
  <c r="R172" i="67"/>
  <c r="P171" i="67"/>
  <c r="X171" i="67"/>
  <c r="U172" i="67"/>
  <c r="N18" i="67"/>
  <c r="R27" i="67"/>
  <c r="V27" i="67"/>
  <c r="T27" i="67"/>
  <c r="Z27" i="67"/>
  <c r="O27" i="67"/>
  <c r="V180" i="67"/>
  <c r="T180" i="67"/>
  <c r="O180" i="67"/>
  <c r="U180" i="67"/>
  <c r="Q180" i="67"/>
  <c r="X180" i="67"/>
  <c r="S180" i="67"/>
  <c r="Z180" i="67"/>
  <c r="Y180" i="67"/>
  <c r="N27" i="67"/>
  <c r="P180" i="67"/>
  <c r="R180" i="67"/>
  <c r="W180" i="67"/>
  <c r="A31" i="21"/>
  <c r="A34" i="21"/>
  <c r="A37" i="21"/>
  <c r="A40" i="21"/>
  <c r="B10" i="21"/>
  <c r="D10" i="21"/>
  <c r="L84" i="21"/>
  <c r="L17" i="21"/>
  <c r="M84" i="21"/>
  <c r="M17" i="21"/>
  <c r="O84" i="21"/>
  <c r="O17" i="21"/>
  <c r="P84" i="21"/>
  <c r="P17" i="21"/>
  <c r="Q84" i="21"/>
  <c r="Q17" i="21"/>
  <c r="R84" i="21"/>
  <c r="R17" i="21"/>
  <c r="S84" i="21"/>
  <c r="S17" i="21"/>
  <c r="T84" i="21"/>
  <c r="T17" i="21"/>
  <c r="U84" i="21"/>
  <c r="U17" i="21"/>
  <c r="V84" i="21"/>
  <c r="V17" i="21"/>
  <c r="W84" i="21"/>
  <c r="W17" i="21"/>
  <c r="X84" i="21"/>
  <c r="X17" i="21"/>
  <c r="Y84" i="21"/>
  <c r="Y17" i="21"/>
  <c r="Z84" i="21"/>
  <c r="Z17" i="21"/>
  <c r="N17" i="21"/>
  <c r="L93" i="21"/>
  <c r="L18" i="21"/>
  <c r="M93" i="21"/>
  <c r="M18" i="21"/>
  <c r="O93" i="21"/>
  <c r="O18" i="21"/>
  <c r="P93" i="21"/>
  <c r="P18" i="21"/>
  <c r="Q93" i="21"/>
  <c r="Q18" i="21"/>
  <c r="R93" i="21"/>
  <c r="R18" i="21"/>
  <c r="S93" i="21"/>
  <c r="S18" i="21"/>
  <c r="T93" i="21"/>
  <c r="T18" i="21"/>
  <c r="U93" i="21"/>
  <c r="U18" i="21"/>
  <c r="V93" i="21"/>
  <c r="V18" i="21"/>
  <c r="W93" i="21"/>
  <c r="W18" i="21"/>
  <c r="X93" i="21"/>
  <c r="X18" i="21"/>
  <c r="Y93" i="21"/>
  <c r="Y18" i="21"/>
  <c r="Z93" i="21"/>
  <c r="Z18" i="21"/>
  <c r="N18" i="21"/>
  <c r="L100" i="21"/>
  <c r="L19" i="21"/>
  <c r="M100" i="21"/>
  <c r="M19" i="21"/>
  <c r="O100" i="21"/>
  <c r="O19" i="21"/>
  <c r="P100" i="21"/>
  <c r="P19" i="21"/>
  <c r="Q100" i="21"/>
  <c r="Q19" i="21"/>
  <c r="R100" i="21"/>
  <c r="R19" i="21"/>
  <c r="S100" i="21"/>
  <c r="S19" i="21"/>
  <c r="T100" i="21"/>
  <c r="T19" i="21"/>
  <c r="U100" i="21"/>
  <c r="U19" i="21"/>
  <c r="V100" i="21"/>
  <c r="V19" i="21"/>
  <c r="W100" i="21"/>
  <c r="W19" i="21"/>
  <c r="X100" i="21"/>
  <c r="X19" i="21"/>
  <c r="Y100" i="21"/>
  <c r="Y19" i="21"/>
  <c r="Z100" i="21"/>
  <c r="Z19" i="21"/>
  <c r="N19" i="21"/>
  <c r="L20" i="21"/>
  <c r="M20" i="21"/>
  <c r="O104" i="21"/>
  <c r="O105" i="21"/>
  <c r="O106" i="21"/>
  <c r="O20" i="21"/>
  <c r="P104" i="21"/>
  <c r="P105" i="21"/>
  <c r="P106" i="21"/>
  <c r="P20" i="21"/>
  <c r="Q104" i="21"/>
  <c r="Q105" i="21"/>
  <c r="Q106" i="21"/>
  <c r="Q20" i="21"/>
  <c r="R104" i="21"/>
  <c r="R105" i="21"/>
  <c r="R106" i="21"/>
  <c r="R20" i="21"/>
  <c r="S104" i="21"/>
  <c r="S105" i="21"/>
  <c r="S106" i="21"/>
  <c r="S20" i="21"/>
  <c r="T104" i="21"/>
  <c r="T105" i="21"/>
  <c r="T106" i="21"/>
  <c r="T20" i="21"/>
  <c r="U104" i="21"/>
  <c r="U105" i="21"/>
  <c r="U106" i="21"/>
  <c r="U20" i="21"/>
  <c r="V104" i="21"/>
  <c r="V105" i="21"/>
  <c r="V106" i="21"/>
  <c r="V20" i="21"/>
  <c r="W104" i="21"/>
  <c r="W105" i="21"/>
  <c r="W106" i="21"/>
  <c r="W20" i="21"/>
  <c r="X104" i="21"/>
  <c r="X105" i="21"/>
  <c r="X106" i="21"/>
  <c r="X20" i="21"/>
  <c r="Y104" i="21"/>
  <c r="Y105" i="21"/>
  <c r="Y106" i="21"/>
  <c r="Y20" i="21"/>
  <c r="Z104" i="21"/>
  <c r="Z105" i="21"/>
  <c r="Z106" i="21"/>
  <c r="Z20" i="21"/>
  <c r="N20" i="21"/>
  <c r="M27" i="21"/>
  <c r="N27" i="21"/>
  <c r="O27" i="21"/>
  <c r="P27" i="21"/>
  <c r="Q27" i="21"/>
  <c r="R27" i="21"/>
  <c r="S27" i="21"/>
  <c r="T27" i="21"/>
  <c r="U27" i="21"/>
  <c r="V27" i="21"/>
  <c r="W27" i="21"/>
  <c r="X27" i="21"/>
  <c r="Y27" i="21"/>
  <c r="Z27" i="21"/>
  <c r="A43" i="21"/>
  <c r="A81" i="21"/>
  <c r="N83" i="21"/>
  <c r="N84" i="21"/>
  <c r="A85" i="21"/>
  <c r="N87" i="21"/>
  <c r="N88" i="21"/>
  <c r="N89" i="21"/>
  <c r="N90" i="21"/>
  <c r="N91" i="21"/>
  <c r="N92" i="21"/>
  <c r="N93" i="21"/>
  <c r="A94" i="21"/>
  <c r="N96" i="21"/>
  <c r="N97" i="21"/>
  <c r="N98" i="21"/>
  <c r="N99" i="21"/>
  <c r="N100" i="21"/>
  <c r="A101" i="21"/>
  <c r="N103" i="21"/>
  <c r="N104" i="21"/>
  <c r="N105" i="21"/>
  <c r="L106" i="21"/>
  <c r="M106" i="21"/>
  <c r="N106" i="21"/>
  <c r="A107" i="21"/>
  <c r="N109" i="21"/>
  <c r="N110" i="21"/>
  <c r="N111" i="21"/>
  <c r="N112" i="21"/>
  <c r="L113" i="21"/>
  <c r="M113" i="21"/>
  <c r="N113" i="21"/>
  <c r="O113" i="21"/>
  <c r="P113" i="21"/>
  <c r="Q113" i="21"/>
  <c r="R113" i="21"/>
  <c r="S113" i="21"/>
  <c r="T113" i="21"/>
  <c r="U113" i="21"/>
  <c r="V113" i="21"/>
  <c r="W113" i="21"/>
  <c r="X113" i="21"/>
  <c r="Y113" i="21"/>
  <c r="Z113" i="21"/>
  <c r="A114" i="21"/>
  <c r="N116" i="21"/>
  <c r="N117" i="21"/>
  <c r="N118" i="21"/>
  <c r="N119" i="21"/>
  <c r="L120" i="21"/>
  <c r="M120" i="21"/>
  <c r="N120" i="21"/>
  <c r="O120" i="21"/>
  <c r="P120" i="21"/>
  <c r="Q120" i="21"/>
  <c r="R120" i="21"/>
  <c r="S120" i="21"/>
  <c r="T120" i="21"/>
  <c r="U120" i="21"/>
  <c r="V120" i="21"/>
  <c r="W120" i="21"/>
  <c r="X120" i="21"/>
  <c r="Y120" i="21"/>
  <c r="Z120" i="21"/>
  <c r="A121" i="21"/>
  <c r="N123" i="21"/>
  <c r="N124" i="21"/>
  <c r="N125" i="21"/>
  <c r="N126" i="21"/>
  <c r="L127" i="21"/>
  <c r="M127" i="21"/>
  <c r="N127" i="21"/>
  <c r="O127" i="21"/>
  <c r="P127" i="21"/>
  <c r="Q127" i="21"/>
  <c r="R127" i="21"/>
  <c r="S127" i="21"/>
  <c r="T127" i="21"/>
  <c r="U127" i="21"/>
  <c r="V127" i="21"/>
  <c r="W127" i="21"/>
  <c r="X127" i="21"/>
  <c r="Y127" i="21"/>
  <c r="Z127" i="21"/>
  <c r="A128" i="21"/>
  <c r="N130" i="21"/>
  <c r="N131" i="21"/>
  <c r="N132" i="21"/>
  <c r="N133" i="21"/>
  <c r="L134" i="21"/>
  <c r="M134" i="21"/>
  <c r="N134" i="21"/>
  <c r="O134" i="21"/>
  <c r="P134" i="21"/>
  <c r="Q134" i="21"/>
  <c r="R134" i="21"/>
  <c r="S134" i="21"/>
  <c r="T134" i="21"/>
  <c r="U134" i="21"/>
  <c r="V134" i="21"/>
  <c r="W134" i="21"/>
  <c r="X134" i="21"/>
  <c r="Y134" i="21"/>
  <c r="Z134" i="21"/>
  <c r="A135" i="21"/>
  <c r="N137" i="21"/>
  <c r="N138" i="21"/>
  <c r="N139" i="21"/>
  <c r="N140" i="21"/>
  <c r="L141" i="21"/>
  <c r="M141" i="21"/>
  <c r="N141" i="21"/>
  <c r="O141" i="21"/>
  <c r="P141" i="21"/>
  <c r="Q141" i="21"/>
  <c r="R141" i="21"/>
  <c r="S141" i="21"/>
  <c r="T141" i="21"/>
  <c r="U141" i="21"/>
  <c r="V141" i="21"/>
  <c r="W141" i="21"/>
  <c r="X141" i="21"/>
  <c r="Y141" i="21"/>
  <c r="Z141" i="21"/>
  <c r="A142" i="21"/>
  <c r="B146" i="21"/>
  <c r="C146" i="21"/>
  <c r="D146" i="21"/>
  <c r="O146" i="21"/>
  <c r="P146" i="21"/>
  <c r="Q146" i="21"/>
  <c r="R146" i="21"/>
  <c r="S146" i="21"/>
  <c r="T146" i="21"/>
  <c r="U146" i="21"/>
  <c r="V146" i="21"/>
  <c r="W146" i="21"/>
  <c r="X146" i="21"/>
  <c r="Y146" i="21"/>
  <c r="Z146" i="21"/>
  <c r="B147" i="21"/>
  <c r="C147" i="21"/>
  <c r="D147" i="21"/>
  <c r="O147" i="21"/>
  <c r="P147" i="21"/>
  <c r="Q147" i="21"/>
  <c r="R147" i="21"/>
  <c r="S147" i="21"/>
  <c r="T147" i="21"/>
  <c r="U147" i="21"/>
  <c r="V147" i="21"/>
  <c r="W147" i="21"/>
  <c r="X147" i="21"/>
  <c r="Y147" i="21"/>
  <c r="Z147" i="21"/>
  <c r="B148" i="21"/>
  <c r="C148" i="21"/>
  <c r="D148" i="21"/>
  <c r="O148" i="21"/>
  <c r="P148" i="21"/>
  <c r="Q148" i="21"/>
  <c r="R148" i="21"/>
  <c r="S148" i="21"/>
  <c r="T148" i="21"/>
  <c r="U148" i="21"/>
  <c r="V148" i="21"/>
  <c r="W148" i="21"/>
  <c r="X148" i="21"/>
  <c r="Y148" i="21"/>
  <c r="Z148" i="21"/>
  <c r="B149" i="21"/>
  <c r="C149" i="21"/>
  <c r="D149" i="21"/>
  <c r="O149" i="21"/>
  <c r="P149" i="21"/>
  <c r="Q149" i="21"/>
  <c r="R149" i="21"/>
  <c r="S149" i="21"/>
  <c r="T149" i="21"/>
  <c r="U149" i="21"/>
  <c r="V149" i="21"/>
  <c r="W149" i="21"/>
  <c r="X149" i="21"/>
  <c r="Y149" i="21"/>
  <c r="Z149" i="21"/>
  <c r="N150" i="21"/>
  <c r="O150" i="21"/>
  <c r="P150" i="21"/>
  <c r="Q150" i="21"/>
  <c r="R150" i="21"/>
  <c r="S150" i="21"/>
  <c r="T150" i="21"/>
  <c r="U150" i="21"/>
  <c r="V150" i="21"/>
  <c r="W150" i="21"/>
  <c r="X150" i="21"/>
  <c r="Y150" i="21"/>
  <c r="Z150" i="21"/>
  <c r="N138" i="20"/>
  <c r="N135" i="20"/>
  <c r="N141" i="20"/>
  <c r="N158" i="20"/>
  <c r="N133" i="20"/>
  <c r="N129" i="20"/>
  <c r="N115" i="20"/>
  <c r="N142" i="20"/>
  <c r="N125" i="20"/>
  <c r="N159" i="20"/>
  <c r="N137" i="20"/>
  <c r="N122" i="20"/>
  <c r="N117" i="20"/>
  <c r="N120" i="20"/>
  <c r="N139" i="20"/>
  <c r="N132" i="20"/>
  <c r="N118" i="20"/>
  <c r="N131" i="20"/>
  <c r="N113" i="20"/>
  <c r="N123" i="20"/>
  <c r="N114" i="20"/>
  <c r="N140" i="20"/>
  <c r="N126" i="20"/>
  <c r="N130" i="20"/>
  <c r="N136" i="20"/>
  <c r="N124" i="20"/>
  <c r="N128" i="20"/>
  <c r="N134" i="20"/>
  <c r="N75" i="19"/>
  <c r="N78" i="19"/>
  <c r="N116" i="20"/>
  <c r="N95" i="19"/>
  <c r="N85" i="19"/>
  <c r="N79" i="19"/>
  <c r="N127" i="20"/>
  <c r="N121" i="20"/>
  <c r="N107" i="20"/>
  <c r="N90" i="19"/>
  <c r="A31" i="37"/>
  <c r="A39" i="37"/>
  <c r="A44" i="37"/>
  <c r="A50" i="37"/>
  <c r="B10" i="37"/>
  <c r="O102" i="37"/>
  <c r="O17" i="37"/>
  <c r="P102" i="37"/>
  <c r="P17" i="37"/>
  <c r="Q102" i="37"/>
  <c r="Q17" i="37"/>
  <c r="R102" i="37"/>
  <c r="R17" i="37"/>
  <c r="S102" i="37"/>
  <c r="S17" i="37"/>
  <c r="T102" i="37"/>
  <c r="T17" i="37"/>
  <c r="U102" i="37"/>
  <c r="U17" i="37"/>
  <c r="V102" i="37"/>
  <c r="V17" i="37"/>
  <c r="W102" i="37"/>
  <c r="W17" i="37"/>
  <c r="X102" i="37"/>
  <c r="X17" i="37"/>
  <c r="Y102" i="37"/>
  <c r="Y17" i="37"/>
  <c r="Z102" i="37"/>
  <c r="Z17" i="37"/>
  <c r="N17" i="37"/>
  <c r="O109" i="37"/>
  <c r="O18" i="37"/>
  <c r="P109" i="37"/>
  <c r="P18" i="37"/>
  <c r="Q109" i="37"/>
  <c r="Q18" i="37"/>
  <c r="R109" i="37"/>
  <c r="R18" i="37"/>
  <c r="S109" i="37"/>
  <c r="S18" i="37"/>
  <c r="T109" i="37"/>
  <c r="T18" i="37"/>
  <c r="U109" i="37"/>
  <c r="U18" i="37"/>
  <c r="V109" i="37"/>
  <c r="V18" i="37"/>
  <c r="W109" i="37"/>
  <c r="W18" i="37"/>
  <c r="X109" i="37"/>
  <c r="X18" i="37"/>
  <c r="Y109" i="37"/>
  <c r="Y18" i="37"/>
  <c r="Z109" i="37"/>
  <c r="Z18" i="37"/>
  <c r="N18" i="37"/>
  <c r="O118" i="37"/>
  <c r="O19" i="37"/>
  <c r="P118" i="37"/>
  <c r="P19" i="37"/>
  <c r="Q118" i="37"/>
  <c r="Q19" i="37"/>
  <c r="R118" i="37"/>
  <c r="R19" i="37"/>
  <c r="S118" i="37"/>
  <c r="S19" i="37"/>
  <c r="T118" i="37"/>
  <c r="T19" i="37"/>
  <c r="U118" i="37"/>
  <c r="U19" i="37"/>
  <c r="V118" i="37"/>
  <c r="V19" i="37"/>
  <c r="W118" i="37"/>
  <c r="W19" i="37"/>
  <c r="X118" i="37"/>
  <c r="X19" i="37"/>
  <c r="Y118" i="37"/>
  <c r="Y19" i="37"/>
  <c r="Z118" i="37"/>
  <c r="Z19" i="37"/>
  <c r="N19" i="37"/>
  <c r="O125" i="37"/>
  <c r="O20" i="37"/>
  <c r="P125" i="37"/>
  <c r="P20" i="37"/>
  <c r="Q125" i="37"/>
  <c r="Q20" i="37"/>
  <c r="R125" i="37"/>
  <c r="R20" i="37"/>
  <c r="S125" i="37"/>
  <c r="S20" i="37"/>
  <c r="T125" i="37"/>
  <c r="T20" i="37"/>
  <c r="U125" i="37"/>
  <c r="U20" i="37"/>
  <c r="V125" i="37"/>
  <c r="V20" i="37"/>
  <c r="W125" i="37"/>
  <c r="W20" i="37"/>
  <c r="X125" i="37"/>
  <c r="X20" i="37"/>
  <c r="Y125" i="37"/>
  <c r="Y20" i="37"/>
  <c r="Z125" i="37"/>
  <c r="Z20" i="37"/>
  <c r="N20" i="37"/>
  <c r="O167" i="37"/>
  <c r="O21" i="37"/>
  <c r="P167" i="37"/>
  <c r="P21" i="37"/>
  <c r="Q167" i="37"/>
  <c r="Q21" i="37"/>
  <c r="R167" i="37"/>
  <c r="R21" i="37"/>
  <c r="S167" i="37"/>
  <c r="S21" i="37"/>
  <c r="T167" i="37"/>
  <c r="T21" i="37"/>
  <c r="U167" i="37"/>
  <c r="U21" i="37"/>
  <c r="V167" i="37"/>
  <c r="V21" i="37"/>
  <c r="W167" i="37"/>
  <c r="W21" i="37"/>
  <c r="X167" i="37"/>
  <c r="X21" i="37"/>
  <c r="Y167" i="37"/>
  <c r="Y21" i="37"/>
  <c r="Z167" i="37"/>
  <c r="Z21" i="37"/>
  <c r="N21" i="37"/>
  <c r="M27" i="37"/>
  <c r="N27" i="37"/>
  <c r="O27" i="37"/>
  <c r="P27" i="37"/>
  <c r="Q27" i="37"/>
  <c r="R27" i="37"/>
  <c r="S27" i="37"/>
  <c r="T27" i="37"/>
  <c r="U27" i="37"/>
  <c r="V27" i="37"/>
  <c r="W27" i="37"/>
  <c r="X27" i="37"/>
  <c r="Y27" i="37"/>
  <c r="Z27" i="37"/>
  <c r="A55" i="37"/>
  <c r="A61" i="37"/>
  <c r="A67" i="37"/>
  <c r="A73" i="37"/>
  <c r="A79" i="37"/>
  <c r="A85" i="37"/>
  <c r="A93" i="37"/>
  <c r="N95" i="37"/>
  <c r="N96" i="37"/>
  <c r="N97" i="37"/>
  <c r="N98" i="37"/>
  <c r="N99" i="37"/>
  <c r="N100" i="37"/>
  <c r="N101" i="37"/>
  <c r="L102" i="37"/>
  <c r="M102" i="37"/>
  <c r="N102" i="37"/>
  <c r="A103" i="37"/>
  <c r="N105" i="37"/>
  <c r="N106" i="37"/>
  <c r="N107" i="37"/>
  <c r="N108" i="37"/>
  <c r="L109" i="37"/>
  <c r="M109" i="37"/>
  <c r="N109" i="37"/>
  <c r="A110" i="37"/>
  <c r="N112" i="37"/>
  <c r="N113" i="37"/>
  <c r="N114" i="37"/>
  <c r="N115" i="37"/>
  <c r="N116" i="37"/>
  <c r="N117" i="37"/>
  <c r="L118" i="37"/>
  <c r="M118" i="37"/>
  <c r="N118" i="37"/>
  <c r="A119" i="37"/>
  <c r="N121" i="37"/>
  <c r="N122" i="37"/>
  <c r="N123" i="37"/>
  <c r="M125" i="37"/>
  <c r="N125" i="37"/>
  <c r="B126" i="37"/>
  <c r="M132" i="37"/>
  <c r="N132" i="37"/>
  <c r="O132" i="37"/>
  <c r="B133" i="37"/>
  <c r="M139" i="37"/>
  <c r="N139" i="37"/>
  <c r="O139" i="37"/>
  <c r="B140" i="37"/>
  <c r="M146" i="37"/>
  <c r="N146" i="37"/>
  <c r="O146" i="37"/>
  <c r="B147" i="37"/>
  <c r="L153" i="37"/>
  <c r="M153" i="37"/>
  <c r="N153" i="37"/>
  <c r="O153" i="37"/>
  <c r="P153" i="37"/>
  <c r="Q153" i="37"/>
  <c r="R153" i="37"/>
  <c r="S153" i="37"/>
  <c r="T153" i="37"/>
  <c r="U153" i="37"/>
  <c r="V153" i="37"/>
  <c r="W153" i="37"/>
  <c r="X153" i="37"/>
  <c r="Y153" i="37"/>
  <c r="Z153" i="37"/>
  <c r="A154" i="37"/>
  <c r="N156" i="37"/>
  <c r="N157" i="37"/>
  <c r="N158" i="37"/>
  <c r="N159" i="37"/>
  <c r="L160" i="37"/>
  <c r="M160" i="37"/>
  <c r="N160" i="37"/>
  <c r="O160" i="37"/>
  <c r="P160" i="37"/>
  <c r="Q160" i="37"/>
  <c r="R160" i="37"/>
  <c r="S160" i="37"/>
  <c r="T160" i="37"/>
  <c r="U160" i="37"/>
  <c r="V160" i="37"/>
  <c r="W160" i="37"/>
  <c r="X160" i="37"/>
  <c r="Y160" i="37"/>
  <c r="Z160" i="37"/>
  <c r="A161" i="37"/>
  <c r="A163" i="37"/>
  <c r="N165" i="37"/>
  <c r="M167" i="37"/>
  <c r="N167" i="37"/>
  <c r="A172" i="37"/>
  <c r="C172" i="37"/>
  <c r="D172" i="37"/>
  <c r="O172" i="37"/>
  <c r="P172" i="37"/>
  <c r="Q172" i="37"/>
  <c r="R172" i="37"/>
  <c r="S172" i="37"/>
  <c r="T172" i="37"/>
  <c r="U172" i="37"/>
  <c r="V172" i="37"/>
  <c r="W172" i="37"/>
  <c r="X172" i="37"/>
  <c r="Y172" i="37"/>
  <c r="Z172" i="37"/>
  <c r="A173" i="37"/>
  <c r="C173" i="37"/>
  <c r="D173" i="37"/>
  <c r="O173" i="37"/>
  <c r="P173" i="37"/>
  <c r="Q173" i="37"/>
  <c r="R173" i="37"/>
  <c r="S173" i="37"/>
  <c r="T173" i="37"/>
  <c r="U173" i="37"/>
  <c r="V173" i="37"/>
  <c r="W173" i="37"/>
  <c r="X173" i="37"/>
  <c r="Y173" i="37"/>
  <c r="Z173" i="37"/>
  <c r="A174" i="37"/>
  <c r="C174" i="37"/>
  <c r="D174" i="37"/>
  <c r="O174" i="37"/>
  <c r="P174" i="37"/>
  <c r="Q174" i="37"/>
  <c r="R174" i="37"/>
  <c r="S174" i="37"/>
  <c r="T174" i="37"/>
  <c r="U174" i="37"/>
  <c r="V174" i="37"/>
  <c r="W174" i="37"/>
  <c r="X174" i="37"/>
  <c r="Y174" i="37"/>
  <c r="Z174" i="37"/>
  <c r="A175" i="37"/>
  <c r="C175" i="37"/>
  <c r="D175" i="37"/>
  <c r="O175" i="37"/>
  <c r="P175" i="37"/>
  <c r="Q175" i="37"/>
  <c r="R175" i="37"/>
  <c r="S175" i="37"/>
  <c r="T175" i="37"/>
  <c r="U175" i="37"/>
  <c r="V175" i="37"/>
  <c r="W175" i="37"/>
  <c r="X175" i="37"/>
  <c r="Y175" i="37"/>
  <c r="Z175" i="37"/>
  <c r="A176" i="37"/>
  <c r="C176" i="37"/>
  <c r="D176" i="37"/>
  <c r="O176" i="37"/>
  <c r="P176" i="37"/>
  <c r="Q176" i="37"/>
  <c r="R176" i="37"/>
  <c r="S176" i="37"/>
  <c r="T176" i="37"/>
  <c r="U176" i="37"/>
  <c r="V176" i="37"/>
  <c r="W176" i="37"/>
  <c r="X176" i="37"/>
  <c r="Y176" i="37"/>
  <c r="Z176" i="37"/>
  <c r="A177" i="37"/>
  <c r="C177" i="37"/>
  <c r="D177" i="37"/>
  <c r="O177" i="37"/>
  <c r="P177" i="37"/>
  <c r="Q177" i="37"/>
  <c r="R177" i="37"/>
  <c r="S177" i="37"/>
  <c r="T177" i="37"/>
  <c r="U177" i="37"/>
  <c r="V177" i="37"/>
  <c r="W177" i="37"/>
  <c r="X177" i="37"/>
  <c r="Y177" i="37"/>
  <c r="Z177" i="37"/>
  <c r="A178" i="37"/>
  <c r="C178" i="37"/>
  <c r="D178" i="37"/>
  <c r="O178" i="37"/>
  <c r="P178" i="37"/>
  <c r="Q178" i="37"/>
  <c r="R178" i="37"/>
  <c r="S178" i="37"/>
  <c r="T178" i="37"/>
  <c r="U178" i="37"/>
  <c r="V178" i="37"/>
  <c r="W178" i="37"/>
  <c r="X178" i="37"/>
  <c r="Y178" i="37"/>
  <c r="Z178" i="37"/>
  <c r="A179" i="37"/>
  <c r="C179" i="37"/>
  <c r="D179" i="37"/>
  <c r="O179" i="37"/>
  <c r="P179" i="37"/>
  <c r="Q179" i="37"/>
  <c r="R179" i="37"/>
  <c r="S179" i="37"/>
  <c r="T179" i="37"/>
  <c r="U179" i="37"/>
  <c r="V179" i="37"/>
  <c r="W179" i="37"/>
  <c r="X179" i="37"/>
  <c r="Y179" i="37"/>
  <c r="Z179" i="37"/>
  <c r="A180" i="37"/>
  <c r="C180" i="37"/>
  <c r="D180" i="37"/>
  <c r="O180" i="37"/>
  <c r="P180" i="37"/>
  <c r="Q180" i="37"/>
  <c r="R180" i="37"/>
  <c r="S180" i="37"/>
  <c r="T180" i="37"/>
  <c r="U180" i="37"/>
  <c r="V180" i="37"/>
  <c r="W180" i="37"/>
  <c r="X180" i="37"/>
  <c r="Y180" i="37"/>
  <c r="Z180" i="37"/>
  <c r="A181" i="37"/>
  <c r="C181" i="37"/>
  <c r="D181" i="37"/>
  <c r="O181" i="37"/>
  <c r="P181" i="37"/>
  <c r="Q181" i="37"/>
  <c r="R181" i="37"/>
  <c r="S181" i="37"/>
  <c r="T181" i="37"/>
  <c r="U181" i="37"/>
  <c r="V181" i="37"/>
  <c r="W181" i="37"/>
  <c r="X181" i="37"/>
  <c r="Y181" i="37"/>
  <c r="Z181" i="37"/>
  <c r="N182" i="37"/>
  <c r="O182" i="37"/>
  <c r="P182" i="37"/>
  <c r="Q182" i="37"/>
  <c r="R182" i="37"/>
  <c r="S182" i="37"/>
  <c r="T182" i="37"/>
  <c r="U182" i="37"/>
  <c r="V182" i="37"/>
  <c r="W182" i="37"/>
  <c r="X182" i="37"/>
  <c r="Y182" i="37"/>
  <c r="Z182" i="37"/>
  <c r="N93" i="19"/>
  <c r="N76" i="19"/>
  <c r="N119" i="20"/>
  <c r="N108" i="20"/>
  <c r="N110" i="20" s="1"/>
  <c r="N21" i="20" s="1"/>
  <c r="H21" i="18" s="1"/>
  <c r="F34" i="17"/>
  <c r="AA126" i="2"/>
  <c r="AA121" i="2"/>
  <c r="S95" i="2"/>
  <c r="O151" i="20"/>
  <c r="P151" i="20"/>
  <c r="Q151" i="20"/>
  <c r="R151" i="20"/>
  <c r="S151" i="20"/>
  <c r="T151" i="20"/>
  <c r="U151" i="20"/>
  <c r="V151" i="20"/>
  <c r="W151" i="20"/>
  <c r="X151" i="20"/>
  <c r="Y151" i="20"/>
  <c r="Z151" i="20"/>
  <c r="N150" i="20"/>
  <c r="Q150" i="20"/>
  <c r="R150" i="20"/>
  <c r="S150" i="20"/>
  <c r="T150" i="20"/>
  <c r="U150" i="20"/>
  <c r="V150" i="20"/>
  <c r="W150" i="20"/>
  <c r="X150" i="20"/>
  <c r="Y150" i="20"/>
  <c r="Z150" i="20"/>
  <c r="Q95" i="19"/>
  <c r="R95" i="19"/>
  <c r="S95" i="19"/>
  <c r="T95" i="19"/>
  <c r="U95" i="19"/>
  <c r="V95" i="19"/>
  <c r="W95" i="19"/>
  <c r="X95" i="19"/>
  <c r="G57" i="17"/>
  <c r="G24" i="17"/>
  <c r="G23" i="17"/>
  <c r="G22" i="17"/>
  <c r="G21" i="17"/>
  <c r="F57" i="17"/>
  <c r="F24" i="17"/>
  <c r="F23" i="17"/>
  <c r="F22" i="17"/>
  <c r="F21" i="17"/>
  <c r="P17" i="63"/>
  <c r="O30" i="63"/>
  <c r="O17" i="63"/>
  <c r="O202" i="63"/>
  <c r="AO8" i="60"/>
  <c r="AB57" i="60"/>
  <c r="AC57" i="60"/>
  <c r="AE57" i="60"/>
  <c r="AG57" i="60"/>
  <c r="AH57" i="60"/>
  <c r="AI57" i="60"/>
  <c r="AJ57" i="60"/>
  <c r="AK57" i="60"/>
  <c r="AL57" i="60"/>
  <c r="AA57" i="60"/>
  <c r="AB24" i="60"/>
  <c r="AC24" i="60"/>
  <c r="AD24" i="60"/>
  <c r="AE24" i="60"/>
  <c r="AF24" i="60"/>
  <c r="AG24" i="60"/>
  <c r="AH24" i="60"/>
  <c r="AI24" i="60"/>
  <c r="AJ24" i="60"/>
  <c r="AK24" i="60"/>
  <c r="AL24" i="60"/>
  <c r="AA24" i="60"/>
  <c r="AB23" i="60"/>
  <c r="AC23" i="60"/>
  <c r="AD23" i="60"/>
  <c r="AE23" i="60"/>
  <c r="AF23" i="60"/>
  <c r="AG23" i="60"/>
  <c r="AH23" i="60"/>
  <c r="AI23" i="60"/>
  <c r="AJ23" i="60"/>
  <c r="AK23" i="60"/>
  <c r="AL23" i="60"/>
  <c r="AA23" i="60"/>
  <c r="AB22" i="60"/>
  <c r="AC22" i="60"/>
  <c r="AD22" i="60"/>
  <c r="AE22" i="60"/>
  <c r="AF22" i="60"/>
  <c r="AG22" i="60"/>
  <c r="AH22" i="60"/>
  <c r="AI22" i="60"/>
  <c r="AJ22" i="60"/>
  <c r="AK22" i="60"/>
  <c r="AL22" i="60"/>
  <c r="AA22" i="60"/>
  <c r="AB21" i="60"/>
  <c r="AC21" i="60"/>
  <c r="AD21" i="60"/>
  <c r="AE21" i="60"/>
  <c r="AF21" i="60"/>
  <c r="AG21" i="60"/>
  <c r="AH21" i="60"/>
  <c r="AI21" i="60"/>
  <c r="AJ21" i="60"/>
  <c r="AK21" i="60"/>
  <c r="AL21" i="60"/>
  <c r="AA21" i="60"/>
  <c r="P57" i="60"/>
  <c r="Q57" i="60"/>
  <c r="R57" i="60"/>
  <c r="T57" i="60"/>
  <c r="U57" i="60"/>
  <c r="V57" i="60"/>
  <c r="W57" i="60"/>
  <c r="X57" i="60"/>
  <c r="Y57" i="60"/>
  <c r="P24" i="60"/>
  <c r="Q24" i="60"/>
  <c r="R24" i="60"/>
  <c r="S24" i="60"/>
  <c r="T24" i="60"/>
  <c r="U24" i="60"/>
  <c r="V24" i="60"/>
  <c r="W24" i="60"/>
  <c r="X24" i="60"/>
  <c r="Y24" i="60"/>
  <c r="Z24" i="60"/>
  <c r="O24" i="60"/>
  <c r="P23" i="60"/>
  <c r="Q23" i="60"/>
  <c r="R23" i="60"/>
  <c r="S23" i="60"/>
  <c r="T23" i="60"/>
  <c r="U23" i="60"/>
  <c r="V23" i="60"/>
  <c r="W23" i="60"/>
  <c r="X23" i="60"/>
  <c r="Y23" i="60"/>
  <c r="Z23" i="60"/>
  <c r="O23" i="60"/>
  <c r="P22" i="60"/>
  <c r="Q22" i="60"/>
  <c r="R22" i="60"/>
  <c r="S22" i="60"/>
  <c r="T22" i="60"/>
  <c r="U22" i="60"/>
  <c r="V22" i="60"/>
  <c r="W22" i="60"/>
  <c r="X22" i="60"/>
  <c r="Y22" i="60"/>
  <c r="Z22" i="60"/>
  <c r="O22" i="60"/>
  <c r="P21" i="60"/>
  <c r="Q21" i="60"/>
  <c r="R21" i="60"/>
  <c r="S21" i="60"/>
  <c r="T21" i="60"/>
  <c r="U21" i="60"/>
  <c r="V21" i="60"/>
  <c r="W21" i="60"/>
  <c r="X21" i="60"/>
  <c r="Y21" i="60"/>
  <c r="Z21" i="60"/>
  <c r="O21" i="60"/>
  <c r="N270" i="65"/>
  <c r="Z269" i="65"/>
  <c r="Y269" i="65"/>
  <c r="X269" i="65"/>
  <c r="W269" i="65"/>
  <c r="V269" i="65"/>
  <c r="U269" i="65"/>
  <c r="T269" i="65"/>
  <c r="S269" i="65"/>
  <c r="R269" i="65"/>
  <c r="Q269" i="65"/>
  <c r="P269" i="65"/>
  <c r="O269" i="65"/>
  <c r="D269" i="65"/>
  <c r="C269" i="65"/>
  <c r="A269" i="65"/>
  <c r="D268" i="65"/>
  <c r="C268" i="65"/>
  <c r="A268" i="65"/>
  <c r="Z267" i="65"/>
  <c r="Y267" i="65"/>
  <c r="X267" i="65"/>
  <c r="W267" i="65"/>
  <c r="V267" i="65"/>
  <c r="U267" i="65"/>
  <c r="T267" i="65"/>
  <c r="S267" i="65"/>
  <c r="R267" i="65"/>
  <c r="Q267" i="65"/>
  <c r="P267" i="65"/>
  <c r="O267" i="65"/>
  <c r="D267" i="65"/>
  <c r="C267" i="65"/>
  <c r="A267" i="65"/>
  <c r="Z266" i="65"/>
  <c r="Y266" i="65"/>
  <c r="X266" i="65"/>
  <c r="W266" i="65"/>
  <c r="V266" i="65"/>
  <c r="U266" i="65"/>
  <c r="T266" i="65"/>
  <c r="S266" i="65"/>
  <c r="R266" i="65"/>
  <c r="Q266" i="65"/>
  <c r="P266" i="65"/>
  <c r="O266" i="65"/>
  <c r="D266" i="65"/>
  <c r="C266" i="65"/>
  <c r="A266" i="65"/>
  <c r="Z265" i="65"/>
  <c r="Y265" i="65"/>
  <c r="X265" i="65"/>
  <c r="W265" i="65"/>
  <c r="V265" i="65"/>
  <c r="U265" i="65"/>
  <c r="T265" i="65"/>
  <c r="S265" i="65"/>
  <c r="R265" i="65"/>
  <c r="Q265" i="65"/>
  <c r="P265" i="65"/>
  <c r="O265" i="65"/>
  <c r="D265" i="65"/>
  <c r="C265" i="65"/>
  <c r="A265" i="65"/>
  <c r="Z264" i="65"/>
  <c r="Y264" i="65"/>
  <c r="X264" i="65"/>
  <c r="W264" i="65"/>
  <c r="V264" i="65"/>
  <c r="U264" i="65"/>
  <c r="T264" i="65"/>
  <c r="S264" i="65"/>
  <c r="R264" i="65"/>
  <c r="Q264" i="65"/>
  <c r="P264" i="65"/>
  <c r="O264" i="65"/>
  <c r="D264" i="65"/>
  <c r="C264" i="65"/>
  <c r="A264" i="65"/>
  <c r="D263" i="65"/>
  <c r="C263" i="65"/>
  <c r="A263" i="65"/>
  <c r="D262" i="65"/>
  <c r="C262" i="65"/>
  <c r="A262" i="65"/>
  <c r="D261" i="65"/>
  <c r="C261" i="65"/>
  <c r="A261" i="65"/>
  <c r="D260" i="65"/>
  <c r="C260" i="65"/>
  <c r="A260" i="65"/>
  <c r="A256" i="65"/>
  <c r="Z255" i="65"/>
  <c r="Y255" i="65"/>
  <c r="X255" i="65"/>
  <c r="W255" i="65"/>
  <c r="V255" i="65"/>
  <c r="U255" i="65"/>
  <c r="T255" i="65"/>
  <c r="S255" i="65"/>
  <c r="R255" i="65"/>
  <c r="Q255" i="65"/>
  <c r="P255" i="65"/>
  <c r="O255" i="65"/>
  <c r="M255" i="65"/>
  <c r="L255" i="65"/>
  <c r="N254" i="65"/>
  <c r="N253" i="65"/>
  <c r="N255" i="65"/>
  <c r="N252" i="65"/>
  <c r="N251" i="65"/>
  <c r="A249" i="65"/>
  <c r="Z248" i="65"/>
  <c r="Y248" i="65"/>
  <c r="X248" i="65"/>
  <c r="W248" i="65"/>
  <c r="V248" i="65"/>
  <c r="U248" i="65"/>
  <c r="T248" i="65"/>
  <c r="S248" i="65"/>
  <c r="R248" i="65"/>
  <c r="Q248" i="65"/>
  <c r="P248" i="65"/>
  <c r="O248" i="65"/>
  <c r="M248" i="65"/>
  <c r="L248" i="65"/>
  <c r="N247" i="65"/>
  <c r="N246" i="65"/>
  <c r="N248" i="65"/>
  <c r="N245" i="65"/>
  <c r="N244" i="65"/>
  <c r="A242" i="65"/>
  <c r="Z241" i="65"/>
  <c r="Y241" i="65"/>
  <c r="X241" i="65"/>
  <c r="W241" i="65"/>
  <c r="V241" i="65"/>
  <c r="U241" i="65"/>
  <c r="T241" i="65"/>
  <c r="S241" i="65"/>
  <c r="R241" i="65"/>
  <c r="Q241" i="65"/>
  <c r="P241" i="65"/>
  <c r="O241" i="65"/>
  <c r="M241" i="65"/>
  <c r="L241" i="65"/>
  <c r="N240" i="65"/>
  <c r="N239" i="65"/>
  <c r="N241" i="65"/>
  <c r="N238" i="65"/>
  <c r="N237" i="65"/>
  <c r="A235" i="65"/>
  <c r="Z234" i="65"/>
  <c r="Y234" i="65"/>
  <c r="X234" i="65"/>
  <c r="W234" i="65"/>
  <c r="V234" i="65"/>
  <c r="U234" i="65"/>
  <c r="T234" i="65"/>
  <c r="S234" i="65"/>
  <c r="R234" i="65"/>
  <c r="Q234" i="65"/>
  <c r="P234" i="65"/>
  <c r="O234" i="65"/>
  <c r="M234" i="65"/>
  <c r="L234" i="65"/>
  <c r="N233" i="65"/>
  <c r="N232" i="65"/>
  <c r="N234" i="65"/>
  <c r="N231" i="65"/>
  <c r="N230" i="65"/>
  <c r="A228" i="65"/>
  <c r="Z227" i="65"/>
  <c r="Y227" i="65"/>
  <c r="X227" i="65"/>
  <c r="W227" i="65"/>
  <c r="V227" i="65"/>
  <c r="U227" i="65"/>
  <c r="T227" i="65"/>
  <c r="S227" i="65"/>
  <c r="R227" i="65"/>
  <c r="Q227" i="65"/>
  <c r="P227" i="65"/>
  <c r="O227" i="65"/>
  <c r="M227" i="65"/>
  <c r="L227" i="65"/>
  <c r="N226" i="65"/>
  <c r="N225" i="65"/>
  <c r="N227" i="65"/>
  <c r="N224" i="65"/>
  <c r="N223" i="65"/>
  <c r="A221" i="65"/>
  <c r="Z220" i="65"/>
  <c r="Y220" i="65"/>
  <c r="X220" i="65"/>
  <c r="W220" i="65"/>
  <c r="V220" i="65"/>
  <c r="U220" i="65"/>
  <c r="T220" i="65"/>
  <c r="S220" i="65"/>
  <c r="R220" i="65"/>
  <c r="Q220" i="65"/>
  <c r="P220" i="65"/>
  <c r="O220" i="65"/>
  <c r="N220" i="65"/>
  <c r="N219" i="65"/>
  <c r="A217" i="65"/>
  <c r="Z216" i="65"/>
  <c r="W216" i="65"/>
  <c r="V216" i="65"/>
  <c r="S216" i="65"/>
  <c r="R216" i="65"/>
  <c r="M216" i="65"/>
  <c r="Z215" i="65"/>
  <c r="Y215" i="65"/>
  <c r="Y216" i="65"/>
  <c r="Y27" i="65"/>
  <c r="X215" i="65"/>
  <c r="X216" i="65"/>
  <c r="X27" i="65"/>
  <c r="W215" i="65"/>
  <c r="V215" i="65"/>
  <c r="U215" i="65"/>
  <c r="U216" i="65"/>
  <c r="U27" i="65"/>
  <c r="T215" i="65"/>
  <c r="T216" i="65"/>
  <c r="T27" i="65"/>
  <c r="S215" i="65"/>
  <c r="R215" i="65"/>
  <c r="Q215" i="65"/>
  <c r="Q216" i="65"/>
  <c r="Q27" i="65"/>
  <c r="P215" i="65"/>
  <c r="P216" i="65"/>
  <c r="P27" i="65"/>
  <c r="O214" i="65"/>
  <c r="N214" i="65"/>
  <c r="N213" i="65"/>
  <c r="N212" i="65"/>
  <c r="A210" i="65"/>
  <c r="Z209" i="65"/>
  <c r="W209" i="65"/>
  <c r="V209" i="65"/>
  <c r="S209" i="65"/>
  <c r="R209" i="65"/>
  <c r="R26" i="65"/>
  <c r="O209" i="65"/>
  <c r="M209" i="65"/>
  <c r="Z208" i="65"/>
  <c r="Y208" i="65"/>
  <c r="Y209" i="65"/>
  <c r="Y26" i="65"/>
  <c r="X208" i="65"/>
  <c r="X209" i="65"/>
  <c r="X26" i="65"/>
  <c r="W208" i="65"/>
  <c r="V208" i="65"/>
  <c r="U208" i="65"/>
  <c r="U209" i="65"/>
  <c r="U26" i="65"/>
  <c r="T208" i="65"/>
  <c r="T209" i="65"/>
  <c r="T26" i="65"/>
  <c r="S208" i="65"/>
  <c r="R208" i="65"/>
  <c r="Q208" i="65"/>
  <c r="Q209" i="65"/>
  <c r="Q26" i="65"/>
  <c r="P208" i="65"/>
  <c r="P209" i="65"/>
  <c r="P26" i="65"/>
  <c r="O208" i="65"/>
  <c r="N207" i="65"/>
  <c r="N206" i="65"/>
  <c r="N205" i="65"/>
  <c r="N204" i="65"/>
  <c r="N203" i="65"/>
  <c r="A201" i="65"/>
  <c r="X200" i="65"/>
  <c r="W200" i="65"/>
  <c r="T200" i="65"/>
  <c r="S200" i="65"/>
  <c r="P200" i="65"/>
  <c r="O200" i="65"/>
  <c r="M200" i="65"/>
  <c r="Z199" i="65"/>
  <c r="Z200" i="65"/>
  <c r="Z25" i="65"/>
  <c r="Y199" i="65"/>
  <c r="Y200" i="65"/>
  <c r="Y25" i="65"/>
  <c r="X199" i="65"/>
  <c r="W199" i="65"/>
  <c r="V199" i="65"/>
  <c r="V200" i="65"/>
  <c r="V25" i="65"/>
  <c r="U199" i="65"/>
  <c r="U200" i="65"/>
  <c r="U25" i="65"/>
  <c r="T199" i="65"/>
  <c r="S199" i="65"/>
  <c r="R199" i="65"/>
  <c r="R200" i="65"/>
  <c r="R25" i="65"/>
  <c r="Q199" i="65"/>
  <c r="Q200" i="65"/>
  <c r="Q25" i="65"/>
  <c r="P199" i="65"/>
  <c r="O199" i="65"/>
  <c r="N198" i="65"/>
  <c r="N197" i="65"/>
  <c r="N196" i="65"/>
  <c r="N195" i="65"/>
  <c r="N194" i="65"/>
  <c r="N193" i="65"/>
  <c r="N192" i="65"/>
  <c r="N191" i="65"/>
  <c r="N190" i="65"/>
  <c r="N189" i="65"/>
  <c r="N188" i="65"/>
  <c r="N187" i="65"/>
  <c r="N186" i="65"/>
  <c r="N185" i="65"/>
  <c r="N184" i="65"/>
  <c r="N183" i="65"/>
  <c r="N182" i="65"/>
  <c r="N181" i="65"/>
  <c r="A179" i="65"/>
  <c r="Z178" i="65"/>
  <c r="V178" i="65"/>
  <c r="R178" i="65"/>
  <c r="M178" i="65"/>
  <c r="Z177" i="65"/>
  <c r="Y177" i="65"/>
  <c r="Y178" i="65"/>
  <c r="Y24" i="65"/>
  <c r="X177" i="65"/>
  <c r="X178" i="65"/>
  <c r="X24" i="65"/>
  <c r="W177" i="65"/>
  <c r="W178" i="65"/>
  <c r="W24" i="65"/>
  <c r="V177" i="65"/>
  <c r="U177" i="65"/>
  <c r="U178" i="65"/>
  <c r="U24" i="65"/>
  <c r="T177" i="65"/>
  <c r="T178" i="65"/>
  <c r="T24" i="65"/>
  <c r="S177" i="65"/>
  <c r="S178" i="65"/>
  <c r="S24" i="65"/>
  <c r="R177" i="65"/>
  <c r="Q177" i="65"/>
  <c r="Q178" i="65"/>
  <c r="Q24" i="65"/>
  <c r="P177" i="65"/>
  <c r="P178" i="65"/>
  <c r="P24" i="65"/>
  <c r="O177" i="65"/>
  <c r="N177" i="65"/>
  <c r="N176" i="65"/>
  <c r="N175" i="65"/>
  <c r="N178" i="65"/>
  <c r="A173" i="65"/>
  <c r="Z172" i="65"/>
  <c r="Y172" i="65"/>
  <c r="X172" i="65"/>
  <c r="W172" i="65"/>
  <c r="V172" i="65"/>
  <c r="U172" i="65"/>
  <c r="T172" i="65"/>
  <c r="S172" i="65"/>
  <c r="R172" i="65"/>
  <c r="Q172" i="65"/>
  <c r="P172" i="65"/>
  <c r="O172" i="65"/>
  <c r="M172" i="65"/>
  <c r="N171" i="65"/>
  <c r="N170" i="65"/>
  <c r="N169" i="65"/>
  <c r="N168" i="65"/>
  <c r="N167" i="65"/>
  <c r="N166" i="65"/>
  <c r="N165" i="65"/>
  <c r="N172" i="65"/>
  <c r="A163" i="65"/>
  <c r="Z162" i="65"/>
  <c r="Y162" i="65"/>
  <c r="X162" i="65"/>
  <c r="W162" i="65"/>
  <c r="V162" i="65"/>
  <c r="U162" i="65"/>
  <c r="T162" i="65"/>
  <c r="S162" i="65"/>
  <c r="R162" i="65"/>
  <c r="Q162" i="65"/>
  <c r="P162" i="65"/>
  <c r="O162" i="65"/>
  <c r="N162" i="65"/>
  <c r="M162" i="65"/>
  <c r="N161" i="65"/>
  <c r="A159" i="65"/>
  <c r="Z158" i="65"/>
  <c r="Y158" i="65"/>
  <c r="X158" i="65"/>
  <c r="W158" i="65"/>
  <c r="V158" i="65"/>
  <c r="U158" i="65"/>
  <c r="T158" i="65"/>
  <c r="S158" i="65"/>
  <c r="R158" i="65"/>
  <c r="Q158" i="65"/>
  <c r="P158" i="65"/>
  <c r="O158" i="65"/>
  <c r="M158" i="65"/>
  <c r="N157" i="65"/>
  <c r="N156" i="65"/>
  <c r="N155" i="65"/>
  <c r="N153" i="65"/>
  <c r="N158" i="65"/>
  <c r="A151" i="65"/>
  <c r="M150" i="65"/>
  <c r="M220" i="65"/>
  <c r="Z149" i="65"/>
  <c r="Z150" i="65"/>
  <c r="Z20" i="65"/>
  <c r="Y149" i="65"/>
  <c r="Y150" i="65"/>
  <c r="Y20" i="65"/>
  <c r="X149" i="65"/>
  <c r="X150" i="65"/>
  <c r="X20" i="65"/>
  <c r="W149" i="65"/>
  <c r="W150" i="65"/>
  <c r="W20" i="65"/>
  <c r="V149" i="65"/>
  <c r="V150" i="65"/>
  <c r="V20" i="65"/>
  <c r="U149" i="65"/>
  <c r="U150" i="65"/>
  <c r="U20" i="65"/>
  <c r="T149" i="65"/>
  <c r="T150" i="65"/>
  <c r="T20" i="65"/>
  <c r="S149" i="65"/>
  <c r="S150" i="65"/>
  <c r="S20" i="65"/>
  <c r="R149" i="65"/>
  <c r="R150" i="65"/>
  <c r="R20" i="65"/>
  <c r="Q149" i="65"/>
  <c r="Q150" i="65"/>
  <c r="Q20" i="65"/>
  <c r="Q262" i="65"/>
  <c r="P149" i="65"/>
  <c r="P150" i="65"/>
  <c r="P20" i="65"/>
  <c r="O149" i="65"/>
  <c r="O150" i="65"/>
  <c r="O20" i="65"/>
  <c r="N149" i="65"/>
  <c r="N148" i="65"/>
  <c r="N147" i="65"/>
  <c r="N146" i="65"/>
  <c r="N145" i="65"/>
  <c r="N144" i="65"/>
  <c r="N143" i="65"/>
  <c r="N142" i="65"/>
  <c r="N141" i="65"/>
  <c r="N150" i="65"/>
  <c r="A139" i="65"/>
  <c r="M138" i="65"/>
  <c r="Y137" i="65"/>
  <c r="Y138" i="65"/>
  <c r="Y19" i="65"/>
  <c r="X137" i="65"/>
  <c r="X138" i="65"/>
  <c r="X19" i="65"/>
  <c r="V137" i="65"/>
  <c r="V138" i="65"/>
  <c r="V19" i="65"/>
  <c r="U137" i="65"/>
  <c r="U138" i="65"/>
  <c r="U19" i="65"/>
  <c r="S137" i="65"/>
  <c r="S138" i="65"/>
  <c r="S19" i="65"/>
  <c r="R137" i="65"/>
  <c r="R138" i="65"/>
  <c r="R19" i="65"/>
  <c r="P137" i="65"/>
  <c r="P138" i="65"/>
  <c r="P19" i="65"/>
  <c r="O137" i="65"/>
  <c r="O138" i="65"/>
  <c r="O19" i="65"/>
  <c r="N136" i="65"/>
  <c r="N135" i="65"/>
  <c r="N134" i="65"/>
  <c r="Z133" i="65"/>
  <c r="Z137" i="65"/>
  <c r="W133" i="65"/>
  <c r="T133" i="65"/>
  <c r="Q133" i="65"/>
  <c r="Q137" i="65"/>
  <c r="N133" i="65"/>
  <c r="N132" i="65"/>
  <c r="N131" i="65"/>
  <c r="N130" i="65"/>
  <c r="N129" i="65"/>
  <c r="N128" i="65"/>
  <c r="N127" i="65"/>
  <c r="N126" i="65"/>
  <c r="N125" i="65"/>
  <c r="A123" i="65"/>
  <c r="M122" i="65"/>
  <c r="Z121" i="65"/>
  <c r="Y121" i="65"/>
  <c r="X121" i="65"/>
  <c r="W121" i="65"/>
  <c r="V121" i="65"/>
  <c r="U121" i="65"/>
  <c r="T121" i="65"/>
  <c r="S121" i="65"/>
  <c r="R121" i="65"/>
  <c r="Q121" i="65"/>
  <c r="P121" i="65"/>
  <c r="N121" i="65"/>
  <c r="O121" i="65"/>
  <c r="Z120" i="65"/>
  <c r="Z122" i="65"/>
  <c r="Z18" i="65"/>
  <c r="Y120" i="65"/>
  <c r="X120" i="65"/>
  <c r="W120" i="65"/>
  <c r="W122" i="65"/>
  <c r="W18" i="65"/>
  <c r="V120" i="65"/>
  <c r="U120" i="65"/>
  <c r="T120" i="65"/>
  <c r="T122" i="65"/>
  <c r="T18" i="65"/>
  <c r="S120" i="65"/>
  <c r="R120" i="65"/>
  <c r="Q120" i="65"/>
  <c r="P120" i="65"/>
  <c r="O120" i="65"/>
  <c r="N120" i="65"/>
  <c r="Y119" i="65"/>
  <c r="Y122" i="65"/>
  <c r="Y18" i="65"/>
  <c r="X119" i="65"/>
  <c r="X122" i="65"/>
  <c r="X18" i="65"/>
  <c r="V119" i="65"/>
  <c r="V122" i="65"/>
  <c r="V18" i="65"/>
  <c r="U119" i="65"/>
  <c r="U122" i="65"/>
  <c r="U18" i="65"/>
  <c r="U261" i="65"/>
  <c r="S119" i="65"/>
  <c r="S122" i="65"/>
  <c r="S18" i="65"/>
  <c r="R119" i="65"/>
  <c r="R122" i="65"/>
  <c r="R18" i="65"/>
  <c r="Q119" i="65"/>
  <c r="P119" i="65"/>
  <c r="P122" i="65"/>
  <c r="P18" i="65"/>
  <c r="P261" i="65"/>
  <c r="O119" i="65"/>
  <c r="O122" i="65"/>
  <c r="O18" i="65"/>
  <c r="Q118" i="65"/>
  <c r="Q122" i="65"/>
  <c r="Q18" i="65"/>
  <c r="N118" i="65"/>
  <c r="A116" i="65"/>
  <c r="M115" i="65"/>
  <c r="L115" i="65"/>
  <c r="Z114" i="65"/>
  <c r="Y114" i="65"/>
  <c r="X114" i="65"/>
  <c r="W114" i="65"/>
  <c r="V114" i="65"/>
  <c r="U114" i="65"/>
  <c r="T114" i="65"/>
  <c r="S114" i="65"/>
  <c r="R114" i="65"/>
  <c r="Q114" i="65"/>
  <c r="P114" i="65"/>
  <c r="O114" i="65"/>
  <c r="N114" i="65"/>
  <c r="Z113" i="65"/>
  <c r="Y113" i="65"/>
  <c r="X113" i="65"/>
  <c r="W113" i="65"/>
  <c r="V113" i="65"/>
  <c r="U113" i="65"/>
  <c r="T113" i="65"/>
  <c r="S113" i="65"/>
  <c r="R113" i="65"/>
  <c r="Q113" i="65"/>
  <c r="P113" i="65"/>
  <c r="O113" i="65"/>
  <c r="N113" i="65"/>
  <c r="Z112" i="65"/>
  <c r="Z115" i="65"/>
  <c r="Z17" i="65"/>
  <c r="Y112" i="65"/>
  <c r="Y115" i="65"/>
  <c r="Y17" i="65"/>
  <c r="X112" i="65"/>
  <c r="X115" i="65"/>
  <c r="X17" i="65"/>
  <c r="W112" i="65"/>
  <c r="W115" i="65"/>
  <c r="W17" i="65"/>
  <c r="V112" i="65"/>
  <c r="V115" i="65"/>
  <c r="V17" i="65"/>
  <c r="U112" i="65"/>
  <c r="U115" i="65"/>
  <c r="U17" i="65"/>
  <c r="T112" i="65"/>
  <c r="T115" i="65"/>
  <c r="T17" i="65"/>
  <c r="S112" i="65"/>
  <c r="S115" i="65"/>
  <c r="S17" i="65"/>
  <c r="R112" i="65"/>
  <c r="R115" i="65"/>
  <c r="R17" i="65"/>
  <c r="Q112" i="65"/>
  <c r="P112" i="65"/>
  <c r="P115" i="65"/>
  <c r="P17" i="65"/>
  <c r="O112" i="65"/>
  <c r="N112" i="65"/>
  <c r="Q111" i="65"/>
  <c r="Q115" i="65"/>
  <c r="Q17" i="65"/>
  <c r="N111" i="65"/>
  <c r="N115" i="65"/>
  <c r="A109" i="65"/>
  <c r="A101" i="65"/>
  <c r="A95" i="65"/>
  <c r="A89" i="65"/>
  <c r="A83" i="65"/>
  <c r="A77" i="65"/>
  <c r="A71" i="65"/>
  <c r="A43" i="65"/>
  <c r="A40" i="65"/>
  <c r="Z28" i="65"/>
  <c r="Z268" i="65"/>
  <c r="Y28" i="65"/>
  <c r="Y268" i="65"/>
  <c r="X28" i="65"/>
  <c r="X268" i="65"/>
  <c r="W28" i="65"/>
  <c r="W268" i="65"/>
  <c r="V28" i="65"/>
  <c r="V268" i="65"/>
  <c r="U28" i="65"/>
  <c r="U268" i="65"/>
  <c r="T28" i="65"/>
  <c r="T268" i="65"/>
  <c r="S28" i="65"/>
  <c r="S268" i="65"/>
  <c r="R28" i="65"/>
  <c r="R268" i="65"/>
  <c r="Q28" i="65"/>
  <c r="Q268" i="65"/>
  <c r="P28" i="65"/>
  <c r="P268" i="65"/>
  <c r="O28" i="65"/>
  <c r="O268" i="65"/>
  <c r="N28" i="65"/>
  <c r="M28" i="65"/>
  <c r="Z27" i="65"/>
  <c r="W27" i="65"/>
  <c r="V27" i="65"/>
  <c r="S27" i="65"/>
  <c r="R27" i="65"/>
  <c r="M27" i="65"/>
  <c r="Z26" i="65"/>
  <c r="W26" i="65"/>
  <c r="V26" i="65"/>
  <c r="S26" i="65"/>
  <c r="O26" i="65"/>
  <c r="M26" i="65"/>
  <c r="X25" i="65"/>
  <c r="W25" i="65"/>
  <c r="T25" i="65"/>
  <c r="AF57" i="60"/>
  <c r="S25" i="65"/>
  <c r="P25" i="65"/>
  <c r="O25" i="65"/>
  <c r="M25" i="65"/>
  <c r="Z24" i="65"/>
  <c r="V24" i="65"/>
  <c r="R24" i="65"/>
  <c r="M24" i="65"/>
  <c r="Z23" i="65"/>
  <c r="Y23" i="65"/>
  <c r="X23" i="65"/>
  <c r="W23" i="65"/>
  <c r="V23" i="65"/>
  <c r="U23" i="65"/>
  <c r="T23" i="65"/>
  <c r="S23" i="65"/>
  <c r="R23" i="65"/>
  <c r="Q23" i="65"/>
  <c r="P23" i="65"/>
  <c r="N23" i="65"/>
  <c r="M20" i="64"/>
  <c r="O23" i="65"/>
  <c r="M23" i="65"/>
  <c r="Z22" i="65"/>
  <c r="Y22" i="65"/>
  <c r="X22" i="65"/>
  <c r="W22" i="65"/>
  <c r="V22" i="65"/>
  <c r="U22" i="65"/>
  <c r="T22" i="65"/>
  <c r="S22" i="65"/>
  <c r="R22" i="65"/>
  <c r="Q22" i="65"/>
  <c r="P22" i="65"/>
  <c r="O22" i="65"/>
  <c r="N22" i="65"/>
  <c r="Z21" i="65"/>
  <c r="Y21" i="65"/>
  <c r="X21" i="65"/>
  <c r="W21" i="65"/>
  <c r="V21" i="65"/>
  <c r="U21" i="65"/>
  <c r="T21" i="65"/>
  <c r="S21" i="65"/>
  <c r="R21" i="65"/>
  <c r="Q21" i="65"/>
  <c r="P21" i="65"/>
  <c r="O21" i="65"/>
  <c r="N21" i="65"/>
  <c r="M18" i="64"/>
  <c r="M21" i="65"/>
  <c r="M20" i="65"/>
  <c r="M19" i="65"/>
  <c r="M18" i="65"/>
  <c r="M17" i="65"/>
  <c r="M30" i="65"/>
  <c r="D10" i="65"/>
  <c r="B10" i="65"/>
  <c r="B7" i="64"/>
  <c r="W26" i="64"/>
  <c r="S26" i="64"/>
  <c r="O26" i="64"/>
  <c r="L26" i="64"/>
  <c r="M25" i="64"/>
  <c r="L25" i="64"/>
  <c r="E25" i="64"/>
  <c r="D25" i="64"/>
  <c r="C25" i="64"/>
  <c r="B25" i="64"/>
  <c r="A25" i="64"/>
  <c r="L24" i="64"/>
  <c r="E24" i="64"/>
  <c r="D24" i="64"/>
  <c r="C24" i="64"/>
  <c r="B24" i="64"/>
  <c r="A24" i="64"/>
  <c r="L23" i="64"/>
  <c r="E23" i="64"/>
  <c r="D23" i="64"/>
  <c r="C23" i="64"/>
  <c r="B23" i="64"/>
  <c r="A23" i="64"/>
  <c r="L22" i="64"/>
  <c r="E22" i="64"/>
  <c r="D22" i="64"/>
  <c r="C22" i="64"/>
  <c r="B22" i="64"/>
  <c r="A22" i="64"/>
  <c r="L21" i="64"/>
  <c r="E21" i="64"/>
  <c r="D21" i="64"/>
  <c r="C21" i="64"/>
  <c r="B21" i="64"/>
  <c r="A21" i="64"/>
  <c r="L20" i="64"/>
  <c r="E20" i="64"/>
  <c r="D20" i="64"/>
  <c r="C20" i="64"/>
  <c r="B20" i="64"/>
  <c r="A20" i="64"/>
  <c r="Y19" i="64"/>
  <c r="X19" i="64"/>
  <c r="W19" i="64"/>
  <c r="V19" i="64"/>
  <c r="U19" i="64"/>
  <c r="T19" i="64"/>
  <c r="S19" i="64"/>
  <c r="R19" i="64"/>
  <c r="Q19" i="64"/>
  <c r="P19" i="64"/>
  <c r="O19" i="64"/>
  <c r="N19" i="64"/>
  <c r="M19" i="64"/>
  <c r="L19" i="64"/>
  <c r="E19" i="64"/>
  <c r="D19" i="64"/>
  <c r="C19" i="64"/>
  <c r="B19" i="64"/>
  <c r="A19" i="64"/>
  <c r="Y18" i="64"/>
  <c r="X18" i="64"/>
  <c r="W18" i="64"/>
  <c r="V18" i="64"/>
  <c r="U18" i="64"/>
  <c r="T18" i="64"/>
  <c r="S18" i="64"/>
  <c r="R18" i="64"/>
  <c r="Q18" i="64"/>
  <c r="P18" i="64"/>
  <c r="O18" i="64"/>
  <c r="N18" i="64"/>
  <c r="L18" i="64"/>
  <c r="E18" i="64"/>
  <c r="D18" i="64"/>
  <c r="C18" i="64"/>
  <c r="B18" i="64"/>
  <c r="A18" i="64"/>
  <c r="Y17" i="64"/>
  <c r="X17" i="64"/>
  <c r="W17" i="64"/>
  <c r="V17" i="64"/>
  <c r="U17" i="64"/>
  <c r="T17" i="64"/>
  <c r="S17" i="64"/>
  <c r="R17" i="64"/>
  <c r="Q17" i="64"/>
  <c r="P17" i="64"/>
  <c r="O17" i="64"/>
  <c r="N17" i="64"/>
  <c r="L17" i="64"/>
  <c r="E17" i="64"/>
  <c r="D17" i="64"/>
  <c r="C17" i="64"/>
  <c r="B17" i="64"/>
  <c r="A17" i="64"/>
  <c r="Y16" i="64"/>
  <c r="X16" i="64"/>
  <c r="W16" i="64"/>
  <c r="V16" i="64"/>
  <c r="U16" i="64"/>
  <c r="T16" i="64"/>
  <c r="S16" i="64"/>
  <c r="R16" i="64"/>
  <c r="Q16" i="64"/>
  <c r="P16" i="64"/>
  <c r="O16" i="64"/>
  <c r="N16" i="64"/>
  <c r="L16" i="64"/>
  <c r="E16" i="64"/>
  <c r="D16" i="64"/>
  <c r="C16" i="64"/>
  <c r="B16" i="64"/>
  <c r="A16" i="64"/>
  <c r="Y15" i="64"/>
  <c r="X15" i="64"/>
  <c r="W15" i="64"/>
  <c r="V15" i="64"/>
  <c r="U15" i="64"/>
  <c r="T15" i="64"/>
  <c r="S15" i="64"/>
  <c r="R15" i="64"/>
  <c r="Q15" i="64"/>
  <c r="P15" i="64"/>
  <c r="O15" i="64"/>
  <c r="N15" i="64"/>
  <c r="L15" i="64"/>
  <c r="E15" i="64"/>
  <c r="D15" i="64"/>
  <c r="C15" i="64"/>
  <c r="B15" i="64"/>
  <c r="A15" i="64"/>
  <c r="Y14" i="64"/>
  <c r="Y26" i="64"/>
  <c r="X14" i="64"/>
  <c r="X26" i="64"/>
  <c r="W14" i="64"/>
  <c r="V14" i="64"/>
  <c r="V26" i="64"/>
  <c r="U14" i="64"/>
  <c r="U26" i="64"/>
  <c r="T14" i="64"/>
  <c r="T26" i="64"/>
  <c r="S14" i="64"/>
  <c r="R14" i="64"/>
  <c r="R26" i="64"/>
  <c r="Q14" i="64"/>
  <c r="Q26" i="64"/>
  <c r="P14" i="64"/>
  <c r="P26" i="64"/>
  <c r="O14" i="64"/>
  <c r="N14" i="64"/>
  <c r="N26" i="64"/>
  <c r="L14" i="64"/>
  <c r="E14" i="64"/>
  <c r="D14" i="64"/>
  <c r="C14" i="64"/>
  <c r="B14" i="64"/>
  <c r="A14" i="64"/>
  <c r="M9" i="64"/>
  <c r="D7" i="64"/>
  <c r="M6" i="64"/>
  <c r="B5" i="64"/>
  <c r="N272" i="63"/>
  <c r="Z271" i="63"/>
  <c r="Y271" i="63"/>
  <c r="X271" i="63"/>
  <c r="W271" i="63"/>
  <c r="V271" i="63"/>
  <c r="U271" i="63"/>
  <c r="T271" i="63"/>
  <c r="S271" i="63"/>
  <c r="R271" i="63"/>
  <c r="Q271" i="63"/>
  <c r="P271" i="63"/>
  <c r="O271" i="63"/>
  <c r="D271" i="63"/>
  <c r="C271" i="63"/>
  <c r="A271" i="63"/>
  <c r="D270" i="63"/>
  <c r="C270" i="63"/>
  <c r="A270" i="63"/>
  <c r="Z269" i="63"/>
  <c r="Y269" i="63"/>
  <c r="X269" i="63"/>
  <c r="W269" i="63"/>
  <c r="V269" i="63"/>
  <c r="U269" i="63"/>
  <c r="T269" i="63"/>
  <c r="S269" i="63"/>
  <c r="R269" i="63"/>
  <c r="Q269" i="63"/>
  <c r="P269" i="63"/>
  <c r="O269" i="63"/>
  <c r="D269" i="63"/>
  <c r="C269" i="63"/>
  <c r="A269" i="63"/>
  <c r="Z268" i="63"/>
  <c r="Y268" i="63"/>
  <c r="X268" i="63"/>
  <c r="W268" i="63"/>
  <c r="V268" i="63"/>
  <c r="U268" i="63"/>
  <c r="T268" i="63"/>
  <c r="S268" i="63"/>
  <c r="R268" i="63"/>
  <c r="Q268" i="63"/>
  <c r="P268" i="63"/>
  <c r="O268" i="63"/>
  <c r="D268" i="63"/>
  <c r="C268" i="63"/>
  <c r="A268" i="63"/>
  <c r="Z267" i="63"/>
  <c r="Y267" i="63"/>
  <c r="X267" i="63"/>
  <c r="W267" i="63"/>
  <c r="V267" i="63"/>
  <c r="U267" i="63"/>
  <c r="T267" i="63"/>
  <c r="S267" i="63"/>
  <c r="R267" i="63"/>
  <c r="Q267" i="63"/>
  <c r="P267" i="63"/>
  <c r="O267" i="63"/>
  <c r="D267" i="63"/>
  <c r="C267" i="63"/>
  <c r="A267" i="63"/>
  <c r="Z266" i="63"/>
  <c r="Y266" i="63"/>
  <c r="X266" i="63"/>
  <c r="W266" i="63"/>
  <c r="V266" i="63"/>
  <c r="U266" i="63"/>
  <c r="T266" i="63"/>
  <c r="S266" i="63"/>
  <c r="R266" i="63"/>
  <c r="Q266" i="63"/>
  <c r="P266" i="63"/>
  <c r="O266" i="63"/>
  <c r="D266" i="63"/>
  <c r="C266" i="63"/>
  <c r="A266" i="63"/>
  <c r="D265" i="63"/>
  <c r="C265" i="63"/>
  <c r="A265" i="63"/>
  <c r="D264" i="63"/>
  <c r="C264" i="63"/>
  <c r="A264" i="63"/>
  <c r="D263" i="63"/>
  <c r="C263" i="63"/>
  <c r="A263" i="63"/>
  <c r="D262" i="63"/>
  <c r="C262" i="63"/>
  <c r="A262" i="63"/>
  <c r="A258" i="63"/>
  <c r="Z257" i="63"/>
  <c r="Y257" i="63"/>
  <c r="X257" i="63"/>
  <c r="W257" i="63"/>
  <c r="V257" i="63"/>
  <c r="U257" i="63"/>
  <c r="T257" i="63"/>
  <c r="S257" i="63"/>
  <c r="R257" i="63"/>
  <c r="Q257" i="63"/>
  <c r="P257" i="63"/>
  <c r="O257" i="63"/>
  <c r="M257" i="63"/>
  <c r="L257" i="63"/>
  <c r="N256" i="63"/>
  <c r="N255" i="63"/>
  <c r="N257" i="63"/>
  <c r="N254" i="63"/>
  <c r="N253" i="63"/>
  <c r="A251" i="63"/>
  <c r="Z250" i="63"/>
  <c r="Y250" i="63"/>
  <c r="X250" i="63"/>
  <c r="W250" i="63"/>
  <c r="V250" i="63"/>
  <c r="U250" i="63"/>
  <c r="T250" i="63"/>
  <c r="S250" i="63"/>
  <c r="R250" i="63"/>
  <c r="Q250" i="63"/>
  <c r="P250" i="63"/>
  <c r="O250" i="63"/>
  <c r="M250" i="63"/>
  <c r="L250" i="63"/>
  <c r="N249" i="63"/>
  <c r="N248" i="63"/>
  <c r="N247" i="63"/>
  <c r="N246" i="63"/>
  <c r="A244" i="63"/>
  <c r="Z243" i="63"/>
  <c r="Y243" i="63"/>
  <c r="X243" i="63"/>
  <c r="W243" i="63"/>
  <c r="V243" i="63"/>
  <c r="U243" i="63"/>
  <c r="T243" i="63"/>
  <c r="S243" i="63"/>
  <c r="R243" i="63"/>
  <c r="Q243" i="63"/>
  <c r="P243" i="63"/>
  <c r="O243" i="63"/>
  <c r="M243" i="63"/>
  <c r="L243" i="63"/>
  <c r="N242" i="63"/>
  <c r="N241" i="63"/>
  <c r="N243" i="63"/>
  <c r="N240" i="63"/>
  <c r="N239" i="63"/>
  <c r="A237" i="63"/>
  <c r="Z236" i="63"/>
  <c r="Y236" i="63"/>
  <c r="X236" i="63"/>
  <c r="W236" i="63"/>
  <c r="V236" i="63"/>
  <c r="U236" i="63"/>
  <c r="T236" i="63"/>
  <c r="S236" i="63"/>
  <c r="R236" i="63"/>
  <c r="Q236" i="63"/>
  <c r="P236" i="63"/>
  <c r="O236" i="63"/>
  <c r="M236" i="63"/>
  <c r="L236" i="63"/>
  <c r="N235" i="63"/>
  <c r="N234" i="63"/>
  <c r="N233" i="63"/>
  <c r="N232" i="63"/>
  <c r="A230" i="63"/>
  <c r="Z229" i="63"/>
  <c r="Y229" i="63"/>
  <c r="X229" i="63"/>
  <c r="W229" i="63"/>
  <c r="V229" i="63"/>
  <c r="U229" i="63"/>
  <c r="T229" i="63"/>
  <c r="S229" i="63"/>
  <c r="R229" i="63"/>
  <c r="Q229" i="63"/>
  <c r="P229" i="63"/>
  <c r="O229" i="63"/>
  <c r="M229" i="63"/>
  <c r="L229" i="63"/>
  <c r="N228" i="63"/>
  <c r="N227" i="63"/>
  <c r="N229" i="63"/>
  <c r="N226" i="63"/>
  <c r="N225" i="63"/>
  <c r="A223" i="63"/>
  <c r="Z222" i="63"/>
  <c r="Y222" i="63"/>
  <c r="X222" i="63"/>
  <c r="W222" i="63"/>
  <c r="W28" i="63"/>
  <c r="V222" i="63"/>
  <c r="U222" i="63"/>
  <c r="T222" i="63"/>
  <c r="S222" i="63"/>
  <c r="S28" i="63"/>
  <c r="S270" i="63"/>
  <c r="R222" i="63"/>
  <c r="Q222" i="63"/>
  <c r="P222" i="63"/>
  <c r="O222" i="63"/>
  <c r="O28" i="63"/>
  <c r="O270" i="63"/>
  <c r="N222" i="63"/>
  <c r="N221" i="63"/>
  <c r="A219" i="63"/>
  <c r="W218" i="63"/>
  <c r="W27" i="63"/>
  <c r="S218" i="63"/>
  <c r="S27" i="63"/>
  <c r="O218" i="63"/>
  <c r="O27" i="63"/>
  <c r="M218" i="63"/>
  <c r="Z217" i="63"/>
  <c r="Z218" i="63"/>
  <c r="Z27" i="63"/>
  <c r="Y217" i="63"/>
  <c r="Y218" i="63"/>
  <c r="Y27" i="63"/>
  <c r="X217" i="63"/>
  <c r="X218" i="63"/>
  <c r="W217" i="63"/>
  <c r="V217" i="63"/>
  <c r="V218" i="63"/>
  <c r="V27" i="63"/>
  <c r="U217" i="63"/>
  <c r="U218" i="63"/>
  <c r="U27" i="63"/>
  <c r="T217" i="63"/>
  <c r="T218" i="63"/>
  <c r="S217" i="63"/>
  <c r="R217" i="63"/>
  <c r="R218" i="63"/>
  <c r="R27" i="63"/>
  <c r="Q217" i="63"/>
  <c r="Q218" i="63"/>
  <c r="Q27" i="63"/>
  <c r="P217" i="63"/>
  <c r="P218" i="63"/>
  <c r="O217" i="63"/>
  <c r="N217" i="63"/>
  <c r="N216" i="63"/>
  <c r="N215" i="63"/>
  <c r="N214" i="63"/>
  <c r="A212" i="63"/>
  <c r="W211" i="63"/>
  <c r="V211" i="63"/>
  <c r="V26" i="63"/>
  <c r="S211" i="63"/>
  <c r="R211" i="63"/>
  <c r="R26" i="63"/>
  <c r="O211" i="63"/>
  <c r="M211" i="63"/>
  <c r="Y210" i="63"/>
  <c r="Y211" i="63"/>
  <c r="X210" i="63"/>
  <c r="X211" i="63"/>
  <c r="X26" i="63"/>
  <c r="W210" i="63"/>
  <c r="V210" i="63"/>
  <c r="U210" i="63"/>
  <c r="U211" i="63"/>
  <c r="T210" i="63"/>
  <c r="T211" i="63"/>
  <c r="T26" i="63"/>
  <c r="S210" i="63"/>
  <c r="R210" i="63"/>
  <c r="Q210" i="63"/>
  <c r="Q211" i="63"/>
  <c r="P210" i="63"/>
  <c r="O210" i="63"/>
  <c r="N209" i="63"/>
  <c r="N207" i="63"/>
  <c r="N206" i="63"/>
  <c r="N205" i="63"/>
  <c r="A203" i="63"/>
  <c r="Y202" i="63"/>
  <c r="X202" i="63"/>
  <c r="X25" i="63"/>
  <c r="U202" i="63"/>
  <c r="T202" i="63"/>
  <c r="T25" i="63"/>
  <c r="P202" i="63"/>
  <c r="P25" i="63"/>
  <c r="M202" i="63"/>
  <c r="Z201" i="63"/>
  <c r="Z202" i="63"/>
  <c r="Z25" i="63"/>
  <c r="Y201" i="63"/>
  <c r="X201" i="63"/>
  <c r="W201" i="63"/>
  <c r="W202" i="63"/>
  <c r="V201" i="63"/>
  <c r="V202" i="63"/>
  <c r="V25" i="63"/>
  <c r="U201" i="63"/>
  <c r="T201" i="63"/>
  <c r="S201" i="63"/>
  <c r="R201" i="63"/>
  <c r="R202" i="63"/>
  <c r="R25" i="63"/>
  <c r="Q201" i="63"/>
  <c r="Q202" i="63"/>
  <c r="P201" i="63"/>
  <c r="O201" i="63"/>
  <c r="N200" i="63"/>
  <c r="N199" i="63"/>
  <c r="N198" i="63"/>
  <c r="N197" i="63"/>
  <c r="N196" i="63"/>
  <c r="N195" i="63"/>
  <c r="N194" i="63"/>
  <c r="N193" i="63"/>
  <c r="N192" i="63"/>
  <c r="N191" i="63"/>
  <c r="N190" i="63"/>
  <c r="N189" i="63"/>
  <c r="N188" i="63"/>
  <c r="N187" i="63"/>
  <c r="N186" i="63"/>
  <c r="N185" i="63"/>
  <c r="N184" i="63"/>
  <c r="N183" i="63"/>
  <c r="A181" i="63"/>
  <c r="Z180" i="63"/>
  <c r="Z24" i="63"/>
  <c r="W180" i="63"/>
  <c r="V180" i="63"/>
  <c r="V24" i="63"/>
  <c r="S180" i="63"/>
  <c r="R180" i="63"/>
  <c r="R24" i="63"/>
  <c r="O180" i="63"/>
  <c r="M180" i="63"/>
  <c r="Z179" i="63"/>
  <c r="Y179" i="63"/>
  <c r="Y180" i="63"/>
  <c r="X179" i="63"/>
  <c r="X180" i="63"/>
  <c r="X24" i="63"/>
  <c r="W179" i="63"/>
  <c r="V179" i="63"/>
  <c r="U179" i="63"/>
  <c r="U180" i="63"/>
  <c r="T179" i="63"/>
  <c r="T180" i="63"/>
  <c r="T24" i="63"/>
  <c r="S179" i="63"/>
  <c r="R179" i="63"/>
  <c r="Q179" i="63"/>
  <c r="Q180" i="63"/>
  <c r="P179" i="63"/>
  <c r="O179" i="63"/>
  <c r="N177" i="63"/>
  <c r="A175" i="63"/>
  <c r="Z174" i="63"/>
  <c r="Y174" i="63"/>
  <c r="X174" i="63"/>
  <c r="W174" i="63"/>
  <c r="V174" i="63"/>
  <c r="U174" i="63"/>
  <c r="T174" i="63"/>
  <c r="S174" i="63"/>
  <c r="R174" i="63"/>
  <c r="Q174" i="63"/>
  <c r="P174" i="63"/>
  <c r="O174" i="63"/>
  <c r="M174" i="63"/>
  <c r="N173" i="63"/>
  <c r="N172" i="63"/>
  <c r="N171" i="63"/>
  <c r="N170" i="63"/>
  <c r="N169" i="63"/>
  <c r="N168" i="63"/>
  <c r="N167" i="63"/>
  <c r="A165" i="63"/>
  <c r="Z164" i="63"/>
  <c r="Y164" i="63"/>
  <c r="Y22" i="63"/>
  <c r="X164" i="63"/>
  <c r="W164" i="63"/>
  <c r="V164" i="63"/>
  <c r="U164" i="63"/>
  <c r="U22" i="63"/>
  <c r="T164" i="63"/>
  <c r="S164" i="63"/>
  <c r="R164" i="63"/>
  <c r="Q164" i="63"/>
  <c r="Q22" i="63"/>
  <c r="P164" i="63"/>
  <c r="O164" i="63"/>
  <c r="N164" i="63"/>
  <c r="M164" i="63"/>
  <c r="N163" i="63"/>
  <c r="A161" i="63"/>
  <c r="Z160" i="63"/>
  <c r="Y160" i="63"/>
  <c r="Y21" i="63"/>
  <c r="X160" i="63"/>
  <c r="W160" i="63"/>
  <c r="V160" i="63"/>
  <c r="U160" i="63"/>
  <c r="U21" i="63"/>
  <c r="T160" i="63"/>
  <c r="S160" i="63"/>
  <c r="R160" i="63"/>
  <c r="Q160" i="63"/>
  <c r="Q21" i="63"/>
  <c r="P160" i="63"/>
  <c r="O160" i="63"/>
  <c r="M160" i="63"/>
  <c r="N159" i="63"/>
  <c r="N158" i="63"/>
  <c r="N157" i="63"/>
  <c r="N155" i="63"/>
  <c r="N160" i="63"/>
  <c r="A153" i="63"/>
  <c r="X152" i="63"/>
  <c r="T152" i="63"/>
  <c r="P152" i="63"/>
  <c r="M152" i="63"/>
  <c r="M222" i="63"/>
  <c r="Z151" i="63"/>
  <c r="Z152" i="63"/>
  <c r="Y151" i="63"/>
  <c r="Y152" i="63"/>
  <c r="Y20" i="63"/>
  <c r="X151" i="63"/>
  <c r="W151" i="63"/>
  <c r="W152" i="63"/>
  <c r="W20" i="63"/>
  <c r="V151" i="63"/>
  <c r="V152" i="63"/>
  <c r="U151" i="63"/>
  <c r="U152" i="63"/>
  <c r="U20" i="63"/>
  <c r="U264" i="63"/>
  <c r="T151" i="63"/>
  <c r="S151" i="63"/>
  <c r="S152" i="63"/>
  <c r="S20" i="63"/>
  <c r="R151" i="63"/>
  <c r="R152" i="63"/>
  <c r="Q151" i="63"/>
  <c r="Q152" i="63"/>
  <c r="Q20" i="63"/>
  <c r="Q264" i="63"/>
  <c r="P151" i="63"/>
  <c r="O151" i="63"/>
  <c r="O152" i="63"/>
  <c r="O20" i="63"/>
  <c r="N20" i="63"/>
  <c r="M17" i="62"/>
  <c r="N151" i="63"/>
  <c r="N150" i="63"/>
  <c r="N149" i="63"/>
  <c r="N148" i="63"/>
  <c r="N147" i="63"/>
  <c r="N146" i="63"/>
  <c r="N145" i="63"/>
  <c r="N144" i="63"/>
  <c r="N143" i="63"/>
  <c r="N142" i="63"/>
  <c r="N141" i="63"/>
  <c r="N140" i="63"/>
  <c r="A138" i="63"/>
  <c r="W137" i="63"/>
  <c r="W19" i="63"/>
  <c r="S137" i="63"/>
  <c r="S19" i="63"/>
  <c r="O137" i="63"/>
  <c r="O19" i="63"/>
  <c r="M137" i="63"/>
  <c r="Y136" i="63"/>
  <c r="Y137" i="63"/>
  <c r="Y19" i="63"/>
  <c r="X136" i="63"/>
  <c r="X137" i="63"/>
  <c r="V136" i="63"/>
  <c r="V137" i="63"/>
  <c r="V19" i="63"/>
  <c r="U136" i="63"/>
  <c r="U137" i="63"/>
  <c r="U19" i="63"/>
  <c r="S136" i="63"/>
  <c r="R136" i="63"/>
  <c r="R137" i="63"/>
  <c r="Q136" i="63"/>
  <c r="P136" i="63"/>
  <c r="P137" i="63"/>
  <c r="O136" i="63"/>
  <c r="N135" i="63"/>
  <c r="N134" i="63"/>
  <c r="N133" i="63"/>
  <c r="Z132" i="63"/>
  <c r="W132" i="63"/>
  <c r="W136" i="63"/>
  <c r="T132" i="63"/>
  <c r="T136" i="63"/>
  <c r="Q132" i="63"/>
  <c r="N131" i="63"/>
  <c r="N130" i="63"/>
  <c r="N129" i="63"/>
  <c r="N128" i="63"/>
  <c r="N127" i="63"/>
  <c r="N126" i="63"/>
  <c r="N125" i="63"/>
  <c r="A123" i="63"/>
  <c r="Z122" i="63"/>
  <c r="V122" i="63"/>
  <c r="R122" i="63"/>
  <c r="R18" i="63"/>
  <c r="M122" i="63"/>
  <c r="Z121" i="63"/>
  <c r="Y121" i="63"/>
  <c r="X121" i="63"/>
  <c r="X122" i="63"/>
  <c r="W121" i="63"/>
  <c r="V121" i="63"/>
  <c r="U121" i="63"/>
  <c r="T121" i="63"/>
  <c r="T122" i="63"/>
  <c r="S121" i="63"/>
  <c r="R121" i="63"/>
  <c r="Q121" i="63"/>
  <c r="P121" i="63"/>
  <c r="O121" i="63"/>
  <c r="Z120" i="63"/>
  <c r="Y120" i="63"/>
  <c r="X120" i="63"/>
  <c r="W120" i="63"/>
  <c r="W122" i="63"/>
  <c r="W18" i="63"/>
  <c r="V120" i="63"/>
  <c r="U120" i="63"/>
  <c r="T120" i="63"/>
  <c r="S120" i="63"/>
  <c r="R120" i="63"/>
  <c r="Q120" i="63"/>
  <c r="P120" i="63"/>
  <c r="O120" i="63"/>
  <c r="Y119" i="63"/>
  <c r="X119" i="63"/>
  <c r="V119" i="63"/>
  <c r="U119" i="63"/>
  <c r="S119" i="63"/>
  <c r="S122" i="63"/>
  <c r="S18" i="63"/>
  <c r="R119" i="63"/>
  <c r="Q119" i="63"/>
  <c r="P119" i="63"/>
  <c r="O119" i="63"/>
  <c r="Q118" i="63"/>
  <c r="Q122" i="63"/>
  <c r="Q18" i="63"/>
  <c r="A116" i="63"/>
  <c r="W115" i="63"/>
  <c r="W17" i="63"/>
  <c r="O115" i="63"/>
  <c r="M115" i="63"/>
  <c r="L115" i="63"/>
  <c r="Z114" i="63"/>
  <c r="Y114" i="63"/>
  <c r="X114" i="63"/>
  <c r="W114" i="63"/>
  <c r="V114" i="63"/>
  <c r="U114" i="63"/>
  <c r="T114" i="63"/>
  <c r="S114" i="63"/>
  <c r="R114" i="63"/>
  <c r="Q114" i="63"/>
  <c r="P114" i="63"/>
  <c r="O114" i="63"/>
  <c r="N114" i="63"/>
  <c r="Z113" i="63"/>
  <c r="Y113" i="63"/>
  <c r="Y115" i="63"/>
  <c r="Y17" i="63"/>
  <c r="X113" i="63"/>
  <c r="W113" i="63"/>
  <c r="V113" i="63"/>
  <c r="U113" i="63"/>
  <c r="U115" i="63"/>
  <c r="T113" i="63"/>
  <c r="S113" i="63"/>
  <c r="S115" i="63"/>
  <c r="S17" i="63"/>
  <c r="R113" i="63"/>
  <c r="Q113" i="63"/>
  <c r="Q115" i="63"/>
  <c r="P113" i="63"/>
  <c r="O113" i="63"/>
  <c r="N113" i="63"/>
  <c r="Z112" i="63"/>
  <c r="Z115" i="63"/>
  <c r="Z17" i="63"/>
  <c r="Y112" i="63"/>
  <c r="X112" i="63"/>
  <c r="X115" i="63"/>
  <c r="W112" i="63"/>
  <c r="V112" i="63"/>
  <c r="V115" i="63"/>
  <c r="U112" i="63"/>
  <c r="T112" i="63"/>
  <c r="T115" i="63"/>
  <c r="S112" i="63"/>
  <c r="R112" i="63"/>
  <c r="R115" i="63"/>
  <c r="Q112" i="63"/>
  <c r="P112" i="63"/>
  <c r="O112" i="63"/>
  <c r="Q111" i="63"/>
  <c r="N111" i="63"/>
  <c r="A109" i="63"/>
  <c r="A101" i="63"/>
  <c r="A95" i="63"/>
  <c r="A89" i="63"/>
  <c r="A83" i="63"/>
  <c r="A77" i="63"/>
  <c r="A71" i="63"/>
  <c r="A43" i="63"/>
  <c r="A40" i="63"/>
  <c r="Z28" i="63"/>
  <c r="Y28" i="63"/>
  <c r="X28" i="63"/>
  <c r="X270" i="63"/>
  <c r="V28" i="63"/>
  <c r="U28" i="63"/>
  <c r="T28" i="63"/>
  <c r="R28" i="63"/>
  <c r="R270" i="63"/>
  <c r="Q28" i="63"/>
  <c r="P28" i="63"/>
  <c r="M28" i="63"/>
  <c r="X27" i="63"/>
  <c r="T27" i="63"/>
  <c r="P27" i="63"/>
  <c r="Y26" i="63"/>
  <c r="W26" i="63"/>
  <c r="U26" i="63"/>
  <c r="S26" i="63"/>
  <c r="Q26" i="63"/>
  <c r="O26" i="63"/>
  <c r="M26" i="63"/>
  <c r="Y25" i="63"/>
  <c r="W25" i="63"/>
  <c r="U25" i="63"/>
  <c r="Q25" i="63"/>
  <c r="O25" i="63"/>
  <c r="O57" i="60"/>
  <c r="M25" i="63"/>
  <c r="Y24" i="63"/>
  <c r="W24" i="63"/>
  <c r="U24" i="63"/>
  <c r="S24" i="63"/>
  <c r="Q24" i="63"/>
  <c r="O24" i="63"/>
  <c r="M24" i="63"/>
  <c r="Z23" i="63"/>
  <c r="Y23" i="63"/>
  <c r="X23" i="63"/>
  <c r="W23" i="63"/>
  <c r="V23" i="63"/>
  <c r="U23" i="63"/>
  <c r="T23" i="63"/>
  <c r="S23" i="63"/>
  <c r="R23" i="63"/>
  <c r="Q23" i="63"/>
  <c r="P23" i="63"/>
  <c r="O23" i="63"/>
  <c r="N23" i="63"/>
  <c r="M20" i="62"/>
  <c r="M23" i="63"/>
  <c r="Z22" i="63"/>
  <c r="X22" i="63"/>
  <c r="W22" i="63"/>
  <c r="V22" i="63"/>
  <c r="T22" i="63"/>
  <c r="S22" i="63"/>
  <c r="R22" i="63"/>
  <c r="P22" i="63"/>
  <c r="O22" i="63"/>
  <c r="Z21" i="63"/>
  <c r="X21" i="63"/>
  <c r="W21" i="63"/>
  <c r="V21" i="63"/>
  <c r="T21" i="63"/>
  <c r="S21" i="63"/>
  <c r="R21" i="63"/>
  <c r="P21" i="63"/>
  <c r="N21" i="63"/>
  <c r="M18" i="62"/>
  <c r="O21" i="63"/>
  <c r="M21" i="63"/>
  <c r="Z20" i="63"/>
  <c r="X20" i="63"/>
  <c r="V20" i="63"/>
  <c r="T20" i="63"/>
  <c r="T264" i="63"/>
  <c r="R20" i="63"/>
  <c r="P20" i="63"/>
  <c r="M20" i="63"/>
  <c r="X19" i="63"/>
  <c r="R19" i="63"/>
  <c r="P19" i="63"/>
  <c r="M19" i="63"/>
  <c r="Z18" i="63"/>
  <c r="X18" i="63"/>
  <c r="V18" i="63"/>
  <c r="T18" i="63"/>
  <c r="M18" i="63"/>
  <c r="X17" i="63"/>
  <c r="X30" i="63"/>
  <c r="V17" i="63"/>
  <c r="U17" i="63"/>
  <c r="T17" i="63"/>
  <c r="R17" i="63"/>
  <c r="Q17" i="63"/>
  <c r="M17" i="63"/>
  <c r="D10" i="63"/>
  <c r="D7" i="62"/>
  <c r="B10" i="63"/>
  <c r="B7" i="62"/>
  <c r="Y26" i="62"/>
  <c r="U26" i="62"/>
  <c r="Q26" i="62"/>
  <c r="L26" i="62"/>
  <c r="L25" i="62"/>
  <c r="E25" i="62"/>
  <c r="D25" i="62"/>
  <c r="C25" i="62"/>
  <c r="B25" i="62"/>
  <c r="A25" i="62"/>
  <c r="L24" i="62"/>
  <c r="E24" i="62"/>
  <c r="D24" i="62"/>
  <c r="C24" i="62"/>
  <c r="B24" i="62"/>
  <c r="A24" i="62"/>
  <c r="L23" i="62"/>
  <c r="E23" i="62"/>
  <c r="D23" i="62"/>
  <c r="C23" i="62"/>
  <c r="B23" i="62"/>
  <c r="A23" i="62"/>
  <c r="L22" i="62"/>
  <c r="E22" i="62"/>
  <c r="D22" i="62"/>
  <c r="C22" i="62"/>
  <c r="B22" i="62"/>
  <c r="A22" i="62"/>
  <c r="L21" i="62"/>
  <c r="E21" i="62"/>
  <c r="D21" i="62"/>
  <c r="C21" i="62"/>
  <c r="B21" i="62"/>
  <c r="A21" i="62"/>
  <c r="L20" i="62"/>
  <c r="E20" i="62"/>
  <c r="D20" i="62"/>
  <c r="C20" i="62"/>
  <c r="B20" i="62"/>
  <c r="A20" i="62"/>
  <c r="Y19" i="62"/>
  <c r="X19" i="62"/>
  <c r="W19" i="62"/>
  <c r="V19" i="62"/>
  <c r="U19" i="62"/>
  <c r="T19" i="62"/>
  <c r="S19" i="62"/>
  <c r="R19" i="62"/>
  <c r="Q19" i="62"/>
  <c r="P19" i="62"/>
  <c r="O19" i="62"/>
  <c r="N19" i="62"/>
  <c r="L19" i="62"/>
  <c r="E19" i="62"/>
  <c r="D19" i="62"/>
  <c r="C19" i="62"/>
  <c r="B19" i="62"/>
  <c r="A19" i="62"/>
  <c r="Y18" i="62"/>
  <c r="X18" i="62"/>
  <c r="W18" i="62"/>
  <c r="V18" i="62"/>
  <c r="U18" i="62"/>
  <c r="T18" i="62"/>
  <c r="S18" i="62"/>
  <c r="R18" i="62"/>
  <c r="Q18" i="62"/>
  <c r="P18" i="62"/>
  <c r="O18" i="62"/>
  <c r="N18" i="62"/>
  <c r="L18" i="62"/>
  <c r="E18" i="62"/>
  <c r="D18" i="62"/>
  <c r="C18" i="62"/>
  <c r="B18" i="62"/>
  <c r="A18" i="62"/>
  <c r="Y17" i="62"/>
  <c r="X17" i="62"/>
  <c r="W17" i="62"/>
  <c r="V17" i="62"/>
  <c r="U17" i="62"/>
  <c r="T17" i="62"/>
  <c r="S17" i="62"/>
  <c r="R17" i="62"/>
  <c r="Q17" i="62"/>
  <c r="P17" i="62"/>
  <c r="O17" i="62"/>
  <c r="N17" i="62"/>
  <c r="L17" i="62"/>
  <c r="E17" i="62"/>
  <c r="D17" i="62"/>
  <c r="C17" i="62"/>
  <c r="B17" i="62"/>
  <c r="A17" i="62"/>
  <c r="Y16" i="62"/>
  <c r="X16" i="62"/>
  <c r="W16" i="62"/>
  <c r="V16" i="62"/>
  <c r="U16" i="62"/>
  <c r="T16" i="62"/>
  <c r="S16" i="62"/>
  <c r="R16" i="62"/>
  <c r="Q16" i="62"/>
  <c r="P16" i="62"/>
  <c r="O16" i="62"/>
  <c r="N16" i="62"/>
  <c r="L16" i="62"/>
  <c r="E16" i="62"/>
  <c r="D16" i="62"/>
  <c r="C16" i="62"/>
  <c r="B16" i="62"/>
  <c r="A16" i="62"/>
  <c r="Y15" i="62"/>
  <c r="X15" i="62"/>
  <c r="W15" i="62"/>
  <c r="V15" i="62"/>
  <c r="U15" i="62"/>
  <c r="T15" i="62"/>
  <c r="S15" i="62"/>
  <c r="R15" i="62"/>
  <c r="Q15" i="62"/>
  <c r="P15" i="62"/>
  <c r="O15" i="62"/>
  <c r="N15" i="62"/>
  <c r="L15" i="62"/>
  <c r="E15" i="62"/>
  <c r="D15" i="62"/>
  <c r="C15" i="62"/>
  <c r="B15" i="62"/>
  <c r="A15" i="62"/>
  <c r="Y14" i="62"/>
  <c r="X14" i="62"/>
  <c r="X26" i="62"/>
  <c r="W14" i="62"/>
  <c r="W26" i="62"/>
  <c r="V14" i="62"/>
  <c r="V26" i="62"/>
  <c r="U14" i="62"/>
  <c r="T14" i="62"/>
  <c r="T26" i="62"/>
  <c r="S14" i="62"/>
  <c r="S26" i="62"/>
  <c r="R14" i="62"/>
  <c r="R26" i="62"/>
  <c r="Q14" i="62"/>
  <c r="P14" i="62"/>
  <c r="P26" i="62"/>
  <c r="O14" i="62"/>
  <c r="O26" i="62"/>
  <c r="N14" i="62"/>
  <c r="N26" i="62"/>
  <c r="L14" i="62"/>
  <c r="E14" i="62"/>
  <c r="D14" i="62"/>
  <c r="C14" i="62"/>
  <c r="B14" i="62"/>
  <c r="A14" i="62"/>
  <c r="M9" i="62"/>
  <c r="M6" i="62"/>
  <c r="B5" i="62"/>
  <c r="D15" i="59"/>
  <c r="D16" i="59"/>
  <c r="D17" i="59"/>
  <c r="D18" i="59"/>
  <c r="D19" i="59"/>
  <c r="D20" i="59"/>
  <c r="D21" i="59"/>
  <c r="D22" i="59"/>
  <c r="D23" i="59"/>
  <c r="D24" i="59"/>
  <c r="D25" i="59"/>
  <c r="D14" i="59"/>
  <c r="C15" i="59"/>
  <c r="C16" i="59"/>
  <c r="C17" i="59"/>
  <c r="C18" i="59"/>
  <c r="C19" i="59"/>
  <c r="C20" i="59"/>
  <c r="C21" i="59"/>
  <c r="C22" i="59"/>
  <c r="C23" i="59"/>
  <c r="C24" i="59"/>
  <c r="C25" i="59"/>
  <c r="C14" i="59"/>
  <c r="B15" i="59"/>
  <c r="B16" i="59"/>
  <c r="B17" i="59"/>
  <c r="B18" i="59"/>
  <c r="B19" i="59"/>
  <c r="B20" i="59"/>
  <c r="B21" i="59"/>
  <c r="B22" i="59"/>
  <c r="B23" i="59"/>
  <c r="B24" i="59"/>
  <c r="B25" i="59"/>
  <c r="B14" i="59"/>
  <c r="N262" i="61"/>
  <c r="Z261" i="61"/>
  <c r="Y261" i="61"/>
  <c r="X261" i="61"/>
  <c r="W261" i="61"/>
  <c r="V261" i="61"/>
  <c r="U261" i="61"/>
  <c r="T261" i="61"/>
  <c r="S261" i="61"/>
  <c r="R261" i="61"/>
  <c r="Q261" i="61"/>
  <c r="P261" i="61"/>
  <c r="O261" i="61"/>
  <c r="D261" i="61"/>
  <c r="C261" i="61"/>
  <c r="A261" i="61"/>
  <c r="D260" i="61"/>
  <c r="C260" i="61"/>
  <c r="A260" i="61"/>
  <c r="Z259" i="61"/>
  <c r="Y259" i="61"/>
  <c r="X259" i="61"/>
  <c r="W259" i="61"/>
  <c r="V259" i="61"/>
  <c r="U259" i="61"/>
  <c r="T259" i="61"/>
  <c r="S259" i="61"/>
  <c r="R259" i="61"/>
  <c r="Q259" i="61"/>
  <c r="P259" i="61"/>
  <c r="O259" i="61"/>
  <c r="D259" i="61"/>
  <c r="C259" i="61"/>
  <c r="A259" i="61"/>
  <c r="Z258" i="61"/>
  <c r="Y258" i="61"/>
  <c r="X258" i="61"/>
  <c r="W258" i="61"/>
  <c r="V258" i="61"/>
  <c r="U258" i="61"/>
  <c r="T258" i="61"/>
  <c r="S258" i="61"/>
  <c r="R258" i="61"/>
  <c r="Q258" i="61"/>
  <c r="P258" i="61"/>
  <c r="O258" i="61"/>
  <c r="D258" i="61"/>
  <c r="C258" i="61"/>
  <c r="A258" i="61"/>
  <c r="Z257" i="61"/>
  <c r="Y257" i="61"/>
  <c r="X257" i="61"/>
  <c r="W257" i="61"/>
  <c r="V257" i="61"/>
  <c r="U257" i="61"/>
  <c r="T257" i="61"/>
  <c r="S257" i="61"/>
  <c r="R257" i="61"/>
  <c r="Q257" i="61"/>
  <c r="P257" i="61"/>
  <c r="O257" i="61"/>
  <c r="D257" i="61"/>
  <c r="C257" i="61"/>
  <c r="A257" i="61"/>
  <c r="Z256" i="61"/>
  <c r="Y256" i="61"/>
  <c r="X256" i="61"/>
  <c r="W256" i="61"/>
  <c r="V256" i="61"/>
  <c r="U256" i="61"/>
  <c r="T256" i="61"/>
  <c r="S256" i="61"/>
  <c r="R256" i="61"/>
  <c r="Q256" i="61"/>
  <c r="P256" i="61"/>
  <c r="O256" i="61"/>
  <c r="D256" i="61"/>
  <c r="C256" i="61"/>
  <c r="A256" i="61"/>
  <c r="D255" i="61"/>
  <c r="C255" i="61"/>
  <c r="A255" i="61"/>
  <c r="D254" i="61"/>
  <c r="C254" i="61"/>
  <c r="A254" i="61"/>
  <c r="D253" i="61"/>
  <c r="C253" i="61"/>
  <c r="A253" i="61"/>
  <c r="D252" i="61"/>
  <c r="C252" i="61"/>
  <c r="A252" i="61"/>
  <c r="A248" i="61"/>
  <c r="Z247" i="61"/>
  <c r="Y247" i="61"/>
  <c r="X247" i="61"/>
  <c r="W247" i="61"/>
  <c r="V247" i="61"/>
  <c r="U247" i="61"/>
  <c r="T247" i="61"/>
  <c r="S247" i="61"/>
  <c r="R247" i="61"/>
  <c r="Q247" i="61"/>
  <c r="P247" i="61"/>
  <c r="O247" i="61"/>
  <c r="M247" i="61"/>
  <c r="L247" i="61"/>
  <c r="N246" i="61"/>
  <c r="N245" i="61"/>
  <c r="N244" i="61"/>
  <c r="N243" i="61"/>
  <c r="A241" i="61"/>
  <c r="Z240" i="61"/>
  <c r="Y240" i="61"/>
  <c r="X240" i="61"/>
  <c r="W240" i="61"/>
  <c r="V240" i="61"/>
  <c r="U240" i="61"/>
  <c r="T240" i="61"/>
  <c r="S240" i="61"/>
  <c r="R240" i="61"/>
  <c r="Q240" i="61"/>
  <c r="P240" i="61"/>
  <c r="O240" i="61"/>
  <c r="M240" i="61"/>
  <c r="L240" i="61"/>
  <c r="N239" i="61"/>
  <c r="N238" i="61"/>
  <c r="N237" i="61"/>
  <c r="N236" i="61"/>
  <c r="A234" i="61"/>
  <c r="Z233" i="61"/>
  <c r="Y233" i="61"/>
  <c r="X233" i="61"/>
  <c r="W233" i="61"/>
  <c r="V233" i="61"/>
  <c r="U233" i="61"/>
  <c r="T233" i="61"/>
  <c r="S233" i="61"/>
  <c r="R233" i="61"/>
  <c r="Q233" i="61"/>
  <c r="P233" i="61"/>
  <c r="O233" i="61"/>
  <c r="M233" i="61"/>
  <c r="L233" i="61"/>
  <c r="N232" i="61"/>
  <c r="N231" i="61"/>
  <c r="N230" i="61"/>
  <c r="N229" i="61"/>
  <c r="A227" i="61"/>
  <c r="Z226" i="61"/>
  <c r="Y226" i="61"/>
  <c r="X226" i="61"/>
  <c r="W226" i="61"/>
  <c r="V226" i="61"/>
  <c r="U226" i="61"/>
  <c r="T226" i="61"/>
  <c r="S226" i="61"/>
  <c r="R226" i="61"/>
  <c r="Q226" i="61"/>
  <c r="P226" i="61"/>
  <c r="O226" i="61"/>
  <c r="M226" i="61"/>
  <c r="L226" i="61"/>
  <c r="N225" i="61"/>
  <c r="N224" i="61"/>
  <c r="N223" i="61"/>
  <c r="N222" i="61"/>
  <c r="A220" i="61"/>
  <c r="Z219" i="61"/>
  <c r="Y219" i="61"/>
  <c r="X219" i="61"/>
  <c r="W219" i="61"/>
  <c r="V219" i="61"/>
  <c r="U219" i="61"/>
  <c r="T219" i="61"/>
  <c r="S219" i="61"/>
  <c r="R219" i="61"/>
  <c r="Q219" i="61"/>
  <c r="P219" i="61"/>
  <c r="O219" i="61"/>
  <c r="M219" i="61"/>
  <c r="L219" i="61"/>
  <c r="N218" i="61"/>
  <c r="N217" i="61"/>
  <c r="N216" i="61"/>
  <c r="N215" i="61"/>
  <c r="A213" i="61"/>
  <c r="Z212" i="61"/>
  <c r="Y212" i="61"/>
  <c r="X212" i="61"/>
  <c r="W212" i="61"/>
  <c r="V212" i="61"/>
  <c r="U212" i="61"/>
  <c r="T212" i="61"/>
  <c r="S212" i="61"/>
  <c r="R212" i="61"/>
  <c r="Q212" i="61"/>
  <c r="P212" i="61"/>
  <c r="O212" i="61"/>
  <c r="N211" i="61"/>
  <c r="N212" i="61"/>
  <c r="A209" i="61"/>
  <c r="Z207" i="61"/>
  <c r="Z208" i="61"/>
  <c r="Z27" i="61"/>
  <c r="Y207" i="61"/>
  <c r="Y208" i="61"/>
  <c r="X207" i="61"/>
  <c r="X208" i="61"/>
  <c r="X27" i="61"/>
  <c r="W207" i="61"/>
  <c r="W208" i="61"/>
  <c r="W27" i="61"/>
  <c r="V207" i="61"/>
  <c r="V208" i="61"/>
  <c r="V27" i="61"/>
  <c r="U207" i="61"/>
  <c r="U208" i="61"/>
  <c r="T207" i="61"/>
  <c r="T208" i="61"/>
  <c r="T27" i="61"/>
  <c r="S207" i="61"/>
  <c r="S208" i="61"/>
  <c r="S27" i="61"/>
  <c r="R207" i="61"/>
  <c r="R208" i="61"/>
  <c r="R27" i="61"/>
  <c r="Q207" i="61"/>
  <c r="P207" i="61"/>
  <c r="P208" i="61"/>
  <c r="P27" i="61"/>
  <c r="O207" i="61"/>
  <c r="O208" i="61"/>
  <c r="O27" i="61"/>
  <c r="N206" i="61"/>
  <c r="N205" i="61"/>
  <c r="N204" i="61"/>
  <c r="M201" i="61"/>
  <c r="Y200" i="61"/>
  <c r="Y201" i="61"/>
  <c r="Y26" i="61"/>
  <c r="X200" i="61"/>
  <c r="X201" i="61"/>
  <c r="X26" i="61"/>
  <c r="W200" i="61"/>
  <c r="W201" i="61"/>
  <c r="W26" i="61"/>
  <c r="V200" i="61"/>
  <c r="V201" i="61"/>
  <c r="V26" i="61"/>
  <c r="U200" i="61"/>
  <c r="U201" i="61"/>
  <c r="U26" i="61"/>
  <c r="T200" i="61"/>
  <c r="T201" i="61"/>
  <c r="T26" i="61"/>
  <c r="S200" i="61"/>
  <c r="S201" i="61"/>
  <c r="S26" i="61"/>
  <c r="R200" i="61"/>
  <c r="R201" i="61"/>
  <c r="R26" i="61"/>
  <c r="Q200" i="61"/>
  <c r="Q201" i="61"/>
  <c r="Q26" i="61"/>
  <c r="P200" i="61"/>
  <c r="O200" i="61"/>
  <c r="O201" i="61"/>
  <c r="O26" i="61"/>
  <c r="N199" i="61"/>
  <c r="Z198" i="61"/>
  <c r="N197" i="61"/>
  <c r="N196" i="61"/>
  <c r="N195" i="61"/>
  <c r="A193" i="61"/>
  <c r="M192" i="61"/>
  <c r="Z191" i="61"/>
  <c r="Z192" i="61"/>
  <c r="Z25" i="61"/>
  <c r="Y191" i="61"/>
  <c r="Y192" i="61"/>
  <c r="Y25" i="61"/>
  <c r="X191" i="61"/>
  <c r="X192" i="61"/>
  <c r="X25" i="61"/>
  <c r="W191" i="61"/>
  <c r="W192" i="61"/>
  <c r="W25" i="61"/>
  <c r="V191" i="61"/>
  <c r="V192" i="61"/>
  <c r="V25" i="61"/>
  <c r="U191" i="61"/>
  <c r="U192" i="61"/>
  <c r="U25" i="61"/>
  <c r="T191" i="61"/>
  <c r="T192" i="61"/>
  <c r="T25" i="61"/>
  <c r="S191" i="61"/>
  <c r="S192" i="61"/>
  <c r="S25" i="61"/>
  <c r="R191" i="61"/>
  <c r="R192" i="61"/>
  <c r="R25" i="61"/>
  <c r="Q191" i="61"/>
  <c r="Q192" i="61"/>
  <c r="Q25" i="61"/>
  <c r="P191" i="61"/>
  <c r="P192" i="61"/>
  <c r="P25" i="61"/>
  <c r="O191" i="61"/>
  <c r="O192" i="61"/>
  <c r="O25" i="61"/>
  <c r="N190" i="61"/>
  <c r="N189" i="61"/>
  <c r="N188" i="61"/>
  <c r="N187" i="61"/>
  <c r="N186" i="61"/>
  <c r="N185" i="61"/>
  <c r="A183" i="61"/>
  <c r="W182" i="61"/>
  <c r="S182" i="61"/>
  <c r="O182" i="61"/>
  <c r="M182" i="61"/>
  <c r="Z181" i="61"/>
  <c r="Z182" i="61"/>
  <c r="Z24" i="61"/>
  <c r="Y181" i="61"/>
  <c r="Y182" i="61"/>
  <c r="Y24" i="61"/>
  <c r="X181" i="61"/>
  <c r="X182" i="61"/>
  <c r="X24" i="61"/>
  <c r="W181" i="61"/>
  <c r="V181" i="61"/>
  <c r="V182" i="61"/>
  <c r="V24" i="61"/>
  <c r="U181" i="61"/>
  <c r="U182" i="61"/>
  <c r="U24" i="61"/>
  <c r="T181" i="61"/>
  <c r="T182" i="61"/>
  <c r="T24" i="61"/>
  <c r="S181" i="61"/>
  <c r="R181" i="61"/>
  <c r="R182" i="61"/>
  <c r="R24" i="61"/>
  <c r="Q181" i="61"/>
  <c r="Q182" i="61"/>
  <c r="Q24" i="61"/>
  <c r="P181" i="61"/>
  <c r="P182" i="61"/>
  <c r="P24" i="61"/>
  <c r="O181" i="61"/>
  <c r="N180" i="61"/>
  <c r="N179" i="61"/>
  <c r="A177" i="61"/>
  <c r="Z176" i="61"/>
  <c r="Y176" i="61"/>
  <c r="X176" i="61"/>
  <c r="X23" i="61"/>
  <c r="W176" i="61"/>
  <c r="V176" i="61"/>
  <c r="U176" i="61"/>
  <c r="T176" i="61"/>
  <c r="T23" i="61"/>
  <c r="S176" i="61"/>
  <c r="R176" i="61"/>
  <c r="Q176" i="61"/>
  <c r="P176" i="61"/>
  <c r="P23" i="61"/>
  <c r="O176" i="61"/>
  <c r="M176" i="61"/>
  <c r="N175" i="61"/>
  <c r="N174" i="61"/>
  <c r="N173" i="61"/>
  <c r="N172" i="61"/>
  <c r="N171" i="61"/>
  <c r="N170" i="61"/>
  <c r="N169" i="61"/>
  <c r="A167" i="61"/>
  <c r="Z166" i="61"/>
  <c r="Z22" i="61"/>
  <c r="Y166" i="61"/>
  <c r="X166" i="61"/>
  <c r="W166" i="61"/>
  <c r="V166" i="61"/>
  <c r="V22" i="61"/>
  <c r="U166" i="61"/>
  <c r="T166" i="61"/>
  <c r="S166" i="61"/>
  <c r="R166" i="61"/>
  <c r="R22" i="61"/>
  <c r="Q166" i="61"/>
  <c r="P166" i="61"/>
  <c r="O166" i="61"/>
  <c r="M166" i="61"/>
  <c r="N165" i="61"/>
  <c r="N166" i="61"/>
  <c r="A163" i="61"/>
  <c r="Z162" i="61"/>
  <c r="Z21" i="61"/>
  <c r="Y162" i="61"/>
  <c r="X162" i="61"/>
  <c r="W162" i="61"/>
  <c r="V162" i="61"/>
  <c r="V21" i="61"/>
  <c r="U162" i="61"/>
  <c r="T162" i="61"/>
  <c r="S162" i="61"/>
  <c r="R162" i="61"/>
  <c r="R21" i="61"/>
  <c r="Q162" i="61"/>
  <c r="P162" i="61"/>
  <c r="O162" i="61"/>
  <c r="M162" i="61"/>
  <c r="N161" i="61"/>
  <c r="N160" i="61"/>
  <c r="N159" i="61"/>
  <c r="O158" i="61"/>
  <c r="N158" i="61"/>
  <c r="N157" i="61"/>
  <c r="N156" i="61"/>
  <c r="A154" i="61"/>
  <c r="M153" i="61"/>
  <c r="U20" i="61"/>
  <c r="T20" i="61"/>
  <c r="AC145" i="61"/>
  <c r="N140" i="61"/>
  <c r="A138" i="61"/>
  <c r="O137" i="61"/>
  <c r="M137" i="61"/>
  <c r="Y136" i="61"/>
  <c r="Y137" i="61"/>
  <c r="Y19" i="61"/>
  <c r="N23" i="56"/>
  <c r="X136" i="61"/>
  <c r="X137" i="61"/>
  <c r="V136" i="61"/>
  <c r="V137" i="61"/>
  <c r="V19" i="61"/>
  <c r="U136" i="61"/>
  <c r="U137" i="61"/>
  <c r="U19" i="61"/>
  <c r="J23" i="56"/>
  <c r="S136" i="61"/>
  <c r="S137" i="61"/>
  <c r="S19" i="61"/>
  <c r="R136" i="61"/>
  <c r="R137" i="61"/>
  <c r="R19" i="61"/>
  <c r="Q136" i="61"/>
  <c r="P136" i="61"/>
  <c r="O136" i="61"/>
  <c r="N135" i="61"/>
  <c r="N134" i="61"/>
  <c r="N133" i="61"/>
  <c r="Z132" i="61"/>
  <c r="Z136" i="61"/>
  <c r="Z137" i="61"/>
  <c r="Z19" i="61"/>
  <c r="O23" i="56"/>
  <c r="W132" i="61"/>
  <c r="W136" i="61"/>
  <c r="T132" i="61"/>
  <c r="T136" i="61"/>
  <c r="Q132" i="61"/>
  <c r="N131" i="61"/>
  <c r="N130" i="61"/>
  <c r="N129" i="61"/>
  <c r="N128" i="61"/>
  <c r="N127" i="61"/>
  <c r="N126" i="61"/>
  <c r="N125" i="61"/>
  <c r="A123" i="61"/>
  <c r="Z122" i="61"/>
  <c r="Y122" i="61"/>
  <c r="Y18" i="61"/>
  <c r="N22" i="56"/>
  <c r="X122" i="61"/>
  <c r="X18" i="61"/>
  <c r="W122" i="61"/>
  <c r="V122" i="61"/>
  <c r="U122" i="61"/>
  <c r="U18" i="61"/>
  <c r="J22" i="56"/>
  <c r="T122" i="61"/>
  <c r="S122" i="61"/>
  <c r="R122" i="61"/>
  <c r="Q122" i="61"/>
  <c r="Q18" i="61"/>
  <c r="F22" i="56"/>
  <c r="P122" i="61"/>
  <c r="P18" i="61"/>
  <c r="O122" i="61"/>
  <c r="M122" i="61"/>
  <c r="M18" i="61"/>
  <c r="N121" i="61"/>
  <c r="N120" i="61"/>
  <c r="N119" i="61"/>
  <c r="N118" i="61"/>
  <c r="A116" i="61"/>
  <c r="Z115" i="61"/>
  <c r="Z17" i="61"/>
  <c r="Y115" i="61"/>
  <c r="X115" i="61"/>
  <c r="X17" i="61"/>
  <c r="M21" i="56"/>
  <c r="W115" i="61"/>
  <c r="V115" i="61"/>
  <c r="U115" i="61"/>
  <c r="T115" i="61"/>
  <c r="T17" i="61"/>
  <c r="I21" i="56"/>
  <c r="S115" i="61"/>
  <c r="R115" i="61"/>
  <c r="R17" i="61"/>
  <c r="Q115" i="61"/>
  <c r="P115" i="61"/>
  <c r="P17" i="61"/>
  <c r="E21" i="56"/>
  <c r="O115" i="61"/>
  <c r="M115" i="61"/>
  <c r="L115" i="61"/>
  <c r="N114" i="61"/>
  <c r="N113" i="61"/>
  <c r="N112" i="61"/>
  <c r="N111" i="61"/>
  <c r="A109" i="61"/>
  <c r="A101" i="61"/>
  <c r="A95" i="61"/>
  <c r="A89" i="61"/>
  <c r="A83" i="61"/>
  <c r="A77" i="61"/>
  <c r="A71" i="61"/>
  <c r="A69" i="61"/>
  <c r="A65" i="61"/>
  <c r="A60" i="61"/>
  <c r="A53" i="61"/>
  <c r="A51" i="61"/>
  <c r="A49" i="61"/>
  <c r="A47" i="61"/>
  <c r="A43" i="61"/>
  <c r="A40" i="61"/>
  <c r="A37" i="61"/>
  <c r="A34" i="61"/>
  <c r="Z28" i="61"/>
  <c r="O24" i="56"/>
  <c r="Y28" i="61"/>
  <c r="N24" i="56"/>
  <c r="X28" i="61"/>
  <c r="M24" i="56"/>
  <c r="W28" i="61"/>
  <c r="L24" i="56"/>
  <c r="V28" i="61"/>
  <c r="K24" i="56"/>
  <c r="U28" i="61"/>
  <c r="J24" i="56"/>
  <c r="T28" i="61"/>
  <c r="I24" i="56"/>
  <c r="S28" i="61"/>
  <c r="H24" i="56"/>
  <c r="R28" i="61"/>
  <c r="G24" i="56"/>
  <c r="Q28" i="61"/>
  <c r="F24" i="56"/>
  <c r="P28" i="61"/>
  <c r="E24" i="56"/>
  <c r="O28" i="61"/>
  <c r="D24" i="56"/>
  <c r="M28" i="61"/>
  <c r="Y27" i="61"/>
  <c r="U27" i="61"/>
  <c r="M27" i="61"/>
  <c r="M26" i="61"/>
  <c r="M25" i="61"/>
  <c r="W24" i="61"/>
  <c r="S24" i="61"/>
  <c r="O24" i="61"/>
  <c r="M24" i="61"/>
  <c r="Z23" i="61"/>
  <c r="Y23" i="61"/>
  <c r="W23" i="61"/>
  <c r="V23" i="61"/>
  <c r="U23" i="61"/>
  <c r="S23" i="61"/>
  <c r="R23" i="61"/>
  <c r="Q23" i="61"/>
  <c r="O23" i="61"/>
  <c r="M23" i="61"/>
  <c r="Y22" i="61"/>
  <c r="X22" i="61"/>
  <c r="W22" i="61"/>
  <c r="U22" i="61"/>
  <c r="T22" i="61"/>
  <c r="S22" i="61"/>
  <c r="Q22" i="61"/>
  <c r="P22" i="61"/>
  <c r="O22" i="61"/>
  <c r="Y21" i="61"/>
  <c r="X21" i="61"/>
  <c r="W21" i="61"/>
  <c r="U21" i="61"/>
  <c r="T21" i="61"/>
  <c r="S21" i="61"/>
  <c r="Q21" i="61"/>
  <c r="P21" i="61"/>
  <c r="O21" i="61"/>
  <c r="M21" i="61"/>
  <c r="M20" i="61"/>
  <c r="X19" i="61"/>
  <c r="M23" i="56"/>
  <c r="O19" i="61"/>
  <c r="D23" i="56"/>
  <c r="M19" i="61"/>
  <c r="Z18" i="61"/>
  <c r="O22" i="56"/>
  <c r="W18" i="61"/>
  <c r="L22" i="56"/>
  <c r="V18" i="61"/>
  <c r="K22" i="56"/>
  <c r="T18" i="61"/>
  <c r="I22" i="56"/>
  <c r="S18" i="61"/>
  <c r="H22" i="56"/>
  <c r="R18" i="61"/>
  <c r="O18" i="61"/>
  <c r="D22" i="56"/>
  <c r="Y17" i="61"/>
  <c r="N21" i="56"/>
  <c r="W17" i="61"/>
  <c r="L21" i="56"/>
  <c r="V17" i="61"/>
  <c r="K21" i="56"/>
  <c r="U17" i="61"/>
  <c r="J21" i="56"/>
  <c r="S17" i="61"/>
  <c r="H21" i="56"/>
  <c r="Q17" i="61"/>
  <c r="F21" i="56"/>
  <c r="O17" i="61"/>
  <c r="D21" i="56"/>
  <c r="M17" i="61"/>
  <c r="D10" i="61"/>
  <c r="B10" i="61"/>
  <c r="I57" i="56"/>
  <c r="G23" i="56"/>
  <c r="F23" i="60"/>
  <c r="H23" i="56"/>
  <c r="G23" i="60"/>
  <c r="G21" i="56"/>
  <c r="F21" i="60"/>
  <c r="O21" i="56"/>
  <c r="N21" i="60"/>
  <c r="E22" i="56"/>
  <c r="D22" i="60"/>
  <c r="M22" i="56"/>
  <c r="L22" i="60"/>
  <c r="K23" i="56"/>
  <c r="J23" i="60"/>
  <c r="M21" i="60"/>
  <c r="I21" i="60"/>
  <c r="E21" i="60"/>
  <c r="M22" i="60"/>
  <c r="I22" i="60"/>
  <c r="E22" i="60"/>
  <c r="M23" i="60"/>
  <c r="I23" i="60"/>
  <c r="M24" i="60"/>
  <c r="I24" i="60"/>
  <c r="E24" i="60"/>
  <c r="R253" i="61"/>
  <c r="X253" i="61"/>
  <c r="N219" i="61"/>
  <c r="N247" i="61"/>
  <c r="L21" i="60"/>
  <c r="H21" i="60"/>
  <c r="D21" i="60"/>
  <c r="H22" i="60"/>
  <c r="L23" i="60"/>
  <c r="L24" i="60"/>
  <c r="H24" i="60"/>
  <c r="D24" i="60"/>
  <c r="P260" i="61"/>
  <c r="T260" i="61"/>
  <c r="X260" i="61"/>
  <c r="N122" i="61"/>
  <c r="N162" i="61"/>
  <c r="N240" i="61"/>
  <c r="C21" i="60"/>
  <c r="K21" i="60"/>
  <c r="G21" i="60"/>
  <c r="C22" i="60"/>
  <c r="K22" i="60"/>
  <c r="G22" i="60"/>
  <c r="C23" i="60"/>
  <c r="C24" i="60"/>
  <c r="K24" i="60"/>
  <c r="G24" i="60"/>
  <c r="U255" i="61"/>
  <c r="Q260" i="61"/>
  <c r="U260" i="61"/>
  <c r="Y260" i="61"/>
  <c r="Q137" i="61"/>
  <c r="Q19" i="61"/>
  <c r="N191" i="61"/>
  <c r="N233" i="61"/>
  <c r="J21" i="60"/>
  <c r="N22" i="60"/>
  <c r="J22" i="60"/>
  <c r="F22" i="60"/>
  <c r="N23" i="60"/>
  <c r="N24" i="60"/>
  <c r="J24" i="60"/>
  <c r="F24" i="60"/>
  <c r="G22" i="56"/>
  <c r="J57" i="56"/>
  <c r="I57" i="60"/>
  <c r="V20" i="61"/>
  <c r="U30" i="61"/>
  <c r="O20" i="61"/>
  <c r="D57" i="56"/>
  <c r="S20" i="61"/>
  <c r="W20" i="61"/>
  <c r="P20" i="61"/>
  <c r="X20" i="61"/>
  <c r="R20" i="61"/>
  <c r="Z20" i="61"/>
  <c r="H57" i="60"/>
  <c r="M30" i="61"/>
  <c r="Q20" i="61"/>
  <c r="Y20" i="61"/>
  <c r="Y30" i="61"/>
  <c r="N115" i="61"/>
  <c r="S263" i="65"/>
  <c r="N199" i="65"/>
  <c r="N200" i="65"/>
  <c r="AD57" i="60"/>
  <c r="R263" i="65"/>
  <c r="S202" i="63"/>
  <c r="S25" i="63"/>
  <c r="N201" i="63"/>
  <c r="N202" i="63"/>
  <c r="V263" i="65"/>
  <c r="T263" i="65"/>
  <c r="R30" i="65"/>
  <c r="V30" i="65"/>
  <c r="V261" i="65"/>
  <c r="W261" i="65"/>
  <c r="R262" i="65"/>
  <c r="V262" i="65"/>
  <c r="Z262" i="65"/>
  <c r="U262" i="65"/>
  <c r="N25" i="65"/>
  <c r="W263" i="65"/>
  <c r="S30" i="65"/>
  <c r="Q261" i="65"/>
  <c r="R261" i="65"/>
  <c r="X261" i="65"/>
  <c r="T261" i="65"/>
  <c r="O262" i="65"/>
  <c r="N20" i="65"/>
  <c r="M17" i="64"/>
  <c r="S262" i="65"/>
  <c r="W262" i="65"/>
  <c r="U30" i="65"/>
  <c r="Y30" i="65"/>
  <c r="Z261" i="65"/>
  <c r="Y262" i="65"/>
  <c r="Z263" i="65"/>
  <c r="P263" i="65"/>
  <c r="X263" i="65"/>
  <c r="P30" i="65"/>
  <c r="X30" i="65"/>
  <c r="O261" i="65"/>
  <c r="N18" i="65"/>
  <c r="M15" i="64"/>
  <c r="S261" i="65"/>
  <c r="Y261" i="65"/>
  <c r="P262" i="65"/>
  <c r="T262" i="65"/>
  <c r="X262" i="65"/>
  <c r="Q263" i="65"/>
  <c r="U263" i="65"/>
  <c r="Y263" i="65"/>
  <c r="N26" i="65"/>
  <c r="M23" i="64"/>
  <c r="N119" i="65"/>
  <c r="N122" i="65"/>
  <c r="W137" i="65"/>
  <c r="W138" i="65"/>
  <c r="W19" i="65"/>
  <c r="W30" i="65"/>
  <c r="Q138" i="65"/>
  <c r="Q19" i="65"/>
  <c r="Q30" i="65"/>
  <c r="O216" i="65"/>
  <c r="O27" i="65"/>
  <c r="N27" i="65"/>
  <c r="M24" i="64"/>
  <c r="O115" i="65"/>
  <c r="O17" i="65"/>
  <c r="U260" i="65"/>
  <c r="T137" i="65"/>
  <c r="T138" i="65"/>
  <c r="T19" i="65"/>
  <c r="Z138" i="65"/>
  <c r="Z19" i="65"/>
  <c r="Z30" i="65"/>
  <c r="O178" i="65"/>
  <c r="O24" i="65"/>
  <c r="N24" i="65"/>
  <c r="M21" i="64"/>
  <c r="N208" i="65"/>
  <c r="N209" i="65"/>
  <c r="O263" i="65"/>
  <c r="O215" i="65"/>
  <c r="N215" i="65"/>
  <c r="N216" i="65"/>
  <c r="W30" i="63"/>
  <c r="W262" i="63"/>
  <c r="V262" i="63"/>
  <c r="V30" i="63"/>
  <c r="Y264" i="63"/>
  <c r="W270" i="63"/>
  <c r="V264" i="63"/>
  <c r="N28" i="63"/>
  <c r="M25" i="62"/>
  <c r="T270" i="63"/>
  <c r="Y270" i="63"/>
  <c r="N119" i="63"/>
  <c r="O122" i="63"/>
  <c r="O18" i="63"/>
  <c r="S263" i="63"/>
  <c r="Y122" i="63"/>
  <c r="Y18" i="63"/>
  <c r="Y30" i="63"/>
  <c r="N152" i="63"/>
  <c r="N218" i="63"/>
  <c r="N27" i="63"/>
  <c r="M24" i="62"/>
  <c r="N236" i="63"/>
  <c r="S264" i="63"/>
  <c r="P264" i="63"/>
  <c r="X264" i="63"/>
  <c r="P270" i="63"/>
  <c r="U270" i="63"/>
  <c r="Z270" i="63"/>
  <c r="N112" i="63"/>
  <c r="P115" i="63"/>
  <c r="S262" i="63"/>
  <c r="U122" i="63"/>
  <c r="U18" i="63"/>
  <c r="N120" i="63"/>
  <c r="P180" i="63"/>
  <c r="P24" i="63"/>
  <c r="N24" i="63"/>
  <c r="M21" i="62"/>
  <c r="N179" i="63"/>
  <c r="N180" i="63"/>
  <c r="P211" i="63"/>
  <c r="P26" i="63"/>
  <c r="R262" i="63"/>
  <c r="R30" i="63"/>
  <c r="O264" i="63"/>
  <c r="W264" i="63"/>
  <c r="M30" i="63"/>
  <c r="U262" i="63"/>
  <c r="U30" i="63"/>
  <c r="R264" i="63"/>
  <c r="Z264" i="63"/>
  <c r="N22" i="63"/>
  <c r="M19" i="62"/>
  <c r="Q270" i="63"/>
  <c r="V270" i="63"/>
  <c r="N115" i="63"/>
  <c r="Y262" i="63"/>
  <c r="P122" i="63"/>
  <c r="P18" i="63"/>
  <c r="P263" i="63"/>
  <c r="N121" i="63"/>
  <c r="Q137" i="63"/>
  <c r="Q19" i="63"/>
  <c r="N174" i="63"/>
  <c r="N208" i="63"/>
  <c r="Z210" i="63"/>
  <c r="N210" i="63"/>
  <c r="N211" i="63"/>
  <c r="N250" i="63"/>
  <c r="N118" i="63"/>
  <c r="N132" i="63"/>
  <c r="Z136" i="63"/>
  <c r="Z137" i="63"/>
  <c r="Z19" i="63"/>
  <c r="T137" i="63"/>
  <c r="T19" i="63"/>
  <c r="T30" i="63"/>
  <c r="O30" i="61"/>
  <c r="T252" i="61"/>
  <c r="X30" i="61"/>
  <c r="X252" i="61"/>
  <c r="N17" i="61"/>
  <c r="M14" i="59"/>
  <c r="P252" i="61"/>
  <c r="W252" i="61"/>
  <c r="S252" i="61"/>
  <c r="O252" i="61"/>
  <c r="V252" i="61"/>
  <c r="S253" i="61"/>
  <c r="P137" i="61"/>
  <c r="P19" i="61"/>
  <c r="N136" i="61"/>
  <c r="O254" i="61"/>
  <c r="Y254" i="61"/>
  <c r="S254" i="61"/>
  <c r="W254" i="61"/>
  <c r="N181" i="61"/>
  <c r="O255" i="61"/>
  <c r="N25" i="61"/>
  <c r="M22" i="59"/>
  <c r="S255" i="61"/>
  <c r="W255" i="61"/>
  <c r="Q254" i="61"/>
  <c r="Z254" i="61"/>
  <c r="S30" i="61"/>
  <c r="N18" i="61"/>
  <c r="M15" i="59"/>
  <c r="Y255" i="61"/>
  <c r="O253" i="61"/>
  <c r="Z253" i="61"/>
  <c r="N20" i="61"/>
  <c r="M17" i="59"/>
  <c r="V254" i="61"/>
  <c r="R260" i="61"/>
  <c r="V260" i="61"/>
  <c r="Z260" i="61"/>
  <c r="T137" i="61"/>
  <c r="T19" i="61"/>
  <c r="N132" i="61"/>
  <c r="P254" i="61"/>
  <c r="X254" i="61"/>
  <c r="N176" i="61"/>
  <c r="N192" i="61"/>
  <c r="P255" i="61"/>
  <c r="X255" i="61"/>
  <c r="U254" i="61"/>
  <c r="Q252" i="61"/>
  <c r="U252" i="61"/>
  <c r="Y252" i="61"/>
  <c r="V253" i="61"/>
  <c r="N21" i="61"/>
  <c r="M18" i="59"/>
  <c r="N22" i="61"/>
  <c r="M19" i="59"/>
  <c r="N24" i="61"/>
  <c r="M21" i="59"/>
  <c r="Q255" i="61"/>
  <c r="N28" i="61"/>
  <c r="M25" i="59"/>
  <c r="O260" i="61"/>
  <c r="S260" i="61"/>
  <c r="W260" i="61"/>
  <c r="Q253" i="61"/>
  <c r="U253" i="61"/>
  <c r="Y253" i="61"/>
  <c r="N23" i="61"/>
  <c r="M20" i="59"/>
  <c r="P201" i="61"/>
  <c r="P26" i="61"/>
  <c r="Q208" i="61"/>
  <c r="Q27" i="61"/>
  <c r="Q30" i="61"/>
  <c r="N207" i="61"/>
  <c r="P253" i="61"/>
  <c r="R252" i="61"/>
  <c r="Z252" i="61"/>
  <c r="W253" i="61"/>
  <c r="T254" i="61"/>
  <c r="R255" i="61"/>
  <c r="V255" i="61"/>
  <c r="Z255" i="61"/>
  <c r="T255" i="61"/>
  <c r="N198" i="61"/>
  <c r="Z200" i="61"/>
  <c r="N226" i="61"/>
  <c r="T253" i="61"/>
  <c r="R30" i="61"/>
  <c r="V30" i="61"/>
  <c r="W137" i="61"/>
  <c r="W19" i="61"/>
  <c r="M208" i="61"/>
  <c r="M212" i="61"/>
  <c r="N200" i="61"/>
  <c r="N182" i="61"/>
  <c r="F23" i="56"/>
  <c r="E23" i="60"/>
  <c r="P30" i="61"/>
  <c r="E23" i="56"/>
  <c r="D23" i="60"/>
  <c r="C57" i="60"/>
  <c r="W30" i="61"/>
  <c r="L23" i="56"/>
  <c r="K23" i="60"/>
  <c r="N208" i="61"/>
  <c r="T30" i="61"/>
  <c r="I23" i="56"/>
  <c r="H23" i="60"/>
  <c r="F57" i="56"/>
  <c r="E57" i="60"/>
  <c r="D57" i="60"/>
  <c r="E57" i="56"/>
  <c r="R254" i="61"/>
  <c r="G57" i="56"/>
  <c r="F57" i="60"/>
  <c r="K57" i="60"/>
  <c r="L57" i="56"/>
  <c r="J57" i="60"/>
  <c r="K57" i="56"/>
  <c r="H57" i="56"/>
  <c r="G57" i="60"/>
  <c r="N57" i="56"/>
  <c r="M57" i="60"/>
  <c r="M57" i="56"/>
  <c r="L57" i="60"/>
  <c r="N137" i="61"/>
  <c r="M22" i="64"/>
  <c r="N30" i="65"/>
  <c r="W265" i="63"/>
  <c r="Y265" i="63"/>
  <c r="X265" i="63"/>
  <c r="T265" i="63"/>
  <c r="S57" i="60"/>
  <c r="R265" i="63"/>
  <c r="P265" i="63"/>
  <c r="N25" i="63"/>
  <c r="S30" i="63"/>
  <c r="V265" i="63"/>
  <c r="O265" i="63"/>
  <c r="Z265" i="63"/>
  <c r="Q265" i="63"/>
  <c r="S265" i="63"/>
  <c r="U265" i="63"/>
  <c r="M22" i="62"/>
  <c r="M26" i="62"/>
  <c r="N30" i="63"/>
  <c r="T30" i="65"/>
  <c r="U270" i="65"/>
  <c r="N19" i="65"/>
  <c r="M16" i="64"/>
  <c r="W260" i="65"/>
  <c r="T260" i="65"/>
  <c r="S270" i="65"/>
  <c r="O260" i="65"/>
  <c r="O30" i="65"/>
  <c r="N17" i="65"/>
  <c r="Z260" i="65"/>
  <c r="S260" i="65"/>
  <c r="N137" i="65"/>
  <c r="N138" i="65"/>
  <c r="V260" i="65"/>
  <c r="Q260" i="65"/>
  <c r="R260" i="65"/>
  <c r="X260" i="65"/>
  <c r="P260" i="65"/>
  <c r="Y260" i="65"/>
  <c r="R270" i="65"/>
  <c r="N19" i="63"/>
  <c r="M16" i="62"/>
  <c r="Z211" i="63"/>
  <c r="Z26" i="63"/>
  <c r="N136" i="63"/>
  <c r="N137" i="63"/>
  <c r="U263" i="63"/>
  <c r="N17" i="63"/>
  <c r="Z262" i="63"/>
  <c r="Y263" i="63"/>
  <c r="Q30" i="63"/>
  <c r="P262" i="63"/>
  <c r="P30" i="63"/>
  <c r="X262" i="63"/>
  <c r="T263" i="63"/>
  <c r="O263" i="63"/>
  <c r="N18" i="63"/>
  <c r="M15" i="62"/>
  <c r="Q263" i="63"/>
  <c r="O262" i="63"/>
  <c r="X263" i="63"/>
  <c r="N122" i="63"/>
  <c r="Z263" i="63"/>
  <c r="Q262" i="63"/>
  <c r="W263" i="63"/>
  <c r="T262" i="63"/>
  <c r="V263" i="63"/>
  <c r="R263" i="63"/>
  <c r="Z201" i="61"/>
  <c r="Z26" i="61"/>
  <c r="N57" i="60"/>
  <c r="N27" i="61"/>
  <c r="M24" i="59"/>
  <c r="N19" i="61"/>
  <c r="M16" i="59"/>
  <c r="N201" i="61"/>
  <c r="O57" i="56"/>
  <c r="Y270" i="65"/>
  <c r="O270" i="65"/>
  <c r="P270" i="65"/>
  <c r="Z30" i="63"/>
  <c r="T272" i="63"/>
  <c r="Z57" i="60"/>
  <c r="T270" i="65"/>
  <c r="X270" i="65"/>
  <c r="Q270" i="65"/>
  <c r="M14" i="64"/>
  <c r="M26" i="64"/>
  <c r="V270" i="65"/>
  <c r="W270" i="65"/>
  <c r="Z270" i="65"/>
  <c r="U272" i="63"/>
  <c r="M14" i="62"/>
  <c r="O272" i="63"/>
  <c r="X272" i="63"/>
  <c r="S272" i="63"/>
  <c r="P272" i="63"/>
  <c r="W272" i="63"/>
  <c r="N26" i="63"/>
  <c r="M23" i="62"/>
  <c r="Q272" i="63"/>
  <c r="V272" i="63"/>
  <c r="R272" i="63"/>
  <c r="Y272" i="63"/>
  <c r="N26" i="61"/>
  <c r="Z30" i="61"/>
  <c r="N30" i="61"/>
  <c r="M23" i="59"/>
  <c r="E57" i="17"/>
  <c r="B57" i="60"/>
  <c r="Z272" i="63"/>
  <c r="Z262" i="61"/>
  <c r="S262" i="61"/>
  <c r="P262" i="61"/>
  <c r="W262" i="61"/>
  <c r="R262" i="61"/>
  <c r="U262" i="61"/>
  <c r="T262" i="61"/>
  <c r="Y262" i="61"/>
  <c r="V262" i="61"/>
  <c r="Q262" i="61"/>
  <c r="X262" i="61"/>
  <c r="O262" i="61"/>
  <c r="AO7" i="60"/>
  <c r="AQ8" i="60"/>
  <c r="AQ7" i="60"/>
  <c r="AP8" i="60"/>
  <c r="AP7" i="60"/>
  <c r="AQ57" i="60"/>
  <c r="AQ55" i="60"/>
  <c r="AQ54" i="60"/>
  <c r="AQ52" i="60"/>
  <c r="AQ50" i="60"/>
  <c r="AQ48" i="60"/>
  <c r="AQ45" i="60"/>
  <c r="AQ34" i="60"/>
  <c r="AQ32" i="60"/>
  <c r="AQ31" i="60"/>
  <c r="AQ30" i="60"/>
  <c r="AQ29" i="60"/>
  <c r="AQ28" i="60"/>
  <c r="AQ27" i="60"/>
  <c r="AQ26" i="60"/>
  <c r="AQ24" i="60"/>
  <c r="AQ23" i="60"/>
  <c r="AQ22" i="60"/>
  <c r="AQ21" i="60"/>
  <c r="AQ19" i="60"/>
  <c r="AQ17" i="60"/>
  <c r="AQ15" i="60"/>
  <c r="AQ13" i="60"/>
  <c r="AQ12" i="60"/>
  <c r="AQ11" i="60"/>
  <c r="AQ10" i="60"/>
  <c r="AP57" i="60"/>
  <c r="AP55" i="60"/>
  <c r="AP54" i="60"/>
  <c r="AP52" i="60"/>
  <c r="AP50" i="60"/>
  <c r="AP48" i="60"/>
  <c r="AP45" i="60"/>
  <c r="AP34" i="60"/>
  <c r="AP32" i="60"/>
  <c r="AP31" i="60"/>
  <c r="AP30" i="60"/>
  <c r="AP29" i="60"/>
  <c r="AP28" i="60"/>
  <c r="AP27" i="60"/>
  <c r="AP26" i="60"/>
  <c r="AP24" i="60"/>
  <c r="AP23" i="60"/>
  <c r="AP22" i="60"/>
  <c r="AP21" i="60"/>
  <c r="AP19" i="60"/>
  <c r="AP17" i="60"/>
  <c r="AP15" i="60"/>
  <c r="AP13" i="60"/>
  <c r="AP12" i="60"/>
  <c r="AP11" i="60"/>
  <c r="AP10" i="60"/>
  <c r="AO55" i="60"/>
  <c r="AO43" i="60"/>
  <c r="AO37" i="60"/>
  <c r="AQ37" i="60"/>
  <c r="AQ43" i="60"/>
  <c r="AL76" i="60"/>
  <c r="AK76" i="60"/>
  <c r="AJ76" i="60"/>
  <c r="AI76" i="60"/>
  <c r="AH76" i="60"/>
  <c r="AG76" i="60"/>
  <c r="AF76" i="60"/>
  <c r="AL70" i="60"/>
  <c r="AK70" i="60"/>
  <c r="AJ70" i="60"/>
  <c r="AI70" i="60"/>
  <c r="AH70" i="60"/>
  <c r="AG70" i="60"/>
  <c r="AF70" i="60"/>
  <c r="AM59" i="60"/>
  <c r="AN57" i="60"/>
  <c r="AM57" i="60"/>
  <c r="AN55" i="60"/>
  <c r="AM55" i="60"/>
  <c r="B55" i="60"/>
  <c r="AN54" i="60"/>
  <c r="AM54" i="60"/>
  <c r="N54" i="60"/>
  <c r="M54" i="60"/>
  <c r="L54" i="60"/>
  <c r="K54" i="60"/>
  <c r="K53" i="60"/>
  <c r="J54" i="60"/>
  <c r="J53" i="60"/>
  <c r="I54" i="60"/>
  <c r="H54" i="60"/>
  <c r="G54" i="60"/>
  <c r="G53" i="60"/>
  <c r="F54" i="60"/>
  <c r="F53" i="60"/>
  <c r="E54" i="60"/>
  <c r="D54" i="60"/>
  <c r="C54" i="60"/>
  <c r="AL53" i="60"/>
  <c r="AK53" i="60"/>
  <c r="AJ53" i="60"/>
  <c r="AI53" i="60"/>
  <c r="AH53" i="60"/>
  <c r="AG53" i="60"/>
  <c r="AF53" i="60"/>
  <c r="AE53" i="60"/>
  <c r="AD53" i="60"/>
  <c r="AC53" i="60"/>
  <c r="AB53" i="60"/>
  <c r="AA53" i="60"/>
  <c r="Z53" i="60"/>
  <c r="Y53" i="60"/>
  <c r="X53" i="60"/>
  <c r="W53" i="60"/>
  <c r="V53" i="60"/>
  <c r="U53" i="60"/>
  <c r="T53" i="60"/>
  <c r="S53" i="60"/>
  <c r="R53" i="60"/>
  <c r="AP53" i="60"/>
  <c r="Q53" i="60"/>
  <c r="P53" i="60"/>
  <c r="O53" i="60"/>
  <c r="N53" i="60"/>
  <c r="M53" i="60"/>
  <c r="I53" i="60"/>
  <c r="E53" i="60"/>
  <c r="C53" i="60"/>
  <c r="AN52" i="60"/>
  <c r="AM52" i="60"/>
  <c r="N52" i="60"/>
  <c r="M52" i="60"/>
  <c r="L52" i="60"/>
  <c r="K52" i="60"/>
  <c r="K51" i="60"/>
  <c r="J52" i="60"/>
  <c r="J51" i="60"/>
  <c r="I52" i="60"/>
  <c r="I51" i="60"/>
  <c r="H52" i="60"/>
  <c r="G52" i="60"/>
  <c r="F52" i="60"/>
  <c r="F51" i="60"/>
  <c r="E52" i="60"/>
  <c r="D52" i="60"/>
  <c r="C52" i="60"/>
  <c r="AL51" i="60"/>
  <c r="AK51" i="60"/>
  <c r="AJ51" i="60"/>
  <c r="AI51" i="60"/>
  <c r="AH51" i="60"/>
  <c r="AG51" i="60"/>
  <c r="AF51" i="60"/>
  <c r="AE51" i="60"/>
  <c r="AD51" i="60"/>
  <c r="AC51" i="60"/>
  <c r="AB51" i="60"/>
  <c r="AA51" i="60"/>
  <c r="Z51" i="60"/>
  <c r="Y51" i="60"/>
  <c r="X51" i="60"/>
  <c r="W51" i="60"/>
  <c r="V51" i="60"/>
  <c r="U51" i="60"/>
  <c r="T51" i="60"/>
  <c r="S51" i="60"/>
  <c r="R51" i="60"/>
  <c r="Q51" i="60"/>
  <c r="P51" i="60"/>
  <c r="O51" i="60"/>
  <c r="N51" i="60"/>
  <c r="M51" i="60"/>
  <c r="G51" i="60"/>
  <c r="C51" i="60"/>
  <c r="AN50" i="60"/>
  <c r="AM50" i="60"/>
  <c r="AL49" i="60"/>
  <c r="AK49" i="60"/>
  <c r="AJ49" i="60"/>
  <c r="AI49" i="60"/>
  <c r="AH49" i="60"/>
  <c r="AG49" i="60"/>
  <c r="AF49" i="60"/>
  <c r="AQ49" i="60"/>
  <c r="AE49" i="60"/>
  <c r="AD49" i="60"/>
  <c r="AC49" i="60"/>
  <c r="AB49" i="60"/>
  <c r="AA49" i="60"/>
  <c r="Z49" i="60"/>
  <c r="Y49" i="60"/>
  <c r="X49" i="60"/>
  <c r="W49" i="60"/>
  <c r="V49" i="60"/>
  <c r="U49" i="60"/>
  <c r="T49" i="60"/>
  <c r="S49" i="60"/>
  <c r="R49" i="60"/>
  <c r="Q49" i="60"/>
  <c r="P49" i="60"/>
  <c r="O49" i="60"/>
  <c r="AN48" i="60"/>
  <c r="AM48" i="60"/>
  <c r="Z96" i="19"/>
  <c r="Z18" i="19"/>
  <c r="Z22" i="19" s="1"/>
  <c r="Y96" i="19"/>
  <c r="Y18" i="19"/>
  <c r="Y22" i="19" s="1"/>
  <c r="AL47" i="60"/>
  <c r="AL46" i="60"/>
  <c r="AK47" i="60"/>
  <c r="AJ47" i="60"/>
  <c r="AI47" i="60"/>
  <c r="AI46" i="60"/>
  <c r="AH47" i="60"/>
  <c r="AH46" i="60"/>
  <c r="AG47" i="60"/>
  <c r="AF47" i="60"/>
  <c r="AE47" i="60"/>
  <c r="AE46" i="60"/>
  <c r="AD47" i="60"/>
  <c r="AD46" i="60"/>
  <c r="AC47" i="60"/>
  <c r="AB47" i="60"/>
  <c r="AA47" i="60"/>
  <c r="AA46" i="60"/>
  <c r="Z47" i="60"/>
  <c r="Z46" i="60"/>
  <c r="Y47" i="60"/>
  <c r="X47" i="60"/>
  <c r="W47" i="60"/>
  <c r="W46" i="60"/>
  <c r="V47" i="60"/>
  <c r="V46" i="60"/>
  <c r="U47" i="60"/>
  <c r="T47" i="60"/>
  <c r="S47" i="60"/>
  <c r="S46" i="60"/>
  <c r="R47" i="60"/>
  <c r="Q47" i="60"/>
  <c r="P47" i="60"/>
  <c r="O47" i="60"/>
  <c r="O46" i="60"/>
  <c r="AN45" i="60"/>
  <c r="AM45" i="60"/>
  <c r="N45" i="60"/>
  <c r="M45" i="60"/>
  <c r="L45" i="60"/>
  <c r="L44" i="60"/>
  <c r="K45" i="60"/>
  <c r="K44" i="60"/>
  <c r="J45" i="60"/>
  <c r="I45" i="60"/>
  <c r="H45" i="60"/>
  <c r="H44" i="60"/>
  <c r="G45" i="60"/>
  <c r="G44" i="60"/>
  <c r="F45" i="60"/>
  <c r="E45" i="60"/>
  <c r="D45" i="60"/>
  <c r="D44" i="60"/>
  <c r="C45" i="60"/>
  <c r="C44" i="60"/>
  <c r="AL44" i="60"/>
  <c r="AK44" i="60"/>
  <c r="AJ44" i="60"/>
  <c r="AI44" i="60"/>
  <c r="AH44" i="60"/>
  <c r="AG44" i="60"/>
  <c r="AF44" i="60"/>
  <c r="AE44" i="60"/>
  <c r="AD44" i="60"/>
  <c r="AC44" i="60"/>
  <c r="AB44" i="60"/>
  <c r="AA44" i="60"/>
  <c r="Z44" i="60"/>
  <c r="Y44" i="60"/>
  <c r="X44" i="60"/>
  <c r="W44" i="60"/>
  <c r="V44" i="60"/>
  <c r="U44" i="60"/>
  <c r="T44" i="60"/>
  <c r="S44" i="60"/>
  <c r="R44" i="60"/>
  <c r="Q44" i="60"/>
  <c r="P44" i="60"/>
  <c r="O44" i="60"/>
  <c r="N44" i="60"/>
  <c r="M44" i="60"/>
  <c r="I44" i="60"/>
  <c r="E44" i="60"/>
  <c r="AM43" i="60"/>
  <c r="AA43" i="60"/>
  <c r="B43" i="60"/>
  <c r="AM42" i="60"/>
  <c r="AL42" i="60"/>
  <c r="AK42" i="60"/>
  <c r="AJ42" i="60"/>
  <c r="AI42" i="60"/>
  <c r="AH42" i="60"/>
  <c r="AG42" i="60"/>
  <c r="AF42" i="60"/>
  <c r="AE42" i="60"/>
  <c r="AD42" i="60"/>
  <c r="AC42" i="60"/>
  <c r="AB42" i="60"/>
  <c r="AA42" i="60"/>
  <c r="N42" i="60"/>
  <c r="M42" i="60"/>
  <c r="L42" i="60"/>
  <c r="K42" i="60"/>
  <c r="J42" i="60"/>
  <c r="I42" i="60"/>
  <c r="H42" i="60"/>
  <c r="H41" i="60"/>
  <c r="G42" i="60"/>
  <c r="F42" i="60"/>
  <c r="E42" i="60"/>
  <c r="D42" i="60"/>
  <c r="D41" i="60"/>
  <c r="C42" i="60"/>
  <c r="AL41" i="60"/>
  <c r="AK41" i="60"/>
  <c r="AJ41" i="60"/>
  <c r="AI41" i="60"/>
  <c r="AH41" i="60"/>
  <c r="AG41" i="60"/>
  <c r="AF41" i="60"/>
  <c r="AE41" i="60"/>
  <c r="AD41" i="60"/>
  <c r="AC41" i="60"/>
  <c r="AB41" i="60"/>
  <c r="AA41" i="60"/>
  <c r="Z41" i="60"/>
  <c r="Y41" i="60"/>
  <c r="X41" i="60"/>
  <c r="W41" i="60"/>
  <c r="V41" i="60"/>
  <c r="U41" i="60"/>
  <c r="T41" i="60"/>
  <c r="S41" i="60"/>
  <c r="R41" i="60"/>
  <c r="Q41" i="60"/>
  <c r="P41" i="60"/>
  <c r="O41" i="60"/>
  <c r="N41" i="60"/>
  <c r="M41" i="60"/>
  <c r="L41" i="60"/>
  <c r="I41" i="60"/>
  <c r="F41" i="60"/>
  <c r="E41" i="60"/>
  <c r="AM40" i="60"/>
  <c r="AL40" i="60"/>
  <c r="AK40" i="60"/>
  <c r="AJ40" i="60"/>
  <c r="AI40" i="60"/>
  <c r="AH40" i="60"/>
  <c r="AG40" i="60"/>
  <c r="AF40" i="60"/>
  <c r="AE40" i="60"/>
  <c r="AD40" i="60"/>
  <c r="AC40" i="60"/>
  <c r="AB40" i="60"/>
  <c r="AA40" i="60"/>
  <c r="AL39" i="60"/>
  <c r="AK39" i="60"/>
  <c r="AJ39" i="60"/>
  <c r="AI39" i="60"/>
  <c r="AH39" i="60"/>
  <c r="AG39" i="60"/>
  <c r="AF39" i="60"/>
  <c r="AE39" i="60"/>
  <c r="AD39" i="60"/>
  <c r="AC39" i="60"/>
  <c r="AB39" i="60"/>
  <c r="AA39" i="60"/>
  <c r="Z39" i="60"/>
  <c r="Y39" i="60"/>
  <c r="Y33" i="60"/>
  <c r="X39" i="60"/>
  <c r="W39" i="60"/>
  <c r="V39" i="60"/>
  <c r="U39" i="60"/>
  <c r="U33" i="60"/>
  <c r="T39" i="60"/>
  <c r="S39" i="60"/>
  <c r="R39" i="60"/>
  <c r="Q39" i="60"/>
  <c r="Q33" i="60"/>
  <c r="P39" i="60"/>
  <c r="O39" i="60"/>
  <c r="AM38" i="60"/>
  <c r="AL38" i="60"/>
  <c r="AK38" i="60"/>
  <c r="AJ38" i="60"/>
  <c r="AI38" i="60"/>
  <c r="AH38" i="60"/>
  <c r="AG38" i="60"/>
  <c r="AF38" i="60"/>
  <c r="AE38" i="60"/>
  <c r="AD38" i="60"/>
  <c r="AC38" i="60"/>
  <c r="AB38" i="60"/>
  <c r="AA38" i="60"/>
  <c r="AP38" i="60"/>
  <c r="N38" i="60"/>
  <c r="M38" i="60"/>
  <c r="L38" i="60"/>
  <c r="K38" i="60"/>
  <c r="J38" i="60"/>
  <c r="I38" i="60"/>
  <c r="H38" i="60"/>
  <c r="G38" i="60"/>
  <c r="F38" i="60"/>
  <c r="E38" i="60"/>
  <c r="D38" i="60"/>
  <c r="C38" i="60"/>
  <c r="AM37" i="60"/>
  <c r="AA37" i="60"/>
  <c r="AN37" i="60"/>
  <c r="B37" i="60"/>
  <c r="AM36" i="60"/>
  <c r="AL36" i="60"/>
  <c r="AK36" i="60"/>
  <c r="AJ36" i="60"/>
  <c r="AI36" i="60"/>
  <c r="AH36" i="60"/>
  <c r="AG36" i="60"/>
  <c r="AF36" i="60"/>
  <c r="AE36" i="60"/>
  <c r="AD36" i="60"/>
  <c r="AC36" i="60"/>
  <c r="AB36" i="60"/>
  <c r="AA36" i="60"/>
  <c r="AM35" i="60"/>
  <c r="AL35" i="60"/>
  <c r="AK35" i="60"/>
  <c r="AJ35" i="60"/>
  <c r="AI35" i="60"/>
  <c r="AH35" i="60"/>
  <c r="AG35" i="60"/>
  <c r="AF35" i="60"/>
  <c r="AE35" i="60"/>
  <c r="AD35" i="60"/>
  <c r="AC35" i="60"/>
  <c r="AB35" i="60"/>
  <c r="AA35" i="60"/>
  <c r="N35" i="60"/>
  <c r="M35" i="60"/>
  <c r="L35" i="60"/>
  <c r="H35" i="60"/>
  <c r="G35" i="60"/>
  <c r="F35" i="60"/>
  <c r="AN34" i="60"/>
  <c r="AM34" i="60"/>
  <c r="AI33" i="60"/>
  <c r="AN32" i="60"/>
  <c r="AM32" i="60"/>
  <c r="AN31" i="60"/>
  <c r="AM31" i="60"/>
  <c r="AN30" i="60"/>
  <c r="AM30" i="60"/>
  <c r="AN29" i="60"/>
  <c r="AM29" i="60"/>
  <c r="AN28" i="60"/>
  <c r="AM28" i="60"/>
  <c r="N28" i="60"/>
  <c r="M28" i="60"/>
  <c r="L28" i="60"/>
  <c r="K28" i="60"/>
  <c r="J28" i="60"/>
  <c r="I28" i="60"/>
  <c r="H28" i="60"/>
  <c r="G28" i="60"/>
  <c r="F28" i="60"/>
  <c r="E28" i="60"/>
  <c r="D28" i="60"/>
  <c r="C28" i="60"/>
  <c r="AN27" i="60"/>
  <c r="AM27" i="60"/>
  <c r="AN26" i="60"/>
  <c r="AM26" i="60"/>
  <c r="N26" i="60"/>
  <c r="M26" i="60"/>
  <c r="L26" i="60"/>
  <c r="K26" i="60"/>
  <c r="J26" i="60"/>
  <c r="I26" i="60"/>
  <c r="H26" i="60"/>
  <c r="G26" i="60"/>
  <c r="F26" i="60"/>
  <c r="E26" i="60"/>
  <c r="D26" i="60"/>
  <c r="C26" i="60"/>
  <c r="AL25" i="60"/>
  <c r="AK25" i="60"/>
  <c r="AJ25" i="60"/>
  <c r="AI25" i="60"/>
  <c r="AH25" i="60"/>
  <c r="AG25" i="60"/>
  <c r="AF25" i="60"/>
  <c r="AE25" i="60"/>
  <c r="AD25" i="60"/>
  <c r="AC25" i="60"/>
  <c r="AB25" i="60"/>
  <c r="AA25" i="60"/>
  <c r="Z25" i="60"/>
  <c r="Y25" i="60"/>
  <c r="X25" i="60"/>
  <c r="W25" i="60"/>
  <c r="V25" i="60"/>
  <c r="U25" i="60"/>
  <c r="T25" i="60"/>
  <c r="S25" i="60"/>
  <c r="R25" i="60"/>
  <c r="AP25" i="60"/>
  <c r="Q25" i="60"/>
  <c r="P25" i="60"/>
  <c r="O25" i="60"/>
  <c r="AN24" i="60"/>
  <c r="AM24" i="60"/>
  <c r="AN23" i="60"/>
  <c r="AM23" i="60"/>
  <c r="AN22" i="60"/>
  <c r="AM22" i="60"/>
  <c r="AN21" i="60"/>
  <c r="AM21" i="60"/>
  <c r="AL20" i="60"/>
  <c r="AK20" i="60"/>
  <c r="AJ20" i="60"/>
  <c r="AI20" i="60"/>
  <c r="AH20" i="60"/>
  <c r="AG20" i="60"/>
  <c r="AF20" i="60"/>
  <c r="AE20" i="60"/>
  <c r="AD20" i="60"/>
  <c r="AC20" i="60"/>
  <c r="AB20" i="60"/>
  <c r="AA20" i="60"/>
  <c r="Z20" i="60"/>
  <c r="Y20" i="60"/>
  <c r="X20" i="60"/>
  <c r="W20" i="60"/>
  <c r="V20" i="60"/>
  <c r="U20" i="60"/>
  <c r="T20" i="60"/>
  <c r="S20" i="60"/>
  <c r="R20" i="60"/>
  <c r="Q20" i="60"/>
  <c r="Q67" i="60"/>
  <c r="P20" i="60"/>
  <c r="P67" i="60"/>
  <c r="O20" i="60"/>
  <c r="O67" i="60"/>
  <c r="M20" i="60"/>
  <c r="M67" i="60"/>
  <c r="I20" i="60"/>
  <c r="I67" i="60"/>
  <c r="E20" i="60"/>
  <c r="AN19" i="60"/>
  <c r="AM19" i="60"/>
  <c r="AL18" i="60"/>
  <c r="AK18" i="60"/>
  <c r="AJ18" i="60"/>
  <c r="AI18" i="60"/>
  <c r="AH18" i="60"/>
  <c r="AG18" i="60"/>
  <c r="AF18" i="60"/>
  <c r="AE18" i="60"/>
  <c r="AD18" i="60"/>
  <c r="AC18" i="60"/>
  <c r="AB18" i="60"/>
  <c r="AA18" i="60"/>
  <c r="Z18" i="60"/>
  <c r="Y18" i="60"/>
  <c r="X18" i="60"/>
  <c r="W18" i="60"/>
  <c r="V18" i="60"/>
  <c r="U18" i="60"/>
  <c r="T18" i="60"/>
  <c r="S18" i="60"/>
  <c r="R18" i="60"/>
  <c r="Q18" i="60"/>
  <c r="P18" i="60"/>
  <c r="O18" i="60"/>
  <c r="AN17" i="60"/>
  <c r="AM17" i="60"/>
  <c r="AL16" i="60"/>
  <c r="AK16" i="60"/>
  <c r="AJ16" i="60"/>
  <c r="AI16" i="60"/>
  <c r="AH16" i="60"/>
  <c r="AG16" i="60"/>
  <c r="AF16" i="60"/>
  <c r="AE16" i="60"/>
  <c r="AD16" i="60"/>
  <c r="AC16" i="60"/>
  <c r="AB16" i="60"/>
  <c r="AA16" i="60"/>
  <c r="Z16" i="60"/>
  <c r="Y16" i="60"/>
  <c r="X16" i="60"/>
  <c r="W16" i="60"/>
  <c r="V16" i="60"/>
  <c r="U16" i="60"/>
  <c r="T16" i="60"/>
  <c r="S16" i="60"/>
  <c r="R16" i="60"/>
  <c r="AP16" i="60"/>
  <c r="Q16" i="60"/>
  <c r="P16" i="60"/>
  <c r="O16" i="60"/>
  <c r="AN15" i="60"/>
  <c r="AM15" i="60"/>
  <c r="AL14" i="60"/>
  <c r="AK14" i="60"/>
  <c r="AJ14" i="60"/>
  <c r="AJ9" i="60"/>
  <c r="AI14" i="60"/>
  <c r="AH14" i="60"/>
  <c r="AG14" i="60"/>
  <c r="AG9" i="60"/>
  <c r="AF14" i="60"/>
  <c r="AE14" i="60"/>
  <c r="AD14" i="60"/>
  <c r="AC14" i="60"/>
  <c r="AB14" i="60"/>
  <c r="AB9" i="60"/>
  <c r="AA14" i="60"/>
  <c r="Z14" i="60"/>
  <c r="Y14" i="60"/>
  <c r="X14" i="60"/>
  <c r="X9" i="60"/>
  <c r="W14" i="60"/>
  <c r="V14" i="60"/>
  <c r="U14" i="60"/>
  <c r="T14" i="60"/>
  <c r="T9" i="60"/>
  <c r="S14" i="60"/>
  <c r="R14" i="60"/>
  <c r="Q14" i="60"/>
  <c r="Q9" i="60"/>
  <c r="P14" i="60"/>
  <c r="P9" i="60"/>
  <c r="O14" i="60"/>
  <c r="AN13" i="60"/>
  <c r="AM13" i="60"/>
  <c r="N13" i="60"/>
  <c r="M13" i="60"/>
  <c r="L13" i="60"/>
  <c r="K13" i="60"/>
  <c r="J13" i="60"/>
  <c r="I13" i="60"/>
  <c r="H13" i="60"/>
  <c r="G13" i="60"/>
  <c r="F13" i="60"/>
  <c r="E13" i="60"/>
  <c r="AO13" i="60"/>
  <c r="D13" i="60"/>
  <c r="C13" i="60"/>
  <c r="AN12" i="60"/>
  <c r="AM12" i="60"/>
  <c r="N12" i="60"/>
  <c r="M12" i="60"/>
  <c r="L12" i="60"/>
  <c r="K12" i="60"/>
  <c r="J12" i="60"/>
  <c r="I12" i="60"/>
  <c r="H12" i="60"/>
  <c r="G12" i="60"/>
  <c r="F12" i="60"/>
  <c r="E12" i="60"/>
  <c r="D12" i="60"/>
  <c r="C12" i="60"/>
  <c r="AN11" i="60"/>
  <c r="AM11" i="60"/>
  <c r="N11" i="60"/>
  <c r="M11" i="60"/>
  <c r="L11" i="60"/>
  <c r="K11" i="60"/>
  <c r="J11" i="60"/>
  <c r="I11" i="60"/>
  <c r="H11" i="60"/>
  <c r="G11" i="60"/>
  <c r="F11" i="60"/>
  <c r="E11" i="60"/>
  <c r="AO11" i="60"/>
  <c r="D11" i="60"/>
  <c r="C11" i="60"/>
  <c r="AN10" i="60"/>
  <c r="AM10" i="60"/>
  <c r="N10" i="60"/>
  <c r="M10" i="60"/>
  <c r="L10" i="60"/>
  <c r="K10" i="60"/>
  <c r="J10" i="60"/>
  <c r="I10" i="60"/>
  <c r="H10" i="60"/>
  <c r="G10" i="60"/>
  <c r="F10" i="60"/>
  <c r="E10" i="60"/>
  <c r="D10" i="60"/>
  <c r="C10" i="60"/>
  <c r="AK9" i="60"/>
  <c r="AD9" i="60"/>
  <c r="AC9" i="60"/>
  <c r="Y9" i="60"/>
  <c r="U9" i="60"/>
  <c r="AN8" i="60"/>
  <c r="AM8" i="60"/>
  <c r="B8" i="60"/>
  <c r="B7" i="60"/>
  <c r="AL7" i="60"/>
  <c r="AK7" i="60"/>
  <c r="AJ7" i="60"/>
  <c r="AI7" i="60"/>
  <c r="AH7" i="60"/>
  <c r="AG7" i="60"/>
  <c r="AF7" i="60"/>
  <c r="AE7" i="60"/>
  <c r="AD7" i="60"/>
  <c r="AC7" i="60"/>
  <c r="AB7" i="60"/>
  <c r="AA7" i="60"/>
  <c r="Z7" i="60"/>
  <c r="Y7" i="60"/>
  <c r="X7" i="60"/>
  <c r="W7" i="60"/>
  <c r="V7" i="60"/>
  <c r="U7" i="60"/>
  <c r="T7" i="60"/>
  <c r="S7" i="60"/>
  <c r="R7" i="60"/>
  <c r="Q7" i="60"/>
  <c r="P7" i="60"/>
  <c r="O7" i="60"/>
  <c r="N7" i="60"/>
  <c r="M7" i="60"/>
  <c r="L7" i="60"/>
  <c r="K7" i="60"/>
  <c r="J7" i="60"/>
  <c r="I7" i="60"/>
  <c r="H7" i="60"/>
  <c r="G7" i="60"/>
  <c r="F7" i="60"/>
  <c r="E7" i="60"/>
  <c r="D7" i="60"/>
  <c r="C7" i="60"/>
  <c r="V9" i="60"/>
  <c r="Z9" i="60"/>
  <c r="AH9" i="60"/>
  <c r="AL9" i="60"/>
  <c r="W9" i="60"/>
  <c r="S33" i="60"/>
  <c r="O33" i="60"/>
  <c r="W33" i="60"/>
  <c r="AE33" i="60"/>
  <c r="AE56" i="60"/>
  <c r="S9" i="60"/>
  <c r="AI9" i="60"/>
  <c r="AN38" i="60"/>
  <c r="AQ38" i="60"/>
  <c r="AP36" i="60"/>
  <c r="AQ36" i="60"/>
  <c r="AQ39" i="60"/>
  <c r="AQ40" i="60"/>
  <c r="AP41" i="60"/>
  <c r="V33" i="60"/>
  <c r="AQ41" i="60"/>
  <c r="AQ42" i="60"/>
  <c r="AF9" i="60"/>
  <c r="AQ9" i="60"/>
  <c r="AQ14" i="60"/>
  <c r="AO52" i="60"/>
  <c r="E51" i="60"/>
  <c r="AP47" i="60"/>
  <c r="R46" i="60"/>
  <c r="R9" i="60"/>
  <c r="AH33" i="60"/>
  <c r="AH56" i="60"/>
  <c r="AK33" i="60"/>
  <c r="O9" i="60"/>
  <c r="AA9" i="60"/>
  <c r="AE9" i="60"/>
  <c r="AP18" i="60"/>
  <c r="AO26" i="60"/>
  <c r="AO28" i="60"/>
  <c r="AA33" i="60"/>
  <c r="AP35" i="60"/>
  <c r="AD33" i="60"/>
  <c r="AD56" i="60"/>
  <c r="AL33" i="60"/>
  <c r="AL56" i="60"/>
  <c r="AO38" i="60"/>
  <c r="AP37" i="60"/>
  <c r="R33" i="60"/>
  <c r="AP39" i="60"/>
  <c r="Z33" i="60"/>
  <c r="AP42" i="60"/>
  <c r="AQ44" i="60"/>
  <c r="AP51" i="60"/>
  <c r="AO10" i="60"/>
  <c r="AO12" i="60"/>
  <c r="AQ16" i="60"/>
  <c r="AQ18" i="60"/>
  <c r="AP40" i="60"/>
  <c r="AN42" i="60"/>
  <c r="AO45" i="60"/>
  <c r="AQ47" i="60"/>
  <c r="AP49" i="60"/>
  <c r="AQ53" i="60"/>
  <c r="AP14" i="60"/>
  <c r="E67" i="60"/>
  <c r="AQ25" i="60"/>
  <c r="AC33" i="60"/>
  <c r="AC56" i="60"/>
  <c r="Q70" i="60"/>
  <c r="AG33" i="60"/>
  <c r="AO42" i="60"/>
  <c r="AN43" i="60"/>
  <c r="AP43" i="60"/>
  <c r="AP44" i="60"/>
  <c r="AC46" i="60"/>
  <c r="AQ51" i="60"/>
  <c r="AO54" i="60"/>
  <c r="AQ35" i="60"/>
  <c r="AQ20" i="60"/>
  <c r="AN20" i="60"/>
  <c r="AP20" i="60"/>
  <c r="U46" i="60"/>
  <c r="U56" i="60"/>
  <c r="C20" i="60"/>
  <c r="K20" i="60"/>
  <c r="K67" i="60"/>
  <c r="AN39" i="60"/>
  <c r="J44" i="60"/>
  <c r="Y46" i="60"/>
  <c r="Y56" i="60"/>
  <c r="AM16" i="60"/>
  <c r="AN16" i="60"/>
  <c r="AN40" i="60"/>
  <c r="F44" i="60"/>
  <c r="AO44" i="60"/>
  <c r="AN44" i="60"/>
  <c r="AN47" i="60"/>
  <c r="Q46" i="60"/>
  <c r="Q56" i="60"/>
  <c r="AG46" i="60"/>
  <c r="B13" i="60"/>
  <c r="G20" i="60"/>
  <c r="G67" i="60"/>
  <c r="AN25" i="60"/>
  <c r="J41" i="60"/>
  <c r="AN53" i="60"/>
  <c r="D53" i="60"/>
  <c r="H53" i="60"/>
  <c r="AO53" i="60"/>
  <c r="L53" i="60"/>
  <c r="AM9" i="60"/>
  <c r="B10" i="60"/>
  <c r="B12" i="60"/>
  <c r="AN36" i="60"/>
  <c r="AB33" i="60"/>
  <c r="AF33" i="60"/>
  <c r="AJ33" i="60"/>
  <c r="P33" i="60"/>
  <c r="T33" i="60"/>
  <c r="X33" i="60"/>
  <c r="AG56" i="60"/>
  <c r="AG69" i="60"/>
  <c r="O56" i="60"/>
  <c r="O58" i="60"/>
  <c r="S56" i="60"/>
  <c r="S69" i="60"/>
  <c r="W56" i="60"/>
  <c r="W58" i="60"/>
  <c r="W75" i="60"/>
  <c r="AA56" i="60"/>
  <c r="AA69" i="60"/>
  <c r="AI56" i="60"/>
  <c r="W70" i="60"/>
  <c r="H20" i="60"/>
  <c r="H67" i="60"/>
  <c r="C41" i="60"/>
  <c r="G41" i="60"/>
  <c r="AO41" i="60"/>
  <c r="K41" i="60"/>
  <c r="AN51" i="60"/>
  <c r="B11" i="60"/>
  <c r="D20" i="60"/>
  <c r="D67" i="60"/>
  <c r="L20" i="60"/>
  <c r="L67" i="60"/>
  <c r="AN41" i="60"/>
  <c r="AK46" i="60"/>
  <c r="D51" i="60"/>
  <c r="H51" i="60"/>
  <c r="L51" i="60"/>
  <c r="AM14" i="60"/>
  <c r="AN14" i="60"/>
  <c r="N20" i="60"/>
  <c r="N67" i="60"/>
  <c r="AM51" i="60"/>
  <c r="AM53" i="60"/>
  <c r="AM18" i="60"/>
  <c r="AN18" i="60"/>
  <c r="AN35" i="60"/>
  <c r="AM39" i="60"/>
  <c r="AM41" i="60"/>
  <c r="AM47" i="60"/>
  <c r="P46" i="60"/>
  <c r="T46" i="60"/>
  <c r="T56" i="60"/>
  <c r="X46" i="60"/>
  <c r="AF46" i="60"/>
  <c r="AJ46" i="60"/>
  <c r="V56" i="60"/>
  <c r="Z56" i="60"/>
  <c r="AM20" i="60"/>
  <c r="AO22" i="60"/>
  <c r="AM25" i="60"/>
  <c r="B28" i="60"/>
  <c r="AO21" i="60"/>
  <c r="B42" i="60"/>
  <c r="B41" i="60"/>
  <c r="W69" i="60"/>
  <c r="F20" i="60"/>
  <c r="F67" i="60"/>
  <c r="J20" i="60"/>
  <c r="J67" i="60"/>
  <c r="O70" i="60"/>
  <c r="AM7" i="60"/>
  <c r="AN7" i="60"/>
  <c r="B26" i="60"/>
  <c r="AN49" i="60"/>
  <c r="AB46" i="60"/>
  <c r="B38" i="60"/>
  <c r="AM44" i="60"/>
  <c r="AM49" i="60"/>
  <c r="B45" i="60"/>
  <c r="B44" i="60"/>
  <c r="B52" i="60"/>
  <c r="B51" i="60"/>
  <c r="B54" i="60"/>
  <c r="B53" i="60"/>
  <c r="BA8" i="56"/>
  <c r="BA9" i="56"/>
  <c r="BA10" i="56"/>
  <c r="BA11" i="56"/>
  <c r="BA12" i="56"/>
  <c r="BA13" i="56"/>
  <c r="BA14" i="56"/>
  <c r="BA15" i="56"/>
  <c r="BA16" i="56"/>
  <c r="BA17" i="56"/>
  <c r="BA18" i="56"/>
  <c r="BA19" i="56"/>
  <c r="BA20" i="56"/>
  <c r="BA21" i="56"/>
  <c r="BA22" i="56"/>
  <c r="BA23" i="56"/>
  <c r="BA24" i="56"/>
  <c r="BA25" i="56"/>
  <c r="BA26" i="56"/>
  <c r="BA27" i="56"/>
  <c r="BA28" i="56"/>
  <c r="BA29" i="56"/>
  <c r="BA30" i="56"/>
  <c r="BA31" i="56"/>
  <c r="BA32" i="56"/>
  <c r="BA34" i="56"/>
  <c r="BA37" i="56"/>
  <c r="BA38" i="56"/>
  <c r="BA41" i="56"/>
  <c r="BA42" i="56"/>
  <c r="BA43" i="56"/>
  <c r="BA44" i="56"/>
  <c r="BA45" i="56"/>
  <c r="BA46" i="56"/>
  <c r="BA47" i="56"/>
  <c r="BA48" i="56"/>
  <c r="BA49" i="56"/>
  <c r="BA50" i="56"/>
  <c r="BA51" i="56"/>
  <c r="BA52" i="56"/>
  <c r="BA53" i="56"/>
  <c r="BA54" i="56"/>
  <c r="BA55" i="56"/>
  <c r="BA57" i="56"/>
  <c r="BA7" i="56"/>
  <c r="AZ8" i="56"/>
  <c r="AZ10" i="56"/>
  <c r="AZ11" i="56"/>
  <c r="AZ12" i="56"/>
  <c r="AZ13" i="56"/>
  <c r="AZ15" i="56"/>
  <c r="AZ16" i="56"/>
  <c r="AZ17" i="56"/>
  <c r="AZ19" i="56"/>
  <c r="AZ20" i="56"/>
  <c r="AZ21" i="56"/>
  <c r="AZ22" i="56"/>
  <c r="AZ23" i="56"/>
  <c r="AZ24" i="56"/>
  <c r="AZ25" i="56"/>
  <c r="AZ26" i="56"/>
  <c r="AZ27" i="56"/>
  <c r="AZ28" i="56"/>
  <c r="AZ29" i="56"/>
  <c r="AZ30" i="56"/>
  <c r="AZ31" i="56"/>
  <c r="AZ32" i="56"/>
  <c r="AZ34" i="56"/>
  <c r="AZ35" i="56"/>
  <c r="AZ36" i="56"/>
  <c r="AZ37" i="56"/>
  <c r="AZ38" i="56"/>
  <c r="AZ40" i="56"/>
  <c r="AZ41" i="56"/>
  <c r="AZ42" i="56"/>
  <c r="AZ43" i="56"/>
  <c r="AZ44" i="56"/>
  <c r="AZ45" i="56"/>
  <c r="AZ46" i="56"/>
  <c r="AZ47" i="56"/>
  <c r="AZ48" i="56"/>
  <c r="AZ49" i="56"/>
  <c r="AZ50" i="56"/>
  <c r="AZ51" i="56"/>
  <c r="AZ52" i="56"/>
  <c r="AZ53" i="56"/>
  <c r="AZ54" i="56"/>
  <c r="AZ55" i="56"/>
  <c r="AZ57" i="56"/>
  <c r="AZ59" i="56"/>
  <c r="AZ7" i="56"/>
  <c r="AO53" i="56"/>
  <c r="AP53" i="56"/>
  <c r="AQ53" i="56"/>
  <c r="AR53" i="56"/>
  <c r="AS53" i="56"/>
  <c r="AT53" i="56"/>
  <c r="AU53" i="56"/>
  <c r="AV53" i="56"/>
  <c r="AW53" i="56"/>
  <c r="AX53" i="56"/>
  <c r="AY53" i="56"/>
  <c r="AN51" i="56"/>
  <c r="AO51" i="56"/>
  <c r="AP51" i="56"/>
  <c r="AQ51" i="56"/>
  <c r="AR51" i="56"/>
  <c r="AS51" i="56"/>
  <c r="AT51" i="56"/>
  <c r="AU51" i="56"/>
  <c r="AV51" i="56"/>
  <c r="AW51" i="56"/>
  <c r="AX51" i="56"/>
  <c r="AY51" i="56"/>
  <c r="AN49" i="56"/>
  <c r="AO49" i="56"/>
  <c r="AP49" i="56"/>
  <c r="AQ49" i="56"/>
  <c r="AQ46" i="56"/>
  <c r="AR49" i="56"/>
  <c r="AS49" i="56"/>
  <c r="AS46" i="56"/>
  <c r="AT49" i="56"/>
  <c r="AU49" i="56"/>
  <c r="AU46" i="56"/>
  <c r="AV49" i="56"/>
  <c r="AW49" i="56"/>
  <c r="AX49" i="56"/>
  <c r="AY49" i="56"/>
  <c r="AN47" i="56"/>
  <c r="AO47" i="56"/>
  <c r="AP47" i="56"/>
  <c r="AP46" i="56"/>
  <c r="AQ47" i="56"/>
  <c r="AR47" i="56"/>
  <c r="AS47" i="56"/>
  <c r="AT47" i="56"/>
  <c r="AT46" i="56"/>
  <c r="AU47" i="56"/>
  <c r="AV47" i="56"/>
  <c r="AW47" i="56"/>
  <c r="AX47" i="56"/>
  <c r="AX46" i="56"/>
  <c r="AY47" i="56"/>
  <c r="AY46" i="56"/>
  <c r="AN44" i="56"/>
  <c r="AO44" i="56"/>
  <c r="AP44" i="56"/>
  <c r="AQ44" i="56"/>
  <c r="AR44" i="56"/>
  <c r="AS44" i="56"/>
  <c r="AT44" i="56"/>
  <c r="AU44" i="56"/>
  <c r="AV44" i="56"/>
  <c r="AW44" i="56"/>
  <c r="AX44" i="56"/>
  <c r="AY44" i="56"/>
  <c r="AN25" i="56"/>
  <c r="AN20" i="56"/>
  <c r="AN18" i="56"/>
  <c r="AO18" i="56"/>
  <c r="AP18" i="56"/>
  <c r="AQ18" i="56"/>
  <c r="AR18" i="56"/>
  <c r="AS18" i="56"/>
  <c r="AT18" i="56"/>
  <c r="AU18" i="56"/>
  <c r="AV18" i="56"/>
  <c r="AW18" i="56"/>
  <c r="AX18" i="56"/>
  <c r="AY18" i="56"/>
  <c r="AN16" i="56"/>
  <c r="AO16" i="56"/>
  <c r="AP16" i="56"/>
  <c r="AQ16" i="56"/>
  <c r="AR16" i="56"/>
  <c r="AS16" i="56"/>
  <c r="AT16" i="56"/>
  <c r="AU16" i="56"/>
  <c r="AV16" i="56"/>
  <c r="AW16" i="56"/>
  <c r="AX16" i="56"/>
  <c r="AY16" i="56"/>
  <c r="AN14" i="56"/>
  <c r="AO14" i="56"/>
  <c r="AP14" i="56"/>
  <c r="AP9" i="56"/>
  <c r="AQ14" i="56"/>
  <c r="AQ9" i="56"/>
  <c r="AR14" i="56"/>
  <c r="AS14" i="56"/>
  <c r="AT14" i="56"/>
  <c r="AT9" i="56"/>
  <c r="AU14" i="56"/>
  <c r="AU9" i="56"/>
  <c r="AV14" i="56"/>
  <c r="AW14" i="56"/>
  <c r="AX14" i="56"/>
  <c r="AX9" i="56"/>
  <c r="AY14" i="56"/>
  <c r="AY9" i="56"/>
  <c r="AN9" i="56"/>
  <c r="AO25" i="56"/>
  <c r="AP25" i="56"/>
  <c r="AQ25" i="56"/>
  <c r="AR25" i="56"/>
  <c r="AS25" i="56"/>
  <c r="AT25" i="56"/>
  <c r="AU25" i="56"/>
  <c r="AV25" i="56"/>
  <c r="AW25" i="56"/>
  <c r="AX25" i="56"/>
  <c r="AY25" i="56"/>
  <c r="AO20" i="56"/>
  <c r="AP20" i="56"/>
  <c r="AQ20" i="56"/>
  <c r="AR20" i="56"/>
  <c r="AS20" i="56"/>
  <c r="AT20" i="56"/>
  <c r="AU20" i="56"/>
  <c r="AV20" i="56"/>
  <c r="AW20" i="56"/>
  <c r="AX20" i="56"/>
  <c r="AY20" i="56"/>
  <c r="AN35" i="56"/>
  <c r="AN36" i="56"/>
  <c r="AN37" i="56"/>
  <c r="AN38" i="56"/>
  <c r="AN39" i="56"/>
  <c r="AN40" i="56"/>
  <c r="AN41" i="56"/>
  <c r="AN42" i="56"/>
  <c r="AN43" i="56"/>
  <c r="D52" i="56"/>
  <c r="P52" i="56"/>
  <c r="P51" i="56"/>
  <c r="Q52" i="56"/>
  <c r="Q51" i="56"/>
  <c r="E52" i="56"/>
  <c r="R52" i="56"/>
  <c r="R51" i="56"/>
  <c r="F52" i="56"/>
  <c r="S52" i="56"/>
  <c r="S51" i="56"/>
  <c r="G52" i="56"/>
  <c r="T52" i="56"/>
  <c r="T51" i="56"/>
  <c r="H52" i="56"/>
  <c r="U52" i="56"/>
  <c r="U51" i="56"/>
  <c r="I52" i="56"/>
  <c r="V52" i="56"/>
  <c r="V51" i="56"/>
  <c r="J52" i="56"/>
  <c r="W52" i="56"/>
  <c r="W51" i="56"/>
  <c r="K52" i="56"/>
  <c r="X52" i="56"/>
  <c r="X51" i="56"/>
  <c r="L52" i="56"/>
  <c r="Y52" i="56"/>
  <c r="Y51" i="56"/>
  <c r="M52" i="56"/>
  <c r="Z52" i="56"/>
  <c r="Z51" i="56"/>
  <c r="N52" i="56"/>
  <c r="AA52" i="56"/>
  <c r="AA51" i="56"/>
  <c r="AB51" i="56"/>
  <c r="AC51" i="56"/>
  <c r="AC46" i="56"/>
  <c r="AD51" i="56"/>
  <c r="AE51" i="56"/>
  <c r="AF51" i="56"/>
  <c r="AG51" i="56"/>
  <c r="AH51" i="56"/>
  <c r="AH46" i="56"/>
  <c r="AI51" i="56"/>
  <c r="AJ51" i="56"/>
  <c r="AK51" i="56"/>
  <c r="AL51" i="56"/>
  <c r="AL46" i="56"/>
  <c r="AM51" i="56"/>
  <c r="AB49" i="56"/>
  <c r="AC49" i="56"/>
  <c r="AD49" i="56"/>
  <c r="AE49" i="56"/>
  <c r="AE46" i="56"/>
  <c r="AF49" i="56"/>
  <c r="AG49" i="56"/>
  <c r="AH49" i="56"/>
  <c r="AI49" i="56"/>
  <c r="AI46" i="56"/>
  <c r="AJ49" i="56"/>
  <c r="AK49" i="56"/>
  <c r="AL49" i="56"/>
  <c r="AM49" i="56"/>
  <c r="AM46" i="56"/>
  <c r="AB47" i="56"/>
  <c r="AC47" i="56"/>
  <c r="AD47" i="56"/>
  <c r="AE47" i="56"/>
  <c r="AF47" i="56"/>
  <c r="AG47" i="56"/>
  <c r="AH47" i="56"/>
  <c r="AI47" i="56"/>
  <c r="AJ47" i="56"/>
  <c r="AK47" i="56"/>
  <c r="AL47" i="56"/>
  <c r="AM47" i="56"/>
  <c r="P53" i="56"/>
  <c r="Q53" i="56"/>
  <c r="R53" i="56"/>
  <c r="S53" i="56"/>
  <c r="T53" i="56"/>
  <c r="U53" i="56"/>
  <c r="V53" i="56"/>
  <c r="W53" i="56"/>
  <c r="X53" i="56"/>
  <c r="Y53" i="56"/>
  <c r="Z53" i="56"/>
  <c r="AA53" i="56"/>
  <c r="AB46" i="56"/>
  <c r="P44" i="56"/>
  <c r="Q44" i="56"/>
  <c r="R44" i="56"/>
  <c r="S44" i="56"/>
  <c r="T44" i="56"/>
  <c r="U44" i="56"/>
  <c r="V44" i="56"/>
  <c r="W44" i="56"/>
  <c r="X44" i="56"/>
  <c r="Y44" i="56"/>
  <c r="Z44" i="56"/>
  <c r="AA44" i="56"/>
  <c r="AB44" i="56"/>
  <c r="AC44" i="56"/>
  <c r="AD44" i="56"/>
  <c r="AE44" i="56"/>
  <c r="AF44" i="56"/>
  <c r="AG44" i="56"/>
  <c r="AH44" i="56"/>
  <c r="AI44" i="56"/>
  <c r="AJ44" i="56"/>
  <c r="AK44" i="56"/>
  <c r="AL44" i="56"/>
  <c r="AM44" i="56"/>
  <c r="AB39" i="56"/>
  <c r="AC39" i="56"/>
  <c r="AD39" i="56"/>
  <c r="AD33" i="56"/>
  <c r="AE39" i="56"/>
  <c r="AF39" i="56"/>
  <c r="AG39" i="56"/>
  <c r="AH39" i="56"/>
  <c r="AI39" i="56"/>
  <c r="AJ39" i="56"/>
  <c r="AK39" i="56"/>
  <c r="AL39" i="56"/>
  <c r="AL33" i="56"/>
  <c r="AM39" i="56"/>
  <c r="P41" i="56"/>
  <c r="Q41" i="56"/>
  <c r="R41" i="56"/>
  <c r="S41" i="56"/>
  <c r="T41" i="56"/>
  <c r="U41" i="56"/>
  <c r="V41" i="56"/>
  <c r="W41" i="56"/>
  <c r="X41" i="56"/>
  <c r="Y41" i="56"/>
  <c r="Z41" i="56"/>
  <c r="AA41" i="56"/>
  <c r="AB41" i="56"/>
  <c r="AC41" i="56"/>
  <c r="AD41" i="56"/>
  <c r="AE41" i="56"/>
  <c r="AE33" i="56"/>
  <c r="AF41" i="56"/>
  <c r="AF33" i="56"/>
  <c r="AG41" i="56"/>
  <c r="AH41" i="56"/>
  <c r="AI41" i="56"/>
  <c r="AI33" i="56"/>
  <c r="AJ41" i="56"/>
  <c r="AJ33" i="56"/>
  <c r="AK41" i="56"/>
  <c r="AL41" i="56"/>
  <c r="AM41" i="56"/>
  <c r="AM33" i="56"/>
  <c r="AB18" i="56"/>
  <c r="AZ18" i="56"/>
  <c r="AB16" i="56"/>
  <c r="AB14" i="56"/>
  <c r="AZ14" i="56"/>
  <c r="AB20" i="56"/>
  <c r="AY76" i="56"/>
  <c r="AX76" i="56"/>
  <c r="AW76" i="56"/>
  <c r="AV76" i="56"/>
  <c r="AU76" i="56"/>
  <c r="AT76" i="56"/>
  <c r="AS76" i="56"/>
  <c r="AR76" i="56"/>
  <c r="AQ76" i="56"/>
  <c r="AP76" i="56"/>
  <c r="AY70" i="56"/>
  <c r="AX70" i="56"/>
  <c r="AW70" i="56"/>
  <c r="AV70" i="56"/>
  <c r="AU70" i="56"/>
  <c r="AT70" i="56"/>
  <c r="AS70" i="56"/>
  <c r="AR70" i="56"/>
  <c r="AQ70" i="56"/>
  <c r="AP70" i="56"/>
  <c r="AW46" i="56"/>
  <c r="AV46" i="56"/>
  <c r="AR46" i="56"/>
  <c r="AO46" i="56"/>
  <c r="AY42" i="56"/>
  <c r="AX42" i="56"/>
  <c r="AW42" i="56"/>
  <c r="AV42" i="56"/>
  <c r="AU42" i="56"/>
  <c r="AT42" i="56"/>
  <c r="AS42" i="56"/>
  <c r="AR42" i="56"/>
  <c r="AQ42" i="56"/>
  <c r="AP42" i="56"/>
  <c r="AO42" i="56"/>
  <c r="AY41" i="56"/>
  <c r="AX41" i="56"/>
  <c r="AW41" i="56"/>
  <c r="AV41" i="56"/>
  <c r="AU41" i="56"/>
  <c r="AT41" i="56"/>
  <c r="AS41" i="56"/>
  <c r="AR41" i="56"/>
  <c r="AQ41" i="56"/>
  <c r="AP41" i="56"/>
  <c r="AO41" i="56"/>
  <c r="AY40" i="56"/>
  <c r="AY39" i="56"/>
  <c r="AX40" i="56"/>
  <c r="AX39" i="56"/>
  <c r="AX33" i="56"/>
  <c r="AW40" i="56"/>
  <c r="AW39" i="56"/>
  <c r="AW33" i="56"/>
  <c r="AV40" i="56"/>
  <c r="AV39" i="56"/>
  <c r="AU40" i="56"/>
  <c r="AU39" i="56"/>
  <c r="AT40" i="56"/>
  <c r="AT39" i="56"/>
  <c r="AS40" i="56"/>
  <c r="AS39" i="56"/>
  <c r="AR40" i="56"/>
  <c r="AQ40" i="56"/>
  <c r="AQ39" i="56"/>
  <c r="AP40" i="56"/>
  <c r="AP39" i="56"/>
  <c r="AO40" i="56"/>
  <c r="AR39" i="56"/>
  <c r="AY38" i="56"/>
  <c r="AX38" i="56"/>
  <c r="AW38" i="56"/>
  <c r="AV38" i="56"/>
  <c r="AU38" i="56"/>
  <c r="AT38" i="56"/>
  <c r="AS38" i="56"/>
  <c r="AR38" i="56"/>
  <c r="AQ38" i="56"/>
  <c r="AP38" i="56"/>
  <c r="AO38" i="56"/>
  <c r="AY36" i="56"/>
  <c r="AX36" i="56"/>
  <c r="AW36" i="56"/>
  <c r="AV36" i="56"/>
  <c r="AU36" i="56"/>
  <c r="AT36" i="56"/>
  <c r="AS36" i="56"/>
  <c r="AR36" i="56"/>
  <c r="AQ36" i="56"/>
  <c r="AP36" i="56"/>
  <c r="AO36" i="56"/>
  <c r="BA36" i="56"/>
  <c r="AY35" i="56"/>
  <c r="AX35" i="56"/>
  <c r="AW35" i="56"/>
  <c r="AV35" i="56"/>
  <c r="AU35" i="56"/>
  <c r="AT35" i="56"/>
  <c r="AS35" i="56"/>
  <c r="AR35" i="56"/>
  <c r="AQ35" i="56"/>
  <c r="AP35" i="56"/>
  <c r="AO35" i="56"/>
  <c r="BA35" i="56"/>
  <c r="AW9" i="56"/>
  <c r="AV9" i="56"/>
  <c r="AS9" i="56"/>
  <c r="AR9" i="56"/>
  <c r="AO9" i="56"/>
  <c r="AY7" i="56"/>
  <c r="AX7" i="56"/>
  <c r="AW7" i="56"/>
  <c r="AV7" i="56"/>
  <c r="AU7" i="56"/>
  <c r="AT7" i="56"/>
  <c r="AS7" i="56"/>
  <c r="AR7" i="56"/>
  <c r="AQ7" i="56"/>
  <c r="AP7" i="56"/>
  <c r="AO7" i="56"/>
  <c r="AN7" i="56"/>
  <c r="AM53" i="56"/>
  <c r="AL53" i="56"/>
  <c r="AK53" i="56"/>
  <c r="AJ53" i="56"/>
  <c r="AI53" i="56"/>
  <c r="AH53" i="56"/>
  <c r="AG53" i="56"/>
  <c r="AF53" i="56"/>
  <c r="AE53" i="56"/>
  <c r="AD53" i="56"/>
  <c r="AC53" i="56"/>
  <c r="AK46" i="56"/>
  <c r="AJ46" i="56"/>
  <c r="AG46" i="56"/>
  <c r="AF46" i="56"/>
  <c r="AD46" i="56"/>
  <c r="AK33" i="56"/>
  <c r="AH33" i="56"/>
  <c r="AG33" i="56"/>
  <c r="AC33" i="56"/>
  <c r="AM25" i="56"/>
  <c r="AL25" i="56"/>
  <c r="AK25" i="56"/>
  <c r="AJ25" i="56"/>
  <c r="AI25" i="56"/>
  <c r="AH25" i="56"/>
  <c r="AG25" i="56"/>
  <c r="AF25" i="56"/>
  <c r="AE25" i="56"/>
  <c r="AD25" i="56"/>
  <c r="AC25" i="56"/>
  <c r="AM20" i="56"/>
  <c r="AL20" i="56"/>
  <c r="AK20" i="56"/>
  <c r="AJ20" i="56"/>
  <c r="AI20" i="56"/>
  <c r="AH20" i="56"/>
  <c r="AG20" i="56"/>
  <c r="AF20" i="56"/>
  <c r="AE20" i="56"/>
  <c r="AD20" i="56"/>
  <c r="AC20" i="56"/>
  <c r="AM18" i="56"/>
  <c r="AL18" i="56"/>
  <c r="AK18" i="56"/>
  <c r="AJ18" i="56"/>
  <c r="AI18" i="56"/>
  <c r="AH18" i="56"/>
  <c r="AG18" i="56"/>
  <c r="AF18" i="56"/>
  <c r="AE18" i="56"/>
  <c r="AD18" i="56"/>
  <c r="AC18" i="56"/>
  <c r="AC9" i="56"/>
  <c r="AM16" i="56"/>
  <c r="AL16" i="56"/>
  <c r="AK16" i="56"/>
  <c r="AJ16" i="56"/>
  <c r="AI16" i="56"/>
  <c r="AH16" i="56"/>
  <c r="AG16" i="56"/>
  <c r="AF16" i="56"/>
  <c r="AE16" i="56"/>
  <c r="AD16" i="56"/>
  <c r="AC16" i="56"/>
  <c r="AM14" i="56"/>
  <c r="AM9" i="56"/>
  <c r="AL14" i="56"/>
  <c r="AK14" i="56"/>
  <c r="AJ14" i="56"/>
  <c r="AI14" i="56"/>
  <c r="AI9" i="56"/>
  <c r="AH14" i="56"/>
  <c r="AG14" i="56"/>
  <c r="AF14" i="56"/>
  <c r="AE14" i="56"/>
  <c r="AE9" i="56"/>
  <c r="AD14" i="56"/>
  <c r="AC14" i="56"/>
  <c r="AL9" i="56"/>
  <c r="AK9" i="56"/>
  <c r="AH9" i="56"/>
  <c r="AD9" i="56"/>
  <c r="AM7" i="56"/>
  <c r="AL7" i="56"/>
  <c r="AK7" i="56"/>
  <c r="AJ7" i="56"/>
  <c r="AI7" i="56"/>
  <c r="AH7" i="56"/>
  <c r="AG7" i="56"/>
  <c r="AF7" i="56"/>
  <c r="AE7" i="56"/>
  <c r="AD7" i="56"/>
  <c r="AC7" i="56"/>
  <c r="AB7" i="56"/>
  <c r="AV33" i="56"/>
  <c r="BA40" i="56"/>
  <c r="AZ39" i="56"/>
  <c r="AT33" i="56"/>
  <c r="AO39" i="56"/>
  <c r="BA39" i="56"/>
  <c r="AE58" i="60"/>
  <c r="AE69" i="60"/>
  <c r="U70" i="60"/>
  <c r="AO33" i="56"/>
  <c r="AY33" i="56"/>
  <c r="AU33" i="56"/>
  <c r="AU56" i="56"/>
  <c r="AI70" i="56"/>
  <c r="AN9" i="60"/>
  <c r="U58" i="60"/>
  <c r="U75" i="60"/>
  <c r="U69" i="60"/>
  <c r="AF56" i="60"/>
  <c r="T70" i="60"/>
  <c r="AQ46" i="60"/>
  <c r="F79" i="60"/>
  <c r="AP33" i="60"/>
  <c r="AN46" i="60"/>
  <c r="AG58" i="60"/>
  <c r="AG75" i="60"/>
  <c r="AM33" i="60"/>
  <c r="S70" i="60"/>
  <c r="AK56" i="60"/>
  <c r="AK58" i="60"/>
  <c r="AK75" i="60"/>
  <c r="AQ33" i="60"/>
  <c r="AP9" i="60"/>
  <c r="AO51" i="60"/>
  <c r="R56" i="60"/>
  <c r="R58" i="60"/>
  <c r="AJ56" i="60"/>
  <c r="X70" i="60"/>
  <c r="P56" i="60"/>
  <c r="P69" i="60"/>
  <c r="C67" i="60"/>
  <c r="E79" i="60"/>
  <c r="AP46" i="60"/>
  <c r="AA58" i="60"/>
  <c r="AA75" i="60"/>
  <c r="AC58" i="60"/>
  <c r="Q76" i="60"/>
  <c r="AC69" i="60"/>
  <c r="O69" i="60"/>
  <c r="AO57" i="60"/>
  <c r="AO24" i="60"/>
  <c r="AO23" i="60"/>
  <c r="Q69" i="60"/>
  <c r="Q58" i="60"/>
  <c r="Q75" i="60"/>
  <c r="Y58" i="60"/>
  <c r="Y75" i="60"/>
  <c r="Y69" i="60"/>
  <c r="AI58" i="60"/>
  <c r="AI75" i="60"/>
  <c r="X56" i="60"/>
  <c r="X58" i="60"/>
  <c r="X75" i="60"/>
  <c r="AN33" i="60"/>
  <c r="S58" i="60"/>
  <c r="S75" i="60"/>
  <c r="AI69" i="60"/>
  <c r="T69" i="60"/>
  <c r="T58" i="60"/>
  <c r="T75" i="60"/>
  <c r="AM46" i="60"/>
  <c r="AB56" i="60"/>
  <c r="O75" i="60"/>
  <c r="Z58" i="60"/>
  <c r="Z75" i="60"/>
  <c r="Z69" i="60"/>
  <c r="O76" i="60"/>
  <c r="AL58" i="60"/>
  <c r="Z70" i="60"/>
  <c r="AL69" i="60"/>
  <c r="V58" i="60"/>
  <c r="V75" i="60"/>
  <c r="V69" i="60"/>
  <c r="AD58" i="60"/>
  <c r="R70" i="60"/>
  <c r="AD69" i="60"/>
  <c r="S76" i="60"/>
  <c r="AE75" i="60"/>
  <c r="AH58" i="60"/>
  <c r="V70" i="60"/>
  <c r="AH69" i="60"/>
  <c r="R69" i="60"/>
  <c r="AN53" i="56"/>
  <c r="AN46" i="56"/>
  <c r="AS33" i="56"/>
  <c r="AS56" i="56"/>
  <c r="AR33" i="56"/>
  <c r="AP33" i="56"/>
  <c r="AP56" i="56"/>
  <c r="AQ33" i="56"/>
  <c r="AQ56" i="56"/>
  <c r="AT56" i="56"/>
  <c r="AT69" i="56"/>
  <c r="AX56" i="56"/>
  <c r="AX58" i="56"/>
  <c r="AV56" i="56"/>
  <c r="AJ70" i="56"/>
  <c r="AO56" i="56"/>
  <c r="AW56" i="56"/>
  <c r="AW69" i="56"/>
  <c r="AR56" i="56"/>
  <c r="AR69" i="56"/>
  <c r="AY56" i="56"/>
  <c r="AY69" i="56"/>
  <c r="AB53" i="56"/>
  <c r="AB33" i="56"/>
  <c r="AZ33" i="56"/>
  <c r="AB25" i="56"/>
  <c r="AG9" i="56"/>
  <c r="AG56" i="56"/>
  <c r="AG58" i="56"/>
  <c r="AG75" i="56"/>
  <c r="AC56" i="56"/>
  <c r="AC58" i="56"/>
  <c r="AC75" i="56"/>
  <c r="AF9" i="56"/>
  <c r="AF56" i="56"/>
  <c r="AK56" i="56"/>
  <c r="AK69" i="56"/>
  <c r="AJ9" i="56"/>
  <c r="AJ56" i="56"/>
  <c r="AE56" i="56"/>
  <c r="AE69" i="56"/>
  <c r="AI56" i="56"/>
  <c r="AI69" i="56"/>
  <c r="AM56" i="56"/>
  <c r="AM69" i="56"/>
  <c r="AD56" i="56"/>
  <c r="AD69" i="56"/>
  <c r="AH56" i="56"/>
  <c r="AH69" i="56"/>
  <c r="AL56" i="56"/>
  <c r="AL69" i="56"/>
  <c r="AB9" i="56"/>
  <c r="AZ9" i="56"/>
  <c r="AG69" i="56"/>
  <c r="Y70" i="60"/>
  <c r="U76" i="60"/>
  <c r="W76" i="60"/>
  <c r="AK69" i="60"/>
  <c r="AJ58" i="60"/>
  <c r="X76" i="60"/>
  <c r="BA33" i="56"/>
  <c r="AC70" i="56"/>
  <c r="BA56" i="56"/>
  <c r="AO70" i="56"/>
  <c r="AJ69" i="60"/>
  <c r="AC75" i="60"/>
  <c r="AQ56" i="60"/>
  <c r="AE70" i="60"/>
  <c r="P58" i="60"/>
  <c r="P75" i="60"/>
  <c r="AF58" i="60"/>
  <c r="T76" i="60"/>
  <c r="AF69" i="60"/>
  <c r="Y76" i="60"/>
  <c r="AP56" i="60"/>
  <c r="AD70" i="60"/>
  <c r="X69" i="60"/>
  <c r="R75" i="60"/>
  <c r="AM56" i="60"/>
  <c r="AA70" i="60"/>
  <c r="AO20" i="60"/>
  <c r="AL75" i="60"/>
  <c r="Z76" i="60"/>
  <c r="AH75" i="60"/>
  <c r="V76" i="60"/>
  <c r="AD75" i="60"/>
  <c r="R76" i="60"/>
  <c r="P70" i="60"/>
  <c r="AB69" i="60"/>
  <c r="AB58" i="60"/>
  <c r="AP58" i="60"/>
  <c r="AD76" i="60"/>
  <c r="AN56" i="60"/>
  <c r="AB70" i="60"/>
  <c r="AU58" i="56"/>
  <c r="AP58" i="56"/>
  <c r="AD76" i="56"/>
  <c r="AP69" i="56"/>
  <c r="AS69" i="56"/>
  <c r="AS58" i="56"/>
  <c r="AG76" i="56"/>
  <c r="AD70" i="56"/>
  <c r="AQ58" i="56"/>
  <c r="AQ75" i="56"/>
  <c r="AQ69" i="56"/>
  <c r="AE70" i="56"/>
  <c r="AO69" i="56"/>
  <c r="AO58" i="56"/>
  <c r="AM70" i="56"/>
  <c r="AX69" i="56"/>
  <c r="AH70" i="56"/>
  <c r="AR58" i="56"/>
  <c r="AF76" i="56"/>
  <c r="AT58" i="56"/>
  <c r="AT75" i="56"/>
  <c r="AV58" i="56"/>
  <c r="AV75" i="56"/>
  <c r="AV69" i="56"/>
  <c r="AF70" i="56"/>
  <c r="AL70" i="56"/>
  <c r="AG70" i="56"/>
  <c r="AU69" i="56"/>
  <c r="AK70" i="56"/>
  <c r="AY58" i="56"/>
  <c r="AY75" i="56"/>
  <c r="AW58" i="56"/>
  <c r="AK76" i="56"/>
  <c r="AM58" i="56"/>
  <c r="AM75" i="56"/>
  <c r="AB56" i="56"/>
  <c r="AC69" i="56"/>
  <c r="AJ69" i="56"/>
  <c r="AJ58" i="56"/>
  <c r="AJ75" i="56"/>
  <c r="AF58" i="56"/>
  <c r="AF75" i="56"/>
  <c r="AF69" i="56"/>
  <c r="AE58" i="56"/>
  <c r="AE75" i="56"/>
  <c r="AK58" i="56"/>
  <c r="AK75" i="56"/>
  <c r="AH58" i="56"/>
  <c r="AH75" i="56"/>
  <c r="AI58" i="56"/>
  <c r="AI75" i="56"/>
  <c r="AL58" i="56"/>
  <c r="AL75" i="56"/>
  <c r="AD58" i="56"/>
  <c r="AD75" i="56"/>
  <c r="AX75" i="56"/>
  <c r="AL76" i="56"/>
  <c r="AS75" i="56"/>
  <c r="AU75" i="56"/>
  <c r="AI76" i="56"/>
  <c r="AM58" i="60"/>
  <c r="AA76" i="60"/>
  <c r="AP75" i="56"/>
  <c r="AJ75" i="60"/>
  <c r="AB69" i="56"/>
  <c r="AZ56" i="56"/>
  <c r="AN70" i="56"/>
  <c r="AC76" i="56"/>
  <c r="BA58" i="56"/>
  <c r="AO76" i="56"/>
  <c r="AF75" i="60"/>
  <c r="AQ58" i="60"/>
  <c r="AE76" i="60"/>
  <c r="P76" i="60"/>
  <c r="AB75" i="60"/>
  <c r="AN58" i="60"/>
  <c r="AB76" i="60"/>
  <c r="AR75" i="56"/>
  <c r="AE76" i="56"/>
  <c r="AO75" i="56"/>
  <c r="AH76" i="56"/>
  <c r="AW75" i="56"/>
  <c r="AJ76" i="56"/>
  <c r="AM76" i="56"/>
  <c r="AB58" i="56"/>
  <c r="AB75" i="56"/>
  <c r="AZ58" i="56"/>
  <c r="AN76" i="56"/>
  <c r="F25" i="17"/>
  <c r="D9" i="17"/>
  <c r="D7" i="17"/>
  <c r="D14" i="17"/>
  <c r="D16" i="17"/>
  <c r="D18" i="17"/>
  <c r="D20" i="17"/>
  <c r="D25" i="17"/>
  <c r="D39" i="17"/>
  <c r="D33" i="17"/>
  <c r="D41" i="17"/>
  <c r="D44" i="17"/>
  <c r="D47" i="17"/>
  <c r="D49" i="17"/>
  <c r="D51" i="17"/>
  <c r="D53" i="17"/>
  <c r="D46" i="17"/>
  <c r="D56" i="17"/>
  <c r="D16" i="55"/>
  <c r="D31" i="55"/>
  <c r="G34" i="17"/>
  <c r="N103" i="42"/>
  <c r="N94" i="23"/>
  <c r="N95" i="23"/>
  <c r="N96" i="23"/>
  <c r="N102" i="23" s="1"/>
  <c r="N97" i="23"/>
  <c r="N98" i="23"/>
  <c r="N99" i="23"/>
  <c r="N100" i="23"/>
  <c r="N101" i="23"/>
  <c r="N83" i="23"/>
  <c r="N84" i="23"/>
  <c r="N85" i="23"/>
  <c r="N87" i="23"/>
  <c r="N88" i="23"/>
  <c r="N116" i="23"/>
  <c r="N117" i="23"/>
  <c r="N118" i="23"/>
  <c r="N119" i="23"/>
  <c r="N120" i="23"/>
  <c r="O88" i="23"/>
  <c r="O17" i="23"/>
  <c r="P88" i="23"/>
  <c r="P17" i="23"/>
  <c r="Q88" i="23"/>
  <c r="Q17" i="23"/>
  <c r="R88" i="23"/>
  <c r="R17" i="23" s="1"/>
  <c r="S88" i="23"/>
  <c r="S17" i="23"/>
  <c r="T88" i="23"/>
  <c r="T17" i="23" s="1"/>
  <c r="U88" i="23"/>
  <c r="U17" i="23"/>
  <c r="V88" i="23"/>
  <c r="V17" i="23" s="1"/>
  <c r="W88" i="23"/>
  <c r="W17" i="23"/>
  <c r="X88" i="23"/>
  <c r="X17" i="23" s="1"/>
  <c r="Y88" i="23"/>
  <c r="Y17" i="23"/>
  <c r="Z88" i="23"/>
  <c r="Z17" i="23" s="1"/>
  <c r="O102" i="23"/>
  <c r="O18" i="23" s="1"/>
  <c r="P102" i="23"/>
  <c r="P18" i="23" s="1"/>
  <c r="Q102" i="23"/>
  <c r="Q18" i="23" s="1"/>
  <c r="R102" i="23"/>
  <c r="R18" i="23" s="1"/>
  <c r="S102" i="23"/>
  <c r="S18" i="23" s="1"/>
  <c r="T102" i="23"/>
  <c r="T18" i="23" s="1"/>
  <c r="U102" i="23"/>
  <c r="U18" i="23" s="1"/>
  <c r="V102" i="23"/>
  <c r="V18" i="23" s="1"/>
  <c r="W102" i="23"/>
  <c r="W18" i="23" s="1"/>
  <c r="X102" i="23"/>
  <c r="X18" i="23" s="1"/>
  <c r="Y102" i="23"/>
  <c r="Y18" i="23" s="1"/>
  <c r="Z102" i="23"/>
  <c r="Z18" i="23"/>
  <c r="P108" i="23"/>
  <c r="Q108" i="23"/>
  <c r="R108" i="23"/>
  <c r="S108" i="23"/>
  <c r="T108" i="23"/>
  <c r="U108" i="23"/>
  <c r="V108" i="23"/>
  <c r="W108" i="23"/>
  <c r="X108" i="23"/>
  <c r="Y108" i="23"/>
  <c r="Z108" i="23"/>
  <c r="O121" i="23"/>
  <c r="O19" i="23" s="1"/>
  <c r="P121" i="23"/>
  <c r="P19" i="23" s="1"/>
  <c r="Q121" i="23"/>
  <c r="Q19" i="23" s="1"/>
  <c r="R121" i="23"/>
  <c r="R19" i="23" s="1"/>
  <c r="S121" i="23"/>
  <c r="S19" i="23" s="1"/>
  <c r="T121" i="23"/>
  <c r="T19" i="23" s="1"/>
  <c r="U121" i="23"/>
  <c r="U19" i="23"/>
  <c r="V121" i="23"/>
  <c r="V19" i="23" s="1"/>
  <c r="W121" i="23"/>
  <c r="W19" i="23" s="1"/>
  <c r="X121" i="23"/>
  <c r="X19" i="23" s="1"/>
  <c r="Y121" i="23"/>
  <c r="Y19" i="23" s="1"/>
  <c r="Z121" i="23"/>
  <c r="Z19" i="23" s="1"/>
  <c r="N125" i="23"/>
  <c r="N126" i="23" s="1"/>
  <c r="N20" i="23" s="1"/>
  <c r="H17" i="22" s="1"/>
  <c r="S7" i="17"/>
  <c r="T7" i="17"/>
  <c r="U7" i="17"/>
  <c r="V7" i="17"/>
  <c r="W7" i="17"/>
  <c r="X7" i="17"/>
  <c r="Y7" i="17"/>
  <c r="Z7" i="17"/>
  <c r="O126" i="23"/>
  <c r="O20" i="23" s="1"/>
  <c r="O113" i="23"/>
  <c r="O21" i="23"/>
  <c r="P126" i="23"/>
  <c r="P20" i="23" s="1"/>
  <c r="P113" i="23"/>
  <c r="P21" i="23"/>
  <c r="Q126" i="23"/>
  <c r="Q20" i="23"/>
  <c r="Q113" i="23"/>
  <c r="Q21" i="23"/>
  <c r="R126" i="23"/>
  <c r="R20" i="23" s="1"/>
  <c r="R113" i="23"/>
  <c r="R21" i="23"/>
  <c r="S126" i="23"/>
  <c r="S20" i="23"/>
  <c r="S113" i="23"/>
  <c r="S21" i="23"/>
  <c r="T126" i="23"/>
  <c r="T20" i="23" s="1"/>
  <c r="T113" i="23"/>
  <c r="T21" i="23"/>
  <c r="U126" i="23"/>
  <c r="U20" i="23" s="1"/>
  <c r="U113" i="23"/>
  <c r="U21" i="23"/>
  <c r="V126" i="23"/>
  <c r="V20" i="23" s="1"/>
  <c r="V113" i="23"/>
  <c r="V21" i="23"/>
  <c r="W126" i="23"/>
  <c r="W20" i="23" s="1"/>
  <c r="W113" i="23"/>
  <c r="W21" i="23"/>
  <c r="X126" i="23"/>
  <c r="X20" i="23" s="1"/>
  <c r="X113" i="23"/>
  <c r="X21" i="23"/>
  <c r="Y126" i="23"/>
  <c r="Y20" i="23" s="1"/>
  <c r="Y113" i="23"/>
  <c r="Y21" i="23"/>
  <c r="Z126" i="23"/>
  <c r="Z20" i="23" s="1"/>
  <c r="Z113" i="23"/>
  <c r="Z21" i="23"/>
  <c r="P100" i="42"/>
  <c r="Q100" i="42"/>
  <c r="R100" i="42"/>
  <c r="O100" i="42"/>
  <c r="O118" i="2"/>
  <c r="O18" i="2" s="1"/>
  <c r="O103" i="42"/>
  <c r="O17" i="42"/>
  <c r="D13" i="56"/>
  <c r="Q13" i="56"/>
  <c r="P13" i="56"/>
  <c r="S57" i="56"/>
  <c r="V57" i="56"/>
  <c r="AA57" i="56"/>
  <c r="P24" i="56"/>
  <c r="U23" i="56"/>
  <c r="Y23" i="56"/>
  <c r="P23" i="56"/>
  <c r="U22" i="56"/>
  <c r="Y22" i="56"/>
  <c r="Q22" i="56"/>
  <c r="U21" i="56"/>
  <c r="Y21" i="56"/>
  <c r="Q21" i="56"/>
  <c r="P103" i="42"/>
  <c r="P17" i="42"/>
  <c r="Q103" i="42"/>
  <c r="Q17" i="42"/>
  <c r="R103" i="42"/>
  <c r="R17" i="42"/>
  <c r="N17" i="42"/>
  <c r="G14" i="41"/>
  <c r="E13" i="17"/>
  <c r="F13" i="17"/>
  <c r="G13" i="17"/>
  <c r="G20" i="17"/>
  <c r="G25" i="17"/>
  <c r="P118" i="2"/>
  <c r="P18" i="2" s="1"/>
  <c r="Q118" i="2"/>
  <c r="Q18" i="2" s="1"/>
  <c r="R118" i="2"/>
  <c r="R18" i="2"/>
  <c r="S118" i="2"/>
  <c r="S18" i="2"/>
  <c r="T118" i="2"/>
  <c r="T18" i="2"/>
  <c r="U118" i="2"/>
  <c r="U18" i="2" s="1"/>
  <c r="Y14" i="59"/>
  <c r="Y26" i="59"/>
  <c r="X14" i="59"/>
  <c r="X26" i="59"/>
  <c r="W14" i="59"/>
  <c r="W26" i="59"/>
  <c r="V14" i="59"/>
  <c r="V26" i="59"/>
  <c r="U14" i="59"/>
  <c r="U26" i="59"/>
  <c r="T14" i="59"/>
  <c r="T26" i="59"/>
  <c r="S14" i="59"/>
  <c r="S26" i="59"/>
  <c r="R14" i="59"/>
  <c r="R26" i="59"/>
  <c r="Q14" i="59"/>
  <c r="Q26" i="59"/>
  <c r="P14" i="59"/>
  <c r="P26" i="59"/>
  <c r="O14" i="59"/>
  <c r="O26" i="59"/>
  <c r="N14" i="59"/>
  <c r="N26" i="59"/>
  <c r="E21" i="17"/>
  <c r="B21" i="60"/>
  <c r="B20" i="60"/>
  <c r="E22" i="17"/>
  <c r="B22" i="60"/>
  <c r="E23" i="17"/>
  <c r="B23" i="60"/>
  <c r="E24" i="17"/>
  <c r="B24" i="60"/>
  <c r="L26" i="59"/>
  <c r="L25" i="59"/>
  <c r="E25" i="59"/>
  <c r="A25" i="59"/>
  <c r="L24" i="59"/>
  <c r="E24" i="59"/>
  <c r="A24" i="59"/>
  <c r="L23" i="59"/>
  <c r="E23" i="59"/>
  <c r="A23" i="59"/>
  <c r="L22" i="59"/>
  <c r="E22" i="59"/>
  <c r="A22" i="59"/>
  <c r="L21" i="59"/>
  <c r="E21" i="59"/>
  <c r="A21" i="59"/>
  <c r="L20" i="59"/>
  <c r="E20" i="59"/>
  <c r="A20" i="59"/>
  <c r="Y19" i="59"/>
  <c r="X19" i="59"/>
  <c r="W19" i="59"/>
  <c r="V19" i="59"/>
  <c r="U19" i="59"/>
  <c r="T19" i="59"/>
  <c r="S19" i="59"/>
  <c r="R19" i="59"/>
  <c r="Q19" i="59"/>
  <c r="P19" i="59"/>
  <c r="O19" i="59"/>
  <c r="N19" i="59"/>
  <c r="L19" i="59"/>
  <c r="E19" i="59"/>
  <c r="A19" i="59"/>
  <c r="Y18" i="59"/>
  <c r="X18" i="59"/>
  <c r="W18" i="59"/>
  <c r="V18" i="59"/>
  <c r="U18" i="59"/>
  <c r="T18" i="59"/>
  <c r="S18" i="59"/>
  <c r="R18" i="59"/>
  <c r="Q18" i="59"/>
  <c r="P18" i="59"/>
  <c r="O18" i="59"/>
  <c r="N18" i="59"/>
  <c r="L18" i="59"/>
  <c r="E18" i="59"/>
  <c r="A18" i="59"/>
  <c r="Y16" i="59"/>
  <c r="X16" i="59"/>
  <c r="W16" i="59"/>
  <c r="V16" i="59"/>
  <c r="U16" i="59"/>
  <c r="T16" i="59"/>
  <c r="S16" i="59"/>
  <c r="R16" i="59"/>
  <c r="Q16" i="59"/>
  <c r="P16" i="59"/>
  <c r="O16" i="59"/>
  <c r="N16" i="59"/>
  <c r="L16" i="59"/>
  <c r="E16" i="59"/>
  <c r="A16" i="59"/>
  <c r="Y15" i="59"/>
  <c r="X15" i="59"/>
  <c r="W15" i="59"/>
  <c r="V15" i="59"/>
  <c r="U15" i="59"/>
  <c r="T15" i="59"/>
  <c r="S15" i="59"/>
  <c r="R15" i="59"/>
  <c r="Q15" i="59"/>
  <c r="P15" i="59"/>
  <c r="O15" i="59"/>
  <c r="N15" i="59"/>
  <c r="L15" i="59"/>
  <c r="E15" i="59"/>
  <c r="A15" i="59"/>
  <c r="L14" i="59"/>
  <c r="E14" i="59"/>
  <c r="A14" i="59"/>
  <c r="M9" i="59"/>
  <c r="D7" i="59"/>
  <c r="B7" i="59"/>
  <c r="M6" i="59"/>
  <c r="B5" i="59"/>
  <c r="P97" i="57"/>
  <c r="Q97" i="57"/>
  <c r="R97" i="57"/>
  <c r="S97" i="57"/>
  <c r="S17" i="57"/>
  <c r="S20" i="57"/>
  <c r="T97" i="57"/>
  <c r="U97" i="57"/>
  <c r="V97" i="57"/>
  <c r="W97" i="57"/>
  <c r="W17" i="57"/>
  <c r="W20" i="57"/>
  <c r="X97" i="57"/>
  <c r="Y97" i="57"/>
  <c r="Z97" i="57"/>
  <c r="O97" i="57"/>
  <c r="O17" i="57"/>
  <c r="N91" i="57"/>
  <c r="N92" i="57"/>
  <c r="N93" i="57"/>
  <c r="N94" i="57"/>
  <c r="N95" i="57"/>
  <c r="N96" i="57"/>
  <c r="D98" i="57"/>
  <c r="N142" i="57"/>
  <c r="Z141" i="57"/>
  <c r="Y141" i="57"/>
  <c r="X141" i="57"/>
  <c r="W141" i="57"/>
  <c r="V141" i="57"/>
  <c r="U141" i="57"/>
  <c r="T141" i="57"/>
  <c r="S141" i="57"/>
  <c r="R141" i="57"/>
  <c r="Q141" i="57"/>
  <c r="P141" i="57"/>
  <c r="O141" i="57"/>
  <c r="D141" i="57"/>
  <c r="C141" i="57"/>
  <c r="A141" i="57"/>
  <c r="Z140" i="57"/>
  <c r="Y140" i="57"/>
  <c r="X140" i="57"/>
  <c r="W140" i="57"/>
  <c r="V140" i="57"/>
  <c r="U140" i="57"/>
  <c r="T140" i="57"/>
  <c r="S140" i="57"/>
  <c r="R140" i="57"/>
  <c r="Q140" i="57"/>
  <c r="P140" i="57"/>
  <c r="O140" i="57"/>
  <c r="D140" i="57"/>
  <c r="C140" i="57"/>
  <c r="A140" i="57"/>
  <c r="Z139" i="57"/>
  <c r="Y139" i="57"/>
  <c r="X139" i="57"/>
  <c r="W139" i="57"/>
  <c r="V139" i="57"/>
  <c r="U139" i="57"/>
  <c r="T139" i="57"/>
  <c r="S139" i="57"/>
  <c r="R139" i="57"/>
  <c r="Q139" i="57"/>
  <c r="P139" i="57"/>
  <c r="O139" i="57"/>
  <c r="D139" i="57"/>
  <c r="C139" i="57"/>
  <c r="A139" i="57"/>
  <c r="D138" i="57"/>
  <c r="C138" i="57"/>
  <c r="A138" i="57"/>
  <c r="D137" i="57"/>
  <c r="C137" i="57"/>
  <c r="A137" i="57"/>
  <c r="D136" i="57"/>
  <c r="C136" i="57"/>
  <c r="A136" i="57"/>
  <c r="D135" i="57"/>
  <c r="C135" i="57"/>
  <c r="A135" i="57"/>
  <c r="D134" i="57"/>
  <c r="C134" i="57"/>
  <c r="A134" i="57"/>
  <c r="D133" i="57"/>
  <c r="C133" i="57"/>
  <c r="A133" i="57"/>
  <c r="D132" i="57"/>
  <c r="C132" i="57"/>
  <c r="A132" i="57"/>
  <c r="A128" i="57"/>
  <c r="Z127" i="57"/>
  <c r="Y127" i="57"/>
  <c r="X127" i="57"/>
  <c r="W127" i="57"/>
  <c r="V127" i="57"/>
  <c r="U127" i="57"/>
  <c r="T127" i="57"/>
  <c r="S127" i="57"/>
  <c r="R127" i="57"/>
  <c r="Q127" i="57"/>
  <c r="P127" i="57"/>
  <c r="O127" i="57"/>
  <c r="M127" i="57"/>
  <c r="L127" i="57"/>
  <c r="N126" i="57"/>
  <c r="N125" i="57"/>
  <c r="N127" i="57"/>
  <c r="N124" i="57"/>
  <c r="N123" i="57"/>
  <c r="A121" i="57"/>
  <c r="Z120" i="57"/>
  <c r="Y120" i="57"/>
  <c r="X120" i="57"/>
  <c r="W120" i="57"/>
  <c r="V120" i="57"/>
  <c r="U120" i="57"/>
  <c r="T120" i="57"/>
  <c r="S120" i="57"/>
  <c r="R120" i="57"/>
  <c r="Q120" i="57"/>
  <c r="P120" i="57"/>
  <c r="O120" i="57"/>
  <c r="M120" i="57"/>
  <c r="L120" i="57"/>
  <c r="N119" i="57"/>
  <c r="N118" i="57"/>
  <c r="N117" i="57"/>
  <c r="N116" i="57"/>
  <c r="A114" i="57"/>
  <c r="P137" i="57"/>
  <c r="Q136" i="57"/>
  <c r="A113" i="57"/>
  <c r="R135" i="57"/>
  <c r="A98" i="57"/>
  <c r="Z17" i="57"/>
  <c r="X17" i="57"/>
  <c r="X20" i="57"/>
  <c r="V17" i="57"/>
  <c r="T17" i="57"/>
  <c r="T20" i="57"/>
  <c r="R17" i="57"/>
  <c r="P17" i="57"/>
  <c r="P20" i="57"/>
  <c r="M97" i="57"/>
  <c r="M17" i="57"/>
  <c r="L97" i="57"/>
  <c r="N90" i="57"/>
  <c r="N89" i="57"/>
  <c r="N88" i="57"/>
  <c r="N97" i="57"/>
  <c r="A86" i="57"/>
  <c r="A78" i="57"/>
  <c r="A72" i="57"/>
  <c r="A66" i="57"/>
  <c r="A60" i="57"/>
  <c r="A54" i="57"/>
  <c r="A48" i="57"/>
  <c r="A42" i="57"/>
  <c r="A36" i="57"/>
  <c r="A30" i="57"/>
  <c r="A24" i="57"/>
  <c r="Z138" i="57"/>
  <c r="X138" i="57"/>
  <c r="W138" i="57"/>
  <c r="V138" i="57"/>
  <c r="T138" i="57"/>
  <c r="S138" i="57"/>
  <c r="R138" i="57"/>
  <c r="P138" i="57"/>
  <c r="Z137" i="57"/>
  <c r="Y137" i="57"/>
  <c r="W137" i="57"/>
  <c r="V137" i="57"/>
  <c r="U137" i="57"/>
  <c r="S137" i="57"/>
  <c r="R137" i="57"/>
  <c r="Q137" i="57"/>
  <c r="O137" i="57"/>
  <c r="Z136" i="57"/>
  <c r="X136" i="57"/>
  <c r="W136" i="57"/>
  <c r="V136" i="57"/>
  <c r="T136" i="57"/>
  <c r="S136" i="57"/>
  <c r="R136" i="57"/>
  <c r="P136" i="57"/>
  <c r="Y135" i="57"/>
  <c r="X135" i="57"/>
  <c r="W135" i="57"/>
  <c r="U135" i="57"/>
  <c r="T135" i="57"/>
  <c r="S135" i="57"/>
  <c r="Q135" i="57"/>
  <c r="P135" i="57"/>
  <c r="O135" i="57"/>
  <c r="Z134" i="57"/>
  <c r="X134" i="57"/>
  <c r="W134" i="57"/>
  <c r="V134" i="57"/>
  <c r="T134" i="57"/>
  <c r="S134" i="57"/>
  <c r="R134" i="57"/>
  <c r="P134" i="57"/>
  <c r="Z133" i="57"/>
  <c r="Y133" i="57"/>
  <c r="V133" i="57"/>
  <c r="R133" i="57"/>
  <c r="Q133" i="57"/>
  <c r="Y17" i="57"/>
  <c r="U17" i="57"/>
  <c r="Q17" i="57"/>
  <c r="L17" i="57"/>
  <c r="B10" i="57"/>
  <c r="R132" i="57"/>
  <c r="V132" i="57"/>
  <c r="Z132" i="57"/>
  <c r="Q132" i="57"/>
  <c r="Y132" i="57"/>
  <c r="M20" i="57"/>
  <c r="N17" i="57"/>
  <c r="N20" i="57"/>
  <c r="N120" i="57"/>
  <c r="U132" i="57"/>
  <c r="U20" i="57"/>
  <c r="T137" i="57"/>
  <c r="X137" i="57"/>
  <c r="U136" i="57"/>
  <c r="Y136" i="57"/>
  <c r="O133" i="57"/>
  <c r="X133" i="57"/>
  <c r="P133" i="57"/>
  <c r="T133" i="57"/>
  <c r="S133" i="57"/>
  <c r="W133" i="57"/>
  <c r="V135" i="57"/>
  <c r="Z135" i="57"/>
  <c r="Q20" i="57"/>
  <c r="Y20" i="57"/>
  <c r="S132" i="57"/>
  <c r="Q138" i="57"/>
  <c r="R20" i="57"/>
  <c r="V20" i="57"/>
  <c r="Z20" i="57"/>
  <c r="P132" i="57"/>
  <c r="T132" i="57"/>
  <c r="X132" i="57"/>
  <c r="U133" i="57"/>
  <c r="O132" i="57"/>
  <c r="W132" i="57"/>
  <c r="Q134" i="57"/>
  <c r="Y134" i="57"/>
  <c r="Y138" i="57"/>
  <c r="O20" i="57"/>
  <c r="O134" i="57"/>
  <c r="O138" i="57"/>
  <c r="U134" i="57"/>
  <c r="O136" i="57"/>
  <c r="U138" i="57"/>
  <c r="Q24" i="56"/>
  <c r="Q57" i="56"/>
  <c r="R21" i="56"/>
  <c r="R22" i="56"/>
  <c r="R23" i="56"/>
  <c r="R20" i="56"/>
  <c r="R24" i="56"/>
  <c r="E13" i="56"/>
  <c r="R13" i="56"/>
  <c r="R57" i="56"/>
  <c r="S21" i="56"/>
  <c r="S22" i="56"/>
  <c r="S23" i="56"/>
  <c r="S24" i="56"/>
  <c r="F13" i="56"/>
  <c r="S13" i="56"/>
  <c r="T21" i="56"/>
  <c r="T22" i="56"/>
  <c r="T23" i="56"/>
  <c r="T24" i="56"/>
  <c r="G35" i="56"/>
  <c r="G13" i="56"/>
  <c r="T13" i="56"/>
  <c r="T57" i="56"/>
  <c r="U24" i="56"/>
  <c r="H35" i="56"/>
  <c r="U35" i="56"/>
  <c r="U13" i="56"/>
  <c r="U57" i="56"/>
  <c r="V21" i="56"/>
  <c r="V22" i="56"/>
  <c r="V23" i="56"/>
  <c r="V24" i="56"/>
  <c r="I35" i="56"/>
  <c r="V35" i="56"/>
  <c r="W21" i="56"/>
  <c r="W22" i="56"/>
  <c r="W23" i="56"/>
  <c r="W24" i="56"/>
  <c r="X21" i="56"/>
  <c r="X22" i="56"/>
  <c r="X20" i="56"/>
  <c r="X23" i="56"/>
  <c r="X24" i="56"/>
  <c r="X57" i="56"/>
  <c r="Y24" i="56"/>
  <c r="Y57" i="56"/>
  <c r="Z21" i="56"/>
  <c r="Z22" i="56"/>
  <c r="Z23" i="56"/>
  <c r="Z24" i="56"/>
  <c r="Z57" i="56"/>
  <c r="AA21" i="56"/>
  <c r="AA22" i="56"/>
  <c r="AA23" i="56"/>
  <c r="AA24" i="56"/>
  <c r="P22" i="56"/>
  <c r="P57" i="56"/>
  <c r="E20" i="56"/>
  <c r="F20" i="56"/>
  <c r="G20" i="56"/>
  <c r="I20" i="56"/>
  <c r="J20" i="56"/>
  <c r="K20" i="56"/>
  <c r="M20" i="56"/>
  <c r="N20" i="56"/>
  <c r="O20" i="56"/>
  <c r="O142" i="57"/>
  <c r="V142" i="57"/>
  <c r="R142" i="57"/>
  <c r="U142" i="57"/>
  <c r="P142" i="57"/>
  <c r="Y142" i="57"/>
  <c r="W142" i="57"/>
  <c r="T142" i="57"/>
  <c r="Z142" i="57"/>
  <c r="Q142" i="57"/>
  <c r="X142" i="57"/>
  <c r="S142" i="57"/>
  <c r="O52" i="56"/>
  <c r="B52" i="56"/>
  <c r="E52" i="17"/>
  <c r="N179" i="20"/>
  <c r="D178" i="20"/>
  <c r="C178" i="20"/>
  <c r="B178" i="20"/>
  <c r="A178" i="20"/>
  <c r="D177" i="20"/>
  <c r="C177" i="20"/>
  <c r="B177" i="20"/>
  <c r="A177" i="20"/>
  <c r="D176" i="20"/>
  <c r="C176" i="20"/>
  <c r="B176" i="20"/>
  <c r="A176" i="20"/>
  <c r="D175" i="20"/>
  <c r="C175" i="20"/>
  <c r="B175" i="20"/>
  <c r="A175" i="20"/>
  <c r="D174" i="20"/>
  <c r="C174" i="20"/>
  <c r="B174" i="20"/>
  <c r="A174" i="20"/>
  <c r="D173" i="20"/>
  <c r="C173" i="20"/>
  <c r="B173" i="20"/>
  <c r="A173" i="20"/>
  <c r="D172" i="20"/>
  <c r="C172" i="20"/>
  <c r="B172" i="20"/>
  <c r="A172" i="20"/>
  <c r="D171" i="20"/>
  <c r="C171" i="20"/>
  <c r="B171" i="20"/>
  <c r="A171" i="20"/>
  <c r="D170" i="20"/>
  <c r="C170" i="20"/>
  <c r="B170" i="20"/>
  <c r="A170" i="20"/>
  <c r="D169" i="20"/>
  <c r="C169" i="20"/>
  <c r="B169" i="20"/>
  <c r="A169" i="20"/>
  <c r="Z165" i="20"/>
  <c r="Y165" i="20"/>
  <c r="X165" i="20"/>
  <c r="X26" i="20"/>
  <c r="W165" i="20"/>
  <c r="V165" i="20"/>
  <c r="U165" i="20"/>
  <c r="T165" i="20"/>
  <c r="T26" i="20"/>
  <c r="S165" i="20"/>
  <c r="R165" i="20"/>
  <c r="Q165" i="20"/>
  <c r="P165" i="20"/>
  <c r="P26" i="20"/>
  <c r="P178" i="20"/>
  <c r="O165" i="20"/>
  <c r="M165" i="20"/>
  <c r="L165" i="20"/>
  <c r="N164" i="20"/>
  <c r="N163" i="20"/>
  <c r="N162" i="20"/>
  <c r="N165" i="20"/>
  <c r="N26" i="20"/>
  <c r="A161" i="20"/>
  <c r="Z160" i="20"/>
  <c r="Y160" i="20"/>
  <c r="X160" i="20"/>
  <c r="W160" i="20"/>
  <c r="V160" i="20"/>
  <c r="U160" i="20"/>
  <c r="T160" i="20"/>
  <c r="S160" i="20"/>
  <c r="R160" i="20"/>
  <c r="R25" i="20"/>
  <c r="Q160" i="20"/>
  <c r="Q25" i="20"/>
  <c r="P160" i="20"/>
  <c r="O160" i="20"/>
  <c r="M160" i="20"/>
  <c r="L160" i="20"/>
  <c r="A156" i="20"/>
  <c r="Z155" i="20"/>
  <c r="Y155" i="20"/>
  <c r="X155" i="20"/>
  <c r="W155" i="20"/>
  <c r="V155" i="20"/>
  <c r="U155" i="20"/>
  <c r="T155" i="20"/>
  <c r="S155" i="20"/>
  <c r="R155" i="20"/>
  <c r="Q155" i="20"/>
  <c r="P155" i="20"/>
  <c r="O155" i="20"/>
  <c r="M155" i="20"/>
  <c r="L155" i="20"/>
  <c r="N154" i="20"/>
  <c r="N155" i="20" s="1"/>
  <c r="N24" i="20" s="1"/>
  <c r="H24" i="18" s="1"/>
  <c r="A152" i="20"/>
  <c r="Z23" i="20"/>
  <c r="W23" i="20"/>
  <c r="V23" i="20"/>
  <c r="R23" i="20"/>
  <c r="O23" i="20"/>
  <c r="M151" i="20"/>
  <c r="M23" i="20"/>
  <c r="M110" i="20"/>
  <c r="M21" i="20"/>
  <c r="M27" i="20"/>
  <c r="L151" i="20"/>
  <c r="N149" i="20"/>
  <c r="N148" i="20"/>
  <c r="A146" i="20"/>
  <c r="Z145" i="20"/>
  <c r="Y145" i="20"/>
  <c r="X145" i="20"/>
  <c r="X22" i="20"/>
  <c r="W145" i="20"/>
  <c r="V145" i="20"/>
  <c r="U145" i="20"/>
  <c r="T145" i="20"/>
  <c r="T22" i="20"/>
  <c r="S145" i="20"/>
  <c r="S22" i="20" s="1"/>
  <c r="R145" i="20"/>
  <c r="R22" i="20" s="1"/>
  <c r="Q145" i="20"/>
  <c r="P145" i="20"/>
  <c r="P22" i="20" s="1"/>
  <c r="O145" i="20"/>
  <c r="O22" i="20" s="1"/>
  <c r="Q22" i="20"/>
  <c r="U22" i="20"/>
  <c r="V22" i="20"/>
  <c r="W22" i="20"/>
  <c r="Y22" i="20"/>
  <c r="Z22" i="20"/>
  <c r="M145" i="20"/>
  <c r="L145" i="20"/>
  <c r="N144" i="20"/>
  <c r="N143" i="20"/>
  <c r="A111" i="20"/>
  <c r="Z110" i="20"/>
  <c r="Y110" i="20"/>
  <c r="X110" i="20"/>
  <c r="X21" i="20"/>
  <c r="W110" i="20"/>
  <c r="V110" i="20"/>
  <c r="V21" i="20" s="1"/>
  <c r="V27" i="20" s="1"/>
  <c r="U110" i="20"/>
  <c r="T110" i="20"/>
  <c r="T21" i="20" s="1"/>
  <c r="T27" i="20" s="1"/>
  <c r="S110" i="20"/>
  <c r="R110" i="20"/>
  <c r="R21" i="20" s="1"/>
  <c r="Q110" i="20"/>
  <c r="Q21" i="20" s="1"/>
  <c r="P110" i="20"/>
  <c r="P21" i="20" s="1"/>
  <c r="O110" i="20"/>
  <c r="O21" i="20"/>
  <c r="L110" i="20"/>
  <c r="A105" i="20"/>
  <c r="Z104" i="20"/>
  <c r="Z20" i="20"/>
  <c r="Y104" i="20"/>
  <c r="X104" i="20"/>
  <c r="W104" i="20"/>
  <c r="W20" i="20"/>
  <c r="V104" i="20"/>
  <c r="V20" i="20"/>
  <c r="U104" i="20"/>
  <c r="T104" i="20"/>
  <c r="T20" i="20"/>
  <c r="S104" i="20"/>
  <c r="S20" i="20"/>
  <c r="R104" i="20"/>
  <c r="R20" i="20" s="1"/>
  <c r="Q104" i="20"/>
  <c r="Q20" i="20" s="1"/>
  <c r="P104" i="20"/>
  <c r="P20" i="20" s="1"/>
  <c r="O104" i="20"/>
  <c r="O20" i="20" s="1"/>
  <c r="M104" i="20"/>
  <c r="L104" i="20"/>
  <c r="N103" i="20"/>
  <c r="N102" i="20"/>
  <c r="N101" i="20"/>
  <c r="N100" i="20"/>
  <c r="N99" i="20"/>
  <c r="N98" i="20"/>
  <c r="N97" i="20"/>
  <c r="N96" i="20"/>
  <c r="N95" i="20"/>
  <c r="N94" i="20"/>
  <c r="N93" i="20"/>
  <c r="N92" i="20"/>
  <c r="N91" i="20"/>
  <c r="N90" i="20"/>
  <c r="N89" i="20"/>
  <c r="N88" i="20"/>
  <c r="A86" i="20"/>
  <c r="Z85" i="20"/>
  <c r="Z19" i="20"/>
  <c r="Y85" i="20"/>
  <c r="X85" i="20"/>
  <c r="W85" i="20"/>
  <c r="V85" i="20"/>
  <c r="V19" i="20"/>
  <c r="U85" i="20"/>
  <c r="T85" i="20"/>
  <c r="S85" i="20"/>
  <c r="R85" i="20"/>
  <c r="R19" i="20"/>
  <c r="Q85" i="20"/>
  <c r="P85" i="20"/>
  <c r="O85" i="20"/>
  <c r="M85" i="20"/>
  <c r="L85" i="20"/>
  <c r="N84" i="20"/>
  <c r="N83" i="20"/>
  <c r="N82" i="20"/>
  <c r="N81" i="20"/>
  <c r="N80" i="20"/>
  <c r="A78" i="20"/>
  <c r="Z77" i="20"/>
  <c r="Y77" i="20"/>
  <c r="X77" i="20"/>
  <c r="W77" i="20"/>
  <c r="W18" i="20"/>
  <c r="V77" i="20"/>
  <c r="U77" i="20"/>
  <c r="T77" i="20"/>
  <c r="S77" i="20"/>
  <c r="S18" i="20" s="1"/>
  <c r="R77" i="20"/>
  <c r="Q77" i="20"/>
  <c r="P77" i="20"/>
  <c r="O77" i="20"/>
  <c r="O18" i="20" s="1"/>
  <c r="M77" i="20"/>
  <c r="L77" i="20"/>
  <c r="N76" i="20"/>
  <c r="N75" i="20"/>
  <c r="N74" i="20"/>
  <c r="N77" i="20" s="1"/>
  <c r="A72" i="20"/>
  <c r="Z71" i="20"/>
  <c r="Z17" i="20"/>
  <c r="Y71" i="20"/>
  <c r="Y17" i="20"/>
  <c r="X71" i="20"/>
  <c r="W71" i="20"/>
  <c r="W17" i="20"/>
  <c r="V71" i="20"/>
  <c r="V17" i="20"/>
  <c r="U71" i="20"/>
  <c r="T71" i="20"/>
  <c r="S71" i="20"/>
  <c r="R71" i="20"/>
  <c r="R17" i="20"/>
  <c r="Q71" i="20"/>
  <c r="Q17" i="20" s="1"/>
  <c r="P71" i="20"/>
  <c r="P17" i="20" s="1"/>
  <c r="O71" i="20"/>
  <c r="O17" i="20" s="1"/>
  <c r="M71" i="20"/>
  <c r="L71" i="20"/>
  <c r="N70" i="20"/>
  <c r="N69" i="20"/>
  <c r="N68" i="20"/>
  <c r="N67" i="20"/>
  <c r="N66" i="20"/>
  <c r="N65" i="20"/>
  <c r="N71" i="20" s="1"/>
  <c r="N64" i="20"/>
  <c r="A62" i="20"/>
  <c r="A58" i="20"/>
  <c r="A55" i="20"/>
  <c r="A52" i="20"/>
  <c r="A49" i="20"/>
  <c r="A46" i="20"/>
  <c r="A43" i="20"/>
  <c r="A40" i="20"/>
  <c r="A37" i="20"/>
  <c r="A34" i="20"/>
  <c r="A31" i="20"/>
  <c r="Z26" i="20"/>
  <c r="Y26" i="20"/>
  <c r="Y178" i="20"/>
  <c r="W26" i="20"/>
  <c r="V26" i="20"/>
  <c r="U26" i="20"/>
  <c r="S26" i="20"/>
  <c r="S178" i="20"/>
  <c r="R26" i="20"/>
  <c r="Q26" i="20"/>
  <c r="O26" i="20"/>
  <c r="M26" i="20"/>
  <c r="Z25" i="20"/>
  <c r="Y25" i="20"/>
  <c r="X25" i="20"/>
  <c r="W25" i="20"/>
  <c r="V25" i="20"/>
  <c r="U25" i="20"/>
  <c r="T25" i="20"/>
  <c r="S25" i="20"/>
  <c r="P25" i="20"/>
  <c r="O25" i="20"/>
  <c r="M25" i="20"/>
  <c r="Z24" i="20"/>
  <c r="Y24" i="20"/>
  <c r="X24" i="20"/>
  <c r="W24" i="20"/>
  <c r="V24" i="20"/>
  <c r="U24" i="20"/>
  <c r="U176" i="20"/>
  <c r="T24" i="20"/>
  <c r="X176" i="20" s="1"/>
  <c r="S24" i="20"/>
  <c r="R24" i="20"/>
  <c r="Q24" i="20"/>
  <c r="P24" i="20"/>
  <c r="O24" i="20"/>
  <c r="Y176" i="20" s="1"/>
  <c r="M24" i="20"/>
  <c r="Y23" i="20"/>
  <c r="X23" i="20"/>
  <c r="U23" i="20"/>
  <c r="T23" i="20"/>
  <c r="S23" i="20"/>
  <c r="Q23" i="20"/>
  <c r="P23" i="20"/>
  <c r="M22" i="20"/>
  <c r="Z21" i="20"/>
  <c r="Y21" i="20"/>
  <c r="W21" i="20"/>
  <c r="U21" i="20"/>
  <c r="U27" i="20" s="1"/>
  <c r="S21" i="20"/>
  <c r="Y20" i="20"/>
  <c r="X20" i="20"/>
  <c r="U20" i="20"/>
  <c r="M20" i="20"/>
  <c r="Y19" i="20"/>
  <c r="X19" i="20"/>
  <c r="W19" i="20"/>
  <c r="U19" i="20"/>
  <c r="T19" i="20"/>
  <c r="S19" i="20"/>
  <c r="Q19" i="20"/>
  <c r="P19" i="20"/>
  <c r="O19" i="20"/>
  <c r="M19" i="20"/>
  <c r="Z18" i="20"/>
  <c r="Y18" i="20"/>
  <c r="X18" i="20"/>
  <c r="V18" i="20"/>
  <c r="U18" i="20"/>
  <c r="T18" i="20"/>
  <c r="R18" i="20"/>
  <c r="Q18" i="20"/>
  <c r="P18" i="20"/>
  <c r="M18" i="20"/>
  <c r="X17" i="20"/>
  <c r="U17" i="20"/>
  <c r="T17" i="20"/>
  <c r="S17" i="20"/>
  <c r="M17" i="20"/>
  <c r="D10" i="20"/>
  <c r="B10" i="20"/>
  <c r="X178" i="20"/>
  <c r="O178" i="20"/>
  <c r="U178" i="20"/>
  <c r="Z178" i="20"/>
  <c r="T178" i="20"/>
  <c r="Q178" i="20"/>
  <c r="V178" i="20"/>
  <c r="R178" i="20"/>
  <c r="W178" i="20"/>
  <c r="Q176" i="20"/>
  <c r="P176" i="20"/>
  <c r="T176" i="20"/>
  <c r="G18" i="32"/>
  <c r="F18" i="32"/>
  <c r="E18" i="32"/>
  <c r="D18" i="32"/>
  <c r="C18" i="32"/>
  <c r="B18" i="32"/>
  <c r="H14" i="36"/>
  <c r="H15" i="36"/>
  <c r="H16" i="36"/>
  <c r="H17" i="36"/>
  <c r="H18" i="36"/>
  <c r="H20" i="36"/>
  <c r="E28" i="17"/>
  <c r="N105" i="23"/>
  <c r="N106" i="23"/>
  <c r="N107" i="23"/>
  <c r="N108" i="23"/>
  <c r="P27" i="39"/>
  <c r="Q27" i="39"/>
  <c r="R27" i="39"/>
  <c r="S27" i="39"/>
  <c r="H26" i="56"/>
  <c r="U26" i="56"/>
  <c r="T27" i="39"/>
  <c r="U27" i="39"/>
  <c r="V27" i="39"/>
  <c r="W27" i="39"/>
  <c r="L26" i="56"/>
  <c r="Y26" i="56"/>
  <c r="X27" i="39"/>
  <c r="Y27" i="39"/>
  <c r="Z27" i="39"/>
  <c r="O27" i="39"/>
  <c r="P26" i="15"/>
  <c r="Q26" i="15"/>
  <c r="F45" i="56"/>
  <c r="R26" i="15"/>
  <c r="G45" i="56"/>
  <c r="S26" i="15"/>
  <c r="H45" i="56"/>
  <c r="T26" i="15"/>
  <c r="U26" i="15"/>
  <c r="J45" i="56"/>
  <c r="V26" i="15"/>
  <c r="K45" i="56"/>
  <c r="W26" i="15"/>
  <c r="L45" i="56"/>
  <c r="X26" i="15"/>
  <c r="Y26" i="15"/>
  <c r="N45" i="56"/>
  <c r="Z26" i="15"/>
  <c r="O45" i="56"/>
  <c r="O44" i="56"/>
  <c r="O26" i="15"/>
  <c r="P27" i="14"/>
  <c r="Q27" i="14"/>
  <c r="R27" i="14"/>
  <c r="S27" i="14"/>
  <c r="H38" i="56"/>
  <c r="U38" i="56"/>
  <c r="T27" i="14"/>
  <c r="U27" i="14"/>
  <c r="V27" i="14"/>
  <c r="W27" i="14"/>
  <c r="L38" i="56"/>
  <c r="Y38" i="56"/>
  <c r="X27" i="14"/>
  <c r="Y27" i="14"/>
  <c r="Z27" i="14"/>
  <c r="O27" i="14"/>
  <c r="P27" i="16"/>
  <c r="Q27" i="16"/>
  <c r="R27" i="16"/>
  <c r="S27" i="16"/>
  <c r="T27" i="16"/>
  <c r="U27" i="16"/>
  <c r="V27" i="16"/>
  <c r="W27" i="16"/>
  <c r="X27" i="16"/>
  <c r="Y27" i="16"/>
  <c r="Z27" i="16"/>
  <c r="O27" i="16"/>
  <c r="D7" i="56"/>
  <c r="S8" i="56"/>
  <c r="T8" i="56"/>
  <c r="U8" i="56"/>
  <c r="V8" i="56"/>
  <c r="W8" i="56"/>
  <c r="X8" i="56"/>
  <c r="Y8" i="56"/>
  <c r="Z8" i="56"/>
  <c r="AA8" i="56"/>
  <c r="R8" i="56"/>
  <c r="C8" i="56"/>
  <c r="Q8" i="56"/>
  <c r="Q7" i="56"/>
  <c r="P7" i="56"/>
  <c r="B57" i="56"/>
  <c r="C55" i="56"/>
  <c r="C54" i="56"/>
  <c r="C13" i="56"/>
  <c r="C9" i="56"/>
  <c r="C11" i="56"/>
  <c r="C12" i="56"/>
  <c r="C10" i="56"/>
  <c r="R7" i="56"/>
  <c r="S7" i="56"/>
  <c r="T7" i="56"/>
  <c r="U7" i="56"/>
  <c r="V7" i="56"/>
  <c r="W7" i="56"/>
  <c r="X7" i="56"/>
  <c r="Y7" i="56"/>
  <c r="Z7" i="56"/>
  <c r="AA7" i="56"/>
  <c r="AA55" i="56"/>
  <c r="Z55" i="56"/>
  <c r="Y55" i="56"/>
  <c r="X55" i="56"/>
  <c r="W55" i="56"/>
  <c r="V55" i="56"/>
  <c r="U55" i="56"/>
  <c r="T55" i="56"/>
  <c r="S55" i="56"/>
  <c r="R55" i="56"/>
  <c r="Q55" i="56"/>
  <c r="P55" i="56"/>
  <c r="P8" i="56"/>
  <c r="B55" i="56"/>
  <c r="E54" i="56"/>
  <c r="R54" i="56"/>
  <c r="F54" i="56"/>
  <c r="S54" i="56"/>
  <c r="G54" i="56"/>
  <c r="T54" i="56"/>
  <c r="H54" i="56"/>
  <c r="U54" i="56"/>
  <c r="I54" i="56"/>
  <c r="V54" i="56"/>
  <c r="J54" i="56"/>
  <c r="W54" i="56"/>
  <c r="K54" i="56"/>
  <c r="X54" i="56"/>
  <c r="L54" i="56"/>
  <c r="Y54" i="56"/>
  <c r="M54" i="56"/>
  <c r="Z54" i="56"/>
  <c r="N54" i="56"/>
  <c r="AA54" i="56"/>
  <c r="O54" i="56"/>
  <c r="O53" i="56"/>
  <c r="D54" i="56"/>
  <c r="O51" i="56"/>
  <c r="D51" i="56"/>
  <c r="E45" i="56"/>
  <c r="R45" i="56"/>
  <c r="I45" i="56"/>
  <c r="M45" i="56"/>
  <c r="D45" i="56"/>
  <c r="G42" i="56"/>
  <c r="E38" i="56"/>
  <c r="R38" i="56"/>
  <c r="F38" i="56"/>
  <c r="G38" i="56"/>
  <c r="I38" i="56"/>
  <c r="J38" i="56"/>
  <c r="K38" i="56"/>
  <c r="M38" i="56"/>
  <c r="N38" i="56"/>
  <c r="O38" i="56"/>
  <c r="D38" i="56"/>
  <c r="M35" i="56"/>
  <c r="N35" i="56"/>
  <c r="AA35" i="56"/>
  <c r="O35" i="56"/>
  <c r="E26" i="56"/>
  <c r="R26" i="56"/>
  <c r="F26" i="56"/>
  <c r="S26" i="56"/>
  <c r="G26" i="56"/>
  <c r="T26" i="56"/>
  <c r="I26" i="56"/>
  <c r="J26" i="56"/>
  <c r="W26" i="56"/>
  <c r="K26" i="56"/>
  <c r="X26" i="56"/>
  <c r="M26" i="56"/>
  <c r="N26" i="56"/>
  <c r="AA26" i="56"/>
  <c r="O26" i="56"/>
  <c r="D26" i="56"/>
  <c r="Q26" i="56"/>
  <c r="D44" i="56"/>
  <c r="E7" i="56"/>
  <c r="F7" i="56"/>
  <c r="G7" i="56"/>
  <c r="H7" i="56"/>
  <c r="I7" i="56"/>
  <c r="J7" i="56"/>
  <c r="K7" i="56"/>
  <c r="L7" i="56"/>
  <c r="M7" i="56"/>
  <c r="N7" i="56"/>
  <c r="O7" i="56"/>
  <c r="H13" i="56"/>
  <c r="I13" i="56"/>
  <c r="V13" i="56"/>
  <c r="J13" i="56"/>
  <c r="W13" i="56"/>
  <c r="K13" i="56"/>
  <c r="X13" i="56"/>
  <c r="L13" i="56"/>
  <c r="Y13" i="56"/>
  <c r="M13" i="56"/>
  <c r="Z13" i="56"/>
  <c r="N13" i="56"/>
  <c r="AA13" i="56"/>
  <c r="O13" i="56"/>
  <c r="B13" i="56"/>
  <c r="E12" i="56"/>
  <c r="R12" i="56"/>
  <c r="F12" i="56"/>
  <c r="S12" i="56"/>
  <c r="G12" i="56"/>
  <c r="T12" i="56"/>
  <c r="H12" i="56"/>
  <c r="U12" i="56"/>
  <c r="I12" i="56"/>
  <c r="V12" i="56"/>
  <c r="J12" i="56"/>
  <c r="W12" i="56"/>
  <c r="K12" i="56"/>
  <c r="X12" i="56"/>
  <c r="L12" i="56"/>
  <c r="Y12" i="56"/>
  <c r="M12" i="56"/>
  <c r="Z12" i="56"/>
  <c r="N12" i="56"/>
  <c r="AA12" i="56"/>
  <c r="O12" i="56"/>
  <c r="D12" i="56"/>
  <c r="B12" i="56"/>
  <c r="E11" i="56"/>
  <c r="R11" i="56"/>
  <c r="F11" i="56"/>
  <c r="S11" i="56"/>
  <c r="G11" i="56"/>
  <c r="T11" i="56"/>
  <c r="H11" i="56"/>
  <c r="U11" i="56"/>
  <c r="I11" i="56"/>
  <c r="V11" i="56"/>
  <c r="J11" i="56"/>
  <c r="W11" i="56"/>
  <c r="K11" i="56"/>
  <c r="X11" i="56"/>
  <c r="L11" i="56"/>
  <c r="Y11" i="56"/>
  <c r="M11" i="56"/>
  <c r="Z11" i="56"/>
  <c r="N11" i="56"/>
  <c r="AA11" i="56"/>
  <c r="O11" i="56"/>
  <c r="D11" i="56"/>
  <c r="B11" i="56"/>
  <c r="E10" i="56"/>
  <c r="R10" i="56"/>
  <c r="F10" i="56"/>
  <c r="S10" i="56"/>
  <c r="G10" i="56"/>
  <c r="T10" i="56"/>
  <c r="H10" i="56"/>
  <c r="U10" i="56"/>
  <c r="I10" i="56"/>
  <c r="V10" i="56"/>
  <c r="J10" i="56"/>
  <c r="W10" i="56"/>
  <c r="K10" i="56"/>
  <c r="X10" i="56"/>
  <c r="L10" i="56"/>
  <c r="Y10" i="56"/>
  <c r="M10" i="56"/>
  <c r="Z10" i="56"/>
  <c r="N10" i="56"/>
  <c r="AA10" i="56"/>
  <c r="O10" i="56"/>
  <c r="D10" i="56"/>
  <c r="B8" i="56"/>
  <c r="B7" i="56"/>
  <c r="Z26" i="56"/>
  <c r="V26" i="56"/>
  <c r="X45" i="56"/>
  <c r="K44" i="56"/>
  <c r="T45" i="56"/>
  <c r="G44" i="56"/>
  <c r="U45" i="56"/>
  <c r="H44" i="56"/>
  <c r="AA45" i="56"/>
  <c r="N44" i="56"/>
  <c r="W45" i="56"/>
  <c r="J44" i="56"/>
  <c r="S45" i="56"/>
  <c r="F44" i="56"/>
  <c r="B45" i="56"/>
  <c r="B44" i="56"/>
  <c r="Y45" i="56"/>
  <c r="L44" i="56"/>
  <c r="Z45" i="56"/>
  <c r="V45" i="56"/>
  <c r="M44" i="56"/>
  <c r="I44" i="56"/>
  <c r="E44" i="56"/>
  <c r="V38" i="56"/>
  <c r="Z38" i="56"/>
  <c r="AA38" i="56"/>
  <c r="W38" i="56"/>
  <c r="S38" i="56"/>
  <c r="C7" i="56"/>
  <c r="C53" i="56"/>
  <c r="B10" i="56"/>
  <c r="Q10" i="56"/>
  <c r="X38" i="56"/>
  <c r="T38" i="56"/>
  <c r="N51" i="56"/>
  <c r="J51" i="56"/>
  <c r="F51" i="56"/>
  <c r="N53" i="56"/>
  <c r="J53" i="56"/>
  <c r="F53" i="56"/>
  <c r="P26" i="56"/>
  <c r="C26" i="56"/>
  <c r="B51" i="56"/>
  <c r="M51" i="56"/>
  <c r="I51" i="56"/>
  <c r="E51" i="56"/>
  <c r="Q54" i="56"/>
  <c r="P54" i="56"/>
  <c r="B54" i="56"/>
  <c r="M53" i="56"/>
  <c r="I53" i="56"/>
  <c r="E53" i="56"/>
  <c r="L51" i="56"/>
  <c r="H51" i="56"/>
  <c r="L53" i="56"/>
  <c r="H53" i="56"/>
  <c r="D53" i="56"/>
  <c r="Q12" i="56"/>
  <c r="Q11" i="56"/>
  <c r="B26" i="56"/>
  <c r="P38" i="56"/>
  <c r="Q38" i="56"/>
  <c r="P45" i="56"/>
  <c r="Q45" i="56"/>
  <c r="K51" i="56"/>
  <c r="G51" i="56"/>
  <c r="K53" i="56"/>
  <c r="G53" i="56"/>
  <c r="B53" i="56"/>
  <c r="P10" i="56"/>
  <c r="P12" i="56"/>
  <c r="P11" i="56"/>
  <c r="B38" i="56"/>
  <c r="C52" i="56"/>
  <c r="C51" i="56"/>
  <c r="C45" i="56"/>
  <c r="C44" i="56"/>
  <c r="C38" i="56"/>
  <c r="F20" i="17"/>
  <c r="E7" i="17"/>
  <c r="F41" i="17"/>
  <c r="F47" i="17"/>
  <c r="B7" i="36"/>
  <c r="C15" i="38"/>
  <c r="C16" i="38"/>
  <c r="C17" i="38"/>
  <c r="C14" i="38"/>
  <c r="F8" i="17"/>
  <c r="F7" i="17"/>
  <c r="C13" i="55"/>
  <c r="C28" i="55"/>
  <c r="D13" i="55"/>
  <c r="D28" i="55"/>
  <c r="C16" i="55"/>
  <c r="C31" i="55"/>
  <c r="C17" i="55"/>
  <c r="C32" i="55"/>
  <c r="D17" i="55"/>
  <c r="D32" i="55"/>
  <c r="G51" i="17"/>
  <c r="G47" i="17"/>
  <c r="G49" i="17"/>
  <c r="F51" i="17"/>
  <c r="F49" i="17"/>
  <c r="F55" i="17"/>
  <c r="G55" i="17"/>
  <c r="G39" i="17"/>
  <c r="F39" i="17"/>
  <c r="G41" i="17"/>
  <c r="D14" i="55"/>
  <c r="D29" i="55"/>
  <c r="C14" i="55"/>
  <c r="C29" i="55"/>
  <c r="G44" i="17"/>
  <c r="F44" i="17"/>
  <c r="F33" i="17"/>
  <c r="D15" i="55"/>
  <c r="D30" i="55"/>
  <c r="G41" i="56"/>
  <c r="F46" i="17"/>
  <c r="G33" i="17"/>
  <c r="G46" i="17"/>
  <c r="D27" i="55"/>
  <c r="C27" i="55"/>
  <c r="C12" i="55"/>
  <c r="G8" i="17"/>
  <c r="G7" i="17"/>
  <c r="N99" i="52"/>
  <c r="N89" i="52"/>
  <c r="N90" i="52"/>
  <c r="N91" i="52"/>
  <c r="N92" i="52"/>
  <c r="N93" i="52"/>
  <c r="N94" i="52"/>
  <c r="N95" i="52"/>
  <c r="N88" i="52"/>
  <c r="N96" i="52"/>
  <c r="N81" i="52"/>
  <c r="N82" i="52"/>
  <c r="N83" i="52"/>
  <c r="N84" i="52"/>
  <c r="N80" i="52"/>
  <c r="B43" i="56"/>
  <c r="P134" i="25"/>
  <c r="Q134" i="25"/>
  <c r="R134" i="25"/>
  <c r="S134" i="25"/>
  <c r="T134" i="25"/>
  <c r="U134" i="25"/>
  <c r="V134" i="25"/>
  <c r="W134" i="25"/>
  <c r="X134" i="25"/>
  <c r="Y134" i="25"/>
  <c r="Z134" i="25"/>
  <c r="O134" i="25"/>
  <c r="P22" i="25"/>
  <c r="Q22" i="25"/>
  <c r="R22" i="25"/>
  <c r="S22" i="25"/>
  <c r="T22" i="25"/>
  <c r="U22" i="25"/>
  <c r="V22" i="25"/>
  <c r="W22" i="25"/>
  <c r="X22" i="25"/>
  <c r="Y22" i="25"/>
  <c r="Z22" i="25"/>
  <c r="O22" i="25"/>
  <c r="N133" i="25"/>
  <c r="N152" i="52"/>
  <c r="Z151" i="52"/>
  <c r="Y151" i="52"/>
  <c r="X151" i="52"/>
  <c r="W151" i="52"/>
  <c r="V151" i="52"/>
  <c r="U151" i="52"/>
  <c r="T151" i="52"/>
  <c r="S151" i="52"/>
  <c r="R151" i="52"/>
  <c r="Q151" i="52"/>
  <c r="P151" i="52"/>
  <c r="O151" i="52"/>
  <c r="D151" i="52"/>
  <c r="C151" i="52"/>
  <c r="A151" i="52"/>
  <c r="Z150" i="52"/>
  <c r="Y150" i="52"/>
  <c r="X150" i="52"/>
  <c r="W150" i="52"/>
  <c r="V150" i="52"/>
  <c r="U150" i="52"/>
  <c r="T150" i="52"/>
  <c r="S150" i="52"/>
  <c r="R150" i="52"/>
  <c r="Q150" i="52"/>
  <c r="P150" i="52"/>
  <c r="O150" i="52"/>
  <c r="D150" i="52"/>
  <c r="C150" i="52"/>
  <c r="A150" i="52"/>
  <c r="Z149" i="52"/>
  <c r="Y149" i="52"/>
  <c r="X149" i="52"/>
  <c r="W149" i="52"/>
  <c r="V149" i="52"/>
  <c r="U149" i="52"/>
  <c r="T149" i="52"/>
  <c r="S149" i="52"/>
  <c r="R149" i="52"/>
  <c r="Q149" i="52"/>
  <c r="P149" i="52"/>
  <c r="O149" i="52"/>
  <c r="D149" i="52"/>
  <c r="C149" i="52"/>
  <c r="A149" i="52"/>
  <c r="Z148" i="52"/>
  <c r="Y148" i="52"/>
  <c r="X148" i="52"/>
  <c r="W148" i="52"/>
  <c r="V148" i="52"/>
  <c r="U148" i="52"/>
  <c r="T148" i="52"/>
  <c r="S148" i="52"/>
  <c r="R148" i="52"/>
  <c r="Q148" i="52"/>
  <c r="P148" i="52"/>
  <c r="O148" i="52"/>
  <c r="D148" i="52"/>
  <c r="C148" i="52"/>
  <c r="A148" i="52"/>
  <c r="Z147" i="52"/>
  <c r="Y147" i="52"/>
  <c r="X147" i="52"/>
  <c r="W147" i="52"/>
  <c r="V147" i="52"/>
  <c r="U147" i="52"/>
  <c r="T147" i="52"/>
  <c r="S147" i="52"/>
  <c r="R147" i="52"/>
  <c r="Q147" i="52"/>
  <c r="P147" i="52"/>
  <c r="O147" i="52"/>
  <c r="D147" i="52"/>
  <c r="C147" i="52"/>
  <c r="A147" i="52"/>
  <c r="Z146" i="52"/>
  <c r="Y146" i="52"/>
  <c r="X146" i="52"/>
  <c r="W146" i="52"/>
  <c r="V146" i="52"/>
  <c r="U146" i="52"/>
  <c r="T146" i="52"/>
  <c r="S146" i="52"/>
  <c r="R146" i="52"/>
  <c r="Q146" i="52"/>
  <c r="P146" i="52"/>
  <c r="O146" i="52"/>
  <c r="D146" i="52"/>
  <c r="C146" i="52"/>
  <c r="A146" i="52"/>
  <c r="Z145" i="52"/>
  <c r="Y145" i="52"/>
  <c r="X145" i="52"/>
  <c r="W145" i="52"/>
  <c r="V145" i="52"/>
  <c r="U145" i="52"/>
  <c r="T145" i="52"/>
  <c r="S145" i="52"/>
  <c r="R145" i="52"/>
  <c r="Q145" i="52"/>
  <c r="P145" i="52"/>
  <c r="O145" i="52"/>
  <c r="D145" i="52"/>
  <c r="C145" i="52"/>
  <c r="A145" i="52"/>
  <c r="D144" i="52"/>
  <c r="C144" i="52"/>
  <c r="A144" i="52"/>
  <c r="D143" i="52"/>
  <c r="C143" i="52"/>
  <c r="A143" i="52"/>
  <c r="D142" i="52"/>
  <c r="C142" i="52"/>
  <c r="A138" i="52"/>
  <c r="Z137" i="52"/>
  <c r="Y137" i="52"/>
  <c r="X137" i="52"/>
  <c r="W137" i="52"/>
  <c r="V137" i="52"/>
  <c r="U137" i="52"/>
  <c r="T137" i="52"/>
  <c r="S137" i="52"/>
  <c r="R137" i="52"/>
  <c r="Q137" i="52"/>
  <c r="P137" i="52"/>
  <c r="O137" i="52"/>
  <c r="M137" i="52"/>
  <c r="L137" i="52"/>
  <c r="N136" i="52"/>
  <c r="N135" i="52"/>
  <c r="N134" i="52"/>
  <c r="N133" i="52"/>
  <c r="N137" i="52"/>
  <c r="A131" i="52"/>
  <c r="Z130" i="52"/>
  <c r="Y130" i="52"/>
  <c r="X130" i="52"/>
  <c r="W130" i="52"/>
  <c r="V130" i="52"/>
  <c r="U130" i="52"/>
  <c r="T130" i="52"/>
  <c r="S130" i="52"/>
  <c r="R130" i="52"/>
  <c r="Q130" i="52"/>
  <c r="P130" i="52"/>
  <c r="O130" i="52"/>
  <c r="M130" i="52"/>
  <c r="L130" i="52"/>
  <c r="N129" i="52"/>
  <c r="N128" i="52"/>
  <c r="N127" i="52"/>
  <c r="N126" i="52"/>
  <c r="N130" i="52"/>
  <c r="A124" i="52"/>
  <c r="Z123" i="52"/>
  <c r="Y123" i="52"/>
  <c r="X123" i="52"/>
  <c r="W123" i="52"/>
  <c r="V123" i="52"/>
  <c r="U123" i="52"/>
  <c r="T123" i="52"/>
  <c r="S123" i="52"/>
  <c r="R123" i="52"/>
  <c r="Q123" i="52"/>
  <c r="P123" i="52"/>
  <c r="O123" i="52"/>
  <c r="M123" i="52"/>
  <c r="L123" i="52"/>
  <c r="N122" i="52"/>
  <c r="N121" i="52"/>
  <c r="N120" i="52"/>
  <c r="N119" i="52"/>
  <c r="N123" i="52"/>
  <c r="A117" i="52"/>
  <c r="Z116" i="52"/>
  <c r="Y116" i="52"/>
  <c r="X116" i="52"/>
  <c r="W116" i="52"/>
  <c r="V116" i="52"/>
  <c r="U116" i="52"/>
  <c r="T116" i="52"/>
  <c r="S116" i="52"/>
  <c r="R116" i="52"/>
  <c r="Q116" i="52"/>
  <c r="P116" i="52"/>
  <c r="O116" i="52"/>
  <c r="M116" i="52"/>
  <c r="L116" i="52"/>
  <c r="N115" i="52"/>
  <c r="N114" i="52"/>
  <c r="N113" i="52"/>
  <c r="N112" i="52"/>
  <c r="N116" i="52"/>
  <c r="A110" i="52"/>
  <c r="Z109" i="52"/>
  <c r="Y109" i="52"/>
  <c r="X109" i="52"/>
  <c r="W109" i="52"/>
  <c r="V109" i="52"/>
  <c r="U109" i="52"/>
  <c r="T109" i="52"/>
  <c r="S109" i="52"/>
  <c r="R109" i="52"/>
  <c r="Q109" i="52"/>
  <c r="P109" i="52"/>
  <c r="O109" i="52"/>
  <c r="M109" i="52"/>
  <c r="L109" i="52"/>
  <c r="N108" i="52"/>
  <c r="N107" i="52"/>
  <c r="N106" i="52"/>
  <c r="N105" i="52"/>
  <c r="N109" i="52"/>
  <c r="A103" i="52"/>
  <c r="Z102" i="52"/>
  <c r="Y102" i="52"/>
  <c r="X102" i="52"/>
  <c r="W102" i="52"/>
  <c r="V102" i="52"/>
  <c r="U102" i="52"/>
  <c r="T102" i="52"/>
  <c r="S102" i="52"/>
  <c r="R102" i="52"/>
  <c r="Q102" i="52"/>
  <c r="P102" i="52"/>
  <c r="O102" i="52"/>
  <c r="N102" i="52"/>
  <c r="M102" i="52"/>
  <c r="L102" i="52"/>
  <c r="A97" i="52"/>
  <c r="Z96" i="52"/>
  <c r="Z18" i="52"/>
  <c r="Y96" i="52"/>
  <c r="Y18" i="52"/>
  <c r="X96" i="52"/>
  <c r="X18" i="52"/>
  <c r="W96" i="52"/>
  <c r="W18" i="52"/>
  <c r="V96" i="52"/>
  <c r="U96" i="52"/>
  <c r="T96" i="52"/>
  <c r="T18" i="52"/>
  <c r="S96" i="52"/>
  <c r="S18" i="52"/>
  <c r="R96" i="52"/>
  <c r="R18" i="52"/>
  <c r="Q96" i="52"/>
  <c r="Q18" i="52"/>
  <c r="P96" i="52"/>
  <c r="P18" i="52"/>
  <c r="O96" i="52"/>
  <c r="O18" i="52"/>
  <c r="M96" i="52"/>
  <c r="L96" i="52"/>
  <c r="A86" i="52"/>
  <c r="Z85" i="52"/>
  <c r="Y85" i="52"/>
  <c r="X85" i="52"/>
  <c r="W85" i="52"/>
  <c r="V85" i="52"/>
  <c r="U85" i="52"/>
  <c r="T85" i="52"/>
  <c r="S85" i="52"/>
  <c r="R85" i="52"/>
  <c r="Q85" i="52"/>
  <c r="P85" i="52"/>
  <c r="O85" i="52"/>
  <c r="N85" i="52"/>
  <c r="M85" i="52"/>
  <c r="L85" i="52"/>
  <c r="A78" i="52"/>
  <c r="A70" i="52"/>
  <c r="A64" i="52"/>
  <c r="A58" i="52"/>
  <c r="A52" i="52"/>
  <c r="A46" i="52"/>
  <c r="A40" i="52"/>
  <c r="A37" i="52"/>
  <c r="C35" i="52"/>
  <c r="A34" i="52"/>
  <c r="A31" i="52"/>
  <c r="Z19" i="52"/>
  <c r="N32" i="60"/>
  <c r="Y19" i="52"/>
  <c r="M32" i="60"/>
  <c r="X19" i="52"/>
  <c r="L32" i="60"/>
  <c r="W19" i="52"/>
  <c r="K32" i="60"/>
  <c r="V19" i="52"/>
  <c r="J32" i="60"/>
  <c r="U19" i="52"/>
  <c r="I32" i="60"/>
  <c r="T19" i="52"/>
  <c r="H32" i="60"/>
  <c r="S19" i="52"/>
  <c r="G32" i="60"/>
  <c r="R19" i="52"/>
  <c r="F32" i="60"/>
  <c r="Q19" i="52"/>
  <c r="E32" i="60"/>
  <c r="AO32" i="60"/>
  <c r="P19" i="52"/>
  <c r="D32" i="60"/>
  <c r="O19" i="52"/>
  <c r="C32" i="60"/>
  <c r="B32" i="60"/>
  <c r="M19" i="52"/>
  <c r="V18" i="52"/>
  <c r="J30" i="60"/>
  <c r="U18" i="52"/>
  <c r="I30" i="60"/>
  <c r="M18" i="52"/>
  <c r="M27" i="52"/>
  <c r="Z17" i="52"/>
  <c r="N31" i="60"/>
  <c r="Y17" i="52"/>
  <c r="M31" i="60"/>
  <c r="X17" i="52"/>
  <c r="L31" i="60"/>
  <c r="W17" i="52"/>
  <c r="K31" i="60"/>
  <c r="V17" i="52"/>
  <c r="J31" i="60"/>
  <c r="U17" i="52"/>
  <c r="I31" i="60"/>
  <c r="T17" i="52"/>
  <c r="H31" i="60"/>
  <c r="S17" i="52"/>
  <c r="G31" i="60"/>
  <c r="R17" i="52"/>
  <c r="F31" i="60"/>
  <c r="Q17" i="52"/>
  <c r="E31" i="60"/>
  <c r="P17" i="52"/>
  <c r="D31" i="60"/>
  <c r="O17" i="52"/>
  <c r="C31" i="60"/>
  <c r="M17" i="52"/>
  <c r="D10" i="52"/>
  <c r="D7" i="51"/>
  <c r="B10" i="52"/>
  <c r="B7" i="51"/>
  <c r="F19" i="51"/>
  <c r="S16" i="51"/>
  <c r="R16" i="51"/>
  <c r="Q16" i="51"/>
  <c r="P16" i="51"/>
  <c r="O16" i="51"/>
  <c r="N16" i="51"/>
  <c r="M16" i="51"/>
  <c r="L16" i="51"/>
  <c r="K16" i="51"/>
  <c r="J16" i="51"/>
  <c r="I16" i="51"/>
  <c r="G16" i="51"/>
  <c r="F16" i="51"/>
  <c r="E16" i="51"/>
  <c r="D16" i="51"/>
  <c r="C16" i="51"/>
  <c r="B16" i="51"/>
  <c r="A16" i="51"/>
  <c r="S15" i="51"/>
  <c r="R15" i="51"/>
  <c r="Q15" i="51"/>
  <c r="P15" i="51"/>
  <c r="O15" i="51"/>
  <c r="N15" i="51"/>
  <c r="M15" i="51"/>
  <c r="L15" i="51"/>
  <c r="K15" i="51"/>
  <c r="J15" i="51"/>
  <c r="I15" i="51"/>
  <c r="G15" i="51"/>
  <c r="F15" i="51"/>
  <c r="E15" i="51"/>
  <c r="D15" i="51"/>
  <c r="C15" i="51"/>
  <c r="B15" i="51"/>
  <c r="A15" i="51"/>
  <c r="S14" i="51"/>
  <c r="S19" i="51"/>
  <c r="R14" i="51"/>
  <c r="R19" i="51"/>
  <c r="Q14" i="51"/>
  <c r="Q19" i="51"/>
  <c r="P14" i="51"/>
  <c r="P19" i="51"/>
  <c r="O14" i="51"/>
  <c r="O19" i="51"/>
  <c r="N14" i="51"/>
  <c r="N19" i="51"/>
  <c r="M14" i="51"/>
  <c r="M19" i="51"/>
  <c r="L14" i="51"/>
  <c r="L19" i="51"/>
  <c r="K14" i="51"/>
  <c r="K19" i="51"/>
  <c r="J14" i="51"/>
  <c r="J19" i="51"/>
  <c r="I14" i="51"/>
  <c r="I19" i="51"/>
  <c r="G14" i="51"/>
  <c r="G19" i="51"/>
  <c r="F14" i="51"/>
  <c r="E14" i="51"/>
  <c r="D14" i="51"/>
  <c r="C14" i="51"/>
  <c r="B14" i="51"/>
  <c r="A14" i="51"/>
  <c r="B9" i="51"/>
  <c r="B5" i="51"/>
  <c r="N22" i="25"/>
  <c r="N19" i="52"/>
  <c r="H16" i="51"/>
  <c r="E32" i="17"/>
  <c r="O142" i="52"/>
  <c r="S142" i="52"/>
  <c r="P107" i="42"/>
  <c r="Q107" i="42"/>
  <c r="R107" i="42"/>
  <c r="S107" i="42"/>
  <c r="T107" i="42"/>
  <c r="U107" i="42"/>
  <c r="V107" i="42"/>
  <c r="W107" i="42"/>
  <c r="X107" i="42"/>
  <c r="Y107" i="42"/>
  <c r="Z107" i="42"/>
  <c r="O107" i="42"/>
  <c r="H20" i="49"/>
  <c r="N191" i="50"/>
  <c r="Z190" i="50"/>
  <c r="Y190" i="50"/>
  <c r="X190" i="50"/>
  <c r="W190" i="50"/>
  <c r="V190" i="50"/>
  <c r="U190" i="50"/>
  <c r="T190" i="50"/>
  <c r="S190" i="50"/>
  <c r="R190" i="50"/>
  <c r="Q190" i="50"/>
  <c r="P190" i="50"/>
  <c r="O190" i="50"/>
  <c r="D190" i="50"/>
  <c r="C190" i="50"/>
  <c r="A190" i="50"/>
  <c r="Z189" i="50"/>
  <c r="Y189" i="50"/>
  <c r="X189" i="50"/>
  <c r="W189" i="50"/>
  <c r="V189" i="50"/>
  <c r="U189" i="50"/>
  <c r="T189" i="50"/>
  <c r="S189" i="50"/>
  <c r="R189" i="50"/>
  <c r="Q189" i="50"/>
  <c r="P189" i="50"/>
  <c r="O189" i="50"/>
  <c r="D189" i="50"/>
  <c r="C189" i="50"/>
  <c r="A189" i="50"/>
  <c r="Z188" i="50"/>
  <c r="Y188" i="50"/>
  <c r="X188" i="50"/>
  <c r="W188" i="50"/>
  <c r="V188" i="50"/>
  <c r="U188" i="50"/>
  <c r="T188" i="50"/>
  <c r="S188" i="50"/>
  <c r="R188" i="50"/>
  <c r="Q188" i="50"/>
  <c r="P188" i="50"/>
  <c r="O188" i="50"/>
  <c r="D188" i="50"/>
  <c r="C188" i="50"/>
  <c r="A188" i="50"/>
  <c r="D187" i="50"/>
  <c r="C187" i="50"/>
  <c r="A187" i="50"/>
  <c r="D186" i="50"/>
  <c r="C186" i="50"/>
  <c r="A186" i="50"/>
  <c r="D185" i="50"/>
  <c r="C185" i="50"/>
  <c r="A185" i="50"/>
  <c r="D184" i="50"/>
  <c r="C184" i="50"/>
  <c r="A184" i="50"/>
  <c r="D183" i="50"/>
  <c r="C183" i="50"/>
  <c r="A183" i="50"/>
  <c r="D182" i="50"/>
  <c r="C182" i="50"/>
  <c r="A182" i="50"/>
  <c r="D181" i="50"/>
  <c r="C181" i="50"/>
  <c r="A181" i="50"/>
  <c r="A177" i="50"/>
  <c r="Z176" i="50"/>
  <c r="Y176" i="50"/>
  <c r="X176" i="50"/>
  <c r="W176" i="50"/>
  <c r="V176" i="50"/>
  <c r="U176" i="50"/>
  <c r="T176" i="50"/>
  <c r="S176" i="50"/>
  <c r="R176" i="50"/>
  <c r="Q176" i="50"/>
  <c r="P176" i="50"/>
  <c r="O176" i="50"/>
  <c r="M176" i="50"/>
  <c r="L176" i="50"/>
  <c r="N175" i="50"/>
  <c r="N174" i="50"/>
  <c r="N173" i="50"/>
  <c r="N172" i="50"/>
  <c r="A170" i="50"/>
  <c r="Z169" i="50"/>
  <c r="Y169" i="50"/>
  <c r="X169" i="50"/>
  <c r="W169" i="50"/>
  <c r="V169" i="50"/>
  <c r="U169" i="50"/>
  <c r="T169" i="50"/>
  <c r="S169" i="50"/>
  <c r="R169" i="50"/>
  <c r="Q169" i="50"/>
  <c r="P169" i="50"/>
  <c r="O169" i="50"/>
  <c r="M169" i="50"/>
  <c r="L169" i="50"/>
  <c r="N168" i="50"/>
  <c r="N167" i="50"/>
  <c r="N169" i="50"/>
  <c r="N166" i="50"/>
  <c r="N165" i="50"/>
  <c r="A163" i="50"/>
  <c r="Z162" i="50"/>
  <c r="Y162" i="50"/>
  <c r="X162" i="50"/>
  <c r="W162" i="50"/>
  <c r="V162" i="50"/>
  <c r="U162" i="50"/>
  <c r="T162" i="50"/>
  <c r="S162" i="50"/>
  <c r="R162" i="50"/>
  <c r="Q162" i="50"/>
  <c r="P162" i="50"/>
  <c r="O162" i="50"/>
  <c r="L162" i="50"/>
  <c r="N161" i="50"/>
  <c r="N160" i="50"/>
  <c r="N162" i="50"/>
  <c r="N158" i="50"/>
  <c r="M158" i="50"/>
  <c r="M162" i="50"/>
  <c r="A156" i="50"/>
  <c r="Z155" i="50"/>
  <c r="Y155" i="50"/>
  <c r="X155" i="50"/>
  <c r="W155" i="50"/>
  <c r="V155" i="50"/>
  <c r="U155" i="50"/>
  <c r="T155" i="50"/>
  <c r="S155" i="50"/>
  <c r="R155" i="50"/>
  <c r="Q155" i="50"/>
  <c r="P155" i="50"/>
  <c r="O155" i="50"/>
  <c r="L155" i="50"/>
  <c r="N154" i="50"/>
  <c r="N153" i="50"/>
  <c r="N152" i="50"/>
  <c r="N151" i="50"/>
  <c r="N155" i="50"/>
  <c r="M151" i="50"/>
  <c r="M155" i="50"/>
  <c r="M22" i="50"/>
  <c r="G19" i="49"/>
  <c r="A149" i="50"/>
  <c r="Z148" i="50"/>
  <c r="Z21" i="50"/>
  <c r="Y148" i="50"/>
  <c r="X148" i="50"/>
  <c r="W148" i="50"/>
  <c r="V148" i="50"/>
  <c r="V21" i="50"/>
  <c r="U148" i="50"/>
  <c r="T148" i="50"/>
  <c r="S148" i="50"/>
  <c r="R148" i="50"/>
  <c r="R21" i="50"/>
  <c r="R185" i="50"/>
  <c r="Q148" i="50"/>
  <c r="P148" i="50"/>
  <c r="O148" i="50"/>
  <c r="L148" i="50"/>
  <c r="N147" i="50"/>
  <c r="N146" i="50"/>
  <c r="N145" i="50"/>
  <c r="N144" i="50"/>
  <c r="N148" i="50"/>
  <c r="M144" i="50"/>
  <c r="M148" i="50"/>
  <c r="M21" i="50"/>
  <c r="G18" i="49"/>
  <c r="A142" i="50"/>
  <c r="Z141" i="50"/>
  <c r="Z20" i="50"/>
  <c r="Y141" i="50"/>
  <c r="X141" i="50"/>
  <c r="W141" i="50"/>
  <c r="W20" i="50"/>
  <c r="V141" i="50"/>
  <c r="V20" i="50"/>
  <c r="U141" i="50"/>
  <c r="T141" i="50"/>
  <c r="S141" i="50"/>
  <c r="S20" i="50"/>
  <c r="R141" i="50"/>
  <c r="R20" i="50"/>
  <c r="R184" i="50"/>
  <c r="Q141" i="50"/>
  <c r="P141" i="50"/>
  <c r="O141" i="50"/>
  <c r="O20" i="50"/>
  <c r="M141" i="50"/>
  <c r="M20" i="50"/>
  <c r="G17" i="49"/>
  <c r="L141" i="50"/>
  <c r="N140" i="50"/>
  <c r="N139" i="50"/>
  <c r="N138" i="50"/>
  <c r="N137" i="50"/>
  <c r="M137" i="50"/>
  <c r="A135" i="50"/>
  <c r="Z134" i="50"/>
  <c r="Y134" i="50"/>
  <c r="X134" i="50"/>
  <c r="W134" i="50"/>
  <c r="W19" i="50"/>
  <c r="V134" i="50"/>
  <c r="U134" i="50"/>
  <c r="T134" i="50"/>
  <c r="S134" i="50"/>
  <c r="S19" i="50"/>
  <c r="R134" i="50"/>
  <c r="Q134" i="50"/>
  <c r="P134" i="50"/>
  <c r="O134" i="50"/>
  <c r="O19" i="50"/>
  <c r="L134" i="50"/>
  <c r="N131" i="50"/>
  <c r="N130" i="50"/>
  <c r="N129" i="50"/>
  <c r="N128" i="50"/>
  <c r="N127" i="50"/>
  <c r="N126" i="50"/>
  <c r="N125" i="50"/>
  <c r="N124" i="50"/>
  <c r="N123" i="50"/>
  <c r="N122" i="50"/>
  <c r="N121" i="50"/>
  <c r="N134" i="50"/>
  <c r="M121" i="50"/>
  <c r="M134" i="50"/>
  <c r="M19" i="50"/>
  <c r="G16" i="49"/>
  <c r="A119" i="50"/>
  <c r="Z118" i="50"/>
  <c r="Y118" i="50"/>
  <c r="X118" i="50"/>
  <c r="W118" i="50"/>
  <c r="W18" i="50"/>
  <c r="V118" i="50"/>
  <c r="U118" i="50"/>
  <c r="T118" i="50"/>
  <c r="S118" i="50"/>
  <c r="S18" i="50"/>
  <c r="R118" i="50"/>
  <c r="Q118" i="50"/>
  <c r="P118" i="50"/>
  <c r="O118" i="50"/>
  <c r="O18" i="50"/>
  <c r="O182" i="50"/>
  <c r="L118" i="50"/>
  <c r="N116" i="50"/>
  <c r="N115" i="50"/>
  <c r="N114" i="50"/>
  <c r="N113" i="50"/>
  <c r="N112" i="50"/>
  <c r="N111" i="50"/>
  <c r="N110" i="50"/>
  <c r="N109" i="50"/>
  <c r="N108" i="50"/>
  <c r="N107" i="50"/>
  <c r="N106" i="50"/>
  <c r="M106" i="50"/>
  <c r="M118" i="50"/>
  <c r="M18" i="50"/>
  <c r="G15" i="49"/>
  <c r="A104" i="50"/>
  <c r="Z103" i="50"/>
  <c r="Y103" i="50"/>
  <c r="X103" i="50"/>
  <c r="X17" i="50"/>
  <c r="W103" i="50"/>
  <c r="V103" i="50"/>
  <c r="U103" i="50"/>
  <c r="T103" i="50"/>
  <c r="T17" i="50"/>
  <c r="S103" i="50"/>
  <c r="R103" i="50"/>
  <c r="Q103" i="50"/>
  <c r="P103" i="50"/>
  <c r="P17" i="50"/>
  <c r="O103" i="50"/>
  <c r="M103" i="50"/>
  <c r="L103" i="50"/>
  <c r="N102" i="50"/>
  <c r="N101" i="50"/>
  <c r="N100" i="50"/>
  <c r="N99" i="50"/>
  <c r="N98" i="50"/>
  <c r="N97" i="50"/>
  <c r="N96" i="50"/>
  <c r="N95" i="50"/>
  <c r="A93" i="50"/>
  <c r="A85" i="50"/>
  <c r="A79" i="50"/>
  <c r="A73" i="50"/>
  <c r="A67" i="50"/>
  <c r="A61" i="50"/>
  <c r="A55" i="50"/>
  <c r="A49" i="50"/>
  <c r="A43" i="50"/>
  <c r="A37" i="50"/>
  <c r="A31" i="50"/>
  <c r="Z23" i="50"/>
  <c r="Z187" i="50"/>
  <c r="Y23" i="50"/>
  <c r="Y187" i="50"/>
  <c r="X23" i="50"/>
  <c r="X187" i="50"/>
  <c r="W23" i="50"/>
  <c r="W187" i="50"/>
  <c r="V23" i="50"/>
  <c r="V187" i="50"/>
  <c r="U23" i="50"/>
  <c r="U187" i="50"/>
  <c r="T23" i="50"/>
  <c r="T187" i="50"/>
  <c r="S23" i="50"/>
  <c r="S187" i="50"/>
  <c r="R23" i="50"/>
  <c r="R187" i="50"/>
  <c r="Q23" i="50"/>
  <c r="Q187" i="50"/>
  <c r="P23" i="50"/>
  <c r="P187" i="50"/>
  <c r="O23" i="50"/>
  <c r="N23" i="50"/>
  <c r="M23" i="50"/>
  <c r="Z22" i="50"/>
  <c r="Z186" i="50"/>
  <c r="Y22" i="50"/>
  <c r="X22" i="50"/>
  <c r="W22" i="50"/>
  <c r="V22" i="50"/>
  <c r="V186" i="50"/>
  <c r="U22" i="50"/>
  <c r="T22" i="50"/>
  <c r="S22" i="50"/>
  <c r="R22" i="50"/>
  <c r="R186" i="50"/>
  <c r="Q22" i="50"/>
  <c r="P22" i="50"/>
  <c r="O22" i="50"/>
  <c r="Y21" i="50"/>
  <c r="X21" i="50"/>
  <c r="W21" i="50"/>
  <c r="U21" i="50"/>
  <c r="T21" i="50"/>
  <c r="S21" i="50"/>
  <c r="Q21" i="50"/>
  <c r="P21" i="50"/>
  <c r="O21" i="50"/>
  <c r="Y20" i="50"/>
  <c r="X20" i="50"/>
  <c r="U20" i="50"/>
  <c r="T20" i="50"/>
  <c r="Q20" i="50"/>
  <c r="P20" i="50"/>
  <c r="Z19" i="50"/>
  <c r="Y19" i="50"/>
  <c r="X19" i="50"/>
  <c r="V19" i="50"/>
  <c r="U19" i="50"/>
  <c r="T19" i="50"/>
  <c r="R19" i="50"/>
  <c r="Q19" i="50"/>
  <c r="P19" i="50"/>
  <c r="Z18" i="50"/>
  <c r="Y18" i="50"/>
  <c r="X18" i="50"/>
  <c r="V18" i="50"/>
  <c r="U18" i="50"/>
  <c r="T18" i="50"/>
  <c r="R18" i="50"/>
  <c r="Q18" i="50"/>
  <c r="P18" i="50"/>
  <c r="Z17" i="50"/>
  <c r="Y17" i="50"/>
  <c r="W17" i="50"/>
  <c r="V17" i="50"/>
  <c r="U17" i="50"/>
  <c r="S17" i="50"/>
  <c r="R17" i="50"/>
  <c r="Q17" i="50"/>
  <c r="O17" i="50"/>
  <c r="M17" i="50"/>
  <c r="L17" i="50"/>
  <c r="B10" i="50"/>
  <c r="B7" i="49"/>
  <c r="G20" i="49"/>
  <c r="F20" i="49"/>
  <c r="E20" i="49"/>
  <c r="D20" i="49"/>
  <c r="C20" i="49"/>
  <c r="B20" i="49"/>
  <c r="A20" i="49"/>
  <c r="F19" i="49"/>
  <c r="E19" i="49"/>
  <c r="D19" i="49"/>
  <c r="C19" i="49"/>
  <c r="B19" i="49"/>
  <c r="A19" i="49"/>
  <c r="F18" i="49"/>
  <c r="E18" i="49"/>
  <c r="D18" i="49"/>
  <c r="C18" i="49"/>
  <c r="B18" i="49"/>
  <c r="A18" i="49"/>
  <c r="F17" i="49"/>
  <c r="E17" i="49"/>
  <c r="D17" i="49"/>
  <c r="C17" i="49"/>
  <c r="B17" i="49"/>
  <c r="A17" i="49"/>
  <c r="T16" i="49"/>
  <c r="S16" i="49"/>
  <c r="R16" i="49"/>
  <c r="Q16" i="49"/>
  <c r="P16" i="49"/>
  <c r="O16" i="49"/>
  <c r="N16" i="49"/>
  <c r="M16" i="49"/>
  <c r="L16" i="49"/>
  <c r="K16" i="49"/>
  <c r="J16" i="49"/>
  <c r="I16" i="49"/>
  <c r="F16" i="49"/>
  <c r="E16" i="49"/>
  <c r="D16" i="49"/>
  <c r="C16" i="49"/>
  <c r="B16" i="49"/>
  <c r="A16" i="49"/>
  <c r="T15" i="49"/>
  <c r="S15" i="49"/>
  <c r="R15" i="49"/>
  <c r="Q15" i="49"/>
  <c r="P15" i="49"/>
  <c r="O15" i="49"/>
  <c r="N15" i="49"/>
  <c r="M15" i="49"/>
  <c r="L15" i="49"/>
  <c r="K15" i="49"/>
  <c r="J15" i="49"/>
  <c r="I15" i="49"/>
  <c r="F15" i="49"/>
  <c r="E15" i="49"/>
  <c r="D15" i="49"/>
  <c r="C15" i="49"/>
  <c r="B15" i="49"/>
  <c r="A15" i="49"/>
  <c r="T14" i="49"/>
  <c r="T23" i="49"/>
  <c r="S14" i="49"/>
  <c r="S23" i="49"/>
  <c r="R14" i="49"/>
  <c r="R23" i="49"/>
  <c r="Q14" i="49"/>
  <c r="Q23" i="49"/>
  <c r="P14" i="49"/>
  <c r="P23" i="49"/>
  <c r="O14" i="49"/>
  <c r="O23" i="49"/>
  <c r="N14" i="49"/>
  <c r="N23" i="49"/>
  <c r="M14" i="49"/>
  <c r="M23" i="49"/>
  <c r="L14" i="49"/>
  <c r="L23" i="49"/>
  <c r="K14" i="49"/>
  <c r="K23" i="49"/>
  <c r="J14" i="49"/>
  <c r="J23" i="49"/>
  <c r="I14" i="49"/>
  <c r="I23" i="49"/>
  <c r="F14" i="49"/>
  <c r="E14" i="49"/>
  <c r="D14" i="49"/>
  <c r="C14" i="49"/>
  <c r="B14" i="49"/>
  <c r="A14" i="49"/>
  <c r="B9" i="49"/>
  <c r="D7" i="49"/>
  <c r="B5" i="49"/>
  <c r="N176" i="50"/>
  <c r="O186" i="50"/>
  <c r="S186" i="50"/>
  <c r="W186" i="50"/>
  <c r="P186" i="50"/>
  <c r="T186" i="50"/>
  <c r="X186" i="50"/>
  <c r="Q186" i="50"/>
  <c r="U186" i="50"/>
  <c r="Y186" i="50"/>
  <c r="V185" i="50"/>
  <c r="Z185" i="50"/>
  <c r="N21" i="50"/>
  <c r="H18" i="49"/>
  <c r="S185" i="50"/>
  <c r="P185" i="50"/>
  <c r="X185" i="50"/>
  <c r="Q185" i="50"/>
  <c r="U185" i="50"/>
  <c r="Y185" i="50"/>
  <c r="W185" i="50"/>
  <c r="T185" i="50"/>
  <c r="V184" i="50"/>
  <c r="Z184" i="50"/>
  <c r="O184" i="50"/>
  <c r="S184" i="50"/>
  <c r="W184" i="50"/>
  <c r="P184" i="50"/>
  <c r="X184" i="50"/>
  <c r="Q184" i="50"/>
  <c r="U184" i="50"/>
  <c r="M27" i="50"/>
  <c r="T184" i="50"/>
  <c r="Y184" i="50"/>
  <c r="N141" i="50"/>
  <c r="W183" i="50"/>
  <c r="O183" i="50"/>
  <c r="N19" i="50"/>
  <c r="H16" i="49"/>
  <c r="S183" i="50"/>
  <c r="R183" i="50"/>
  <c r="T27" i="50"/>
  <c r="X27" i="50"/>
  <c r="Z183" i="50"/>
  <c r="P183" i="50"/>
  <c r="T183" i="50"/>
  <c r="X183" i="50"/>
  <c r="V183" i="50"/>
  <c r="Q183" i="50"/>
  <c r="U183" i="50"/>
  <c r="Y183" i="50"/>
  <c r="P27" i="50"/>
  <c r="N17" i="50"/>
  <c r="H14" i="49"/>
  <c r="Y181" i="50"/>
  <c r="R181" i="50"/>
  <c r="V181" i="50"/>
  <c r="Z181" i="50"/>
  <c r="N103" i="50"/>
  <c r="Q181" i="50"/>
  <c r="U181" i="50"/>
  <c r="G14" i="49"/>
  <c r="S182" i="50"/>
  <c r="W182" i="50"/>
  <c r="Q182" i="50"/>
  <c r="R182" i="50"/>
  <c r="V182" i="50"/>
  <c r="Z182" i="50"/>
  <c r="Y182" i="50"/>
  <c r="N118" i="50"/>
  <c r="O27" i="50"/>
  <c r="S27" i="50"/>
  <c r="W27" i="50"/>
  <c r="U182" i="50"/>
  <c r="N18" i="50"/>
  <c r="H15" i="49"/>
  <c r="T182" i="50"/>
  <c r="X182" i="50"/>
  <c r="F23" i="49"/>
  <c r="G23" i="49"/>
  <c r="Q27" i="50"/>
  <c r="U27" i="50"/>
  <c r="Y27" i="50"/>
  <c r="O181" i="50"/>
  <c r="S181" i="50"/>
  <c r="W181" i="50"/>
  <c r="P182" i="50"/>
  <c r="O185" i="50"/>
  <c r="N20" i="50"/>
  <c r="H17" i="49"/>
  <c r="N22" i="50"/>
  <c r="H19" i="49"/>
  <c r="R27" i="50"/>
  <c r="V27" i="50"/>
  <c r="Z27" i="50"/>
  <c r="P181" i="50"/>
  <c r="T181" i="50"/>
  <c r="X181" i="50"/>
  <c r="O187" i="50"/>
  <c r="H23" i="49"/>
  <c r="O191" i="50"/>
  <c r="V191" i="50"/>
  <c r="W191" i="50"/>
  <c r="R191" i="50"/>
  <c r="Y191" i="50"/>
  <c r="T191" i="50"/>
  <c r="S191" i="50"/>
  <c r="X191" i="50"/>
  <c r="U191" i="50"/>
  <c r="P191" i="50"/>
  <c r="Z191" i="50"/>
  <c r="Q191" i="50"/>
  <c r="N27" i="50"/>
  <c r="B10" i="42"/>
  <c r="E14" i="45"/>
  <c r="D15" i="45"/>
  <c r="D16" i="45"/>
  <c r="D14" i="45"/>
  <c r="C15" i="45"/>
  <c r="C16" i="45"/>
  <c r="C14" i="45"/>
  <c r="N75" i="46"/>
  <c r="Z66" i="46"/>
  <c r="Y66" i="46"/>
  <c r="X66" i="46"/>
  <c r="X19" i="46" s="1"/>
  <c r="W66" i="46"/>
  <c r="W19" i="46" s="1"/>
  <c r="V66" i="46"/>
  <c r="V19" i="46" s="1"/>
  <c r="U66" i="46"/>
  <c r="T66" i="46"/>
  <c r="T19" i="46" s="1"/>
  <c r="S66" i="46"/>
  <c r="S19" i="46" s="1"/>
  <c r="R66" i="46"/>
  <c r="Q66" i="46"/>
  <c r="P66" i="46"/>
  <c r="P19" i="46" s="1"/>
  <c r="O66" i="46"/>
  <c r="O19" i="46" s="1"/>
  <c r="M66" i="46"/>
  <c r="M19" i="46" s="1"/>
  <c r="N64" i="46"/>
  <c r="C64" i="46"/>
  <c r="B64" i="46"/>
  <c r="N63" i="46"/>
  <c r="N66" i="46" s="1"/>
  <c r="C63" i="46"/>
  <c r="B63" i="46"/>
  <c r="A61" i="46"/>
  <c r="Z60" i="46"/>
  <c r="Z18" i="46" s="1"/>
  <c r="Y60" i="46"/>
  <c r="Y18" i="46" s="1"/>
  <c r="X60" i="46"/>
  <c r="W60" i="46"/>
  <c r="W18" i="46" s="1"/>
  <c r="V60" i="46"/>
  <c r="U60" i="46"/>
  <c r="U18" i="46" s="1"/>
  <c r="T60" i="46"/>
  <c r="S60" i="46"/>
  <c r="S18" i="46" s="1"/>
  <c r="R60" i="46"/>
  <c r="Q60" i="46"/>
  <c r="Q18" i="46" s="1"/>
  <c r="P60" i="46"/>
  <c r="O60" i="46"/>
  <c r="O18" i="46" s="1"/>
  <c r="M60" i="46"/>
  <c r="M18" i="46" s="1"/>
  <c r="G16" i="45" s="1"/>
  <c r="N57" i="46"/>
  <c r="C57" i="46"/>
  <c r="B57" i="46"/>
  <c r="N56" i="46"/>
  <c r="C56" i="46"/>
  <c r="B56" i="46"/>
  <c r="N55" i="46"/>
  <c r="N60" i="46" s="1"/>
  <c r="C55" i="46"/>
  <c r="B55" i="46"/>
  <c r="A53" i="46"/>
  <c r="Z52" i="46"/>
  <c r="Z17" i="46" s="1"/>
  <c r="Y52" i="46"/>
  <c r="Y17" i="46" s="1"/>
  <c r="X52" i="46"/>
  <c r="W52" i="46"/>
  <c r="W17" i="46" s="1"/>
  <c r="V52" i="46"/>
  <c r="V17" i="46" s="1"/>
  <c r="U52" i="46"/>
  <c r="U17" i="46" s="1"/>
  <c r="T52" i="46"/>
  <c r="T17" i="46" s="1"/>
  <c r="T22" i="46" s="1"/>
  <c r="S52" i="46"/>
  <c r="S17" i="46" s="1"/>
  <c r="R52" i="46"/>
  <c r="R17" i="46" s="1"/>
  <c r="Q52" i="46"/>
  <c r="Q17" i="46" s="1"/>
  <c r="P52" i="46"/>
  <c r="P17" i="46" s="1"/>
  <c r="O52" i="46"/>
  <c r="O17" i="46" s="1"/>
  <c r="M52" i="46"/>
  <c r="N50" i="46"/>
  <c r="C50" i="46"/>
  <c r="B50" i="46"/>
  <c r="N49" i="46"/>
  <c r="C49" i="46"/>
  <c r="B49" i="46"/>
  <c r="N48" i="46"/>
  <c r="C48" i="46"/>
  <c r="B48" i="46"/>
  <c r="A46" i="46"/>
  <c r="A38" i="46"/>
  <c r="A32" i="46"/>
  <c r="A26" i="46"/>
  <c r="Z19" i="46"/>
  <c r="Y19" i="46"/>
  <c r="U19" i="46"/>
  <c r="R19" i="46"/>
  <c r="Q19" i="46"/>
  <c r="X18" i="46"/>
  <c r="V18" i="46"/>
  <c r="T18" i="46"/>
  <c r="R18" i="46"/>
  <c r="P18" i="46"/>
  <c r="X17" i="46"/>
  <c r="M17" i="46"/>
  <c r="B10" i="46"/>
  <c r="F22" i="45"/>
  <c r="T17" i="45"/>
  <c r="S17" i="45"/>
  <c r="R17" i="45"/>
  <c r="Q17" i="45"/>
  <c r="P17" i="45"/>
  <c r="O17" i="45"/>
  <c r="N17" i="45"/>
  <c r="M17" i="45"/>
  <c r="L17" i="45"/>
  <c r="K17" i="45"/>
  <c r="J17" i="45"/>
  <c r="I17" i="45"/>
  <c r="T16" i="45"/>
  <c r="S16" i="45"/>
  <c r="R16" i="45"/>
  <c r="Q16" i="45"/>
  <c r="P16" i="45"/>
  <c r="O16" i="45"/>
  <c r="N16" i="45"/>
  <c r="M16" i="45"/>
  <c r="L16" i="45"/>
  <c r="K16" i="45"/>
  <c r="J16" i="45"/>
  <c r="I16" i="45"/>
  <c r="F16" i="45"/>
  <c r="T14" i="45"/>
  <c r="T22" i="45"/>
  <c r="S14" i="45"/>
  <c r="S22" i="45"/>
  <c r="R14" i="45"/>
  <c r="R22" i="45"/>
  <c r="Q14" i="45"/>
  <c r="Q22" i="45"/>
  <c r="P14" i="45"/>
  <c r="P22" i="45"/>
  <c r="O14" i="45"/>
  <c r="O22" i="45"/>
  <c r="N14" i="45"/>
  <c r="N22" i="45"/>
  <c r="M14" i="45"/>
  <c r="M22" i="45"/>
  <c r="L14" i="45"/>
  <c r="L22" i="45"/>
  <c r="K14" i="45"/>
  <c r="K22" i="45"/>
  <c r="J14" i="45"/>
  <c r="J22" i="45"/>
  <c r="I14" i="45"/>
  <c r="I22" i="45"/>
  <c r="G14" i="45"/>
  <c r="F14" i="45"/>
  <c r="B9" i="45"/>
  <c r="D7" i="45"/>
  <c r="N54" i="44"/>
  <c r="D10" i="44"/>
  <c r="D7" i="43"/>
  <c r="B10" i="44"/>
  <c r="B7" i="43"/>
  <c r="N79" i="44"/>
  <c r="F15" i="43"/>
  <c r="F16" i="43"/>
  <c r="F17" i="43"/>
  <c r="F14" i="43"/>
  <c r="E15" i="43"/>
  <c r="E16" i="43"/>
  <c r="E17" i="43"/>
  <c r="E14" i="43"/>
  <c r="D15" i="43"/>
  <c r="D16" i="43"/>
  <c r="D17" i="43"/>
  <c r="D14" i="43"/>
  <c r="C15" i="43"/>
  <c r="C16" i="43"/>
  <c r="C17" i="43"/>
  <c r="C14" i="43"/>
  <c r="B15" i="43"/>
  <c r="B16" i="43"/>
  <c r="B17" i="43"/>
  <c r="B14" i="43"/>
  <c r="N91" i="44"/>
  <c r="Z81" i="44"/>
  <c r="Y81" i="44"/>
  <c r="X81" i="44"/>
  <c r="W81" i="44"/>
  <c r="V81" i="44"/>
  <c r="U81" i="44"/>
  <c r="T81" i="44"/>
  <c r="S81" i="44"/>
  <c r="R81" i="44"/>
  <c r="Q81" i="44"/>
  <c r="P81" i="44"/>
  <c r="O81" i="44"/>
  <c r="N80" i="44"/>
  <c r="C80" i="44"/>
  <c r="B80" i="44"/>
  <c r="C79" i="44"/>
  <c r="B79" i="44"/>
  <c r="A77" i="44"/>
  <c r="Y76" i="44"/>
  <c r="X76" i="44"/>
  <c r="U76" i="44"/>
  <c r="T76" i="44"/>
  <c r="S76" i="44"/>
  <c r="R76" i="44"/>
  <c r="Q76" i="44"/>
  <c r="P76" i="44"/>
  <c r="O76" i="44"/>
  <c r="Z75" i="44"/>
  <c r="Z76" i="44"/>
  <c r="Z19" i="44"/>
  <c r="W75" i="44"/>
  <c r="V75" i="44"/>
  <c r="V76" i="44"/>
  <c r="V19" i="44"/>
  <c r="C75" i="44"/>
  <c r="B75" i="44"/>
  <c r="N74" i="44"/>
  <c r="C74" i="44"/>
  <c r="B74" i="44"/>
  <c r="A72" i="44"/>
  <c r="Z71" i="44"/>
  <c r="Y71" i="44"/>
  <c r="X71" i="44"/>
  <c r="W71" i="44"/>
  <c r="V71" i="44"/>
  <c r="U71" i="44"/>
  <c r="T71" i="44"/>
  <c r="S71" i="44"/>
  <c r="R71" i="44"/>
  <c r="Q71" i="44"/>
  <c r="P71" i="44"/>
  <c r="O71" i="44"/>
  <c r="N70" i="44"/>
  <c r="C70" i="44"/>
  <c r="B70" i="44"/>
  <c r="N69" i="44"/>
  <c r="N71" i="44"/>
  <c r="N18" i="44"/>
  <c r="H15" i="43"/>
  <c r="C69" i="44"/>
  <c r="B69" i="44"/>
  <c r="A67" i="44"/>
  <c r="Z66" i="44"/>
  <c r="Y66" i="44"/>
  <c r="X66" i="44"/>
  <c r="W66" i="44"/>
  <c r="V66" i="44"/>
  <c r="U66" i="44"/>
  <c r="T66" i="44"/>
  <c r="S66" i="44"/>
  <c r="R66" i="44"/>
  <c r="Q66" i="44"/>
  <c r="P66" i="44"/>
  <c r="O66" i="44"/>
  <c r="M66" i="44"/>
  <c r="M71" i="44"/>
  <c r="N64" i="44"/>
  <c r="C64" i="44"/>
  <c r="B64" i="44"/>
  <c r="N63" i="44"/>
  <c r="C63" i="44"/>
  <c r="B63" i="44"/>
  <c r="N62" i="44"/>
  <c r="N34" i="44"/>
  <c r="C62" i="44"/>
  <c r="B62" i="44"/>
  <c r="N61" i="44"/>
  <c r="C61" i="44"/>
  <c r="B61" i="44"/>
  <c r="N60" i="44"/>
  <c r="C60" i="44"/>
  <c r="B60" i="44"/>
  <c r="N59" i="44"/>
  <c r="N31" i="44"/>
  <c r="C59" i="44"/>
  <c r="B59" i="44"/>
  <c r="N58" i="44"/>
  <c r="N30" i="44"/>
  <c r="C58" i="44"/>
  <c r="B58" i="44"/>
  <c r="N57" i="44"/>
  <c r="N29" i="44"/>
  <c r="C57" i="44"/>
  <c r="B57" i="44"/>
  <c r="N56" i="44"/>
  <c r="B56" i="44"/>
  <c r="N55" i="44"/>
  <c r="C55" i="44"/>
  <c r="B55" i="44"/>
  <c r="C54" i="44"/>
  <c r="B54" i="44"/>
  <c r="A52" i="44"/>
  <c r="N48" i="44"/>
  <c r="N47" i="44"/>
  <c r="A46" i="44"/>
  <c r="N43" i="44"/>
  <c r="A42" i="44"/>
  <c r="N40" i="44"/>
  <c r="N39" i="44"/>
  <c r="A38" i="44"/>
  <c r="N36" i="44"/>
  <c r="N35" i="44"/>
  <c r="N33" i="44"/>
  <c r="N32" i="44"/>
  <c r="N28" i="44"/>
  <c r="N27" i="44"/>
  <c r="A25" i="44"/>
  <c r="Z20" i="44"/>
  <c r="Y20" i="44"/>
  <c r="X20" i="44"/>
  <c r="W20" i="44"/>
  <c r="V20" i="44"/>
  <c r="U20" i="44"/>
  <c r="T20" i="44"/>
  <c r="S20" i="44"/>
  <c r="R20" i="44"/>
  <c r="Q20" i="44"/>
  <c r="P20" i="44"/>
  <c r="O20" i="44"/>
  <c r="M20" i="44"/>
  <c r="Y19" i="44"/>
  <c r="X19" i="44"/>
  <c r="U19" i="44"/>
  <c r="T19" i="44"/>
  <c r="S19" i="44"/>
  <c r="R19" i="44"/>
  <c r="Q19" i="44"/>
  <c r="P19" i="44"/>
  <c r="O19" i="44"/>
  <c r="Z18" i="44"/>
  <c r="Y18" i="44"/>
  <c r="X18" i="44"/>
  <c r="W18" i="44"/>
  <c r="V18" i="44"/>
  <c r="U18" i="44"/>
  <c r="T18" i="44"/>
  <c r="S18" i="44"/>
  <c r="R18" i="44"/>
  <c r="Q18" i="44"/>
  <c r="P18" i="44"/>
  <c r="O18" i="44"/>
  <c r="O87" i="44"/>
  <c r="M18" i="44"/>
  <c r="Z17" i="44"/>
  <c r="Y17" i="44"/>
  <c r="X17" i="44"/>
  <c r="X21" i="44"/>
  <c r="W17" i="44"/>
  <c r="V17" i="44"/>
  <c r="U17" i="44"/>
  <c r="T17" i="44"/>
  <c r="T21" i="44"/>
  <c r="S17" i="44"/>
  <c r="S21" i="44"/>
  <c r="R17" i="44"/>
  <c r="Q17" i="44"/>
  <c r="P17" i="44"/>
  <c r="P86" i="44"/>
  <c r="O17" i="44"/>
  <c r="Y86" i="44"/>
  <c r="M17" i="44"/>
  <c r="M21" i="44"/>
  <c r="F19" i="43"/>
  <c r="T14" i="43"/>
  <c r="T19" i="43"/>
  <c r="S14" i="43"/>
  <c r="S19" i="43"/>
  <c r="R14" i="43"/>
  <c r="R19" i="43"/>
  <c r="Q14" i="43"/>
  <c r="Q19" i="43"/>
  <c r="P14" i="43"/>
  <c r="P19" i="43"/>
  <c r="O14" i="43"/>
  <c r="O19" i="43"/>
  <c r="N14" i="43"/>
  <c r="N19" i="43"/>
  <c r="M14" i="43"/>
  <c r="M19" i="43"/>
  <c r="L14" i="43"/>
  <c r="L19" i="43"/>
  <c r="K14" i="43"/>
  <c r="K19" i="43"/>
  <c r="J14" i="43"/>
  <c r="J19" i="43"/>
  <c r="I14" i="43"/>
  <c r="I19" i="43"/>
  <c r="B9" i="43"/>
  <c r="W76" i="44"/>
  <c r="W19" i="44"/>
  <c r="W88" i="44"/>
  <c r="T86" i="44"/>
  <c r="G14" i="43"/>
  <c r="G19" i="43"/>
  <c r="N26" i="44"/>
  <c r="V86" i="44"/>
  <c r="Z86" i="44"/>
  <c r="N152" i="15"/>
  <c r="N107" i="39"/>
  <c r="N114" i="39"/>
  <c r="O79" i="25"/>
  <c r="O17" i="25"/>
  <c r="P79" i="25"/>
  <c r="P17" i="25"/>
  <c r="Q79" i="25"/>
  <c r="Q17" i="25"/>
  <c r="R79" i="25"/>
  <c r="R17" i="25"/>
  <c r="S79" i="25"/>
  <c r="S17" i="25"/>
  <c r="T79" i="25"/>
  <c r="T17" i="25"/>
  <c r="U79" i="25"/>
  <c r="U17" i="25"/>
  <c r="V79" i="25"/>
  <c r="V17" i="25"/>
  <c r="W79" i="25"/>
  <c r="W17" i="25"/>
  <c r="X79" i="25"/>
  <c r="X17" i="25"/>
  <c r="Y79" i="25"/>
  <c r="Y17" i="25"/>
  <c r="Z79" i="25"/>
  <c r="Z17" i="25"/>
  <c r="O88" i="25"/>
  <c r="O18" i="25"/>
  <c r="P88" i="25"/>
  <c r="P18" i="25"/>
  <c r="Q88" i="25"/>
  <c r="Q18" i="25"/>
  <c r="R88" i="25"/>
  <c r="R18" i="25"/>
  <c r="S88" i="25"/>
  <c r="S18" i="25"/>
  <c r="T88" i="25"/>
  <c r="T18" i="25"/>
  <c r="U88" i="25"/>
  <c r="U18" i="25"/>
  <c r="V88" i="25"/>
  <c r="V18" i="25"/>
  <c r="W88" i="25"/>
  <c r="W18" i="25"/>
  <c r="X88" i="25"/>
  <c r="X18" i="25"/>
  <c r="Y88" i="25"/>
  <c r="Y18" i="25"/>
  <c r="Z88" i="25"/>
  <c r="Z18" i="25"/>
  <c r="O97" i="25"/>
  <c r="O19" i="25"/>
  <c r="P97" i="25"/>
  <c r="P19" i="25"/>
  <c r="Q97" i="25"/>
  <c r="Q19" i="25"/>
  <c r="R97" i="25"/>
  <c r="R19" i="25"/>
  <c r="S97" i="25"/>
  <c r="S19" i="25"/>
  <c r="T97" i="25"/>
  <c r="T19" i="25"/>
  <c r="U97" i="25"/>
  <c r="U19" i="25"/>
  <c r="V97" i="25"/>
  <c r="V19" i="25"/>
  <c r="W97" i="25"/>
  <c r="W19" i="25"/>
  <c r="X97" i="25"/>
  <c r="X19" i="25"/>
  <c r="Y97" i="25"/>
  <c r="Y19" i="25"/>
  <c r="Z97" i="25"/>
  <c r="Z19" i="25"/>
  <c r="O113" i="25"/>
  <c r="O20" i="25"/>
  <c r="P113" i="25"/>
  <c r="P20" i="25"/>
  <c r="Q113" i="25"/>
  <c r="Q20" i="25"/>
  <c r="R113" i="25"/>
  <c r="R20" i="25"/>
  <c r="S113" i="25"/>
  <c r="S20" i="25"/>
  <c r="T113" i="25"/>
  <c r="T20" i="25"/>
  <c r="U113" i="25"/>
  <c r="U20" i="25"/>
  <c r="V113" i="25"/>
  <c r="V20" i="25"/>
  <c r="W113" i="25"/>
  <c r="W20" i="25"/>
  <c r="X113" i="25"/>
  <c r="X20" i="25"/>
  <c r="Y113" i="25"/>
  <c r="Y20" i="25"/>
  <c r="Z113" i="25"/>
  <c r="Z20" i="25"/>
  <c r="O126" i="25"/>
  <c r="O21" i="25"/>
  <c r="P126" i="25"/>
  <c r="P21" i="25"/>
  <c r="Q126" i="25"/>
  <c r="Q21" i="25"/>
  <c r="R126" i="25"/>
  <c r="R21" i="25"/>
  <c r="S126" i="25"/>
  <c r="S21" i="25"/>
  <c r="T126" i="25"/>
  <c r="T21" i="25"/>
  <c r="U126" i="25"/>
  <c r="U21" i="25"/>
  <c r="V126" i="25"/>
  <c r="V21" i="25"/>
  <c r="W126" i="25"/>
  <c r="W21" i="25"/>
  <c r="X126" i="25"/>
  <c r="X21" i="25"/>
  <c r="Y126" i="25"/>
  <c r="Y21" i="25"/>
  <c r="Z126" i="25"/>
  <c r="Z21" i="25"/>
  <c r="N123" i="25"/>
  <c r="N102" i="25"/>
  <c r="N103" i="25"/>
  <c r="N104" i="25"/>
  <c r="N105" i="25"/>
  <c r="N106" i="25"/>
  <c r="N107" i="25"/>
  <c r="N108" i="25"/>
  <c r="N109" i="25"/>
  <c r="N110" i="25"/>
  <c r="N111" i="25"/>
  <c r="N112" i="25"/>
  <c r="N100" i="25"/>
  <c r="N113" i="25"/>
  <c r="N101" i="25"/>
  <c r="N86" i="25"/>
  <c r="N115" i="42"/>
  <c r="N109" i="42"/>
  <c r="N110" i="42"/>
  <c r="N111" i="42"/>
  <c r="N113" i="42"/>
  <c r="N114" i="42"/>
  <c r="N116" i="42"/>
  <c r="N117" i="42"/>
  <c r="N113" i="39"/>
  <c r="O114" i="39"/>
  <c r="O18" i="39"/>
  <c r="P114" i="39"/>
  <c r="P18" i="39"/>
  <c r="Q114" i="39"/>
  <c r="Q18" i="39"/>
  <c r="R114" i="39"/>
  <c r="R18" i="39"/>
  <c r="S114" i="39"/>
  <c r="S18" i="39"/>
  <c r="T114" i="39"/>
  <c r="T18" i="39"/>
  <c r="U114" i="39"/>
  <c r="U18" i="39"/>
  <c r="V114" i="39"/>
  <c r="V18" i="39"/>
  <c r="W114" i="39"/>
  <c r="W18" i="39"/>
  <c r="X114" i="39"/>
  <c r="X18" i="39"/>
  <c r="Y114" i="39"/>
  <c r="Y18" i="39"/>
  <c r="Z114" i="39"/>
  <c r="Z18" i="39"/>
  <c r="N18" i="39"/>
  <c r="N27" i="39"/>
  <c r="N104" i="39"/>
  <c r="N19" i="39"/>
  <c r="N20" i="39"/>
  <c r="H17" i="38"/>
  <c r="E17" i="38"/>
  <c r="D17" i="38"/>
  <c r="N19" i="27"/>
  <c r="N20" i="27"/>
  <c r="D10" i="27"/>
  <c r="D10" i="39"/>
  <c r="D10" i="33"/>
  <c r="D10" i="29"/>
  <c r="D10" i="35"/>
  <c r="B10" i="35"/>
  <c r="B10" i="29"/>
  <c r="B7" i="28"/>
  <c r="B10" i="19"/>
  <c r="B10" i="12"/>
  <c r="B10" i="33"/>
  <c r="B10" i="39"/>
  <c r="B10" i="27"/>
  <c r="B10" i="23"/>
  <c r="B10" i="25"/>
  <c r="B7" i="24"/>
  <c r="G18" i="24"/>
  <c r="F17" i="24"/>
  <c r="F18" i="24"/>
  <c r="F19" i="24"/>
  <c r="F17" i="41"/>
  <c r="E17" i="41"/>
  <c r="D10" i="42"/>
  <c r="N19" i="15"/>
  <c r="N26" i="15"/>
  <c r="E45" i="17"/>
  <c r="E44" i="17"/>
  <c r="O124" i="42"/>
  <c r="O19" i="42"/>
  <c r="P124" i="42"/>
  <c r="P19" i="42"/>
  <c r="Q124" i="42"/>
  <c r="Q19" i="42"/>
  <c r="R124" i="42"/>
  <c r="R19" i="42"/>
  <c r="S124" i="42"/>
  <c r="S19" i="42"/>
  <c r="T124" i="42"/>
  <c r="T19" i="42"/>
  <c r="U124" i="42"/>
  <c r="U19" i="42"/>
  <c r="V124" i="42"/>
  <c r="V19" i="42"/>
  <c r="W124" i="42"/>
  <c r="W19" i="42"/>
  <c r="X124" i="42"/>
  <c r="X19" i="42"/>
  <c r="Y124" i="42"/>
  <c r="Y19" i="42"/>
  <c r="Z124" i="42"/>
  <c r="Z19" i="42"/>
  <c r="N19" i="42"/>
  <c r="G16" i="41"/>
  <c r="E11" i="17"/>
  <c r="F11" i="17"/>
  <c r="G11" i="17"/>
  <c r="O128" i="42"/>
  <c r="O20" i="42"/>
  <c r="P128" i="42"/>
  <c r="P20" i="42"/>
  <c r="Q128" i="42"/>
  <c r="Q20" i="42"/>
  <c r="R128" i="42"/>
  <c r="R20" i="42"/>
  <c r="S128" i="42"/>
  <c r="S20" i="42"/>
  <c r="T128" i="42"/>
  <c r="T20" i="42"/>
  <c r="U128" i="42"/>
  <c r="U20" i="42"/>
  <c r="V128" i="42"/>
  <c r="V20" i="42"/>
  <c r="W128" i="42"/>
  <c r="W20" i="42"/>
  <c r="X128" i="42"/>
  <c r="X20" i="42"/>
  <c r="Y128" i="42"/>
  <c r="Y20" i="42"/>
  <c r="Z128" i="42"/>
  <c r="Z20" i="42"/>
  <c r="N20" i="42"/>
  <c r="G17" i="41"/>
  <c r="E12" i="17"/>
  <c r="F12" i="17"/>
  <c r="G12" i="17"/>
  <c r="O118" i="42"/>
  <c r="O18" i="42"/>
  <c r="P118" i="42"/>
  <c r="P18" i="42"/>
  <c r="P27" i="42"/>
  <c r="Q118" i="42"/>
  <c r="Q18" i="42"/>
  <c r="Q27" i="42"/>
  <c r="R118" i="42"/>
  <c r="R18" i="42"/>
  <c r="R27" i="42"/>
  <c r="S118" i="42"/>
  <c r="S18" i="42"/>
  <c r="S27" i="42"/>
  <c r="T118" i="42"/>
  <c r="T18" i="42"/>
  <c r="T27" i="42"/>
  <c r="U118" i="42"/>
  <c r="U18" i="42"/>
  <c r="U27" i="42"/>
  <c r="V118" i="42"/>
  <c r="V18" i="42"/>
  <c r="V27" i="42"/>
  <c r="W118" i="42"/>
  <c r="W18" i="42"/>
  <c r="W27" i="42"/>
  <c r="X118" i="42"/>
  <c r="X18" i="42"/>
  <c r="X27" i="42"/>
  <c r="Y118" i="42"/>
  <c r="Y18" i="42"/>
  <c r="Y27" i="42"/>
  <c r="Z118" i="42"/>
  <c r="Z18" i="42"/>
  <c r="Z27" i="42"/>
  <c r="Z103" i="42"/>
  <c r="Z17" i="42"/>
  <c r="S103" i="42"/>
  <c r="S17" i="42"/>
  <c r="T103" i="42"/>
  <c r="T17" i="42"/>
  <c r="U103" i="42"/>
  <c r="U17" i="42"/>
  <c r="V103" i="42"/>
  <c r="V17" i="42"/>
  <c r="W103" i="42"/>
  <c r="W17" i="42"/>
  <c r="X103" i="42"/>
  <c r="X17" i="42"/>
  <c r="Y103" i="42"/>
  <c r="Y17" i="42"/>
  <c r="N178" i="42"/>
  <c r="Z177" i="42"/>
  <c r="Y177" i="42"/>
  <c r="X177" i="42"/>
  <c r="W177" i="42"/>
  <c r="V177" i="42"/>
  <c r="U177" i="42"/>
  <c r="T177" i="42"/>
  <c r="S177" i="42"/>
  <c r="R177" i="42"/>
  <c r="Q177" i="42"/>
  <c r="P177" i="42"/>
  <c r="O177" i="42"/>
  <c r="D177" i="42"/>
  <c r="C177" i="42"/>
  <c r="A177" i="42"/>
  <c r="Z176" i="42"/>
  <c r="Y176" i="42"/>
  <c r="X176" i="42"/>
  <c r="W176" i="42"/>
  <c r="V176" i="42"/>
  <c r="U176" i="42"/>
  <c r="T176" i="42"/>
  <c r="S176" i="42"/>
  <c r="R176" i="42"/>
  <c r="Q176" i="42"/>
  <c r="P176" i="42"/>
  <c r="O176" i="42"/>
  <c r="D176" i="42"/>
  <c r="C176" i="42"/>
  <c r="A176" i="42"/>
  <c r="Z175" i="42"/>
  <c r="Y175" i="42"/>
  <c r="X175" i="42"/>
  <c r="W175" i="42"/>
  <c r="V175" i="42"/>
  <c r="U175" i="42"/>
  <c r="T175" i="42"/>
  <c r="S175" i="42"/>
  <c r="R175" i="42"/>
  <c r="Q175" i="42"/>
  <c r="P175" i="42"/>
  <c r="O175" i="42"/>
  <c r="D175" i="42"/>
  <c r="C175" i="42"/>
  <c r="A175" i="42"/>
  <c r="Z174" i="42"/>
  <c r="Y174" i="42"/>
  <c r="X174" i="42"/>
  <c r="W174" i="42"/>
  <c r="V174" i="42"/>
  <c r="U174" i="42"/>
  <c r="T174" i="42"/>
  <c r="S174" i="42"/>
  <c r="R174" i="42"/>
  <c r="Q174" i="42"/>
  <c r="P174" i="42"/>
  <c r="O174" i="42"/>
  <c r="D174" i="42"/>
  <c r="C174" i="42"/>
  <c r="A174" i="42"/>
  <c r="Z173" i="42"/>
  <c r="Y173" i="42"/>
  <c r="X173" i="42"/>
  <c r="W173" i="42"/>
  <c r="V173" i="42"/>
  <c r="U173" i="42"/>
  <c r="T173" i="42"/>
  <c r="S173" i="42"/>
  <c r="R173" i="42"/>
  <c r="Q173" i="42"/>
  <c r="P173" i="42"/>
  <c r="O173" i="42"/>
  <c r="D173" i="42"/>
  <c r="C173" i="42"/>
  <c r="A173" i="42"/>
  <c r="Z172" i="42"/>
  <c r="Y172" i="42"/>
  <c r="X172" i="42"/>
  <c r="W172" i="42"/>
  <c r="V172" i="42"/>
  <c r="U172" i="42"/>
  <c r="T172" i="42"/>
  <c r="S172" i="42"/>
  <c r="R172" i="42"/>
  <c r="Q172" i="42"/>
  <c r="P172" i="42"/>
  <c r="O172" i="42"/>
  <c r="D172" i="42"/>
  <c r="C172" i="42"/>
  <c r="A172" i="42"/>
  <c r="Z171" i="42"/>
  <c r="Y171" i="42"/>
  <c r="X171" i="42"/>
  <c r="W171" i="42"/>
  <c r="V171" i="42"/>
  <c r="U171" i="42"/>
  <c r="T171" i="42"/>
  <c r="S171" i="42"/>
  <c r="R171" i="42"/>
  <c r="Q171" i="42"/>
  <c r="P171" i="42"/>
  <c r="O171" i="42"/>
  <c r="D171" i="42"/>
  <c r="C171" i="42"/>
  <c r="A171" i="42"/>
  <c r="Z170" i="42"/>
  <c r="Y170" i="42"/>
  <c r="X170" i="42"/>
  <c r="W170" i="42"/>
  <c r="V170" i="42"/>
  <c r="U170" i="42"/>
  <c r="T170" i="42"/>
  <c r="S170" i="42"/>
  <c r="R170" i="42"/>
  <c r="Q170" i="42"/>
  <c r="P170" i="42"/>
  <c r="O170" i="42"/>
  <c r="D170" i="42"/>
  <c r="C170" i="42"/>
  <c r="A170" i="42"/>
  <c r="D169" i="42"/>
  <c r="C169" i="42"/>
  <c r="A169" i="42"/>
  <c r="Z168" i="42"/>
  <c r="Y168" i="42"/>
  <c r="X168" i="42"/>
  <c r="W168" i="42"/>
  <c r="V168" i="42"/>
  <c r="U168" i="42"/>
  <c r="T168" i="42"/>
  <c r="S168" i="42"/>
  <c r="R168" i="42"/>
  <c r="Q168" i="42"/>
  <c r="P168" i="42"/>
  <c r="O168" i="42"/>
  <c r="D168" i="42"/>
  <c r="C168" i="42"/>
  <c r="A168" i="42"/>
  <c r="A164" i="42"/>
  <c r="Z163" i="42"/>
  <c r="Y163" i="42"/>
  <c r="X163" i="42"/>
  <c r="W163" i="42"/>
  <c r="V163" i="42"/>
  <c r="U163" i="42"/>
  <c r="T163" i="42"/>
  <c r="S163" i="42"/>
  <c r="R163" i="42"/>
  <c r="Q163" i="42"/>
  <c r="P163" i="42"/>
  <c r="O163" i="42"/>
  <c r="N159" i="42"/>
  <c r="N160" i="42"/>
  <c r="N161" i="42"/>
  <c r="N162" i="42"/>
  <c r="N163" i="42"/>
  <c r="M163" i="42"/>
  <c r="L163" i="42"/>
  <c r="A157" i="42"/>
  <c r="Z156" i="42"/>
  <c r="Y156" i="42"/>
  <c r="X156" i="42"/>
  <c r="W156" i="42"/>
  <c r="V156" i="42"/>
  <c r="U156" i="42"/>
  <c r="T156" i="42"/>
  <c r="S156" i="42"/>
  <c r="R156" i="42"/>
  <c r="Q156" i="42"/>
  <c r="P156" i="42"/>
  <c r="O156" i="42"/>
  <c r="N152" i="42"/>
  <c r="N153" i="42"/>
  <c r="N154" i="42"/>
  <c r="N155" i="42"/>
  <c r="N156" i="42"/>
  <c r="M156" i="42"/>
  <c r="L156" i="42"/>
  <c r="A150" i="42"/>
  <c r="Z149" i="42"/>
  <c r="Y149" i="42"/>
  <c r="X149" i="42"/>
  <c r="W149" i="42"/>
  <c r="V149" i="42"/>
  <c r="U149" i="42"/>
  <c r="T149" i="42"/>
  <c r="S149" i="42"/>
  <c r="R149" i="42"/>
  <c r="Q149" i="42"/>
  <c r="P149" i="42"/>
  <c r="O149" i="42"/>
  <c r="N145" i="42"/>
  <c r="N146" i="42"/>
  <c r="N147" i="42"/>
  <c r="N148" i="42"/>
  <c r="N149" i="42"/>
  <c r="M149" i="42"/>
  <c r="L149" i="42"/>
  <c r="A143" i="42"/>
  <c r="Z142" i="42"/>
  <c r="Y142" i="42"/>
  <c r="X142" i="42"/>
  <c r="W142" i="42"/>
  <c r="V142" i="42"/>
  <c r="U142" i="42"/>
  <c r="T142" i="42"/>
  <c r="S142" i="42"/>
  <c r="R142" i="42"/>
  <c r="Q142" i="42"/>
  <c r="P142" i="42"/>
  <c r="O142" i="42"/>
  <c r="N138" i="42"/>
  <c r="N139" i="42"/>
  <c r="N140" i="42"/>
  <c r="N141" i="42"/>
  <c r="N142" i="42"/>
  <c r="M142" i="42"/>
  <c r="L142" i="42"/>
  <c r="A136" i="42"/>
  <c r="Z135" i="42"/>
  <c r="Y135" i="42"/>
  <c r="X135" i="42"/>
  <c r="W135" i="42"/>
  <c r="V135" i="42"/>
  <c r="U135" i="42"/>
  <c r="T135" i="42"/>
  <c r="S135" i="42"/>
  <c r="R135" i="42"/>
  <c r="Q135" i="42"/>
  <c r="P135" i="42"/>
  <c r="O135" i="42"/>
  <c r="N131" i="42"/>
  <c r="N132" i="42"/>
  <c r="N133" i="42"/>
  <c r="N134" i="42"/>
  <c r="N135" i="42"/>
  <c r="M135" i="42"/>
  <c r="L135" i="42"/>
  <c r="A129" i="42"/>
  <c r="N127" i="42"/>
  <c r="N128" i="42"/>
  <c r="M128" i="42"/>
  <c r="L128" i="42"/>
  <c r="A125" i="42"/>
  <c r="N121" i="42"/>
  <c r="N124" i="42"/>
  <c r="M124" i="42"/>
  <c r="L124" i="42"/>
  <c r="N122" i="42"/>
  <c r="A119" i="42"/>
  <c r="N106" i="42"/>
  <c r="N107" i="42"/>
  <c r="N118" i="42"/>
  <c r="N108" i="42"/>
  <c r="N112" i="42"/>
  <c r="M118" i="42"/>
  <c r="L118" i="42"/>
  <c r="A104" i="42"/>
  <c r="N95" i="42"/>
  <c r="N96" i="42"/>
  <c r="N97" i="42"/>
  <c r="N98" i="42"/>
  <c r="N99" i="42"/>
  <c r="N100" i="42"/>
  <c r="N101" i="42"/>
  <c r="N102" i="42"/>
  <c r="M103" i="42"/>
  <c r="L103" i="42"/>
  <c r="A93" i="42"/>
  <c r="A85" i="42"/>
  <c r="A79" i="42"/>
  <c r="A73" i="42"/>
  <c r="A67" i="42"/>
  <c r="A61" i="42"/>
  <c r="A55" i="42"/>
  <c r="A49" i="42"/>
  <c r="A43" i="42"/>
  <c r="A37" i="42"/>
  <c r="A31" i="42"/>
  <c r="M17" i="42"/>
  <c r="M18" i="42"/>
  <c r="M19" i="42"/>
  <c r="M27" i="42"/>
  <c r="G18" i="41"/>
  <c r="F14" i="41"/>
  <c r="F15" i="41"/>
  <c r="F16" i="41"/>
  <c r="F18" i="41"/>
  <c r="E19" i="41"/>
  <c r="E18" i="41"/>
  <c r="D18" i="41"/>
  <c r="C18" i="41"/>
  <c r="D17" i="41"/>
  <c r="C17" i="41"/>
  <c r="B17" i="41"/>
  <c r="A17" i="41"/>
  <c r="E16" i="41"/>
  <c r="D16" i="41"/>
  <c r="C16" i="41"/>
  <c r="B16" i="41"/>
  <c r="A16" i="41"/>
  <c r="E15" i="41"/>
  <c r="D15" i="41"/>
  <c r="C15" i="41"/>
  <c r="B15" i="41"/>
  <c r="A15" i="41"/>
  <c r="E14" i="41"/>
  <c r="D14" i="41"/>
  <c r="C14" i="41"/>
  <c r="B14" i="41"/>
  <c r="A14" i="41"/>
  <c r="A9" i="41"/>
  <c r="C7" i="41"/>
  <c r="A7" i="41"/>
  <c r="A5" i="41"/>
  <c r="E54" i="17"/>
  <c r="I52" i="17"/>
  <c r="I51" i="17"/>
  <c r="E38" i="17"/>
  <c r="I38" i="17"/>
  <c r="O107" i="39"/>
  <c r="O17" i="39"/>
  <c r="P107" i="39"/>
  <c r="P17" i="39"/>
  <c r="Q107" i="39"/>
  <c r="Q17" i="39"/>
  <c r="R107" i="39"/>
  <c r="R17" i="39"/>
  <c r="S107" i="39"/>
  <c r="S17" i="39"/>
  <c r="T107" i="39"/>
  <c r="T17" i="39"/>
  <c r="U107" i="39"/>
  <c r="U17" i="39"/>
  <c r="V107" i="39"/>
  <c r="V17" i="39"/>
  <c r="W107" i="39"/>
  <c r="W17" i="39"/>
  <c r="X107" i="39"/>
  <c r="X17" i="39"/>
  <c r="Y107" i="39"/>
  <c r="Y17" i="39"/>
  <c r="Z107" i="39"/>
  <c r="Z17" i="39"/>
  <c r="N17" i="39"/>
  <c r="H14" i="38"/>
  <c r="N124" i="39"/>
  <c r="H16" i="38"/>
  <c r="H15" i="38"/>
  <c r="H19" i="38"/>
  <c r="E26" i="17"/>
  <c r="H17" i="26"/>
  <c r="H19" i="24"/>
  <c r="N94" i="19"/>
  <c r="N99" i="19"/>
  <c r="AP86" i="40"/>
  <c r="AP84" i="40"/>
  <c r="AP82" i="40"/>
  <c r="AP80" i="40"/>
  <c r="BD61" i="40"/>
  <c r="BC61" i="40"/>
  <c r="BB61" i="40"/>
  <c r="BA61" i="40"/>
  <c r="AZ61" i="40"/>
  <c r="AY61" i="40"/>
  <c r="AX61" i="40"/>
  <c r="AW61" i="40"/>
  <c r="AV61" i="40"/>
  <c r="AU61" i="40"/>
  <c r="AT61" i="40"/>
  <c r="AS61" i="40"/>
  <c r="AR61" i="40"/>
  <c r="AR71" i="40"/>
  <c r="AQ61" i="40"/>
  <c r="AQ71" i="40"/>
  <c r="AP61" i="40"/>
  <c r="AP87" i="40"/>
  <c r="AO61" i="40"/>
  <c r="AO71" i="40"/>
  <c r="AN61" i="40"/>
  <c r="AN71" i="40"/>
  <c r="AM61" i="40"/>
  <c r="AS78" i="40"/>
  <c r="AL61" i="40"/>
  <c r="AL71" i="40"/>
  <c r="AK61" i="40"/>
  <c r="AK71" i="40"/>
  <c r="AJ61" i="40"/>
  <c r="AJ71" i="40"/>
  <c r="AI61" i="40"/>
  <c r="AI71" i="40"/>
  <c r="AH61" i="40"/>
  <c r="AH71" i="40"/>
  <c r="AG61" i="40"/>
  <c r="AG71" i="40"/>
  <c r="AF61" i="40"/>
  <c r="AF71" i="40"/>
  <c r="AE61" i="40"/>
  <c r="AE71" i="40"/>
  <c r="AD61" i="40"/>
  <c r="AD71" i="40"/>
  <c r="AC61" i="40"/>
  <c r="AC71" i="40"/>
  <c r="AB61" i="40"/>
  <c r="AB71" i="40"/>
  <c r="AA61" i="40"/>
  <c r="AA71" i="40"/>
  <c r="Z61" i="40"/>
  <c r="Z71" i="40"/>
  <c r="Y61" i="40"/>
  <c r="Y71" i="40"/>
  <c r="X61" i="40"/>
  <c r="X71" i="40"/>
  <c r="W61" i="40"/>
  <c r="W71" i="40"/>
  <c r="V61" i="40"/>
  <c r="V71" i="40"/>
  <c r="U61" i="40"/>
  <c r="U71" i="40"/>
  <c r="T61" i="40"/>
  <c r="T71" i="40"/>
  <c r="S61" i="40"/>
  <c r="S71" i="40"/>
  <c r="R61" i="40"/>
  <c r="R71" i="40"/>
  <c r="J56" i="40"/>
  <c r="J55" i="40"/>
  <c r="J54" i="40"/>
  <c r="J53" i="40"/>
  <c r="J52" i="40"/>
  <c r="J51" i="40"/>
  <c r="J50" i="40"/>
  <c r="J49" i="40"/>
  <c r="J61" i="40"/>
  <c r="AW39" i="40"/>
  <c r="BD21" i="40"/>
  <c r="BC21" i="40"/>
  <c r="BB21" i="40"/>
  <c r="BA21" i="40"/>
  <c r="AZ21" i="40"/>
  <c r="AY21" i="40"/>
  <c r="AX21" i="40"/>
  <c r="AW21" i="40"/>
  <c r="AV21" i="40"/>
  <c r="AU21" i="40"/>
  <c r="AT21" i="40"/>
  <c r="AS21" i="40"/>
  <c r="J16" i="40"/>
  <c r="J12" i="40"/>
  <c r="J11" i="40"/>
  <c r="AR21" i="40"/>
  <c r="AR31" i="40"/>
  <c r="AQ21" i="40"/>
  <c r="AQ31" i="40"/>
  <c r="AO21" i="40"/>
  <c r="AO31" i="40"/>
  <c r="AN21" i="40"/>
  <c r="AN31" i="40"/>
  <c r="AM21" i="40"/>
  <c r="AK21" i="40"/>
  <c r="AK31" i="40"/>
  <c r="AJ21" i="40"/>
  <c r="AJ31" i="40"/>
  <c r="AI21" i="40"/>
  <c r="AI31" i="40"/>
  <c r="AG21" i="40"/>
  <c r="AG31" i="40"/>
  <c r="AF21" i="40"/>
  <c r="AF31" i="40"/>
  <c r="AE21" i="40"/>
  <c r="AE31" i="40"/>
  <c r="AC21" i="40"/>
  <c r="AC31" i="40"/>
  <c r="AB21" i="40"/>
  <c r="AB31" i="40"/>
  <c r="AA21" i="40"/>
  <c r="Y21" i="40"/>
  <c r="Y31" i="40"/>
  <c r="X21" i="40"/>
  <c r="X31" i="40"/>
  <c r="W21" i="40"/>
  <c r="W31" i="40"/>
  <c r="U21" i="40"/>
  <c r="U31" i="40"/>
  <c r="T21" i="40"/>
  <c r="T31" i="40"/>
  <c r="S21" i="40"/>
  <c r="S31" i="40"/>
  <c r="H25" i="17"/>
  <c r="H20" i="17"/>
  <c r="J14" i="40"/>
  <c r="J15" i="40"/>
  <c r="J10" i="40"/>
  <c r="R21" i="40"/>
  <c r="W38" i="40"/>
  <c r="V21" i="40"/>
  <c r="V31" i="40"/>
  <c r="Z21" i="40"/>
  <c r="Z31" i="40"/>
  <c r="AD21" i="40"/>
  <c r="AD31" i="40"/>
  <c r="AH21" i="40"/>
  <c r="AH31" i="40"/>
  <c r="AL21" i="40"/>
  <c r="AL31" i="40"/>
  <c r="AP21" i="40"/>
  <c r="AP31" i="40"/>
  <c r="J13" i="40"/>
  <c r="AA31" i="40"/>
  <c r="AS38" i="40"/>
  <c r="AM31" i="40"/>
  <c r="R31" i="40"/>
  <c r="W78" i="40"/>
  <c r="AP71" i="40"/>
  <c r="AG78" i="40"/>
  <c r="AM71" i="40"/>
  <c r="J9" i="40"/>
  <c r="J21" i="40"/>
  <c r="AG38" i="40"/>
  <c r="N117" i="39"/>
  <c r="N118" i="39"/>
  <c r="N119" i="39"/>
  <c r="N120" i="39"/>
  <c r="N121" i="39"/>
  <c r="N127" i="39"/>
  <c r="N128" i="39"/>
  <c r="N129" i="39"/>
  <c r="N130" i="39"/>
  <c r="N131" i="39"/>
  <c r="N138" i="33"/>
  <c r="N139" i="33"/>
  <c r="N140" i="33"/>
  <c r="N141" i="33"/>
  <c r="N20" i="33"/>
  <c r="H17" i="32"/>
  <c r="O118" i="33"/>
  <c r="O18" i="33"/>
  <c r="P118" i="33"/>
  <c r="P18" i="33"/>
  <c r="Q118" i="33"/>
  <c r="Q18" i="33"/>
  <c r="R118" i="33"/>
  <c r="R18" i="33"/>
  <c r="S118" i="33"/>
  <c r="S18" i="33"/>
  <c r="T118" i="33"/>
  <c r="T18" i="33"/>
  <c r="U118" i="33"/>
  <c r="U18" i="33"/>
  <c r="V118" i="33"/>
  <c r="V18" i="33"/>
  <c r="W118" i="33"/>
  <c r="W18" i="33"/>
  <c r="X118" i="33"/>
  <c r="X18" i="33"/>
  <c r="Y118" i="33"/>
  <c r="Y18" i="33"/>
  <c r="Z118" i="33"/>
  <c r="Z18" i="33"/>
  <c r="N18" i="33"/>
  <c r="H15" i="32"/>
  <c r="O103" i="2"/>
  <c r="O17" i="2"/>
  <c r="C34" i="60"/>
  <c r="P103" i="2"/>
  <c r="P17" i="2"/>
  <c r="Q103" i="2"/>
  <c r="Q17" i="2"/>
  <c r="E34" i="60"/>
  <c r="R103" i="2"/>
  <c r="R17" i="2"/>
  <c r="S103" i="2"/>
  <c r="S17" i="2"/>
  <c r="G34" i="60"/>
  <c r="T103" i="2"/>
  <c r="T17" i="2"/>
  <c r="U103" i="2"/>
  <c r="U17" i="2"/>
  <c r="I34" i="60"/>
  <c r="V103" i="2"/>
  <c r="V17" i="2"/>
  <c r="W103" i="2"/>
  <c r="W17" i="2"/>
  <c r="K34" i="60"/>
  <c r="X103" i="2"/>
  <c r="X17" i="2"/>
  <c r="Y103" i="2"/>
  <c r="Y17" i="2"/>
  <c r="M34" i="60"/>
  <c r="Z103" i="2"/>
  <c r="Z17" i="2"/>
  <c r="N27" i="14"/>
  <c r="B38" i="17"/>
  <c r="C38" i="17"/>
  <c r="O17" i="12"/>
  <c r="P17" i="12"/>
  <c r="Q17" i="12"/>
  <c r="S17" i="12"/>
  <c r="T17" i="12"/>
  <c r="U17" i="12"/>
  <c r="V17" i="12"/>
  <c r="W17" i="12"/>
  <c r="X17" i="12"/>
  <c r="Y17" i="12"/>
  <c r="Z17" i="12"/>
  <c r="O103" i="16"/>
  <c r="O17" i="16"/>
  <c r="N17" i="16"/>
  <c r="N27" i="16"/>
  <c r="P103" i="16"/>
  <c r="P17" i="16"/>
  <c r="Q103" i="16"/>
  <c r="Q17" i="16"/>
  <c r="R103" i="16"/>
  <c r="R17" i="16"/>
  <c r="S103" i="16"/>
  <c r="S17" i="16"/>
  <c r="T103" i="16"/>
  <c r="T17" i="16"/>
  <c r="U103" i="16"/>
  <c r="U17" i="16"/>
  <c r="V103" i="16"/>
  <c r="V17" i="16"/>
  <c r="W103" i="16"/>
  <c r="W17" i="16"/>
  <c r="X103" i="16"/>
  <c r="X17" i="16"/>
  <c r="Y103" i="16"/>
  <c r="Y17" i="16"/>
  <c r="Z103" i="16"/>
  <c r="Z17" i="16"/>
  <c r="O136" i="15"/>
  <c r="O18" i="15"/>
  <c r="P136" i="15"/>
  <c r="P18" i="15"/>
  <c r="Q136" i="15"/>
  <c r="Q18" i="15"/>
  <c r="R136" i="15"/>
  <c r="R18" i="15"/>
  <c r="S136" i="15"/>
  <c r="S18" i="15"/>
  <c r="T136" i="15"/>
  <c r="T18" i="15"/>
  <c r="U136" i="15"/>
  <c r="U18" i="15"/>
  <c r="V136" i="15"/>
  <c r="V18" i="15"/>
  <c r="W136" i="15"/>
  <c r="W18" i="15"/>
  <c r="X136" i="15"/>
  <c r="X18" i="15"/>
  <c r="Y136" i="15"/>
  <c r="Y18" i="15"/>
  <c r="Z136" i="15"/>
  <c r="Z18" i="15"/>
  <c r="N18" i="15"/>
  <c r="B45" i="17"/>
  <c r="B44" i="17"/>
  <c r="N145" i="33"/>
  <c r="N146" i="33"/>
  <c r="N147" i="33"/>
  <c r="N148" i="33"/>
  <c r="N21" i="33"/>
  <c r="H18" i="32"/>
  <c r="H19" i="32"/>
  <c r="O22" i="33"/>
  <c r="P148" i="33"/>
  <c r="P21" i="33"/>
  <c r="P27" i="33"/>
  <c r="Q148" i="33"/>
  <c r="Q21" i="33"/>
  <c r="Q27" i="33"/>
  <c r="R148" i="33"/>
  <c r="R21" i="33"/>
  <c r="R27" i="33"/>
  <c r="S148" i="33"/>
  <c r="S21" i="33"/>
  <c r="S27" i="33"/>
  <c r="T148" i="33"/>
  <c r="T21" i="33"/>
  <c r="T27" i="33"/>
  <c r="U148" i="33"/>
  <c r="U21" i="33"/>
  <c r="U27" i="33"/>
  <c r="V148" i="33"/>
  <c r="V21" i="33"/>
  <c r="V27" i="33"/>
  <c r="W148" i="33"/>
  <c r="W21" i="33"/>
  <c r="W27" i="33"/>
  <c r="X148" i="33"/>
  <c r="X21" i="33"/>
  <c r="X27" i="33"/>
  <c r="Y148" i="33"/>
  <c r="Y21" i="33"/>
  <c r="Y27" i="33"/>
  <c r="Z148" i="33"/>
  <c r="Z21" i="33"/>
  <c r="Z27" i="33"/>
  <c r="O148" i="33"/>
  <c r="O21" i="33"/>
  <c r="O27" i="33"/>
  <c r="P144" i="33"/>
  <c r="Q144" i="33"/>
  <c r="R144" i="33"/>
  <c r="S144" i="33"/>
  <c r="T144" i="33"/>
  <c r="U144" i="33"/>
  <c r="V144" i="33"/>
  <c r="W144" i="33"/>
  <c r="X144" i="33"/>
  <c r="Y144" i="33"/>
  <c r="Z144" i="33"/>
  <c r="O144" i="33"/>
  <c r="E15" i="36"/>
  <c r="E16" i="36"/>
  <c r="E17" i="36"/>
  <c r="E18" i="36"/>
  <c r="E14" i="36"/>
  <c r="C15" i="36"/>
  <c r="C16" i="36"/>
  <c r="C17" i="36"/>
  <c r="C18" i="36"/>
  <c r="C14" i="36"/>
  <c r="B15" i="36"/>
  <c r="B16" i="36"/>
  <c r="B17" i="36"/>
  <c r="B18" i="36"/>
  <c r="N181" i="39"/>
  <c r="Z180" i="39"/>
  <c r="Y180" i="39"/>
  <c r="X180" i="39"/>
  <c r="W180" i="39"/>
  <c r="V180" i="39"/>
  <c r="U180" i="39"/>
  <c r="T180" i="39"/>
  <c r="S180" i="39"/>
  <c r="R180" i="39"/>
  <c r="Q180" i="39"/>
  <c r="P180" i="39"/>
  <c r="O180" i="39"/>
  <c r="D180" i="39"/>
  <c r="C180" i="39"/>
  <c r="A180" i="39"/>
  <c r="Z179" i="39"/>
  <c r="Y179" i="39"/>
  <c r="X179" i="39"/>
  <c r="W179" i="39"/>
  <c r="V179" i="39"/>
  <c r="U179" i="39"/>
  <c r="T179" i="39"/>
  <c r="S179" i="39"/>
  <c r="R179" i="39"/>
  <c r="Q179" i="39"/>
  <c r="P179" i="39"/>
  <c r="O179" i="39"/>
  <c r="D179" i="39"/>
  <c r="C179" i="39"/>
  <c r="A179" i="39"/>
  <c r="Z178" i="39"/>
  <c r="Y178" i="39"/>
  <c r="X178" i="39"/>
  <c r="W178" i="39"/>
  <c r="V178" i="39"/>
  <c r="U178" i="39"/>
  <c r="T178" i="39"/>
  <c r="S178" i="39"/>
  <c r="R178" i="39"/>
  <c r="Q178" i="39"/>
  <c r="P178" i="39"/>
  <c r="O178" i="39"/>
  <c r="D178" i="39"/>
  <c r="C178" i="39"/>
  <c r="A178" i="39"/>
  <c r="Z177" i="39"/>
  <c r="Y177" i="39"/>
  <c r="X177" i="39"/>
  <c r="W177" i="39"/>
  <c r="V177" i="39"/>
  <c r="U177" i="39"/>
  <c r="T177" i="39"/>
  <c r="S177" i="39"/>
  <c r="R177" i="39"/>
  <c r="Q177" i="39"/>
  <c r="P177" i="39"/>
  <c r="O177" i="39"/>
  <c r="D177" i="39"/>
  <c r="C177" i="39"/>
  <c r="A177" i="39"/>
  <c r="Z176" i="39"/>
  <c r="Y176" i="39"/>
  <c r="X176" i="39"/>
  <c r="W176" i="39"/>
  <c r="V176" i="39"/>
  <c r="U176" i="39"/>
  <c r="T176" i="39"/>
  <c r="S176" i="39"/>
  <c r="R176" i="39"/>
  <c r="Q176" i="39"/>
  <c r="P176" i="39"/>
  <c r="O176" i="39"/>
  <c r="D176" i="39"/>
  <c r="C176" i="39"/>
  <c r="A176" i="39"/>
  <c r="Z175" i="39"/>
  <c r="Y175" i="39"/>
  <c r="X175" i="39"/>
  <c r="W175" i="39"/>
  <c r="V175" i="39"/>
  <c r="U175" i="39"/>
  <c r="T175" i="39"/>
  <c r="S175" i="39"/>
  <c r="R175" i="39"/>
  <c r="Q175" i="39"/>
  <c r="P175" i="39"/>
  <c r="O175" i="39"/>
  <c r="D175" i="39"/>
  <c r="C175" i="39"/>
  <c r="A175" i="39"/>
  <c r="D174" i="39"/>
  <c r="C174" i="39"/>
  <c r="A174" i="39"/>
  <c r="D173" i="39"/>
  <c r="C173" i="39"/>
  <c r="A173" i="39"/>
  <c r="D172" i="39"/>
  <c r="C172" i="39"/>
  <c r="A172" i="39"/>
  <c r="D171" i="39"/>
  <c r="C171" i="39"/>
  <c r="A171" i="39"/>
  <c r="A167" i="39"/>
  <c r="Z166" i="39"/>
  <c r="Y166" i="39"/>
  <c r="X166" i="39"/>
  <c r="W166" i="39"/>
  <c r="V166" i="39"/>
  <c r="U166" i="39"/>
  <c r="T166" i="39"/>
  <c r="S166" i="39"/>
  <c r="R166" i="39"/>
  <c r="Q166" i="39"/>
  <c r="P166" i="39"/>
  <c r="O166" i="39"/>
  <c r="M166" i="39"/>
  <c r="L166" i="39"/>
  <c r="N165" i="39"/>
  <c r="N164" i="39"/>
  <c r="N162" i="39"/>
  <c r="N163" i="39"/>
  <c r="N166" i="39"/>
  <c r="A160" i="39"/>
  <c r="Z159" i="39"/>
  <c r="Y159" i="39"/>
  <c r="X159" i="39"/>
  <c r="W159" i="39"/>
  <c r="V159" i="39"/>
  <c r="U159" i="39"/>
  <c r="T159" i="39"/>
  <c r="S159" i="39"/>
  <c r="R159" i="39"/>
  <c r="Q159" i="39"/>
  <c r="P159" i="39"/>
  <c r="O159" i="39"/>
  <c r="M159" i="39"/>
  <c r="L159" i="39"/>
  <c r="N158" i="39"/>
  <c r="N157" i="39"/>
  <c r="N155" i="39"/>
  <c r="N156" i="39"/>
  <c r="N159" i="39"/>
  <c r="A153" i="39"/>
  <c r="Z152" i="39"/>
  <c r="Y152" i="39"/>
  <c r="X152" i="39"/>
  <c r="W152" i="39"/>
  <c r="V152" i="39"/>
  <c r="U152" i="39"/>
  <c r="T152" i="39"/>
  <c r="S152" i="39"/>
  <c r="R152" i="39"/>
  <c r="Q152" i="39"/>
  <c r="P152" i="39"/>
  <c r="O152" i="39"/>
  <c r="M152" i="39"/>
  <c r="L152" i="39"/>
  <c r="N151" i="39"/>
  <c r="N150" i="39"/>
  <c r="N149" i="39"/>
  <c r="N148" i="39"/>
  <c r="N152" i="39"/>
  <c r="A146" i="39"/>
  <c r="Z145" i="39"/>
  <c r="Y145" i="39"/>
  <c r="X145" i="39"/>
  <c r="W145" i="39"/>
  <c r="V145" i="39"/>
  <c r="U145" i="39"/>
  <c r="T145" i="39"/>
  <c r="S145" i="39"/>
  <c r="R145" i="39"/>
  <c r="Q145" i="39"/>
  <c r="P145" i="39"/>
  <c r="O145" i="39"/>
  <c r="M145" i="39"/>
  <c r="L145" i="39"/>
  <c r="N144" i="39"/>
  <c r="N143" i="39"/>
  <c r="N142" i="39"/>
  <c r="N141" i="39"/>
  <c r="N145" i="39"/>
  <c r="A139" i="39"/>
  <c r="Z138" i="39"/>
  <c r="Y138" i="39"/>
  <c r="X138" i="39"/>
  <c r="W138" i="39"/>
  <c r="V138" i="39"/>
  <c r="U138" i="39"/>
  <c r="T138" i="39"/>
  <c r="S138" i="39"/>
  <c r="R138" i="39"/>
  <c r="Q138" i="39"/>
  <c r="P138" i="39"/>
  <c r="O138" i="39"/>
  <c r="M138" i="39"/>
  <c r="L138" i="39"/>
  <c r="N137" i="39"/>
  <c r="N136" i="39"/>
  <c r="N135" i="39"/>
  <c r="N134" i="39"/>
  <c r="N138" i="39"/>
  <c r="A132" i="39"/>
  <c r="Z131" i="39"/>
  <c r="Y131" i="39"/>
  <c r="X131" i="39"/>
  <c r="W131" i="39"/>
  <c r="V131" i="39"/>
  <c r="U131" i="39"/>
  <c r="T131" i="39"/>
  <c r="S131" i="39"/>
  <c r="R131" i="39"/>
  <c r="Q131" i="39"/>
  <c r="P131" i="39"/>
  <c r="O131" i="39"/>
  <c r="M131" i="39"/>
  <c r="L131" i="39"/>
  <c r="A125" i="39"/>
  <c r="Z124" i="39"/>
  <c r="Y124" i="39"/>
  <c r="X124" i="39"/>
  <c r="W124" i="39"/>
  <c r="V124" i="39"/>
  <c r="U124" i="39"/>
  <c r="T124" i="39"/>
  <c r="S124" i="39"/>
  <c r="R124" i="39"/>
  <c r="Q124" i="39"/>
  <c r="P124" i="39"/>
  <c r="O124" i="39"/>
  <c r="M124" i="39"/>
  <c r="L124" i="39"/>
  <c r="A115" i="39"/>
  <c r="M114" i="39"/>
  <c r="L114" i="39"/>
  <c r="N112" i="39"/>
  <c r="N111" i="39"/>
  <c r="N110" i="39"/>
  <c r="A108" i="39"/>
  <c r="M107" i="39"/>
  <c r="L107" i="39"/>
  <c r="N103" i="39"/>
  <c r="N102" i="39"/>
  <c r="N101" i="39"/>
  <c r="N100" i="39"/>
  <c r="N99" i="39"/>
  <c r="N98" i="39"/>
  <c r="N97" i="39"/>
  <c r="N95" i="39"/>
  <c r="N96" i="39"/>
  <c r="A93" i="39"/>
  <c r="A85" i="39"/>
  <c r="A79" i="39"/>
  <c r="A73" i="39"/>
  <c r="A67" i="39"/>
  <c r="A61" i="39"/>
  <c r="A55" i="39"/>
  <c r="A49" i="39"/>
  <c r="A43" i="39"/>
  <c r="A37" i="39"/>
  <c r="A31" i="39"/>
  <c r="Z20" i="39"/>
  <c r="O20" i="39"/>
  <c r="P20" i="39"/>
  <c r="Q20" i="39"/>
  <c r="R20" i="39"/>
  <c r="S20" i="39"/>
  <c r="T20" i="39"/>
  <c r="U20" i="39"/>
  <c r="V20" i="39"/>
  <c r="W20" i="39"/>
  <c r="X20" i="39"/>
  <c r="Y20" i="39"/>
  <c r="Z174" i="39"/>
  <c r="Y174" i="39"/>
  <c r="X174" i="39"/>
  <c r="W174" i="39"/>
  <c r="V174" i="39"/>
  <c r="U174" i="39"/>
  <c r="T174" i="39"/>
  <c r="S174" i="39"/>
  <c r="R174" i="39"/>
  <c r="Q174" i="39"/>
  <c r="P174" i="39"/>
  <c r="O174" i="39"/>
  <c r="M20" i="39"/>
  <c r="Z19" i="39"/>
  <c r="O19" i="39"/>
  <c r="P19" i="39"/>
  <c r="Q19" i="39"/>
  <c r="R19" i="39"/>
  <c r="S19" i="39"/>
  <c r="T19" i="39"/>
  <c r="U19" i="39"/>
  <c r="V19" i="39"/>
  <c r="W19" i="39"/>
  <c r="X19" i="39"/>
  <c r="Y19" i="39"/>
  <c r="Z173" i="39"/>
  <c r="Y173" i="39"/>
  <c r="X173" i="39"/>
  <c r="W173" i="39"/>
  <c r="V173" i="39"/>
  <c r="U173" i="39"/>
  <c r="T173" i="39"/>
  <c r="S173" i="39"/>
  <c r="R173" i="39"/>
  <c r="Q173" i="39"/>
  <c r="P173" i="39"/>
  <c r="O173" i="39"/>
  <c r="M19" i="39"/>
  <c r="Z172" i="39"/>
  <c r="Y172" i="39"/>
  <c r="X172" i="39"/>
  <c r="W172" i="39"/>
  <c r="V172" i="39"/>
  <c r="U172" i="39"/>
  <c r="T172" i="39"/>
  <c r="S172" i="39"/>
  <c r="R172" i="39"/>
  <c r="Q172" i="39"/>
  <c r="P172" i="39"/>
  <c r="O172" i="39"/>
  <c r="M18" i="39"/>
  <c r="Z171" i="39"/>
  <c r="Y171" i="39"/>
  <c r="V171" i="39"/>
  <c r="U171" i="39"/>
  <c r="R171" i="39"/>
  <c r="Q171" i="39"/>
  <c r="M17" i="39"/>
  <c r="M27" i="39"/>
  <c r="D7" i="38"/>
  <c r="B7" i="38"/>
  <c r="R19" i="38"/>
  <c r="F19" i="38"/>
  <c r="G17" i="38"/>
  <c r="F17" i="38"/>
  <c r="B17" i="38"/>
  <c r="A17" i="38"/>
  <c r="T16" i="38"/>
  <c r="S16" i="38"/>
  <c r="R16" i="38"/>
  <c r="Q16" i="38"/>
  <c r="P16" i="38"/>
  <c r="O16" i="38"/>
  <c r="N16" i="38"/>
  <c r="M16" i="38"/>
  <c r="L16" i="38"/>
  <c r="K16" i="38"/>
  <c r="J16" i="38"/>
  <c r="I16" i="38"/>
  <c r="G16" i="38"/>
  <c r="F16" i="38"/>
  <c r="E16" i="38"/>
  <c r="D16" i="38"/>
  <c r="B16" i="38"/>
  <c r="A16" i="38"/>
  <c r="T15" i="38"/>
  <c r="S15" i="38"/>
  <c r="R15" i="38"/>
  <c r="Q15" i="38"/>
  <c r="P15" i="38"/>
  <c r="O15" i="38"/>
  <c r="N15" i="38"/>
  <c r="M15" i="38"/>
  <c r="L15" i="38"/>
  <c r="K15" i="38"/>
  <c r="J15" i="38"/>
  <c r="I15" i="38"/>
  <c r="G15" i="38"/>
  <c r="F15" i="38"/>
  <c r="E15" i="38"/>
  <c r="D15" i="38"/>
  <c r="B15" i="38"/>
  <c r="A15" i="38"/>
  <c r="T14" i="38"/>
  <c r="T19" i="38"/>
  <c r="S14" i="38"/>
  <c r="S19" i="38"/>
  <c r="R14" i="38"/>
  <c r="Q14" i="38"/>
  <c r="Q19" i="38"/>
  <c r="P14" i="38"/>
  <c r="P19" i="38"/>
  <c r="O14" i="38"/>
  <c r="O19" i="38"/>
  <c r="N14" i="38"/>
  <c r="N19" i="38"/>
  <c r="M14" i="38"/>
  <c r="M19" i="38"/>
  <c r="L14" i="38"/>
  <c r="L19" i="38"/>
  <c r="K14" i="38"/>
  <c r="K19" i="38"/>
  <c r="J14" i="38"/>
  <c r="J19" i="38"/>
  <c r="I14" i="38"/>
  <c r="I19" i="38"/>
  <c r="G14" i="38"/>
  <c r="G19" i="38"/>
  <c r="F14" i="38"/>
  <c r="E14" i="38"/>
  <c r="D14" i="38"/>
  <c r="B14" i="38"/>
  <c r="A14" i="38"/>
  <c r="B9" i="38"/>
  <c r="B5" i="38"/>
  <c r="K28" i="56"/>
  <c r="H28" i="56"/>
  <c r="O28" i="56"/>
  <c r="G20" i="36"/>
  <c r="A18" i="36"/>
  <c r="A17" i="36"/>
  <c r="T16" i="36"/>
  <c r="S16" i="36"/>
  <c r="R16" i="36"/>
  <c r="Q16" i="36"/>
  <c r="P16" i="36"/>
  <c r="O16" i="36"/>
  <c r="N16" i="36"/>
  <c r="M16" i="36"/>
  <c r="L16" i="36"/>
  <c r="K16" i="36"/>
  <c r="J16" i="36"/>
  <c r="A16" i="36"/>
  <c r="T15" i="36"/>
  <c r="S15" i="36"/>
  <c r="R15" i="36"/>
  <c r="Q15" i="36"/>
  <c r="P15" i="36"/>
  <c r="O15" i="36"/>
  <c r="N15" i="36"/>
  <c r="M15" i="36"/>
  <c r="L15" i="36"/>
  <c r="K15" i="36"/>
  <c r="J15" i="36"/>
  <c r="A15" i="36"/>
  <c r="T14" i="36"/>
  <c r="S14" i="36"/>
  <c r="R14" i="36"/>
  <c r="Q14" i="36"/>
  <c r="P14" i="36"/>
  <c r="O14" i="36"/>
  <c r="N14" i="36"/>
  <c r="M14" i="36"/>
  <c r="L14" i="36"/>
  <c r="K14" i="36"/>
  <c r="J14" i="36"/>
  <c r="A14" i="36"/>
  <c r="B9" i="36"/>
  <c r="O171" i="39"/>
  <c r="S171" i="39"/>
  <c r="W171" i="39"/>
  <c r="P171" i="39"/>
  <c r="T171" i="39"/>
  <c r="X171" i="39"/>
  <c r="B57" i="17"/>
  <c r="C57" i="17"/>
  <c r="V181" i="39"/>
  <c r="P181" i="39"/>
  <c r="Z181" i="39"/>
  <c r="U181" i="39"/>
  <c r="Q181" i="39"/>
  <c r="W181" i="39"/>
  <c r="R181" i="39"/>
  <c r="X181" i="39"/>
  <c r="S181" i="39"/>
  <c r="Y181" i="39"/>
  <c r="T181" i="39"/>
  <c r="O181" i="39"/>
  <c r="B5" i="34"/>
  <c r="O103" i="35"/>
  <c r="O17" i="35"/>
  <c r="P103" i="35"/>
  <c r="P17" i="35"/>
  <c r="Q103" i="35"/>
  <c r="Q17" i="35"/>
  <c r="R103" i="35"/>
  <c r="R17" i="35"/>
  <c r="S103" i="35"/>
  <c r="S17" i="35"/>
  <c r="T103" i="35"/>
  <c r="T17" i="35"/>
  <c r="U103" i="35"/>
  <c r="U17" i="35"/>
  <c r="V103" i="35"/>
  <c r="V17" i="35"/>
  <c r="W103" i="35"/>
  <c r="W17" i="35"/>
  <c r="X103" i="35"/>
  <c r="X17" i="35"/>
  <c r="Y103" i="35"/>
  <c r="Y17" i="35"/>
  <c r="Z103" i="35"/>
  <c r="Z17" i="35"/>
  <c r="N17" i="35"/>
  <c r="N27" i="35"/>
  <c r="N14" i="34"/>
  <c r="C14" i="34"/>
  <c r="N191" i="35"/>
  <c r="Z190" i="35"/>
  <c r="Y190" i="35"/>
  <c r="X190" i="35"/>
  <c r="W190" i="35"/>
  <c r="V190" i="35"/>
  <c r="U190" i="35"/>
  <c r="T190" i="35"/>
  <c r="S190" i="35"/>
  <c r="R190" i="35"/>
  <c r="Q190" i="35"/>
  <c r="P190" i="35"/>
  <c r="O190" i="35"/>
  <c r="D190" i="35"/>
  <c r="C190" i="35"/>
  <c r="A190" i="35"/>
  <c r="Z189" i="35"/>
  <c r="Y189" i="35"/>
  <c r="X189" i="35"/>
  <c r="W189" i="35"/>
  <c r="V189" i="35"/>
  <c r="U189" i="35"/>
  <c r="T189" i="35"/>
  <c r="S189" i="35"/>
  <c r="R189" i="35"/>
  <c r="Q189" i="35"/>
  <c r="P189" i="35"/>
  <c r="O189" i="35"/>
  <c r="D189" i="35"/>
  <c r="C189" i="35"/>
  <c r="A189" i="35"/>
  <c r="Z188" i="35"/>
  <c r="Y188" i="35"/>
  <c r="X188" i="35"/>
  <c r="W188" i="35"/>
  <c r="V188" i="35"/>
  <c r="U188" i="35"/>
  <c r="T188" i="35"/>
  <c r="S188" i="35"/>
  <c r="R188" i="35"/>
  <c r="Q188" i="35"/>
  <c r="P188" i="35"/>
  <c r="O188" i="35"/>
  <c r="D188" i="35"/>
  <c r="C188" i="35"/>
  <c r="A188" i="35"/>
  <c r="Z187" i="35"/>
  <c r="Y187" i="35"/>
  <c r="X187" i="35"/>
  <c r="W187" i="35"/>
  <c r="V187" i="35"/>
  <c r="U187" i="35"/>
  <c r="T187" i="35"/>
  <c r="S187" i="35"/>
  <c r="R187" i="35"/>
  <c r="Q187" i="35"/>
  <c r="P187" i="35"/>
  <c r="O187" i="35"/>
  <c r="D187" i="35"/>
  <c r="C187" i="35"/>
  <c r="A187" i="35"/>
  <c r="Z186" i="35"/>
  <c r="Y186" i="35"/>
  <c r="X186" i="35"/>
  <c r="W186" i="35"/>
  <c r="V186" i="35"/>
  <c r="U186" i="35"/>
  <c r="T186" i="35"/>
  <c r="S186" i="35"/>
  <c r="R186" i="35"/>
  <c r="Q186" i="35"/>
  <c r="P186" i="35"/>
  <c r="O186" i="35"/>
  <c r="D186" i="35"/>
  <c r="C186" i="35"/>
  <c r="A186" i="35"/>
  <c r="Z185" i="35"/>
  <c r="Y185" i="35"/>
  <c r="X185" i="35"/>
  <c r="W185" i="35"/>
  <c r="V185" i="35"/>
  <c r="U185" i="35"/>
  <c r="T185" i="35"/>
  <c r="S185" i="35"/>
  <c r="R185" i="35"/>
  <c r="Q185" i="35"/>
  <c r="P185" i="35"/>
  <c r="O185" i="35"/>
  <c r="D185" i="35"/>
  <c r="C185" i="35"/>
  <c r="A185" i="35"/>
  <c r="Z184" i="35"/>
  <c r="Y184" i="35"/>
  <c r="X184" i="35"/>
  <c r="W184" i="35"/>
  <c r="V184" i="35"/>
  <c r="U184" i="35"/>
  <c r="T184" i="35"/>
  <c r="S184" i="35"/>
  <c r="R184" i="35"/>
  <c r="Q184" i="35"/>
  <c r="P184" i="35"/>
  <c r="O184" i="35"/>
  <c r="D184" i="35"/>
  <c r="C184" i="35"/>
  <c r="A184" i="35"/>
  <c r="D183" i="35"/>
  <c r="C183" i="35"/>
  <c r="A183" i="35"/>
  <c r="D182" i="35"/>
  <c r="C182" i="35"/>
  <c r="A182" i="35"/>
  <c r="D181" i="35"/>
  <c r="C181" i="35"/>
  <c r="A177" i="35"/>
  <c r="Z176" i="35"/>
  <c r="Y176" i="35"/>
  <c r="X176" i="35"/>
  <c r="W176" i="35"/>
  <c r="V176" i="35"/>
  <c r="U176" i="35"/>
  <c r="T176" i="35"/>
  <c r="S176" i="35"/>
  <c r="R176" i="35"/>
  <c r="Q176" i="35"/>
  <c r="P176" i="35"/>
  <c r="O176" i="35"/>
  <c r="M176" i="35"/>
  <c r="L176" i="35"/>
  <c r="N175" i="35"/>
  <c r="N174" i="35"/>
  <c r="N176" i="35"/>
  <c r="N173" i="35"/>
  <c r="N172" i="35"/>
  <c r="A170" i="35"/>
  <c r="Z169" i="35"/>
  <c r="Y169" i="35"/>
  <c r="X169" i="35"/>
  <c r="W169" i="35"/>
  <c r="V169" i="35"/>
  <c r="U169" i="35"/>
  <c r="T169" i="35"/>
  <c r="S169" i="35"/>
  <c r="R169" i="35"/>
  <c r="Q169" i="35"/>
  <c r="P169" i="35"/>
  <c r="O169" i="35"/>
  <c r="M169" i="35"/>
  <c r="L169" i="35"/>
  <c r="N168" i="35"/>
  <c r="N167" i="35"/>
  <c r="N169" i="35"/>
  <c r="N166" i="35"/>
  <c r="N165" i="35"/>
  <c r="A163" i="35"/>
  <c r="Z162" i="35"/>
  <c r="Y162" i="35"/>
  <c r="X162" i="35"/>
  <c r="W162" i="35"/>
  <c r="V162" i="35"/>
  <c r="U162" i="35"/>
  <c r="T162" i="35"/>
  <c r="S162" i="35"/>
  <c r="R162" i="35"/>
  <c r="Q162" i="35"/>
  <c r="P162" i="35"/>
  <c r="O162" i="35"/>
  <c r="M162" i="35"/>
  <c r="L162" i="35"/>
  <c r="N161" i="35"/>
  <c r="N160" i="35"/>
  <c r="N162" i="35"/>
  <c r="N159" i="35"/>
  <c r="N158" i="35"/>
  <c r="A156" i="35"/>
  <c r="Z155" i="35"/>
  <c r="Y155" i="35"/>
  <c r="X155" i="35"/>
  <c r="W155" i="35"/>
  <c r="V155" i="35"/>
  <c r="U155" i="35"/>
  <c r="T155" i="35"/>
  <c r="S155" i="35"/>
  <c r="R155" i="35"/>
  <c r="Q155" i="35"/>
  <c r="P155" i="35"/>
  <c r="O155" i="35"/>
  <c r="M155" i="35"/>
  <c r="L155" i="35"/>
  <c r="N154" i="35"/>
  <c r="N153" i="35"/>
  <c r="N155" i="35"/>
  <c r="N152" i="35"/>
  <c r="N151" i="35"/>
  <c r="A149" i="35"/>
  <c r="Z148" i="35"/>
  <c r="Y148" i="35"/>
  <c r="X148" i="35"/>
  <c r="W148" i="35"/>
  <c r="V148" i="35"/>
  <c r="U148" i="35"/>
  <c r="T148" i="35"/>
  <c r="S148" i="35"/>
  <c r="R148" i="35"/>
  <c r="Q148" i="35"/>
  <c r="P148" i="35"/>
  <c r="O148" i="35"/>
  <c r="M148" i="35"/>
  <c r="L148" i="35"/>
  <c r="N147" i="35"/>
  <c r="N146" i="35"/>
  <c r="N148" i="35"/>
  <c r="N145" i="35"/>
  <c r="N144" i="35"/>
  <c r="A142" i="35"/>
  <c r="Z141" i="35"/>
  <c r="Y141" i="35"/>
  <c r="X141" i="35"/>
  <c r="W141" i="35"/>
  <c r="V141" i="35"/>
  <c r="U141" i="35"/>
  <c r="T141" i="35"/>
  <c r="S141" i="35"/>
  <c r="R141" i="35"/>
  <c r="Q141" i="35"/>
  <c r="P141" i="35"/>
  <c r="O141" i="35"/>
  <c r="M141" i="35"/>
  <c r="L141" i="35"/>
  <c r="N140" i="35"/>
  <c r="N139" i="35"/>
  <c r="N141" i="35"/>
  <c r="N138" i="35"/>
  <c r="N137" i="35"/>
  <c r="A135" i="35"/>
  <c r="Z134" i="35"/>
  <c r="Y134" i="35"/>
  <c r="X134" i="35"/>
  <c r="W134" i="35"/>
  <c r="W19" i="35"/>
  <c r="V134" i="35"/>
  <c r="U134" i="35"/>
  <c r="T134" i="35"/>
  <c r="S134" i="35"/>
  <c r="S19" i="35"/>
  <c r="R134" i="35"/>
  <c r="Q134" i="35"/>
  <c r="P134" i="35"/>
  <c r="O134" i="35"/>
  <c r="O19" i="35"/>
  <c r="M134" i="35"/>
  <c r="L134" i="35"/>
  <c r="N131" i="35"/>
  <c r="N130" i="35"/>
  <c r="N129" i="35"/>
  <c r="N128" i="35"/>
  <c r="N127" i="35"/>
  <c r="N126" i="35"/>
  <c r="N125" i="35"/>
  <c r="N124" i="35"/>
  <c r="N123" i="35"/>
  <c r="N122" i="35"/>
  <c r="N134" i="35"/>
  <c r="N19" i="35"/>
  <c r="N121" i="35"/>
  <c r="A119" i="35"/>
  <c r="Z118" i="35"/>
  <c r="Z18" i="35"/>
  <c r="Y118" i="35"/>
  <c r="X118" i="35"/>
  <c r="W118" i="35"/>
  <c r="V118" i="35"/>
  <c r="V18" i="35"/>
  <c r="U118" i="35"/>
  <c r="T118" i="35"/>
  <c r="S118" i="35"/>
  <c r="R118" i="35"/>
  <c r="R18" i="35"/>
  <c r="R182" i="35"/>
  <c r="Q118" i="35"/>
  <c r="P118" i="35"/>
  <c r="O118" i="35"/>
  <c r="M118" i="35"/>
  <c r="L118" i="35"/>
  <c r="N116" i="35"/>
  <c r="N115" i="35"/>
  <c r="N114" i="35"/>
  <c r="N113" i="35"/>
  <c r="N112" i="35"/>
  <c r="N111" i="35"/>
  <c r="N110" i="35"/>
  <c r="N109" i="35"/>
  <c r="N108" i="35"/>
  <c r="N107" i="35"/>
  <c r="N118" i="35"/>
  <c r="N106" i="35"/>
  <c r="A104" i="35"/>
  <c r="M103" i="35"/>
  <c r="M17" i="35"/>
  <c r="M27" i="35"/>
  <c r="L103" i="35"/>
  <c r="N102" i="35"/>
  <c r="N101" i="35"/>
  <c r="N100" i="35"/>
  <c r="N99" i="35"/>
  <c r="N98" i="35"/>
  <c r="N97" i="35"/>
  <c r="N96" i="35"/>
  <c r="N95" i="35"/>
  <c r="A93" i="35"/>
  <c r="A85" i="35"/>
  <c r="A79" i="35"/>
  <c r="A73" i="35"/>
  <c r="A67" i="35"/>
  <c r="A61" i="35"/>
  <c r="A55" i="35"/>
  <c r="A49" i="35"/>
  <c r="A43" i="35"/>
  <c r="A37" i="35"/>
  <c r="A31" i="35"/>
  <c r="L27" i="35"/>
  <c r="Z19" i="35"/>
  <c r="Z183" i="35"/>
  <c r="Y19" i="35"/>
  <c r="X19" i="35"/>
  <c r="X183" i="35"/>
  <c r="V19" i="35"/>
  <c r="V183" i="35"/>
  <c r="U19" i="35"/>
  <c r="T19" i="35"/>
  <c r="T183" i="35"/>
  <c r="R19" i="35"/>
  <c r="R183" i="35"/>
  <c r="Q19" i="35"/>
  <c r="P19" i="35"/>
  <c r="P183" i="35"/>
  <c r="M19" i="35"/>
  <c r="Y18" i="35"/>
  <c r="Y182" i="35"/>
  <c r="X18" i="35"/>
  <c r="X182" i="35"/>
  <c r="W18" i="35"/>
  <c r="W182" i="35"/>
  <c r="U18" i="35"/>
  <c r="U182" i="35"/>
  <c r="T18" i="35"/>
  <c r="T182" i="35"/>
  <c r="S18" i="35"/>
  <c r="S182" i="35"/>
  <c r="Q18" i="35"/>
  <c r="Q182" i="35"/>
  <c r="P18" i="35"/>
  <c r="P182" i="35"/>
  <c r="O18" i="35"/>
  <c r="O182" i="35"/>
  <c r="M18" i="35"/>
  <c r="D7" i="34"/>
  <c r="O14" i="34"/>
  <c r="O26" i="34"/>
  <c r="L26" i="34"/>
  <c r="Z16" i="34"/>
  <c r="Y16" i="34"/>
  <c r="X16" i="34"/>
  <c r="W16" i="34"/>
  <c r="V16" i="34"/>
  <c r="U16" i="34"/>
  <c r="T16" i="34"/>
  <c r="S16" i="34"/>
  <c r="R16" i="34"/>
  <c r="Q16" i="34"/>
  <c r="P16" i="34"/>
  <c r="O16" i="34"/>
  <c r="Z15" i="34"/>
  <c r="Y15" i="34"/>
  <c r="X15" i="34"/>
  <c r="W15" i="34"/>
  <c r="V15" i="34"/>
  <c r="U15" i="34"/>
  <c r="T15" i="34"/>
  <c r="S15" i="34"/>
  <c r="R15" i="34"/>
  <c r="Q15" i="34"/>
  <c r="P15" i="34"/>
  <c r="O15" i="34"/>
  <c r="Z14" i="34"/>
  <c r="Z26" i="34"/>
  <c r="Y14" i="34"/>
  <c r="Y26" i="34"/>
  <c r="X14" i="34"/>
  <c r="X26" i="34"/>
  <c r="W14" i="34"/>
  <c r="W26" i="34"/>
  <c r="V14" i="34"/>
  <c r="V26" i="34"/>
  <c r="U14" i="34"/>
  <c r="U26" i="34"/>
  <c r="T14" i="34"/>
  <c r="T26" i="34"/>
  <c r="S14" i="34"/>
  <c r="S26" i="34"/>
  <c r="R14" i="34"/>
  <c r="R26" i="34"/>
  <c r="Q14" i="34"/>
  <c r="Q26" i="34"/>
  <c r="P14" i="34"/>
  <c r="P26" i="34"/>
  <c r="N26" i="34"/>
  <c r="B54" i="17"/>
  <c r="B53" i="17"/>
  <c r="M103" i="29"/>
  <c r="M17" i="29"/>
  <c r="M14" i="34"/>
  <c r="M26" i="34"/>
  <c r="L14" i="34"/>
  <c r="E14" i="34"/>
  <c r="D14" i="34"/>
  <c r="B14" i="34"/>
  <c r="A14" i="34"/>
  <c r="B9" i="34"/>
  <c r="P181" i="35"/>
  <c r="V181" i="35"/>
  <c r="N103" i="35"/>
  <c r="U181" i="35"/>
  <c r="U27" i="35"/>
  <c r="Y181" i="35"/>
  <c r="Y27" i="35"/>
  <c r="R181" i="35"/>
  <c r="X181" i="35"/>
  <c r="Y183" i="35"/>
  <c r="U183" i="35"/>
  <c r="Q183" i="35"/>
  <c r="O183" i="35"/>
  <c r="O27" i="35"/>
  <c r="S183" i="35"/>
  <c r="S27" i="35"/>
  <c r="W183" i="35"/>
  <c r="W27" i="35"/>
  <c r="W181" i="35"/>
  <c r="S181" i="35"/>
  <c r="O181" i="35"/>
  <c r="Q181" i="35"/>
  <c r="Q27" i="35"/>
  <c r="T181" i="35"/>
  <c r="Z181" i="35"/>
  <c r="V182" i="35"/>
  <c r="Z182" i="35"/>
  <c r="P27" i="35"/>
  <c r="T27" i="35"/>
  <c r="X27" i="35"/>
  <c r="N18" i="35"/>
  <c r="R27" i="35"/>
  <c r="V27" i="35"/>
  <c r="Z27" i="35"/>
  <c r="Z191" i="35"/>
  <c r="X191" i="35"/>
  <c r="V191" i="35"/>
  <c r="T191" i="35"/>
  <c r="W191" i="35"/>
  <c r="O191" i="35"/>
  <c r="R191" i="35"/>
  <c r="P191" i="35"/>
  <c r="U191" i="35"/>
  <c r="Q191" i="35"/>
  <c r="Y191" i="35"/>
  <c r="S191" i="35"/>
  <c r="H14" i="32"/>
  <c r="N191" i="33"/>
  <c r="Z190" i="33"/>
  <c r="Y190" i="33"/>
  <c r="X190" i="33"/>
  <c r="W190" i="33"/>
  <c r="V190" i="33"/>
  <c r="U190" i="33"/>
  <c r="T190" i="33"/>
  <c r="S190" i="33"/>
  <c r="R190" i="33"/>
  <c r="Q190" i="33"/>
  <c r="P190" i="33"/>
  <c r="O190" i="33"/>
  <c r="D190" i="33"/>
  <c r="C190" i="33"/>
  <c r="A190" i="33"/>
  <c r="Z189" i="33"/>
  <c r="Y189" i="33"/>
  <c r="X189" i="33"/>
  <c r="W189" i="33"/>
  <c r="V189" i="33"/>
  <c r="U189" i="33"/>
  <c r="T189" i="33"/>
  <c r="S189" i="33"/>
  <c r="R189" i="33"/>
  <c r="Q189" i="33"/>
  <c r="P189" i="33"/>
  <c r="O189" i="33"/>
  <c r="D189" i="33"/>
  <c r="C189" i="33"/>
  <c r="A189" i="33"/>
  <c r="Z188" i="33"/>
  <c r="Y188" i="33"/>
  <c r="X188" i="33"/>
  <c r="W188" i="33"/>
  <c r="V188" i="33"/>
  <c r="U188" i="33"/>
  <c r="T188" i="33"/>
  <c r="S188" i="33"/>
  <c r="R188" i="33"/>
  <c r="Q188" i="33"/>
  <c r="P188" i="33"/>
  <c r="O188" i="33"/>
  <c r="D188" i="33"/>
  <c r="C188" i="33"/>
  <c r="A188" i="33"/>
  <c r="Z187" i="33"/>
  <c r="Y187" i="33"/>
  <c r="X187" i="33"/>
  <c r="W187" i="33"/>
  <c r="V187" i="33"/>
  <c r="U187" i="33"/>
  <c r="T187" i="33"/>
  <c r="S187" i="33"/>
  <c r="R187" i="33"/>
  <c r="Q187" i="33"/>
  <c r="P187" i="33"/>
  <c r="O187" i="33"/>
  <c r="D187" i="33"/>
  <c r="C187" i="33"/>
  <c r="A187" i="33"/>
  <c r="Z186" i="33"/>
  <c r="Y186" i="33"/>
  <c r="X186" i="33"/>
  <c r="W186" i="33"/>
  <c r="V186" i="33"/>
  <c r="U186" i="33"/>
  <c r="T186" i="33"/>
  <c r="S186" i="33"/>
  <c r="R186" i="33"/>
  <c r="Q186" i="33"/>
  <c r="P186" i="33"/>
  <c r="O186" i="33"/>
  <c r="D186" i="33"/>
  <c r="C186" i="33"/>
  <c r="A186" i="33"/>
  <c r="Z185" i="33"/>
  <c r="Y185" i="33"/>
  <c r="X185" i="33"/>
  <c r="W185" i="33"/>
  <c r="V185" i="33"/>
  <c r="U185" i="33"/>
  <c r="T185" i="33"/>
  <c r="S185" i="33"/>
  <c r="R185" i="33"/>
  <c r="Q185" i="33"/>
  <c r="P185" i="33"/>
  <c r="O185" i="33"/>
  <c r="D185" i="33"/>
  <c r="C185" i="33"/>
  <c r="A185" i="33"/>
  <c r="D184" i="33"/>
  <c r="C184" i="33"/>
  <c r="A184" i="33"/>
  <c r="D183" i="33"/>
  <c r="C183" i="33"/>
  <c r="A183" i="33"/>
  <c r="D182" i="33"/>
  <c r="C182" i="33"/>
  <c r="A182" i="33"/>
  <c r="D181" i="33"/>
  <c r="C181" i="33"/>
  <c r="A181" i="33"/>
  <c r="A177" i="33"/>
  <c r="Z176" i="33"/>
  <c r="Y176" i="33"/>
  <c r="X176" i="33"/>
  <c r="W176" i="33"/>
  <c r="V176" i="33"/>
  <c r="U176" i="33"/>
  <c r="T176" i="33"/>
  <c r="S176" i="33"/>
  <c r="R176" i="33"/>
  <c r="Q176" i="33"/>
  <c r="P176" i="33"/>
  <c r="O176" i="33"/>
  <c r="M176" i="33"/>
  <c r="L176" i="33"/>
  <c r="N175" i="33"/>
  <c r="N174" i="33"/>
  <c r="N173" i="33"/>
  <c r="N176" i="33"/>
  <c r="N172" i="33"/>
  <c r="A170" i="33"/>
  <c r="Z169" i="33"/>
  <c r="Y169" i="33"/>
  <c r="X169" i="33"/>
  <c r="W169" i="33"/>
  <c r="V169" i="33"/>
  <c r="U169" i="33"/>
  <c r="T169" i="33"/>
  <c r="S169" i="33"/>
  <c r="R169" i="33"/>
  <c r="Q169" i="33"/>
  <c r="P169" i="33"/>
  <c r="O169" i="33"/>
  <c r="M169" i="33"/>
  <c r="L169" i="33"/>
  <c r="N168" i="33"/>
  <c r="N167" i="33"/>
  <c r="N166" i="33"/>
  <c r="N165" i="33"/>
  <c r="N169" i="33"/>
  <c r="A163" i="33"/>
  <c r="Z162" i="33"/>
  <c r="Y162" i="33"/>
  <c r="X162" i="33"/>
  <c r="W162" i="33"/>
  <c r="V162" i="33"/>
  <c r="U162" i="33"/>
  <c r="T162" i="33"/>
  <c r="S162" i="33"/>
  <c r="R162" i="33"/>
  <c r="Q162" i="33"/>
  <c r="P162" i="33"/>
  <c r="O162" i="33"/>
  <c r="M162" i="33"/>
  <c r="L162" i="33"/>
  <c r="N161" i="33"/>
  <c r="N162" i="33"/>
  <c r="N160" i="33"/>
  <c r="N159" i="33"/>
  <c r="N158" i="33"/>
  <c r="A156" i="33"/>
  <c r="Z155" i="33"/>
  <c r="Y155" i="33"/>
  <c r="X155" i="33"/>
  <c r="W155" i="33"/>
  <c r="V155" i="33"/>
  <c r="U155" i="33"/>
  <c r="T155" i="33"/>
  <c r="S155" i="33"/>
  <c r="R155" i="33"/>
  <c r="Q155" i="33"/>
  <c r="P155" i="33"/>
  <c r="O155" i="33"/>
  <c r="M155" i="33"/>
  <c r="L155" i="33"/>
  <c r="N154" i="33"/>
  <c r="N155" i="33"/>
  <c r="M148" i="33"/>
  <c r="L148" i="33"/>
  <c r="N144" i="33"/>
  <c r="A142" i="33"/>
  <c r="Z141" i="33"/>
  <c r="Y141" i="33"/>
  <c r="X141" i="33"/>
  <c r="X20" i="33"/>
  <c r="W141" i="33"/>
  <c r="W20" i="33"/>
  <c r="V141" i="33"/>
  <c r="V20" i="33"/>
  <c r="U141" i="33"/>
  <c r="T141" i="33"/>
  <c r="T20" i="33"/>
  <c r="S141" i="33"/>
  <c r="R141" i="33"/>
  <c r="Q141" i="33"/>
  <c r="P141" i="33"/>
  <c r="P20" i="33"/>
  <c r="O141" i="33"/>
  <c r="O20" i="33"/>
  <c r="M141" i="33"/>
  <c r="L141" i="33"/>
  <c r="N137" i="33"/>
  <c r="A135" i="33"/>
  <c r="Z134" i="33"/>
  <c r="Y134" i="33"/>
  <c r="X134" i="33"/>
  <c r="W134" i="33"/>
  <c r="W19" i="33"/>
  <c r="V134" i="33"/>
  <c r="U134" i="33"/>
  <c r="T134" i="33"/>
  <c r="S134" i="33"/>
  <c r="S19" i="33"/>
  <c r="R134" i="33"/>
  <c r="Q134" i="33"/>
  <c r="P134" i="33"/>
  <c r="O134" i="33"/>
  <c r="O19" i="33"/>
  <c r="M134" i="33"/>
  <c r="L134" i="33"/>
  <c r="N131" i="33"/>
  <c r="N130" i="33"/>
  <c r="N129" i="33"/>
  <c r="N128" i="33"/>
  <c r="N127" i="33"/>
  <c r="N126" i="33"/>
  <c r="N125" i="33"/>
  <c r="N124" i="33"/>
  <c r="N123" i="33"/>
  <c r="N122" i="33"/>
  <c r="N134" i="33"/>
  <c r="N19" i="33"/>
  <c r="H16" i="32"/>
  <c r="N121" i="33"/>
  <c r="A119" i="33"/>
  <c r="O182" i="33"/>
  <c r="M118" i="33"/>
  <c r="L118" i="33"/>
  <c r="N116" i="33"/>
  <c r="N115" i="33"/>
  <c r="N114" i="33"/>
  <c r="N113" i="33"/>
  <c r="N112" i="33"/>
  <c r="N111" i="33"/>
  <c r="N110" i="33"/>
  <c r="N108" i="33"/>
  <c r="N107" i="33"/>
  <c r="N106" i="33"/>
  <c r="A104" i="33"/>
  <c r="Z103" i="33"/>
  <c r="Y103" i="33"/>
  <c r="X103" i="33"/>
  <c r="X17" i="33"/>
  <c r="W103" i="33"/>
  <c r="V103" i="33"/>
  <c r="U103" i="33"/>
  <c r="T103" i="33"/>
  <c r="T17" i="33"/>
  <c r="S103" i="33"/>
  <c r="R103" i="33"/>
  <c r="Q103" i="33"/>
  <c r="P103" i="33"/>
  <c r="P17" i="33"/>
  <c r="O103" i="33"/>
  <c r="M103" i="33"/>
  <c r="L103" i="33"/>
  <c r="N102" i="33"/>
  <c r="N101" i="33"/>
  <c r="N100" i="33"/>
  <c r="N99" i="33"/>
  <c r="N97" i="33"/>
  <c r="N96" i="33"/>
  <c r="N95" i="33"/>
  <c r="N103" i="33"/>
  <c r="A93" i="33"/>
  <c r="A85" i="33"/>
  <c r="A79" i="33"/>
  <c r="A73" i="33"/>
  <c r="A67" i="33"/>
  <c r="A61" i="33"/>
  <c r="A55" i="33"/>
  <c r="A49" i="33"/>
  <c r="A43" i="33"/>
  <c r="A37" i="33"/>
  <c r="A31" i="33"/>
  <c r="Z20" i="33"/>
  <c r="Y20" i="33"/>
  <c r="U20" i="33"/>
  <c r="S20" i="33"/>
  <c r="R20" i="33"/>
  <c r="Q20" i="33"/>
  <c r="M20" i="33"/>
  <c r="G17" i="32"/>
  <c r="Z19" i="33"/>
  <c r="Y19" i="33"/>
  <c r="X19" i="33"/>
  <c r="V19" i="33"/>
  <c r="U19" i="33"/>
  <c r="T19" i="33"/>
  <c r="R19" i="33"/>
  <c r="Q19" i="33"/>
  <c r="Q183" i="33"/>
  <c r="P19" i="33"/>
  <c r="M19" i="33"/>
  <c r="G16" i="32"/>
  <c r="M18" i="33"/>
  <c r="Z17" i="33"/>
  <c r="Y17" i="33"/>
  <c r="W17" i="33"/>
  <c r="V17" i="33"/>
  <c r="U17" i="33"/>
  <c r="S17" i="33"/>
  <c r="R17" i="33"/>
  <c r="Q17" i="33"/>
  <c r="O17" i="33"/>
  <c r="M17" i="33"/>
  <c r="D7" i="32"/>
  <c r="K19" i="32"/>
  <c r="F19" i="32"/>
  <c r="F17" i="32"/>
  <c r="E17" i="32"/>
  <c r="D17" i="32"/>
  <c r="C17" i="32"/>
  <c r="B17" i="32"/>
  <c r="A17" i="32"/>
  <c r="T16" i="32"/>
  <c r="S16" i="32"/>
  <c r="R16" i="32"/>
  <c r="Q16" i="32"/>
  <c r="P16" i="32"/>
  <c r="O16" i="32"/>
  <c r="N16" i="32"/>
  <c r="M16" i="32"/>
  <c r="L16" i="32"/>
  <c r="K16" i="32"/>
  <c r="J16" i="32"/>
  <c r="I16" i="32"/>
  <c r="F16" i="32"/>
  <c r="E16" i="32"/>
  <c r="D16" i="32"/>
  <c r="C16" i="32"/>
  <c r="B16" i="32"/>
  <c r="A16" i="32"/>
  <c r="T15" i="32"/>
  <c r="S15" i="32"/>
  <c r="R15" i="32"/>
  <c r="Q15" i="32"/>
  <c r="P15" i="32"/>
  <c r="O15" i="32"/>
  <c r="N15" i="32"/>
  <c r="M15" i="32"/>
  <c r="L15" i="32"/>
  <c r="K15" i="32"/>
  <c r="J15" i="32"/>
  <c r="I15" i="32"/>
  <c r="G15" i="32"/>
  <c r="F15" i="32"/>
  <c r="E15" i="32"/>
  <c r="D15" i="32"/>
  <c r="C15" i="32"/>
  <c r="B15" i="32"/>
  <c r="A15" i="32"/>
  <c r="T14" i="32"/>
  <c r="T19" i="32"/>
  <c r="S14" i="32"/>
  <c r="S19" i="32"/>
  <c r="R14" i="32"/>
  <c r="R19" i="32"/>
  <c r="Q14" i="32"/>
  <c r="Q19" i="32"/>
  <c r="P14" i="32"/>
  <c r="P19" i="32"/>
  <c r="O14" i="32"/>
  <c r="O19" i="32"/>
  <c r="N14" i="32"/>
  <c r="N19" i="32"/>
  <c r="M14" i="32"/>
  <c r="M19" i="32"/>
  <c r="L14" i="32"/>
  <c r="L19" i="32"/>
  <c r="K14" i="32"/>
  <c r="J14" i="32"/>
  <c r="J19" i="32"/>
  <c r="I14" i="32"/>
  <c r="I19" i="32"/>
  <c r="F14" i="32"/>
  <c r="E14" i="32"/>
  <c r="D14" i="32"/>
  <c r="C14" i="32"/>
  <c r="B14" i="32"/>
  <c r="A14" i="32"/>
  <c r="B9" i="32"/>
  <c r="B7" i="32"/>
  <c r="B5" i="32"/>
  <c r="P184" i="33"/>
  <c r="X184" i="33"/>
  <c r="T184" i="33"/>
  <c r="M27" i="33"/>
  <c r="O184" i="33"/>
  <c r="S184" i="33"/>
  <c r="W184" i="33"/>
  <c r="Q184" i="33"/>
  <c r="U184" i="33"/>
  <c r="Y184" i="33"/>
  <c r="Y181" i="33"/>
  <c r="S182" i="33"/>
  <c r="W182" i="33"/>
  <c r="N118" i="33"/>
  <c r="Q182" i="33"/>
  <c r="U182" i="33"/>
  <c r="Y182" i="33"/>
  <c r="R182" i="33"/>
  <c r="T183" i="33"/>
  <c r="Y183" i="33"/>
  <c r="P183" i="33"/>
  <c r="U183" i="33"/>
  <c r="Z183" i="33"/>
  <c r="V183" i="33"/>
  <c r="O183" i="33"/>
  <c r="R183" i="33"/>
  <c r="X183" i="33"/>
  <c r="P181" i="33"/>
  <c r="N17" i="33"/>
  <c r="W181" i="33"/>
  <c r="S181" i="33"/>
  <c r="O181" i="33"/>
  <c r="Z181" i="33"/>
  <c r="Q181" i="33"/>
  <c r="V181" i="33"/>
  <c r="S183" i="33"/>
  <c r="W183" i="33"/>
  <c r="T181" i="33"/>
  <c r="X181" i="33"/>
  <c r="U181" i="33"/>
  <c r="R181" i="33"/>
  <c r="V182" i="33"/>
  <c r="Z182" i="33"/>
  <c r="P182" i="33"/>
  <c r="T182" i="33"/>
  <c r="X182" i="33"/>
  <c r="R184" i="33"/>
  <c r="V184" i="33"/>
  <c r="Z184" i="33"/>
  <c r="G14" i="32"/>
  <c r="G19" i="32"/>
  <c r="I57" i="17"/>
  <c r="C18" i="17"/>
  <c r="I20" i="17"/>
  <c r="I9" i="17"/>
  <c r="N203" i="27"/>
  <c r="H29" i="18"/>
  <c r="H30" i="18"/>
  <c r="H27" i="18"/>
  <c r="H26" i="18"/>
  <c r="E28" i="18"/>
  <c r="E29" i="18"/>
  <c r="E30" i="18"/>
  <c r="E27" i="18"/>
  <c r="E18" i="18"/>
  <c r="E19" i="18"/>
  <c r="E20" i="18"/>
  <c r="E21" i="18"/>
  <c r="E22" i="18"/>
  <c r="E23" i="18"/>
  <c r="E24" i="18"/>
  <c r="E25" i="18"/>
  <c r="E26" i="18"/>
  <c r="E17" i="18"/>
  <c r="D28" i="18"/>
  <c r="D29" i="18"/>
  <c r="D30" i="18"/>
  <c r="D27" i="18"/>
  <c r="D18" i="18"/>
  <c r="D19" i="18"/>
  <c r="D20" i="18"/>
  <c r="D21" i="18"/>
  <c r="D22" i="18"/>
  <c r="D23" i="18"/>
  <c r="D24" i="18"/>
  <c r="D25" i="18"/>
  <c r="D26" i="18"/>
  <c r="D17" i="18"/>
  <c r="D15" i="18"/>
  <c r="D16" i="18"/>
  <c r="D14" i="18"/>
  <c r="C28" i="18"/>
  <c r="C29" i="18"/>
  <c r="C30" i="18"/>
  <c r="C27" i="18"/>
  <c r="C18" i="18"/>
  <c r="C19" i="18"/>
  <c r="C20" i="18"/>
  <c r="C21" i="18"/>
  <c r="C22" i="18"/>
  <c r="C23" i="18"/>
  <c r="C24" i="18"/>
  <c r="C25" i="18"/>
  <c r="C26" i="18"/>
  <c r="C17" i="18"/>
  <c r="C15" i="18"/>
  <c r="C16" i="18"/>
  <c r="C14" i="18"/>
  <c r="L102" i="23"/>
  <c r="B5" i="28"/>
  <c r="P103" i="29"/>
  <c r="P17" i="29"/>
  <c r="P27" i="29"/>
  <c r="Q103" i="29"/>
  <c r="Q17" i="29"/>
  <c r="Q27" i="29"/>
  <c r="R103" i="29"/>
  <c r="R17" i="29"/>
  <c r="R27" i="29"/>
  <c r="S103" i="29"/>
  <c r="S17" i="29"/>
  <c r="S27" i="29"/>
  <c r="T103" i="29"/>
  <c r="T17" i="29"/>
  <c r="T27" i="29"/>
  <c r="U103" i="29"/>
  <c r="U17" i="29"/>
  <c r="U27" i="29"/>
  <c r="V103" i="29"/>
  <c r="V17" i="29"/>
  <c r="V27" i="29"/>
  <c r="W103" i="29"/>
  <c r="W17" i="29"/>
  <c r="W27" i="29"/>
  <c r="X103" i="29"/>
  <c r="X17" i="29"/>
  <c r="X27" i="29"/>
  <c r="Y103" i="29"/>
  <c r="Y17" i="29"/>
  <c r="Y27" i="29"/>
  <c r="Z103" i="29"/>
  <c r="Z17" i="29"/>
  <c r="Z27" i="29"/>
  <c r="O103" i="29"/>
  <c r="O17" i="29"/>
  <c r="O27" i="29"/>
  <c r="N17" i="29"/>
  <c r="N27" i="29"/>
  <c r="N16" i="28"/>
  <c r="N17" i="28"/>
  <c r="N14" i="28"/>
  <c r="M15" i="28"/>
  <c r="M16" i="28"/>
  <c r="M17" i="28"/>
  <c r="M14" i="28"/>
  <c r="L15" i="28"/>
  <c r="L16" i="28"/>
  <c r="L17" i="28"/>
  <c r="L14" i="28"/>
  <c r="E15" i="28"/>
  <c r="E16" i="28"/>
  <c r="E17" i="28"/>
  <c r="E14" i="28"/>
  <c r="D15" i="28"/>
  <c r="D16" i="28"/>
  <c r="D17" i="28"/>
  <c r="D14" i="28"/>
  <c r="C15" i="28"/>
  <c r="C16" i="28"/>
  <c r="C17" i="28"/>
  <c r="C14" i="28"/>
  <c r="B15" i="28"/>
  <c r="B16" i="28"/>
  <c r="B17" i="28"/>
  <c r="B14" i="28"/>
  <c r="L27" i="29"/>
  <c r="N191" i="29"/>
  <c r="Z190" i="29"/>
  <c r="Y190" i="29"/>
  <c r="X190" i="29"/>
  <c r="W190" i="29"/>
  <c r="V190" i="29"/>
  <c r="U190" i="29"/>
  <c r="T190" i="29"/>
  <c r="S190" i="29"/>
  <c r="R190" i="29"/>
  <c r="Q190" i="29"/>
  <c r="P190" i="29"/>
  <c r="O190" i="29"/>
  <c r="D190" i="29"/>
  <c r="C190" i="29"/>
  <c r="A190" i="29"/>
  <c r="Z189" i="29"/>
  <c r="Y189" i="29"/>
  <c r="X189" i="29"/>
  <c r="W189" i="29"/>
  <c r="V189" i="29"/>
  <c r="U189" i="29"/>
  <c r="T189" i="29"/>
  <c r="S189" i="29"/>
  <c r="R189" i="29"/>
  <c r="Q189" i="29"/>
  <c r="P189" i="29"/>
  <c r="O189" i="29"/>
  <c r="D189" i="29"/>
  <c r="C189" i="29"/>
  <c r="A189" i="29"/>
  <c r="Z188" i="29"/>
  <c r="Y188" i="29"/>
  <c r="X188" i="29"/>
  <c r="W188" i="29"/>
  <c r="V188" i="29"/>
  <c r="U188" i="29"/>
  <c r="T188" i="29"/>
  <c r="S188" i="29"/>
  <c r="R188" i="29"/>
  <c r="Q188" i="29"/>
  <c r="P188" i="29"/>
  <c r="O188" i="29"/>
  <c r="D188" i="29"/>
  <c r="C188" i="29"/>
  <c r="A188" i="29"/>
  <c r="Z187" i="29"/>
  <c r="Y187" i="29"/>
  <c r="X187" i="29"/>
  <c r="W187" i="29"/>
  <c r="V187" i="29"/>
  <c r="U187" i="29"/>
  <c r="T187" i="29"/>
  <c r="S187" i="29"/>
  <c r="R187" i="29"/>
  <c r="Q187" i="29"/>
  <c r="P187" i="29"/>
  <c r="O187" i="29"/>
  <c r="D187" i="29"/>
  <c r="C187" i="29"/>
  <c r="A187" i="29"/>
  <c r="Z186" i="29"/>
  <c r="Y186" i="29"/>
  <c r="X186" i="29"/>
  <c r="W186" i="29"/>
  <c r="V186" i="29"/>
  <c r="U186" i="29"/>
  <c r="T186" i="29"/>
  <c r="S186" i="29"/>
  <c r="R186" i="29"/>
  <c r="Q186" i="29"/>
  <c r="P186" i="29"/>
  <c r="O186" i="29"/>
  <c r="D186" i="29"/>
  <c r="C186" i="29"/>
  <c r="A186" i="29"/>
  <c r="Z185" i="29"/>
  <c r="Y185" i="29"/>
  <c r="X185" i="29"/>
  <c r="W185" i="29"/>
  <c r="V185" i="29"/>
  <c r="U185" i="29"/>
  <c r="T185" i="29"/>
  <c r="S185" i="29"/>
  <c r="R185" i="29"/>
  <c r="Q185" i="29"/>
  <c r="P185" i="29"/>
  <c r="O185" i="29"/>
  <c r="D185" i="29"/>
  <c r="C185" i="29"/>
  <c r="A185" i="29"/>
  <c r="Z184" i="29"/>
  <c r="Y184" i="29"/>
  <c r="X184" i="29"/>
  <c r="W184" i="29"/>
  <c r="V184" i="29"/>
  <c r="U184" i="29"/>
  <c r="T184" i="29"/>
  <c r="S184" i="29"/>
  <c r="R184" i="29"/>
  <c r="Q184" i="29"/>
  <c r="P184" i="29"/>
  <c r="O184" i="29"/>
  <c r="D184" i="29"/>
  <c r="C184" i="29"/>
  <c r="A184" i="29"/>
  <c r="D183" i="29"/>
  <c r="C183" i="29"/>
  <c r="A183" i="29"/>
  <c r="D182" i="29"/>
  <c r="C182" i="29"/>
  <c r="A182" i="29"/>
  <c r="D181" i="29"/>
  <c r="C181" i="29"/>
  <c r="A181" i="29"/>
  <c r="A177" i="29"/>
  <c r="Z176" i="29"/>
  <c r="Y176" i="29"/>
  <c r="X176" i="29"/>
  <c r="W176" i="29"/>
  <c r="V176" i="29"/>
  <c r="U176" i="29"/>
  <c r="T176" i="29"/>
  <c r="S176" i="29"/>
  <c r="R176" i="29"/>
  <c r="Q176" i="29"/>
  <c r="P176" i="29"/>
  <c r="O176" i="29"/>
  <c r="M176" i="29"/>
  <c r="L176" i="29"/>
  <c r="N175" i="29"/>
  <c r="N174" i="29"/>
  <c r="N176" i="29"/>
  <c r="N173" i="29"/>
  <c r="N172" i="29"/>
  <c r="A170" i="29"/>
  <c r="Z169" i="29"/>
  <c r="Y169" i="29"/>
  <c r="X169" i="29"/>
  <c r="W169" i="29"/>
  <c r="V169" i="29"/>
  <c r="U169" i="29"/>
  <c r="T169" i="29"/>
  <c r="S169" i="29"/>
  <c r="R169" i="29"/>
  <c r="Q169" i="29"/>
  <c r="P169" i="29"/>
  <c r="O169" i="29"/>
  <c r="M169" i="29"/>
  <c r="L169" i="29"/>
  <c r="N168" i="29"/>
  <c r="N167" i="29"/>
  <c r="N169" i="29"/>
  <c r="N166" i="29"/>
  <c r="N165" i="29"/>
  <c r="A163" i="29"/>
  <c r="Z162" i="29"/>
  <c r="Y162" i="29"/>
  <c r="X162" i="29"/>
  <c r="W162" i="29"/>
  <c r="V162" i="29"/>
  <c r="U162" i="29"/>
  <c r="T162" i="29"/>
  <c r="S162" i="29"/>
  <c r="R162" i="29"/>
  <c r="Q162" i="29"/>
  <c r="P162" i="29"/>
  <c r="O162" i="29"/>
  <c r="M162" i="29"/>
  <c r="L162" i="29"/>
  <c r="N161" i="29"/>
  <c r="N160" i="29"/>
  <c r="N162" i="29"/>
  <c r="N159" i="29"/>
  <c r="N158" i="29"/>
  <c r="A156" i="29"/>
  <c r="Z155" i="29"/>
  <c r="Y155" i="29"/>
  <c r="X155" i="29"/>
  <c r="W155" i="29"/>
  <c r="V155" i="29"/>
  <c r="U155" i="29"/>
  <c r="T155" i="29"/>
  <c r="S155" i="29"/>
  <c r="R155" i="29"/>
  <c r="Q155" i="29"/>
  <c r="P155" i="29"/>
  <c r="O155" i="29"/>
  <c r="M155" i="29"/>
  <c r="L155" i="29"/>
  <c r="N154" i="29"/>
  <c r="N153" i="29"/>
  <c r="N155" i="29"/>
  <c r="N152" i="29"/>
  <c r="N151" i="29"/>
  <c r="A149" i="29"/>
  <c r="Z148" i="29"/>
  <c r="Y148" i="29"/>
  <c r="X148" i="29"/>
  <c r="W148" i="29"/>
  <c r="V148" i="29"/>
  <c r="U148" i="29"/>
  <c r="T148" i="29"/>
  <c r="S148" i="29"/>
  <c r="R148" i="29"/>
  <c r="Q148" i="29"/>
  <c r="P148" i="29"/>
  <c r="O148" i="29"/>
  <c r="M148" i="29"/>
  <c r="L148" i="29"/>
  <c r="N147" i="29"/>
  <c r="N146" i="29"/>
  <c r="N148" i="29"/>
  <c r="N145" i="29"/>
  <c r="N144" i="29"/>
  <c r="A142" i="29"/>
  <c r="Z141" i="29"/>
  <c r="Y141" i="29"/>
  <c r="X141" i="29"/>
  <c r="W141" i="29"/>
  <c r="V141" i="29"/>
  <c r="U141" i="29"/>
  <c r="T141" i="29"/>
  <c r="S141" i="29"/>
  <c r="R141" i="29"/>
  <c r="Q141" i="29"/>
  <c r="P141" i="29"/>
  <c r="O141" i="29"/>
  <c r="M141" i="29"/>
  <c r="L141" i="29"/>
  <c r="N140" i="29"/>
  <c r="N139" i="29"/>
  <c r="N141" i="29"/>
  <c r="N138" i="29"/>
  <c r="N137" i="29"/>
  <c r="A135" i="29"/>
  <c r="Z134" i="29"/>
  <c r="Y134" i="29"/>
  <c r="X134" i="29"/>
  <c r="W134" i="29"/>
  <c r="W19" i="29"/>
  <c r="V134" i="29"/>
  <c r="U134" i="29"/>
  <c r="T134" i="29"/>
  <c r="S134" i="29"/>
  <c r="S19" i="29"/>
  <c r="R134" i="29"/>
  <c r="Q134" i="29"/>
  <c r="P134" i="29"/>
  <c r="O134" i="29"/>
  <c r="O19" i="29"/>
  <c r="O183" i="29"/>
  <c r="M134" i="29"/>
  <c r="L134" i="29"/>
  <c r="N131" i="29"/>
  <c r="N130" i="29"/>
  <c r="N129" i="29"/>
  <c r="N128" i="29"/>
  <c r="N127" i="29"/>
  <c r="N126" i="29"/>
  <c r="N125" i="29"/>
  <c r="N124" i="29"/>
  <c r="N123" i="29"/>
  <c r="N122" i="29"/>
  <c r="N134" i="29"/>
  <c r="N19" i="29"/>
  <c r="N121" i="29"/>
  <c r="A119" i="29"/>
  <c r="Z118" i="29"/>
  <c r="Z18" i="29"/>
  <c r="Y118" i="29"/>
  <c r="X118" i="29"/>
  <c r="W118" i="29"/>
  <c r="V118" i="29"/>
  <c r="V18" i="29"/>
  <c r="U118" i="29"/>
  <c r="T118" i="29"/>
  <c r="S118" i="29"/>
  <c r="R118" i="29"/>
  <c r="R18" i="29"/>
  <c r="R182" i="29"/>
  <c r="Q118" i="29"/>
  <c r="P118" i="29"/>
  <c r="O118" i="29"/>
  <c r="M118" i="29"/>
  <c r="L118" i="29"/>
  <c r="N116" i="29"/>
  <c r="N115" i="29"/>
  <c r="N114" i="29"/>
  <c r="N113" i="29"/>
  <c r="N112" i="29"/>
  <c r="N111" i="29"/>
  <c r="N110" i="29"/>
  <c r="N109" i="29"/>
  <c r="N108" i="29"/>
  <c r="N107" i="29"/>
  <c r="N118" i="29"/>
  <c r="N106" i="29"/>
  <c r="A104" i="29"/>
  <c r="R181" i="29"/>
  <c r="L103" i="29"/>
  <c r="N102" i="29"/>
  <c r="N101" i="29"/>
  <c r="N100" i="29"/>
  <c r="N99" i="29"/>
  <c r="N98" i="29"/>
  <c r="N97" i="29"/>
  <c r="N96" i="29"/>
  <c r="N103" i="29"/>
  <c r="N95" i="29"/>
  <c r="A93" i="29"/>
  <c r="A85" i="29"/>
  <c r="A79" i="29"/>
  <c r="A73" i="29"/>
  <c r="A67" i="29"/>
  <c r="A61" i="29"/>
  <c r="A55" i="29"/>
  <c r="A49" i="29"/>
  <c r="A43" i="29"/>
  <c r="A37" i="29"/>
  <c r="A31" i="29"/>
  <c r="Z19" i="29"/>
  <c r="Z183" i="29"/>
  <c r="Y19" i="29"/>
  <c r="Y183" i="29"/>
  <c r="X19" i="29"/>
  <c r="X183" i="29"/>
  <c r="V19" i="29"/>
  <c r="V183" i="29"/>
  <c r="U19" i="29"/>
  <c r="U183" i="29"/>
  <c r="T19" i="29"/>
  <c r="T183" i="29"/>
  <c r="R19" i="29"/>
  <c r="R183" i="29"/>
  <c r="Q19" i="29"/>
  <c r="Q183" i="29"/>
  <c r="P19" i="29"/>
  <c r="P183" i="29"/>
  <c r="M19" i="29"/>
  <c r="Y18" i="29"/>
  <c r="Y182" i="29"/>
  <c r="X18" i="29"/>
  <c r="W18" i="29"/>
  <c r="W182" i="29"/>
  <c r="U18" i="29"/>
  <c r="U182" i="29"/>
  <c r="T18" i="29"/>
  <c r="S18" i="29"/>
  <c r="S182" i="29"/>
  <c r="Q18" i="29"/>
  <c r="Q182" i="29"/>
  <c r="P18" i="29"/>
  <c r="O18" i="29"/>
  <c r="O182" i="29"/>
  <c r="M18" i="29"/>
  <c r="M27" i="29"/>
  <c r="D7" i="28"/>
  <c r="B7" i="34"/>
  <c r="W14" i="28"/>
  <c r="W18" i="28"/>
  <c r="S14" i="28"/>
  <c r="S18" i="28"/>
  <c r="O14" i="28"/>
  <c r="O18" i="28"/>
  <c r="L18" i="28"/>
  <c r="A17" i="28"/>
  <c r="Z16" i="28"/>
  <c r="Y16" i="28"/>
  <c r="X16" i="28"/>
  <c r="W16" i="28"/>
  <c r="V16" i="28"/>
  <c r="U16" i="28"/>
  <c r="T16" i="28"/>
  <c r="S16" i="28"/>
  <c r="R16" i="28"/>
  <c r="Q16" i="28"/>
  <c r="P16" i="28"/>
  <c r="O16" i="28"/>
  <c r="A16" i="28"/>
  <c r="Z15" i="28"/>
  <c r="Y15" i="28"/>
  <c r="X15" i="28"/>
  <c r="W15" i="28"/>
  <c r="V15" i="28"/>
  <c r="U15" i="28"/>
  <c r="T15" i="28"/>
  <c r="S15" i="28"/>
  <c r="R15" i="28"/>
  <c r="Q15" i="28"/>
  <c r="P15" i="28"/>
  <c r="O15" i="28"/>
  <c r="A15" i="28"/>
  <c r="Z14" i="28"/>
  <c r="Z18" i="28"/>
  <c r="Y14" i="28"/>
  <c r="Y18" i="28"/>
  <c r="X14" i="28"/>
  <c r="X18" i="28"/>
  <c r="V14" i="28"/>
  <c r="V18" i="28"/>
  <c r="U14" i="28"/>
  <c r="U18" i="28"/>
  <c r="T14" i="28"/>
  <c r="T18" i="28"/>
  <c r="R14" i="28"/>
  <c r="R18" i="28"/>
  <c r="Q14" i="28"/>
  <c r="Q18" i="28"/>
  <c r="P14" i="28"/>
  <c r="P18" i="28"/>
  <c r="M18" i="28"/>
  <c r="A14" i="28"/>
  <c r="B9" i="28"/>
  <c r="B24" i="17"/>
  <c r="C24" i="17"/>
  <c r="B22" i="17"/>
  <c r="C22" i="17"/>
  <c r="N198" i="27"/>
  <c r="Z197" i="27"/>
  <c r="Y197" i="27"/>
  <c r="X197" i="27"/>
  <c r="W197" i="27"/>
  <c r="V197" i="27"/>
  <c r="U197" i="27"/>
  <c r="T197" i="27"/>
  <c r="S197" i="27"/>
  <c r="R197" i="27"/>
  <c r="Q197" i="27"/>
  <c r="P197" i="27"/>
  <c r="O197" i="27"/>
  <c r="D197" i="27"/>
  <c r="C197" i="27"/>
  <c r="A197" i="27"/>
  <c r="Z196" i="27"/>
  <c r="Y196" i="27"/>
  <c r="X196" i="27"/>
  <c r="W196" i="27"/>
  <c r="V196" i="27"/>
  <c r="U196" i="27"/>
  <c r="T196" i="27"/>
  <c r="S196" i="27"/>
  <c r="R196" i="27"/>
  <c r="Q196" i="27"/>
  <c r="P196" i="27"/>
  <c r="O196" i="27"/>
  <c r="D196" i="27"/>
  <c r="C196" i="27"/>
  <c r="A196" i="27"/>
  <c r="Z195" i="27"/>
  <c r="Y195" i="27"/>
  <c r="X195" i="27"/>
  <c r="W195" i="27"/>
  <c r="V195" i="27"/>
  <c r="U195" i="27"/>
  <c r="T195" i="27"/>
  <c r="S195" i="27"/>
  <c r="R195" i="27"/>
  <c r="Q195" i="27"/>
  <c r="P195" i="27"/>
  <c r="O195" i="27"/>
  <c r="D195" i="27"/>
  <c r="C195" i="27"/>
  <c r="A195" i="27"/>
  <c r="Z194" i="27"/>
  <c r="Y194" i="27"/>
  <c r="X194" i="27"/>
  <c r="W194" i="27"/>
  <c r="V194" i="27"/>
  <c r="U194" i="27"/>
  <c r="T194" i="27"/>
  <c r="S194" i="27"/>
  <c r="R194" i="27"/>
  <c r="Q194" i="27"/>
  <c r="P194" i="27"/>
  <c r="O194" i="27"/>
  <c r="D194" i="27"/>
  <c r="C194" i="27"/>
  <c r="A194" i="27"/>
  <c r="Z193" i="27"/>
  <c r="Y193" i="27"/>
  <c r="X193" i="27"/>
  <c r="W193" i="27"/>
  <c r="V193" i="27"/>
  <c r="U193" i="27"/>
  <c r="T193" i="27"/>
  <c r="S193" i="27"/>
  <c r="R193" i="27"/>
  <c r="Q193" i="27"/>
  <c r="P193" i="27"/>
  <c r="O193" i="27"/>
  <c r="D193" i="27"/>
  <c r="C193" i="27"/>
  <c r="A193" i="27"/>
  <c r="Z192" i="27"/>
  <c r="Y192" i="27"/>
  <c r="X192" i="27"/>
  <c r="W192" i="27"/>
  <c r="V192" i="27"/>
  <c r="U192" i="27"/>
  <c r="T192" i="27"/>
  <c r="S192" i="27"/>
  <c r="R192" i="27"/>
  <c r="Q192" i="27"/>
  <c r="P192" i="27"/>
  <c r="O192" i="27"/>
  <c r="D192" i="27"/>
  <c r="C192" i="27"/>
  <c r="A192" i="27"/>
  <c r="D191" i="27"/>
  <c r="C191" i="27"/>
  <c r="A191" i="27"/>
  <c r="D190" i="27"/>
  <c r="C190" i="27"/>
  <c r="A190" i="27"/>
  <c r="D189" i="27"/>
  <c r="C189" i="27"/>
  <c r="A189" i="27"/>
  <c r="D188" i="27"/>
  <c r="C188" i="27"/>
  <c r="A188" i="27"/>
  <c r="A184" i="27"/>
  <c r="Z183" i="27"/>
  <c r="Y183" i="27"/>
  <c r="X183" i="27"/>
  <c r="W183" i="27"/>
  <c r="V183" i="27"/>
  <c r="U183" i="27"/>
  <c r="T183" i="27"/>
  <c r="S183" i="27"/>
  <c r="R183" i="27"/>
  <c r="Q183" i="27"/>
  <c r="P183" i="27"/>
  <c r="O183" i="27"/>
  <c r="M183" i="27"/>
  <c r="L183" i="27"/>
  <c r="N182" i="27"/>
  <c r="N181" i="27"/>
  <c r="N183" i="27"/>
  <c r="N180" i="27"/>
  <c r="N179" i="27"/>
  <c r="A177" i="27"/>
  <c r="Z176" i="27"/>
  <c r="Y176" i="27"/>
  <c r="X176" i="27"/>
  <c r="W176" i="27"/>
  <c r="V176" i="27"/>
  <c r="U176" i="27"/>
  <c r="T176" i="27"/>
  <c r="S176" i="27"/>
  <c r="R176" i="27"/>
  <c r="Q176" i="27"/>
  <c r="P176" i="27"/>
  <c r="O176" i="27"/>
  <c r="M176" i="27"/>
  <c r="L176" i="27"/>
  <c r="N175" i="27"/>
  <c r="N174" i="27"/>
  <c r="N176" i="27"/>
  <c r="N173" i="27"/>
  <c r="N172" i="27"/>
  <c r="A170" i="27"/>
  <c r="Z169" i="27"/>
  <c r="Y169" i="27"/>
  <c r="X169" i="27"/>
  <c r="W169" i="27"/>
  <c r="V169" i="27"/>
  <c r="U169" i="27"/>
  <c r="T169" i="27"/>
  <c r="S169" i="27"/>
  <c r="R169" i="27"/>
  <c r="Q169" i="27"/>
  <c r="P169" i="27"/>
  <c r="O169" i="27"/>
  <c r="M169" i="27"/>
  <c r="L169" i="27"/>
  <c r="N168" i="27"/>
  <c r="N167" i="27"/>
  <c r="N169" i="27"/>
  <c r="N166" i="27"/>
  <c r="N165" i="27"/>
  <c r="A163" i="27"/>
  <c r="Z162" i="27"/>
  <c r="Y162" i="27"/>
  <c r="X162" i="27"/>
  <c r="W162" i="27"/>
  <c r="V162" i="27"/>
  <c r="U162" i="27"/>
  <c r="T162" i="27"/>
  <c r="S162" i="27"/>
  <c r="R162" i="27"/>
  <c r="Q162" i="27"/>
  <c r="P162" i="27"/>
  <c r="O162" i="27"/>
  <c r="M162" i="27"/>
  <c r="L162" i="27"/>
  <c r="N161" i="27"/>
  <c r="N160" i="27"/>
  <c r="N162" i="27"/>
  <c r="N159" i="27"/>
  <c r="N158" i="27"/>
  <c r="A156" i="27"/>
  <c r="Z155" i="27"/>
  <c r="Y155" i="27"/>
  <c r="X155" i="27"/>
  <c r="W155" i="27"/>
  <c r="V155" i="27"/>
  <c r="U155" i="27"/>
  <c r="T155" i="27"/>
  <c r="S155" i="27"/>
  <c r="R155" i="27"/>
  <c r="Q155" i="27"/>
  <c r="P155" i="27"/>
  <c r="O155" i="27"/>
  <c r="M155" i="27"/>
  <c r="L155" i="27"/>
  <c r="N154" i="27"/>
  <c r="N153" i="27"/>
  <c r="N155" i="27"/>
  <c r="N152" i="27"/>
  <c r="N151" i="27"/>
  <c r="A149" i="27"/>
  <c r="Z148" i="27"/>
  <c r="Y148" i="27"/>
  <c r="X148" i="27"/>
  <c r="W148" i="27"/>
  <c r="V148" i="27"/>
  <c r="U148" i="27"/>
  <c r="T148" i="27"/>
  <c r="S148" i="27"/>
  <c r="R148" i="27"/>
  <c r="Q148" i="27"/>
  <c r="P148" i="27"/>
  <c r="O148" i="27"/>
  <c r="N148" i="27"/>
  <c r="N147" i="27"/>
  <c r="A145" i="27"/>
  <c r="Z144" i="27"/>
  <c r="Y144" i="27"/>
  <c r="X144" i="27"/>
  <c r="W144" i="27"/>
  <c r="V144" i="27"/>
  <c r="U144" i="27"/>
  <c r="T144" i="27"/>
  <c r="S144" i="27"/>
  <c r="R144" i="27"/>
  <c r="Q144" i="27"/>
  <c r="P144" i="27"/>
  <c r="O144" i="27"/>
  <c r="M144" i="27"/>
  <c r="M148" i="27"/>
  <c r="N143" i="27"/>
  <c r="N142" i="27"/>
  <c r="N141" i="27"/>
  <c r="N140" i="27"/>
  <c r="N139" i="27"/>
  <c r="N138" i="27"/>
  <c r="N137" i="27"/>
  <c r="N136"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11" i="27"/>
  <c r="N110" i="27"/>
  <c r="N109" i="27"/>
  <c r="N108" i="27"/>
  <c r="N107" i="27"/>
  <c r="N144" i="27"/>
  <c r="H16" i="26"/>
  <c r="A105" i="27"/>
  <c r="Z104" i="27"/>
  <c r="Y104" i="27"/>
  <c r="X104" i="27"/>
  <c r="W104" i="27"/>
  <c r="W18" i="27"/>
  <c r="V104" i="27"/>
  <c r="U104" i="27"/>
  <c r="T104" i="27"/>
  <c r="S104" i="27"/>
  <c r="S18" i="27"/>
  <c r="R104" i="27"/>
  <c r="Q104" i="27"/>
  <c r="P104" i="27"/>
  <c r="O104" i="27"/>
  <c r="O18" i="27"/>
  <c r="M104" i="27"/>
  <c r="N103" i="27"/>
  <c r="N102" i="27"/>
  <c r="N101" i="27"/>
  <c r="N104" i="27"/>
  <c r="N100" i="27"/>
  <c r="A98" i="27"/>
  <c r="Z97" i="27"/>
  <c r="Y97" i="27"/>
  <c r="X97" i="27"/>
  <c r="W97" i="27"/>
  <c r="V97" i="27"/>
  <c r="U97" i="27"/>
  <c r="T97" i="27"/>
  <c r="S97" i="27"/>
  <c r="R97" i="27"/>
  <c r="Q97" i="27"/>
  <c r="P97" i="27"/>
  <c r="O97" i="27"/>
  <c r="M97" i="27"/>
  <c r="N96" i="27"/>
  <c r="N95" i="27"/>
  <c r="N97" i="27"/>
  <c r="N94" i="27"/>
  <c r="N93" i="27"/>
  <c r="A91" i="27"/>
  <c r="A83" i="27"/>
  <c r="A77" i="27"/>
  <c r="A71" i="27"/>
  <c r="A65" i="27"/>
  <c r="A59" i="27"/>
  <c r="A53" i="27"/>
  <c r="A47" i="27"/>
  <c r="A39" i="27"/>
  <c r="A33" i="27"/>
  <c r="A27" i="27"/>
  <c r="X23" i="27"/>
  <c r="T23" i="27"/>
  <c r="P23" i="27"/>
  <c r="Z20" i="27"/>
  <c r="Z191" i="27"/>
  <c r="Y20" i="27"/>
  <c r="Y191" i="27"/>
  <c r="X20" i="27"/>
  <c r="X191" i="27"/>
  <c r="W20" i="27"/>
  <c r="W191" i="27"/>
  <c r="V20" i="27"/>
  <c r="V191" i="27"/>
  <c r="U20" i="27"/>
  <c r="U191" i="27"/>
  <c r="T20" i="27"/>
  <c r="T191" i="27"/>
  <c r="S20" i="27"/>
  <c r="S191" i="27"/>
  <c r="R20" i="27"/>
  <c r="R191" i="27"/>
  <c r="Q20" i="27"/>
  <c r="Q191" i="27"/>
  <c r="P20" i="27"/>
  <c r="P191" i="27"/>
  <c r="O20" i="27"/>
  <c r="O191" i="27"/>
  <c r="Z19" i="27"/>
  <c r="Z190" i="27"/>
  <c r="Y19" i="27"/>
  <c r="Y190" i="27"/>
  <c r="X19" i="27"/>
  <c r="X190" i="27"/>
  <c r="W19" i="27"/>
  <c r="W190" i="27"/>
  <c r="V19" i="27"/>
  <c r="V190" i="27"/>
  <c r="U19" i="27"/>
  <c r="U190" i="27"/>
  <c r="T19" i="27"/>
  <c r="T190" i="27"/>
  <c r="S19" i="27"/>
  <c r="S190" i="27"/>
  <c r="R19" i="27"/>
  <c r="R190" i="27"/>
  <c r="Q19" i="27"/>
  <c r="Q190" i="27"/>
  <c r="P19" i="27"/>
  <c r="P190" i="27"/>
  <c r="O19" i="27"/>
  <c r="O190" i="27"/>
  <c r="M19" i="27"/>
  <c r="Z18" i="27"/>
  <c r="Z189" i="27"/>
  <c r="Y18" i="27"/>
  <c r="Y189" i="27"/>
  <c r="X18" i="27"/>
  <c r="X189" i="27"/>
  <c r="V18" i="27"/>
  <c r="V189" i="27"/>
  <c r="U18" i="27"/>
  <c r="U189" i="27"/>
  <c r="T18" i="27"/>
  <c r="T189" i="27"/>
  <c r="R18" i="27"/>
  <c r="R189" i="27"/>
  <c r="Q18" i="27"/>
  <c r="Q189" i="27"/>
  <c r="P18" i="27"/>
  <c r="P189" i="27"/>
  <c r="M18" i="27"/>
  <c r="M23" i="27"/>
  <c r="Z17" i="27"/>
  <c r="Z188" i="27"/>
  <c r="Y17" i="27"/>
  <c r="Y188" i="27"/>
  <c r="X17" i="27"/>
  <c r="X188" i="27"/>
  <c r="W17" i="27"/>
  <c r="W23" i="27"/>
  <c r="V17" i="27"/>
  <c r="V188" i="27"/>
  <c r="U17" i="27"/>
  <c r="U188" i="27"/>
  <c r="T17" i="27"/>
  <c r="T188" i="27"/>
  <c r="S17" i="27"/>
  <c r="S23" i="27"/>
  <c r="R17" i="27"/>
  <c r="R188" i="27"/>
  <c r="Q17" i="27"/>
  <c r="Q188" i="27"/>
  <c r="P17" i="27"/>
  <c r="P188" i="27"/>
  <c r="O17" i="27"/>
  <c r="O23" i="27"/>
  <c r="M17" i="27"/>
  <c r="D7" i="26"/>
  <c r="B7" i="26"/>
  <c r="F19" i="26"/>
  <c r="H18" i="26"/>
  <c r="G18" i="26"/>
  <c r="F18" i="26"/>
  <c r="E18" i="26"/>
  <c r="D18" i="26"/>
  <c r="F17" i="26"/>
  <c r="E17" i="26"/>
  <c r="D17" i="26"/>
  <c r="C17" i="26"/>
  <c r="B17" i="26"/>
  <c r="A17" i="26"/>
  <c r="T16" i="26"/>
  <c r="S16" i="26"/>
  <c r="R16" i="26"/>
  <c r="Q16" i="26"/>
  <c r="P16" i="26"/>
  <c r="O16" i="26"/>
  <c r="N16" i="26"/>
  <c r="M16" i="26"/>
  <c r="L16" i="26"/>
  <c r="K16" i="26"/>
  <c r="J16" i="26"/>
  <c r="I16" i="26"/>
  <c r="G16" i="26"/>
  <c r="F16" i="26"/>
  <c r="E16" i="26"/>
  <c r="D16" i="26"/>
  <c r="C16" i="26"/>
  <c r="B16" i="26"/>
  <c r="A16" i="26"/>
  <c r="T15" i="26"/>
  <c r="S15" i="26"/>
  <c r="R15" i="26"/>
  <c r="Q15" i="26"/>
  <c r="P15" i="26"/>
  <c r="O15" i="26"/>
  <c r="N15" i="26"/>
  <c r="M15" i="26"/>
  <c r="L15" i="26"/>
  <c r="K15" i="26"/>
  <c r="J15" i="26"/>
  <c r="I15" i="26"/>
  <c r="G15" i="26"/>
  <c r="F15" i="26"/>
  <c r="E15" i="26"/>
  <c r="D15" i="26"/>
  <c r="C15" i="26"/>
  <c r="B15" i="26"/>
  <c r="A15" i="26"/>
  <c r="T14" i="26"/>
  <c r="T19" i="26"/>
  <c r="S14" i="26"/>
  <c r="S19" i="26"/>
  <c r="R14" i="26"/>
  <c r="R19" i="26"/>
  <c r="Q14" i="26"/>
  <c r="Q19" i="26"/>
  <c r="P14" i="26"/>
  <c r="P19" i="26"/>
  <c r="O14" i="26"/>
  <c r="O19" i="26"/>
  <c r="N14" i="26"/>
  <c r="N19" i="26"/>
  <c r="M14" i="26"/>
  <c r="M19" i="26"/>
  <c r="L14" i="26"/>
  <c r="L19" i="26"/>
  <c r="K14" i="26"/>
  <c r="K19" i="26"/>
  <c r="J14" i="26"/>
  <c r="J19" i="26"/>
  <c r="I14" i="26"/>
  <c r="I19" i="26"/>
  <c r="G14" i="26"/>
  <c r="G19" i="26"/>
  <c r="F14" i="26"/>
  <c r="E14" i="26"/>
  <c r="D14" i="26"/>
  <c r="C14" i="26"/>
  <c r="B14" i="26"/>
  <c r="A14" i="26"/>
  <c r="B9" i="26"/>
  <c r="B5" i="26"/>
  <c r="Z181" i="29"/>
  <c r="V181" i="29"/>
  <c r="P181" i="29"/>
  <c r="X181" i="29"/>
  <c r="W181" i="29"/>
  <c r="U181" i="29"/>
  <c r="Y181" i="29"/>
  <c r="T181" i="29"/>
  <c r="S183" i="29"/>
  <c r="W183" i="29"/>
  <c r="V182" i="29"/>
  <c r="Z182" i="29"/>
  <c r="S181" i="29"/>
  <c r="P182" i="29"/>
  <c r="X182" i="29"/>
  <c r="Q181" i="29"/>
  <c r="O181" i="29"/>
  <c r="T182" i="29"/>
  <c r="N18" i="29"/>
  <c r="N15" i="28"/>
  <c r="N18" i="28"/>
  <c r="O189" i="27"/>
  <c r="N18" i="27"/>
  <c r="H15" i="26"/>
  <c r="S189" i="27"/>
  <c r="W189" i="27"/>
  <c r="O188" i="27"/>
  <c r="S188" i="27"/>
  <c r="W188" i="27"/>
  <c r="Q23" i="27"/>
  <c r="W198" i="27"/>
  <c r="U23" i="27"/>
  <c r="Y23" i="27"/>
  <c r="Y198" i="27"/>
  <c r="R23" i="27"/>
  <c r="V23" i="27"/>
  <c r="Z23" i="27"/>
  <c r="Z198" i="27"/>
  <c r="N17" i="27"/>
  <c r="U191" i="29"/>
  <c r="Z191" i="29"/>
  <c r="Q191" i="29"/>
  <c r="W191" i="29"/>
  <c r="X191" i="29"/>
  <c r="R191" i="29"/>
  <c r="S191" i="29"/>
  <c r="V191" i="29"/>
  <c r="Y191" i="29"/>
  <c r="O191" i="29"/>
  <c r="P191" i="29"/>
  <c r="T191" i="29"/>
  <c r="N23" i="27"/>
  <c r="H14" i="26"/>
  <c r="P198" i="27"/>
  <c r="U198" i="27"/>
  <c r="V198" i="27"/>
  <c r="Q198" i="27"/>
  <c r="X198" i="27"/>
  <c r="S198" i="27"/>
  <c r="R198" i="27"/>
  <c r="T198" i="27"/>
  <c r="O198" i="27"/>
  <c r="N142" i="25"/>
  <c r="C139" i="25"/>
  <c r="C138" i="25"/>
  <c r="C137" i="25"/>
  <c r="M134" i="25"/>
  <c r="N132" i="25"/>
  <c r="N131" i="25"/>
  <c r="N130" i="25"/>
  <c r="N129" i="25"/>
  <c r="A127" i="25"/>
  <c r="M126" i="25"/>
  <c r="N125" i="25"/>
  <c r="N124" i="25"/>
  <c r="N122" i="25"/>
  <c r="N121" i="25"/>
  <c r="N120" i="25"/>
  <c r="N119" i="25"/>
  <c r="N118" i="25"/>
  <c r="N117" i="25"/>
  <c r="N116" i="25"/>
  <c r="A114" i="25"/>
  <c r="M113" i="25"/>
  <c r="A98" i="25"/>
  <c r="M97" i="25"/>
  <c r="N96" i="25"/>
  <c r="N95" i="25"/>
  <c r="N94" i="25"/>
  <c r="N93" i="25"/>
  <c r="N92" i="25"/>
  <c r="A89" i="25"/>
  <c r="M88" i="25"/>
  <c r="N87" i="25"/>
  <c r="N85" i="25"/>
  <c r="N84" i="25"/>
  <c r="N83" i="25"/>
  <c r="N82" i="25"/>
  <c r="A80" i="25"/>
  <c r="M79" i="25"/>
  <c r="M17" i="25"/>
  <c r="N78" i="25"/>
  <c r="N76" i="25"/>
  <c r="A74" i="25"/>
  <c r="A67" i="25"/>
  <c r="A57" i="25"/>
  <c r="A44" i="25"/>
  <c r="A37" i="25"/>
  <c r="A31" i="25"/>
  <c r="A27" i="25"/>
  <c r="M22" i="25"/>
  <c r="G19" i="24"/>
  <c r="M20" i="25"/>
  <c r="G17" i="24"/>
  <c r="M18" i="25"/>
  <c r="F20" i="24"/>
  <c r="E19" i="24"/>
  <c r="D19" i="24"/>
  <c r="C19" i="24"/>
  <c r="B19" i="24"/>
  <c r="A19" i="24"/>
  <c r="E18" i="24"/>
  <c r="D18" i="24"/>
  <c r="C18" i="24"/>
  <c r="B18" i="24"/>
  <c r="A18" i="24"/>
  <c r="E17" i="24"/>
  <c r="D17" i="24"/>
  <c r="C17" i="24"/>
  <c r="B17" i="24"/>
  <c r="A17" i="24"/>
  <c r="T16" i="24"/>
  <c r="S16" i="24"/>
  <c r="R16" i="24"/>
  <c r="Q16" i="24"/>
  <c r="P16" i="24"/>
  <c r="O16" i="24"/>
  <c r="N16" i="24"/>
  <c r="M16" i="24"/>
  <c r="L16" i="24"/>
  <c r="K16" i="24"/>
  <c r="J16" i="24"/>
  <c r="I16" i="24"/>
  <c r="G16" i="24"/>
  <c r="F16" i="24"/>
  <c r="E16" i="24"/>
  <c r="D16" i="24"/>
  <c r="C16" i="24"/>
  <c r="B16" i="24"/>
  <c r="A16" i="24"/>
  <c r="T15" i="24"/>
  <c r="S15" i="24"/>
  <c r="R15" i="24"/>
  <c r="Q15" i="24"/>
  <c r="P15" i="24"/>
  <c r="O15" i="24"/>
  <c r="N15" i="24"/>
  <c r="M15" i="24"/>
  <c r="L15" i="24"/>
  <c r="K15" i="24"/>
  <c r="J15" i="24"/>
  <c r="I15" i="24"/>
  <c r="G15" i="24"/>
  <c r="F15" i="24"/>
  <c r="E15" i="24"/>
  <c r="D15" i="24"/>
  <c r="C15" i="24"/>
  <c r="B15" i="24"/>
  <c r="A15" i="24"/>
  <c r="T14" i="24"/>
  <c r="T20" i="24"/>
  <c r="S14" i="24"/>
  <c r="S20" i="24"/>
  <c r="R14" i="24"/>
  <c r="R20" i="24"/>
  <c r="Q14" i="24"/>
  <c r="Q20" i="24"/>
  <c r="P14" i="24"/>
  <c r="P20" i="24"/>
  <c r="O14" i="24"/>
  <c r="O20" i="24"/>
  <c r="N14" i="24"/>
  <c r="N20" i="24"/>
  <c r="M14" i="24"/>
  <c r="M20" i="24"/>
  <c r="L14" i="24"/>
  <c r="L20" i="24"/>
  <c r="K14" i="24"/>
  <c r="K20" i="24"/>
  <c r="J14" i="24"/>
  <c r="J20" i="24"/>
  <c r="I14" i="24"/>
  <c r="I20" i="24"/>
  <c r="F14" i="24"/>
  <c r="E14" i="24"/>
  <c r="D14" i="24"/>
  <c r="C14" i="24"/>
  <c r="B14" i="24"/>
  <c r="A14" i="24"/>
  <c r="B9" i="24"/>
  <c r="D7" i="24"/>
  <c r="B5" i="24"/>
  <c r="N126" i="25"/>
  <c r="N91" i="25"/>
  <c r="N97" i="25"/>
  <c r="N77" i="25"/>
  <c r="N79" i="25"/>
  <c r="Z140" i="23"/>
  <c r="Y140" i="23"/>
  <c r="X140" i="23"/>
  <c r="W140" i="23"/>
  <c r="V140" i="23"/>
  <c r="U140" i="23"/>
  <c r="T140" i="23"/>
  <c r="S140" i="23"/>
  <c r="R140" i="23"/>
  <c r="Q140" i="23"/>
  <c r="P140" i="23"/>
  <c r="O140" i="23"/>
  <c r="D140" i="23"/>
  <c r="C140" i="23"/>
  <c r="A140" i="23"/>
  <c r="D139" i="23"/>
  <c r="C139" i="23"/>
  <c r="A139" i="23"/>
  <c r="Z138" i="23"/>
  <c r="Y138" i="23"/>
  <c r="X138" i="23"/>
  <c r="W138" i="23"/>
  <c r="V138" i="23"/>
  <c r="U138" i="23"/>
  <c r="T138" i="23"/>
  <c r="S138" i="23"/>
  <c r="R138" i="23"/>
  <c r="Q138" i="23"/>
  <c r="P138" i="23"/>
  <c r="O138" i="23"/>
  <c r="D138" i="23"/>
  <c r="C138" i="23"/>
  <c r="A138" i="23"/>
  <c r="Z137" i="23"/>
  <c r="Y137" i="23"/>
  <c r="X137" i="23"/>
  <c r="W137" i="23"/>
  <c r="V137" i="23"/>
  <c r="U137" i="23"/>
  <c r="T137" i="23"/>
  <c r="S137" i="23"/>
  <c r="R137" i="23"/>
  <c r="Q137" i="23"/>
  <c r="P137" i="23"/>
  <c r="O137" i="23"/>
  <c r="D137" i="23"/>
  <c r="C137" i="23"/>
  <c r="A137" i="23"/>
  <c r="Z136" i="23"/>
  <c r="Y136" i="23"/>
  <c r="X136" i="23"/>
  <c r="W136" i="23"/>
  <c r="V136" i="23"/>
  <c r="U136" i="23"/>
  <c r="T136" i="23"/>
  <c r="S136" i="23"/>
  <c r="R136" i="23"/>
  <c r="Q136" i="23"/>
  <c r="P136" i="23"/>
  <c r="O136" i="23"/>
  <c r="D136" i="23"/>
  <c r="C136" i="23"/>
  <c r="A136" i="23"/>
  <c r="D135" i="23"/>
  <c r="C135" i="23"/>
  <c r="A135" i="23"/>
  <c r="Z134" i="23"/>
  <c r="Y134" i="23"/>
  <c r="X134" i="23"/>
  <c r="W134" i="23"/>
  <c r="V134" i="23"/>
  <c r="U134" i="23"/>
  <c r="T134" i="23"/>
  <c r="S134" i="23"/>
  <c r="R134" i="23"/>
  <c r="Q134" i="23"/>
  <c r="P134" i="23"/>
  <c r="O134" i="23"/>
  <c r="D134" i="23"/>
  <c r="C134" i="23"/>
  <c r="A134" i="23"/>
  <c r="D133" i="23"/>
  <c r="C133" i="23"/>
  <c r="A133" i="23"/>
  <c r="D132" i="23"/>
  <c r="C132" i="23"/>
  <c r="A132" i="23"/>
  <c r="D131" i="23"/>
  <c r="C131" i="23"/>
  <c r="A131" i="23"/>
  <c r="A127" i="23"/>
  <c r="M126" i="23"/>
  <c r="L126" i="23"/>
  <c r="A123" i="23"/>
  <c r="Z122" i="23"/>
  <c r="Y122" i="23"/>
  <c r="X122" i="23"/>
  <c r="W122" i="23"/>
  <c r="V122" i="23"/>
  <c r="U122" i="23"/>
  <c r="T122" i="23"/>
  <c r="S122" i="23"/>
  <c r="R122" i="23"/>
  <c r="Q122" i="23"/>
  <c r="P122" i="23"/>
  <c r="O122" i="23"/>
  <c r="M122" i="23"/>
  <c r="L122" i="23"/>
  <c r="N122" i="23"/>
  <c r="M121" i="23"/>
  <c r="L121" i="23"/>
  <c r="A114" i="23"/>
  <c r="M113" i="23"/>
  <c r="L113" i="23"/>
  <c r="N112" i="23"/>
  <c r="N111" i="23"/>
  <c r="N113" i="23"/>
  <c r="N21" i="23"/>
  <c r="A109" i="23"/>
  <c r="O108" i="23"/>
  <c r="M108" i="23"/>
  <c r="L108" i="23"/>
  <c r="A103" i="23"/>
  <c r="M102" i="23"/>
  <c r="A89" i="23"/>
  <c r="M88" i="23"/>
  <c r="L88" i="23"/>
  <c r="A81" i="23"/>
  <c r="A73" i="23"/>
  <c r="A67" i="23"/>
  <c r="A61" i="23"/>
  <c r="A55" i="23"/>
  <c r="A49" i="23"/>
  <c r="A43" i="23"/>
  <c r="A37" i="23"/>
  <c r="A34" i="23"/>
  <c r="A30" i="23"/>
  <c r="A26" i="23"/>
  <c r="M18" i="23"/>
  <c r="G15" i="22"/>
  <c r="M17" i="23"/>
  <c r="B7" i="22"/>
  <c r="F18" i="22"/>
  <c r="G17" i="22"/>
  <c r="F17" i="22"/>
  <c r="E17" i="22"/>
  <c r="C17" i="22"/>
  <c r="B17" i="22"/>
  <c r="E16" i="22"/>
  <c r="C16" i="22"/>
  <c r="B16" i="22"/>
  <c r="T15" i="22"/>
  <c r="S15" i="22"/>
  <c r="R15" i="22"/>
  <c r="Q15" i="22"/>
  <c r="P15" i="22"/>
  <c r="O15" i="22"/>
  <c r="N15" i="22"/>
  <c r="M15" i="22"/>
  <c r="L15" i="22"/>
  <c r="K15" i="22"/>
  <c r="J15" i="22"/>
  <c r="I15" i="22"/>
  <c r="F15" i="22"/>
  <c r="E15" i="22"/>
  <c r="D15" i="22"/>
  <c r="C15" i="22"/>
  <c r="B15" i="22"/>
  <c r="T14" i="22"/>
  <c r="T18" i="22"/>
  <c r="S14" i="22"/>
  <c r="S18" i="22"/>
  <c r="R14" i="22"/>
  <c r="R18" i="22"/>
  <c r="Q14" i="22"/>
  <c r="Q18" i="22"/>
  <c r="P14" i="22"/>
  <c r="P18" i="22"/>
  <c r="O14" i="22"/>
  <c r="O18" i="22"/>
  <c r="N14" i="22"/>
  <c r="N18" i="22"/>
  <c r="M14" i="22"/>
  <c r="M18" i="22"/>
  <c r="L14" i="22"/>
  <c r="L18" i="22"/>
  <c r="K14" i="22"/>
  <c r="K18" i="22"/>
  <c r="J14" i="22"/>
  <c r="J18" i="22"/>
  <c r="I14" i="22"/>
  <c r="I18" i="22"/>
  <c r="G14" i="22"/>
  <c r="F14" i="22"/>
  <c r="E14" i="22"/>
  <c r="D14" i="22"/>
  <c r="C14" i="22"/>
  <c r="B14" i="22"/>
  <c r="B9" i="22"/>
  <c r="D7" i="22"/>
  <c r="B5" i="22"/>
  <c r="N144" i="19"/>
  <c r="D143" i="19"/>
  <c r="C143" i="19"/>
  <c r="A143" i="19"/>
  <c r="D142" i="19"/>
  <c r="C142" i="19"/>
  <c r="A142" i="19"/>
  <c r="D141" i="19"/>
  <c r="C141" i="19"/>
  <c r="A141" i="19"/>
  <c r="A137" i="19"/>
  <c r="Z136" i="19"/>
  <c r="Y136" i="19"/>
  <c r="X136" i="19"/>
  <c r="W136" i="19"/>
  <c r="V136" i="19"/>
  <c r="U136" i="19"/>
  <c r="T136" i="19"/>
  <c r="S136" i="19"/>
  <c r="R136" i="19"/>
  <c r="Q136" i="19"/>
  <c r="P136" i="19"/>
  <c r="O136" i="19"/>
  <c r="M136" i="19"/>
  <c r="L136" i="19"/>
  <c r="N135" i="19"/>
  <c r="N134" i="19"/>
  <c r="N133" i="19"/>
  <c r="N132" i="19"/>
  <c r="N136" i="19"/>
  <c r="A130" i="19"/>
  <c r="Z129" i="19"/>
  <c r="Y129" i="19"/>
  <c r="X129" i="19"/>
  <c r="W129" i="19"/>
  <c r="V129" i="19"/>
  <c r="U129" i="19"/>
  <c r="T129" i="19"/>
  <c r="S129" i="19"/>
  <c r="R129" i="19"/>
  <c r="Q129" i="19"/>
  <c r="P129" i="19"/>
  <c r="O129" i="19"/>
  <c r="M129" i="19"/>
  <c r="L129" i="19"/>
  <c r="N128" i="19"/>
  <c r="N127" i="19"/>
  <c r="N126" i="19"/>
  <c r="N125" i="19"/>
  <c r="N129" i="19"/>
  <c r="A123" i="19"/>
  <c r="Z122" i="19"/>
  <c r="Y122" i="19"/>
  <c r="X122" i="19"/>
  <c r="W122" i="19"/>
  <c r="V122" i="19"/>
  <c r="U122" i="19"/>
  <c r="T122" i="19"/>
  <c r="S122" i="19"/>
  <c r="R122" i="19"/>
  <c r="Q122" i="19"/>
  <c r="P122" i="19"/>
  <c r="O122" i="19"/>
  <c r="M122" i="19"/>
  <c r="L122" i="19"/>
  <c r="N121" i="19"/>
  <c r="N120" i="19"/>
  <c r="N119" i="19"/>
  <c r="N118" i="19"/>
  <c r="N122" i="19"/>
  <c r="A116" i="19"/>
  <c r="Z115" i="19"/>
  <c r="Y115" i="19"/>
  <c r="X115" i="19"/>
  <c r="W115" i="19"/>
  <c r="V115" i="19"/>
  <c r="U115" i="19"/>
  <c r="T115" i="19"/>
  <c r="S115" i="19"/>
  <c r="R115" i="19"/>
  <c r="Q115" i="19"/>
  <c r="P115" i="19"/>
  <c r="O115" i="19"/>
  <c r="M115" i="19"/>
  <c r="L115" i="19"/>
  <c r="N114" i="19"/>
  <c r="N113" i="19"/>
  <c r="N112" i="19"/>
  <c r="N111" i="19"/>
  <c r="N115" i="19"/>
  <c r="A109" i="19"/>
  <c r="Z108" i="19"/>
  <c r="Y108" i="19"/>
  <c r="X108" i="19"/>
  <c r="W108" i="19"/>
  <c r="V108" i="19"/>
  <c r="U108" i="19"/>
  <c r="T108" i="19"/>
  <c r="S108" i="19"/>
  <c r="R108" i="19"/>
  <c r="Q108" i="19"/>
  <c r="P108" i="19"/>
  <c r="O108" i="19"/>
  <c r="M108" i="19"/>
  <c r="L108" i="19"/>
  <c r="N107" i="19"/>
  <c r="N106" i="19"/>
  <c r="N105" i="19"/>
  <c r="N104" i="19"/>
  <c r="N108" i="19"/>
  <c r="A102" i="19"/>
  <c r="Z101" i="19"/>
  <c r="Y101" i="19"/>
  <c r="X101" i="19"/>
  <c r="X19" i="19"/>
  <c r="W101" i="19"/>
  <c r="V101" i="19"/>
  <c r="U101" i="19"/>
  <c r="T101" i="19"/>
  <c r="T19" i="19"/>
  <c r="S101" i="19"/>
  <c r="R101" i="19"/>
  <c r="Q101" i="19"/>
  <c r="P101" i="19"/>
  <c r="P19" i="19"/>
  <c r="O101" i="19"/>
  <c r="M101" i="19"/>
  <c r="L101" i="19"/>
  <c r="N100" i="19"/>
  <c r="N101" i="19"/>
  <c r="N19" i="19"/>
  <c r="H16" i="18"/>
  <c r="A97" i="19"/>
  <c r="X96" i="19"/>
  <c r="W96" i="19"/>
  <c r="W18" i="19" s="1"/>
  <c r="W22" i="19" s="1"/>
  <c r="V96" i="19"/>
  <c r="V18" i="19"/>
  <c r="U96" i="19"/>
  <c r="U18" i="19"/>
  <c r="U22" i="19" s="1"/>
  <c r="T96" i="19"/>
  <c r="S96" i="19"/>
  <c r="S18" i="19" s="1"/>
  <c r="S22" i="19" s="1"/>
  <c r="R96" i="19"/>
  <c r="R18" i="19" s="1"/>
  <c r="R22" i="19" s="1"/>
  <c r="R82" i="19"/>
  <c r="R17" i="19"/>
  <c r="Q96" i="19"/>
  <c r="Q18" i="19" s="1"/>
  <c r="P96" i="19"/>
  <c r="P18" i="19"/>
  <c r="P82" i="19"/>
  <c r="P17" i="19"/>
  <c r="P22" i="19"/>
  <c r="O96" i="19"/>
  <c r="O18" i="19"/>
  <c r="M96" i="19"/>
  <c r="L96" i="19"/>
  <c r="N92" i="19"/>
  <c r="N91" i="19"/>
  <c r="N89" i="19"/>
  <c r="N88" i="19"/>
  <c r="N87" i="19"/>
  <c r="N86" i="19"/>
  <c r="A83" i="19"/>
  <c r="Z82" i="19"/>
  <c r="Z17" i="19"/>
  <c r="Y82" i="19"/>
  <c r="Y17" i="19"/>
  <c r="X82" i="19"/>
  <c r="X17" i="19"/>
  <c r="W82" i="19"/>
  <c r="W17" i="19"/>
  <c r="V82" i="19"/>
  <c r="V17" i="19"/>
  <c r="U82" i="19"/>
  <c r="T82" i="19"/>
  <c r="T17" i="19"/>
  <c r="S82" i="19"/>
  <c r="S17" i="19"/>
  <c r="Q82" i="19"/>
  <c r="Q17" i="19"/>
  <c r="O82" i="19"/>
  <c r="O17" i="19"/>
  <c r="M82" i="19"/>
  <c r="L82" i="19"/>
  <c r="N80" i="19"/>
  <c r="N77" i="19"/>
  <c r="A73" i="19"/>
  <c r="A65" i="19"/>
  <c r="A59" i="19"/>
  <c r="A53" i="19"/>
  <c r="A47" i="19"/>
  <c r="A41" i="19"/>
  <c r="A35" i="19"/>
  <c r="A32" i="19"/>
  <c r="A29" i="19"/>
  <c r="A26" i="19"/>
  <c r="Z19" i="19"/>
  <c r="Y19" i="19"/>
  <c r="W19" i="19"/>
  <c r="V19" i="19"/>
  <c r="U19" i="19"/>
  <c r="S19" i="19"/>
  <c r="R19" i="19"/>
  <c r="Q19" i="19"/>
  <c r="O19" i="19"/>
  <c r="M19" i="19"/>
  <c r="G16" i="18"/>
  <c r="X18" i="19"/>
  <c r="T18" i="19"/>
  <c r="T22" i="19" s="1"/>
  <c r="M18" i="19"/>
  <c r="U17" i="19"/>
  <c r="M17" i="19"/>
  <c r="M22" i="19"/>
  <c r="D7" i="18"/>
  <c r="O32" i="18"/>
  <c r="F32" i="18"/>
  <c r="T16" i="18"/>
  <c r="S16" i="18"/>
  <c r="R16" i="18"/>
  <c r="Q16" i="18"/>
  <c r="P16" i="18"/>
  <c r="O16" i="18"/>
  <c r="N16" i="18"/>
  <c r="M16" i="18"/>
  <c r="L16" i="18"/>
  <c r="K16" i="18"/>
  <c r="J16" i="18"/>
  <c r="I16" i="18"/>
  <c r="F16" i="18"/>
  <c r="E16" i="18"/>
  <c r="A16" i="18"/>
  <c r="T15" i="18"/>
  <c r="S15" i="18"/>
  <c r="R15" i="18"/>
  <c r="Q15" i="18"/>
  <c r="P15" i="18"/>
  <c r="O15" i="18"/>
  <c r="N15" i="18"/>
  <c r="M15" i="18"/>
  <c r="L15" i="18"/>
  <c r="K15" i="18"/>
  <c r="J15" i="18"/>
  <c r="I15" i="18"/>
  <c r="G15" i="18"/>
  <c r="F15" i="18"/>
  <c r="E15" i="18"/>
  <c r="A15" i="18"/>
  <c r="T14" i="18"/>
  <c r="T32" i="18"/>
  <c r="S14" i="18"/>
  <c r="S32" i="18"/>
  <c r="R14" i="18"/>
  <c r="R32" i="18"/>
  <c r="Q14" i="18"/>
  <c r="Q32" i="18"/>
  <c r="P14" i="18"/>
  <c r="P32" i="18"/>
  <c r="O14" i="18"/>
  <c r="N14" i="18"/>
  <c r="N32" i="18"/>
  <c r="M14" i="18"/>
  <c r="M32" i="18"/>
  <c r="L14" i="18"/>
  <c r="L32" i="18"/>
  <c r="K14" i="18"/>
  <c r="K32" i="18"/>
  <c r="J14" i="18"/>
  <c r="J32" i="18"/>
  <c r="I14" i="18"/>
  <c r="I32" i="18"/>
  <c r="F14" i="18"/>
  <c r="E14" i="18"/>
  <c r="A14" i="18"/>
  <c r="B9" i="18"/>
  <c r="B7" i="18"/>
  <c r="B18" i="17"/>
  <c r="B7" i="17"/>
  <c r="W143" i="19"/>
  <c r="S143" i="19"/>
  <c r="Y143" i="19"/>
  <c r="O143" i="19"/>
  <c r="U143" i="19"/>
  <c r="Q143" i="19"/>
  <c r="V143" i="19"/>
  <c r="P143" i="19"/>
  <c r="R143" i="19"/>
  <c r="Z143" i="19"/>
  <c r="T143" i="19"/>
  <c r="X143" i="19"/>
  <c r="G14" i="18"/>
  <c r="G32" i="18"/>
  <c r="H28" i="18"/>
  <c r="I45" i="17"/>
  <c r="I44" i="17"/>
  <c r="B52" i="17"/>
  <c r="B51" i="17"/>
  <c r="D19" i="10"/>
  <c r="C19" i="10"/>
  <c r="B18" i="10"/>
  <c r="B19" i="10"/>
  <c r="B20" i="10"/>
  <c r="B21" i="10"/>
  <c r="B22" i="10"/>
  <c r="H17" i="10"/>
  <c r="H21" i="10"/>
  <c r="H22" i="10"/>
  <c r="N98" i="16"/>
  <c r="H20" i="10"/>
  <c r="E22" i="10"/>
  <c r="E21" i="10"/>
  <c r="E20" i="10"/>
  <c r="D22" i="10"/>
  <c r="D21" i="10"/>
  <c r="D20" i="10"/>
  <c r="C21" i="10"/>
  <c r="C22" i="10"/>
  <c r="C20" i="10"/>
  <c r="E18" i="10"/>
  <c r="D18" i="10"/>
  <c r="C18" i="10"/>
  <c r="D17" i="10"/>
  <c r="C17" i="10"/>
  <c r="D15" i="10"/>
  <c r="D16" i="10"/>
  <c r="D14" i="10"/>
  <c r="N191" i="16"/>
  <c r="Z190" i="16"/>
  <c r="Y190" i="16"/>
  <c r="X190" i="16"/>
  <c r="W190" i="16"/>
  <c r="V190" i="16"/>
  <c r="U190" i="16"/>
  <c r="T190" i="16"/>
  <c r="S190" i="16"/>
  <c r="R190" i="16"/>
  <c r="Q190" i="16"/>
  <c r="P190" i="16"/>
  <c r="O190" i="16"/>
  <c r="D190" i="16"/>
  <c r="C190" i="16"/>
  <c r="A190" i="16"/>
  <c r="Z189" i="16"/>
  <c r="Y189" i="16"/>
  <c r="X189" i="16"/>
  <c r="W189" i="16"/>
  <c r="V189" i="16"/>
  <c r="U189" i="16"/>
  <c r="T189" i="16"/>
  <c r="S189" i="16"/>
  <c r="R189" i="16"/>
  <c r="Q189" i="16"/>
  <c r="P189" i="16"/>
  <c r="O189" i="16"/>
  <c r="D189" i="16"/>
  <c r="C189" i="16"/>
  <c r="A189" i="16"/>
  <c r="Z188" i="16"/>
  <c r="Y188" i="16"/>
  <c r="X188" i="16"/>
  <c r="W188" i="16"/>
  <c r="V188" i="16"/>
  <c r="U188" i="16"/>
  <c r="T188" i="16"/>
  <c r="S188" i="16"/>
  <c r="R188" i="16"/>
  <c r="Q188" i="16"/>
  <c r="P188" i="16"/>
  <c r="O188" i="16"/>
  <c r="D188" i="16"/>
  <c r="C188" i="16"/>
  <c r="A188" i="16"/>
  <c r="Z187" i="16"/>
  <c r="Y187" i="16"/>
  <c r="X187" i="16"/>
  <c r="W187" i="16"/>
  <c r="V187" i="16"/>
  <c r="U187" i="16"/>
  <c r="T187" i="16"/>
  <c r="S187" i="16"/>
  <c r="R187" i="16"/>
  <c r="Q187" i="16"/>
  <c r="P187" i="16"/>
  <c r="O187" i="16"/>
  <c r="D187" i="16"/>
  <c r="C187" i="16"/>
  <c r="A187" i="16"/>
  <c r="Z186" i="16"/>
  <c r="Y186" i="16"/>
  <c r="X186" i="16"/>
  <c r="W186" i="16"/>
  <c r="V186" i="16"/>
  <c r="U186" i="16"/>
  <c r="T186" i="16"/>
  <c r="S186" i="16"/>
  <c r="R186" i="16"/>
  <c r="Q186" i="16"/>
  <c r="P186" i="16"/>
  <c r="O186" i="16"/>
  <c r="D186" i="16"/>
  <c r="C186" i="16"/>
  <c r="A186" i="16"/>
  <c r="Z185" i="16"/>
  <c r="Y185" i="16"/>
  <c r="X185" i="16"/>
  <c r="W185" i="16"/>
  <c r="V185" i="16"/>
  <c r="U185" i="16"/>
  <c r="T185" i="16"/>
  <c r="S185" i="16"/>
  <c r="R185" i="16"/>
  <c r="Q185" i="16"/>
  <c r="P185" i="16"/>
  <c r="O185" i="16"/>
  <c r="D185" i="16"/>
  <c r="C185" i="16"/>
  <c r="A185" i="16"/>
  <c r="Z184" i="16"/>
  <c r="Y184" i="16"/>
  <c r="X184" i="16"/>
  <c r="W184" i="16"/>
  <c r="V184" i="16"/>
  <c r="U184" i="16"/>
  <c r="T184" i="16"/>
  <c r="S184" i="16"/>
  <c r="R184" i="16"/>
  <c r="Q184" i="16"/>
  <c r="P184" i="16"/>
  <c r="O184" i="16"/>
  <c r="D184" i="16"/>
  <c r="C184" i="16"/>
  <c r="A184" i="16"/>
  <c r="D183" i="16"/>
  <c r="C183" i="16"/>
  <c r="A183" i="16"/>
  <c r="D182" i="16"/>
  <c r="C182" i="16"/>
  <c r="A182" i="16"/>
  <c r="D181" i="16"/>
  <c r="C181" i="16"/>
  <c r="A181" i="16"/>
  <c r="A177" i="16"/>
  <c r="N176" i="16"/>
  <c r="M176" i="16"/>
  <c r="L176" i="16"/>
  <c r="N175" i="16"/>
  <c r="N174" i="16"/>
  <c r="N173" i="16"/>
  <c r="N172" i="16"/>
  <c r="A170" i="16"/>
  <c r="N169" i="16"/>
  <c r="M169" i="16"/>
  <c r="L169" i="16"/>
  <c r="N168" i="16"/>
  <c r="N167" i="16"/>
  <c r="N166" i="16"/>
  <c r="N165" i="16"/>
  <c r="A163" i="16"/>
  <c r="N162" i="16"/>
  <c r="M162" i="16"/>
  <c r="L162" i="16"/>
  <c r="N161" i="16"/>
  <c r="N160" i="16"/>
  <c r="N159" i="16"/>
  <c r="N158" i="16"/>
  <c r="A156" i="16"/>
  <c r="N155" i="16"/>
  <c r="M155" i="16"/>
  <c r="L155" i="16"/>
  <c r="N154" i="16"/>
  <c r="N153" i="16"/>
  <c r="N152" i="16"/>
  <c r="N151" i="16"/>
  <c r="A149" i="16"/>
  <c r="N148" i="16"/>
  <c r="M148" i="16"/>
  <c r="L148" i="16"/>
  <c r="N147" i="16"/>
  <c r="N146" i="16"/>
  <c r="N145" i="16"/>
  <c r="N144" i="16"/>
  <c r="A142" i="16"/>
  <c r="N141" i="16"/>
  <c r="M141" i="16"/>
  <c r="L141" i="16"/>
  <c r="N140" i="16"/>
  <c r="N139" i="16"/>
  <c r="N138" i="16"/>
  <c r="N137" i="16"/>
  <c r="A135" i="16"/>
  <c r="Z134" i="16"/>
  <c r="Y134" i="16"/>
  <c r="X134" i="16"/>
  <c r="W134" i="16"/>
  <c r="W183" i="16"/>
  <c r="V134" i="16"/>
  <c r="U134" i="16"/>
  <c r="T134" i="16"/>
  <c r="S134" i="16"/>
  <c r="S183" i="16"/>
  <c r="R134" i="16"/>
  <c r="Q134" i="16"/>
  <c r="P134" i="16"/>
  <c r="O134" i="16"/>
  <c r="O183" i="16"/>
  <c r="M134" i="16"/>
  <c r="L134" i="16"/>
  <c r="N134" i="16"/>
  <c r="A119" i="16"/>
  <c r="Z118" i="16"/>
  <c r="Y118" i="16"/>
  <c r="X118" i="16"/>
  <c r="W118" i="16"/>
  <c r="V118" i="16"/>
  <c r="U118" i="16"/>
  <c r="T118" i="16"/>
  <c r="S118" i="16"/>
  <c r="R118" i="16"/>
  <c r="R182" i="16"/>
  <c r="Q118" i="16"/>
  <c r="P118" i="16"/>
  <c r="O118" i="16"/>
  <c r="M118" i="16"/>
  <c r="L118" i="16"/>
  <c r="N118" i="16"/>
  <c r="A104" i="16"/>
  <c r="M103" i="16"/>
  <c r="L103" i="16"/>
  <c r="N102" i="16"/>
  <c r="N101" i="16"/>
  <c r="N100" i="16"/>
  <c r="N99" i="16"/>
  <c r="N97" i="16"/>
  <c r="N96" i="16"/>
  <c r="N95" i="16"/>
  <c r="A93" i="16"/>
  <c r="A31" i="16"/>
  <c r="X183" i="16"/>
  <c r="R183" i="16"/>
  <c r="Y182" i="16"/>
  <c r="W182" i="16"/>
  <c r="U182" i="16"/>
  <c r="S182" i="16"/>
  <c r="Q182" i="16"/>
  <c r="O182" i="16"/>
  <c r="M17" i="16"/>
  <c r="M27" i="16"/>
  <c r="D10" i="16"/>
  <c r="B10" i="16"/>
  <c r="N115" i="15"/>
  <c r="N98" i="15"/>
  <c r="N99" i="15"/>
  <c r="N100" i="15"/>
  <c r="N101" i="15"/>
  <c r="N102" i="15"/>
  <c r="N103" i="15"/>
  <c r="N104" i="15"/>
  <c r="N105" i="15"/>
  <c r="N106" i="15"/>
  <c r="N107" i="15"/>
  <c r="N108" i="15"/>
  <c r="N109" i="15"/>
  <c r="N110" i="15"/>
  <c r="N111" i="15"/>
  <c r="N112" i="15"/>
  <c r="N113" i="15"/>
  <c r="N114" i="15"/>
  <c r="W181" i="16"/>
  <c r="U181" i="16"/>
  <c r="Y181" i="16"/>
  <c r="N103" i="16"/>
  <c r="X181" i="16"/>
  <c r="T181" i="16"/>
  <c r="R181" i="16"/>
  <c r="Z181" i="16"/>
  <c r="M42" i="56"/>
  <c r="P181" i="16"/>
  <c r="E42" i="56"/>
  <c r="V181" i="16"/>
  <c r="I42" i="56"/>
  <c r="T183" i="16"/>
  <c r="Y183" i="16"/>
  <c r="V182" i="16"/>
  <c r="Z182" i="16"/>
  <c r="P183" i="16"/>
  <c r="U183" i="16"/>
  <c r="Z183" i="16"/>
  <c r="Q183" i="16"/>
  <c r="V183" i="16"/>
  <c r="O181" i="16"/>
  <c r="X182" i="16"/>
  <c r="S181" i="16"/>
  <c r="P182" i="16"/>
  <c r="F42" i="56"/>
  <c r="J42" i="56"/>
  <c r="N42" i="56"/>
  <c r="Q181" i="16"/>
  <c r="H42" i="56"/>
  <c r="L42" i="56"/>
  <c r="T182" i="16"/>
  <c r="K42" i="56"/>
  <c r="O42" i="56"/>
  <c r="O41" i="56"/>
  <c r="W191" i="16"/>
  <c r="X191" i="16"/>
  <c r="P191" i="16"/>
  <c r="N209" i="15"/>
  <c r="Z208" i="15"/>
  <c r="Y208" i="15"/>
  <c r="X208" i="15"/>
  <c r="W208" i="15"/>
  <c r="V208" i="15"/>
  <c r="U208" i="15"/>
  <c r="T208" i="15"/>
  <c r="S208" i="15"/>
  <c r="R208" i="15"/>
  <c r="Q208" i="15"/>
  <c r="P208" i="15"/>
  <c r="O208" i="15"/>
  <c r="D208" i="15"/>
  <c r="C208" i="15"/>
  <c r="A208" i="15"/>
  <c r="Z207" i="15"/>
  <c r="Y207" i="15"/>
  <c r="X207" i="15"/>
  <c r="W207" i="15"/>
  <c r="V207" i="15"/>
  <c r="U207" i="15"/>
  <c r="T207" i="15"/>
  <c r="S207" i="15"/>
  <c r="R207" i="15"/>
  <c r="Q207" i="15"/>
  <c r="P207" i="15"/>
  <c r="O207" i="15"/>
  <c r="D207" i="15"/>
  <c r="C207" i="15"/>
  <c r="A207" i="15"/>
  <c r="Z206" i="15"/>
  <c r="Y206" i="15"/>
  <c r="X206" i="15"/>
  <c r="W206" i="15"/>
  <c r="V206" i="15"/>
  <c r="U206" i="15"/>
  <c r="T206" i="15"/>
  <c r="S206" i="15"/>
  <c r="R206" i="15"/>
  <c r="Q206" i="15"/>
  <c r="P206" i="15"/>
  <c r="O206" i="15"/>
  <c r="D206" i="15"/>
  <c r="C206" i="15"/>
  <c r="A206" i="15"/>
  <c r="Z205" i="15"/>
  <c r="Y205" i="15"/>
  <c r="X205" i="15"/>
  <c r="W205" i="15"/>
  <c r="V205" i="15"/>
  <c r="U205" i="15"/>
  <c r="T205" i="15"/>
  <c r="S205" i="15"/>
  <c r="R205" i="15"/>
  <c r="Q205" i="15"/>
  <c r="P205" i="15"/>
  <c r="O205" i="15"/>
  <c r="D205" i="15"/>
  <c r="C205" i="15"/>
  <c r="A205" i="15"/>
  <c r="Z204" i="15"/>
  <c r="Y204" i="15"/>
  <c r="X204" i="15"/>
  <c r="W204" i="15"/>
  <c r="V204" i="15"/>
  <c r="U204" i="15"/>
  <c r="T204" i="15"/>
  <c r="S204" i="15"/>
  <c r="R204" i="15"/>
  <c r="Q204" i="15"/>
  <c r="P204" i="15"/>
  <c r="O204" i="15"/>
  <c r="D204" i="15"/>
  <c r="C204" i="15"/>
  <c r="A204" i="15"/>
  <c r="Z203" i="15"/>
  <c r="Y203" i="15"/>
  <c r="X203" i="15"/>
  <c r="W203" i="15"/>
  <c r="V203" i="15"/>
  <c r="U203" i="15"/>
  <c r="T203" i="15"/>
  <c r="S203" i="15"/>
  <c r="R203" i="15"/>
  <c r="Q203" i="15"/>
  <c r="P203" i="15"/>
  <c r="O203" i="15"/>
  <c r="D203" i="15"/>
  <c r="C203" i="15"/>
  <c r="A203" i="15"/>
  <c r="Z202" i="15"/>
  <c r="Y202" i="15"/>
  <c r="X202" i="15"/>
  <c r="W202" i="15"/>
  <c r="V202" i="15"/>
  <c r="U202" i="15"/>
  <c r="T202" i="15"/>
  <c r="S202" i="15"/>
  <c r="R202" i="15"/>
  <c r="Q202" i="15"/>
  <c r="P202" i="15"/>
  <c r="O202" i="15"/>
  <c r="D202" i="15"/>
  <c r="C202" i="15"/>
  <c r="A202" i="15"/>
  <c r="D201" i="15"/>
  <c r="C201" i="15"/>
  <c r="A201" i="15"/>
  <c r="D200" i="15"/>
  <c r="C200" i="15"/>
  <c r="A200" i="15"/>
  <c r="D199" i="15"/>
  <c r="C199" i="15"/>
  <c r="A199" i="15"/>
  <c r="A195" i="15"/>
  <c r="N194" i="15"/>
  <c r="M194" i="15"/>
  <c r="L194" i="15"/>
  <c r="N193" i="15"/>
  <c r="N192" i="15"/>
  <c r="N191" i="15"/>
  <c r="N190" i="15"/>
  <c r="A188" i="15"/>
  <c r="N187" i="15"/>
  <c r="M187" i="15"/>
  <c r="L187" i="15"/>
  <c r="N186" i="15"/>
  <c r="N185" i="15"/>
  <c r="N184" i="15"/>
  <c r="N183" i="15"/>
  <c r="A181" i="15"/>
  <c r="N180" i="15"/>
  <c r="M180" i="15"/>
  <c r="L180" i="15"/>
  <c r="N179" i="15"/>
  <c r="N178" i="15"/>
  <c r="N177" i="15"/>
  <c r="N176" i="15"/>
  <c r="A174" i="15"/>
  <c r="N173" i="15"/>
  <c r="M173" i="15"/>
  <c r="L173" i="15"/>
  <c r="N172" i="15"/>
  <c r="N171" i="15"/>
  <c r="N170" i="15"/>
  <c r="N169" i="15"/>
  <c r="A167" i="15"/>
  <c r="N166" i="15"/>
  <c r="M166" i="15"/>
  <c r="L166" i="15"/>
  <c r="N165" i="15"/>
  <c r="N164" i="15"/>
  <c r="N163" i="15"/>
  <c r="N162" i="15"/>
  <c r="A160" i="15"/>
  <c r="N159" i="15"/>
  <c r="M159" i="15"/>
  <c r="L159" i="15"/>
  <c r="N158" i="15"/>
  <c r="N157" i="15"/>
  <c r="N156" i="15"/>
  <c r="N155" i="15"/>
  <c r="A153" i="15"/>
  <c r="Z152" i="15"/>
  <c r="Y152" i="15"/>
  <c r="X152" i="15"/>
  <c r="W152" i="15"/>
  <c r="W19" i="15"/>
  <c r="V152" i="15"/>
  <c r="U152" i="15"/>
  <c r="T152" i="15"/>
  <c r="S152" i="15"/>
  <c r="S19" i="15"/>
  <c r="R152" i="15"/>
  <c r="Q152" i="15"/>
  <c r="P152" i="15"/>
  <c r="O152" i="15"/>
  <c r="O19" i="15"/>
  <c r="M152" i="15"/>
  <c r="M19" i="15"/>
  <c r="L152" i="15"/>
  <c r="N143" i="15"/>
  <c r="N142" i="15"/>
  <c r="N141" i="15"/>
  <c r="N140" i="15"/>
  <c r="N139" i="15"/>
  <c r="A137" i="15"/>
  <c r="M136" i="15"/>
  <c r="L136" i="15"/>
  <c r="N128" i="15"/>
  <c r="N127" i="15"/>
  <c r="N126" i="15"/>
  <c r="N125" i="15"/>
  <c r="N124" i="15"/>
  <c r="A122" i="15"/>
  <c r="Z121" i="15"/>
  <c r="Y121" i="15"/>
  <c r="X121" i="15"/>
  <c r="X17" i="15"/>
  <c r="W121" i="15"/>
  <c r="W17" i="15"/>
  <c r="V121" i="15"/>
  <c r="U121" i="15"/>
  <c r="U17" i="15"/>
  <c r="T121" i="15"/>
  <c r="T17" i="15"/>
  <c r="S121" i="15"/>
  <c r="S17" i="15"/>
  <c r="R121" i="15"/>
  <c r="Q121" i="15"/>
  <c r="P121" i="15"/>
  <c r="O121" i="15"/>
  <c r="O17" i="15"/>
  <c r="M121" i="15"/>
  <c r="L121" i="15"/>
  <c r="N119" i="15"/>
  <c r="N118" i="15"/>
  <c r="N117" i="15"/>
  <c r="N116" i="15"/>
  <c r="N97" i="15"/>
  <c r="N96" i="15"/>
  <c r="N95" i="15"/>
  <c r="N94" i="15"/>
  <c r="A92" i="15"/>
  <c r="A84" i="15"/>
  <c r="A78" i="15"/>
  <c r="A72" i="15"/>
  <c r="A66" i="15"/>
  <c r="A60" i="15"/>
  <c r="A54" i="15"/>
  <c r="A48" i="15"/>
  <c r="A42" i="15"/>
  <c r="A36" i="15"/>
  <c r="A30" i="15"/>
  <c r="Z19" i="15"/>
  <c r="Y19" i="15"/>
  <c r="X19" i="15"/>
  <c r="V19" i="15"/>
  <c r="U19" i="15"/>
  <c r="T19" i="15"/>
  <c r="R19" i="15"/>
  <c r="P19" i="15"/>
  <c r="Q19" i="15"/>
  <c r="R201" i="15"/>
  <c r="M18" i="15"/>
  <c r="Z17" i="15"/>
  <c r="Y17" i="15"/>
  <c r="V17" i="15"/>
  <c r="R17" i="15"/>
  <c r="Q17" i="15"/>
  <c r="P17" i="15"/>
  <c r="M17" i="15"/>
  <c r="D10" i="15"/>
  <c r="B10" i="15"/>
  <c r="N191" i="14"/>
  <c r="Z190" i="14"/>
  <c r="Y190" i="14"/>
  <c r="X190" i="14"/>
  <c r="W190" i="14"/>
  <c r="V190" i="14"/>
  <c r="U190" i="14"/>
  <c r="T190" i="14"/>
  <c r="S190" i="14"/>
  <c r="R190" i="14"/>
  <c r="Q190" i="14"/>
  <c r="P190" i="14"/>
  <c r="O190" i="14"/>
  <c r="D190" i="14"/>
  <c r="C190" i="14"/>
  <c r="A190" i="14"/>
  <c r="Z189" i="14"/>
  <c r="Y189" i="14"/>
  <c r="X189" i="14"/>
  <c r="W189" i="14"/>
  <c r="V189" i="14"/>
  <c r="U189" i="14"/>
  <c r="T189" i="14"/>
  <c r="S189" i="14"/>
  <c r="R189" i="14"/>
  <c r="Q189" i="14"/>
  <c r="P189" i="14"/>
  <c r="O189" i="14"/>
  <c r="D189" i="14"/>
  <c r="C189" i="14"/>
  <c r="A189" i="14"/>
  <c r="Z188" i="14"/>
  <c r="Y188" i="14"/>
  <c r="X188" i="14"/>
  <c r="W188" i="14"/>
  <c r="V188" i="14"/>
  <c r="U188" i="14"/>
  <c r="T188" i="14"/>
  <c r="S188" i="14"/>
  <c r="R188" i="14"/>
  <c r="Q188" i="14"/>
  <c r="P188" i="14"/>
  <c r="O188" i="14"/>
  <c r="D188" i="14"/>
  <c r="C188" i="14"/>
  <c r="A188" i="14"/>
  <c r="Z187" i="14"/>
  <c r="Y187" i="14"/>
  <c r="X187" i="14"/>
  <c r="W187" i="14"/>
  <c r="V187" i="14"/>
  <c r="U187" i="14"/>
  <c r="T187" i="14"/>
  <c r="S187" i="14"/>
  <c r="R187" i="14"/>
  <c r="Q187" i="14"/>
  <c r="P187" i="14"/>
  <c r="O187" i="14"/>
  <c r="D187" i="14"/>
  <c r="C187" i="14"/>
  <c r="A187" i="14"/>
  <c r="Z186" i="14"/>
  <c r="Y186" i="14"/>
  <c r="X186" i="14"/>
  <c r="W186" i="14"/>
  <c r="V186" i="14"/>
  <c r="U186" i="14"/>
  <c r="T186" i="14"/>
  <c r="S186" i="14"/>
  <c r="R186" i="14"/>
  <c r="Q186" i="14"/>
  <c r="P186" i="14"/>
  <c r="O186" i="14"/>
  <c r="D186" i="14"/>
  <c r="C186" i="14"/>
  <c r="A186" i="14"/>
  <c r="Z185" i="14"/>
  <c r="Y185" i="14"/>
  <c r="X185" i="14"/>
  <c r="W185" i="14"/>
  <c r="V185" i="14"/>
  <c r="U185" i="14"/>
  <c r="T185" i="14"/>
  <c r="S185" i="14"/>
  <c r="R185" i="14"/>
  <c r="Q185" i="14"/>
  <c r="P185" i="14"/>
  <c r="O185" i="14"/>
  <c r="D185" i="14"/>
  <c r="C185" i="14"/>
  <c r="A185" i="14"/>
  <c r="Z184" i="14"/>
  <c r="Y184" i="14"/>
  <c r="X184" i="14"/>
  <c r="W184" i="14"/>
  <c r="V184" i="14"/>
  <c r="U184" i="14"/>
  <c r="T184" i="14"/>
  <c r="S184" i="14"/>
  <c r="R184" i="14"/>
  <c r="Q184" i="14"/>
  <c r="P184" i="14"/>
  <c r="O184" i="14"/>
  <c r="D184" i="14"/>
  <c r="C184" i="14"/>
  <c r="A184" i="14"/>
  <c r="D183" i="14"/>
  <c r="C183" i="14"/>
  <c r="A183" i="14"/>
  <c r="D182" i="14"/>
  <c r="C182" i="14"/>
  <c r="A182" i="14"/>
  <c r="D181" i="14"/>
  <c r="C181" i="14"/>
  <c r="A181" i="14"/>
  <c r="A177" i="14"/>
  <c r="N176" i="14"/>
  <c r="M176" i="14"/>
  <c r="L176" i="14"/>
  <c r="N175" i="14"/>
  <c r="N174" i="14"/>
  <c r="N173" i="14"/>
  <c r="N172" i="14"/>
  <c r="A170" i="14"/>
  <c r="N169" i="14"/>
  <c r="M169" i="14"/>
  <c r="L169" i="14"/>
  <c r="N168" i="14"/>
  <c r="N167" i="14"/>
  <c r="N166" i="14"/>
  <c r="N165" i="14"/>
  <c r="A163" i="14"/>
  <c r="N162" i="14"/>
  <c r="M162" i="14"/>
  <c r="L162" i="14"/>
  <c r="N161" i="14"/>
  <c r="N160" i="14"/>
  <c r="N159" i="14"/>
  <c r="N158" i="14"/>
  <c r="A156" i="14"/>
  <c r="N155" i="14"/>
  <c r="M155" i="14"/>
  <c r="L155" i="14"/>
  <c r="N154" i="14"/>
  <c r="N153" i="14"/>
  <c r="N152" i="14"/>
  <c r="N151" i="14"/>
  <c r="A149" i="14"/>
  <c r="N148" i="14"/>
  <c r="M148" i="14"/>
  <c r="L148" i="14"/>
  <c r="N147" i="14"/>
  <c r="N146" i="14"/>
  <c r="N145" i="14"/>
  <c r="N144" i="14"/>
  <c r="A142" i="14"/>
  <c r="N141" i="14"/>
  <c r="M141" i="14"/>
  <c r="L141" i="14"/>
  <c r="N140" i="14"/>
  <c r="N139" i="14"/>
  <c r="N138" i="14"/>
  <c r="N137" i="14"/>
  <c r="A135" i="14"/>
  <c r="Z134" i="14"/>
  <c r="Y134" i="14"/>
  <c r="X134" i="14"/>
  <c r="W134" i="14"/>
  <c r="V134" i="14"/>
  <c r="U134" i="14"/>
  <c r="T134" i="14"/>
  <c r="S134" i="14"/>
  <c r="S183" i="14"/>
  <c r="R134" i="14"/>
  <c r="Q134" i="14"/>
  <c r="P134" i="14"/>
  <c r="O134" i="14"/>
  <c r="O183" i="14"/>
  <c r="M134" i="14"/>
  <c r="L134" i="14"/>
  <c r="N134" i="14"/>
  <c r="A119" i="14"/>
  <c r="Z118" i="14"/>
  <c r="Y118" i="14"/>
  <c r="X118" i="14"/>
  <c r="W118" i="14"/>
  <c r="V118" i="14"/>
  <c r="U118" i="14"/>
  <c r="T118" i="14"/>
  <c r="S118" i="14"/>
  <c r="R118" i="14"/>
  <c r="R182" i="14"/>
  <c r="Q118" i="14"/>
  <c r="P118" i="14"/>
  <c r="O118" i="14"/>
  <c r="M118" i="14"/>
  <c r="L118" i="14"/>
  <c r="N118" i="14"/>
  <c r="A104" i="14"/>
  <c r="Z103" i="14"/>
  <c r="Y103" i="14"/>
  <c r="X103" i="14"/>
  <c r="X17" i="14"/>
  <c r="W103" i="14"/>
  <c r="W17" i="14"/>
  <c r="V103" i="14"/>
  <c r="U103" i="14"/>
  <c r="T103" i="14"/>
  <c r="T17" i="14"/>
  <c r="S103" i="14"/>
  <c r="S17" i="14"/>
  <c r="R103" i="14"/>
  <c r="Q103" i="14"/>
  <c r="P103" i="14"/>
  <c r="P17" i="14"/>
  <c r="O103" i="14"/>
  <c r="O17" i="14"/>
  <c r="M103" i="14"/>
  <c r="N102" i="14"/>
  <c r="N101" i="14"/>
  <c r="N100" i="14"/>
  <c r="N99" i="14"/>
  <c r="N98" i="14"/>
  <c r="N97" i="14"/>
  <c r="N96" i="14"/>
  <c r="N95" i="14"/>
  <c r="A93" i="14"/>
  <c r="A85" i="14"/>
  <c r="A79" i="14"/>
  <c r="A73" i="14"/>
  <c r="A67" i="14"/>
  <c r="A61" i="14"/>
  <c r="A55" i="14"/>
  <c r="A49" i="14"/>
  <c r="A43" i="14"/>
  <c r="A37" i="14"/>
  <c r="A31" i="14"/>
  <c r="X183" i="14"/>
  <c r="R183" i="14"/>
  <c r="Y182" i="14"/>
  <c r="W182" i="14"/>
  <c r="U182" i="14"/>
  <c r="S182" i="14"/>
  <c r="Q182" i="14"/>
  <c r="O182" i="14"/>
  <c r="Z17" i="14"/>
  <c r="Y17" i="14"/>
  <c r="V17" i="14"/>
  <c r="U17" i="14"/>
  <c r="R17" i="14"/>
  <c r="Q17" i="14"/>
  <c r="M17" i="14"/>
  <c r="D10" i="14"/>
  <c r="B10" i="14"/>
  <c r="N208" i="12"/>
  <c r="Z207" i="12"/>
  <c r="Y207" i="12"/>
  <c r="X207" i="12"/>
  <c r="W207" i="12"/>
  <c r="V207" i="12"/>
  <c r="U207" i="12"/>
  <c r="T207" i="12"/>
  <c r="S207" i="12"/>
  <c r="R207" i="12"/>
  <c r="Q207" i="12"/>
  <c r="P207" i="12"/>
  <c r="O207" i="12"/>
  <c r="D207" i="12"/>
  <c r="C207" i="12"/>
  <c r="A207" i="12"/>
  <c r="Z206" i="12"/>
  <c r="Y206" i="12"/>
  <c r="X206" i="12"/>
  <c r="W206" i="12"/>
  <c r="V206" i="12"/>
  <c r="U206" i="12"/>
  <c r="T206" i="12"/>
  <c r="S206" i="12"/>
  <c r="R206" i="12"/>
  <c r="Q206" i="12"/>
  <c r="P206" i="12"/>
  <c r="O206" i="12"/>
  <c r="D206" i="12"/>
  <c r="C206" i="12"/>
  <c r="A206" i="12"/>
  <c r="Z205" i="12"/>
  <c r="Y205" i="12"/>
  <c r="X205" i="12"/>
  <c r="W205" i="12"/>
  <c r="V205" i="12"/>
  <c r="U205" i="12"/>
  <c r="T205" i="12"/>
  <c r="S205" i="12"/>
  <c r="R205" i="12"/>
  <c r="Q205" i="12"/>
  <c r="P205" i="12"/>
  <c r="O205" i="12"/>
  <c r="D205" i="12"/>
  <c r="C205" i="12"/>
  <c r="A205" i="12"/>
  <c r="Z204" i="12"/>
  <c r="Y204" i="12"/>
  <c r="X204" i="12"/>
  <c r="W204" i="12"/>
  <c r="V204" i="12"/>
  <c r="U204" i="12"/>
  <c r="T204" i="12"/>
  <c r="S204" i="12"/>
  <c r="R204" i="12"/>
  <c r="Q204" i="12"/>
  <c r="P204" i="12"/>
  <c r="O204" i="12"/>
  <c r="D204" i="12"/>
  <c r="C204" i="12"/>
  <c r="A204" i="12"/>
  <c r="Z203" i="12"/>
  <c r="Y203" i="12"/>
  <c r="X203" i="12"/>
  <c r="W203" i="12"/>
  <c r="V203" i="12"/>
  <c r="U203" i="12"/>
  <c r="T203" i="12"/>
  <c r="S203" i="12"/>
  <c r="R203" i="12"/>
  <c r="Q203" i="12"/>
  <c r="P203" i="12"/>
  <c r="O203" i="12"/>
  <c r="D203" i="12"/>
  <c r="C203" i="12"/>
  <c r="A203" i="12"/>
  <c r="Z202" i="12"/>
  <c r="Y202" i="12"/>
  <c r="X202" i="12"/>
  <c r="W202" i="12"/>
  <c r="V202" i="12"/>
  <c r="U202" i="12"/>
  <c r="T202" i="12"/>
  <c r="S202" i="12"/>
  <c r="R202" i="12"/>
  <c r="Q202" i="12"/>
  <c r="P202" i="12"/>
  <c r="O202" i="12"/>
  <c r="D202" i="12"/>
  <c r="C202" i="12"/>
  <c r="A202" i="12"/>
  <c r="Z201" i="12"/>
  <c r="Y201" i="12"/>
  <c r="X201" i="12"/>
  <c r="W201" i="12"/>
  <c r="V201" i="12"/>
  <c r="U201" i="12"/>
  <c r="T201" i="12"/>
  <c r="S201" i="12"/>
  <c r="R201" i="12"/>
  <c r="Q201" i="12"/>
  <c r="P201" i="12"/>
  <c r="O201" i="12"/>
  <c r="D201" i="12"/>
  <c r="C201" i="12"/>
  <c r="A201" i="12"/>
  <c r="D200" i="12"/>
  <c r="C200" i="12"/>
  <c r="A200" i="12"/>
  <c r="D199" i="12"/>
  <c r="C199" i="12"/>
  <c r="A199" i="12"/>
  <c r="D198" i="12"/>
  <c r="C198" i="12"/>
  <c r="A198" i="12"/>
  <c r="A194" i="12"/>
  <c r="Z193" i="12"/>
  <c r="Y193" i="12"/>
  <c r="X193" i="12"/>
  <c r="W193" i="12"/>
  <c r="V193" i="12"/>
  <c r="U193" i="12"/>
  <c r="T193" i="12"/>
  <c r="S193" i="12"/>
  <c r="R193" i="12"/>
  <c r="Q193" i="12"/>
  <c r="P193" i="12"/>
  <c r="O193" i="12"/>
  <c r="M193" i="12"/>
  <c r="L193" i="12"/>
  <c r="N192" i="12"/>
  <c r="N191" i="12"/>
  <c r="N190" i="12"/>
  <c r="N189" i="12"/>
  <c r="A187" i="12"/>
  <c r="Z186" i="12"/>
  <c r="Y186" i="12"/>
  <c r="X186" i="12"/>
  <c r="W186" i="12"/>
  <c r="V186" i="12"/>
  <c r="U186" i="12"/>
  <c r="T186" i="12"/>
  <c r="S186" i="12"/>
  <c r="R186" i="12"/>
  <c r="Q186" i="12"/>
  <c r="P186" i="12"/>
  <c r="O186" i="12"/>
  <c r="M186" i="12"/>
  <c r="L186" i="12"/>
  <c r="N185" i="12"/>
  <c r="N184" i="12"/>
  <c r="N183" i="12"/>
  <c r="N182" i="12"/>
  <c r="A180" i="12"/>
  <c r="Z179" i="12"/>
  <c r="Y179" i="12"/>
  <c r="X179" i="12"/>
  <c r="W179" i="12"/>
  <c r="V179" i="12"/>
  <c r="U179" i="12"/>
  <c r="T179" i="12"/>
  <c r="S179" i="12"/>
  <c r="R179" i="12"/>
  <c r="Q179" i="12"/>
  <c r="P179" i="12"/>
  <c r="O179" i="12"/>
  <c r="M179" i="12"/>
  <c r="L179" i="12"/>
  <c r="N178" i="12"/>
  <c r="N177" i="12"/>
  <c r="N176" i="12"/>
  <c r="N175" i="12"/>
  <c r="A173" i="12"/>
  <c r="Z172" i="12"/>
  <c r="Y172" i="12"/>
  <c r="X172" i="12"/>
  <c r="W172" i="12"/>
  <c r="V172" i="12"/>
  <c r="U172" i="12"/>
  <c r="T172" i="12"/>
  <c r="S172" i="12"/>
  <c r="R172" i="12"/>
  <c r="Q172" i="12"/>
  <c r="P172" i="12"/>
  <c r="O172" i="12"/>
  <c r="M172" i="12"/>
  <c r="L172" i="12"/>
  <c r="N171" i="12"/>
  <c r="N170" i="12"/>
  <c r="N169" i="12"/>
  <c r="N168" i="12"/>
  <c r="A166" i="12"/>
  <c r="Z165" i="12"/>
  <c r="Y165" i="12"/>
  <c r="X165" i="12"/>
  <c r="W165" i="12"/>
  <c r="V165" i="12"/>
  <c r="U165" i="12"/>
  <c r="T165" i="12"/>
  <c r="S165" i="12"/>
  <c r="R165" i="12"/>
  <c r="Q165" i="12"/>
  <c r="P165" i="12"/>
  <c r="O165" i="12"/>
  <c r="M165" i="12"/>
  <c r="L165" i="12"/>
  <c r="N164" i="12"/>
  <c r="N163" i="12"/>
  <c r="N162" i="12"/>
  <c r="N161" i="12"/>
  <c r="A159" i="12"/>
  <c r="Z158" i="12"/>
  <c r="Y158" i="12"/>
  <c r="X158" i="12"/>
  <c r="W158" i="12"/>
  <c r="V158" i="12"/>
  <c r="U158" i="12"/>
  <c r="T158" i="12"/>
  <c r="S158" i="12"/>
  <c r="R158" i="12"/>
  <c r="Q158" i="12"/>
  <c r="P158" i="12"/>
  <c r="O158" i="12"/>
  <c r="M158" i="12"/>
  <c r="L158" i="12"/>
  <c r="N157" i="12"/>
  <c r="N156" i="12"/>
  <c r="N155" i="12"/>
  <c r="N154" i="12"/>
  <c r="A152" i="12"/>
  <c r="Z151" i="12"/>
  <c r="Y151" i="12"/>
  <c r="X151" i="12"/>
  <c r="X19" i="12"/>
  <c r="W151" i="12"/>
  <c r="W19" i="12"/>
  <c r="V151" i="12"/>
  <c r="U151" i="12"/>
  <c r="U19" i="12"/>
  <c r="T151" i="12"/>
  <c r="S151" i="12"/>
  <c r="S19" i="12"/>
  <c r="R151" i="12"/>
  <c r="Q151" i="12"/>
  <c r="Q19" i="12"/>
  <c r="P151" i="12"/>
  <c r="O151" i="12"/>
  <c r="O19" i="12"/>
  <c r="M151" i="12"/>
  <c r="L151" i="12"/>
  <c r="N148" i="12"/>
  <c r="N147" i="12"/>
  <c r="N146" i="12"/>
  <c r="N145" i="12"/>
  <c r="N144" i="12"/>
  <c r="N143" i="12"/>
  <c r="N142" i="12"/>
  <c r="N141" i="12"/>
  <c r="N140" i="12"/>
  <c r="N139" i="12"/>
  <c r="N138" i="12"/>
  <c r="A136" i="12"/>
  <c r="Z135" i="12"/>
  <c r="Z18" i="12"/>
  <c r="Y135" i="12"/>
  <c r="X135" i="12"/>
  <c r="W135" i="12"/>
  <c r="W18" i="12"/>
  <c r="V135" i="12"/>
  <c r="V18" i="12"/>
  <c r="U135" i="12"/>
  <c r="T135" i="12"/>
  <c r="S135" i="12"/>
  <c r="S18" i="12"/>
  <c r="R135" i="12"/>
  <c r="R18" i="12"/>
  <c r="Q135" i="12"/>
  <c r="P135" i="12"/>
  <c r="O135" i="12"/>
  <c r="O18" i="12"/>
  <c r="M135" i="12"/>
  <c r="L135" i="12"/>
  <c r="N133" i="12"/>
  <c r="N132" i="12"/>
  <c r="N131" i="12"/>
  <c r="N130" i="12"/>
  <c r="N129" i="12"/>
  <c r="N128" i="12"/>
  <c r="N127" i="12"/>
  <c r="N126" i="12"/>
  <c r="N125" i="12"/>
  <c r="N124" i="12"/>
  <c r="N123" i="12"/>
  <c r="A121" i="12"/>
  <c r="M120" i="12"/>
  <c r="L120" i="12"/>
  <c r="N114" i="12"/>
  <c r="N104" i="12"/>
  <c r="N95" i="12"/>
  <c r="A93" i="12"/>
  <c r="A85" i="12"/>
  <c r="A79" i="12"/>
  <c r="A73" i="12"/>
  <c r="A67" i="12"/>
  <c r="A61" i="12"/>
  <c r="A55" i="12"/>
  <c r="A49" i="12"/>
  <c r="A43" i="12"/>
  <c r="A37" i="12"/>
  <c r="A31" i="12"/>
  <c r="Z19" i="12"/>
  <c r="Y19" i="12"/>
  <c r="V19" i="12"/>
  <c r="T19" i="12"/>
  <c r="R19" i="12"/>
  <c r="P19" i="12"/>
  <c r="M19" i="12"/>
  <c r="Y18" i="12"/>
  <c r="X18" i="12"/>
  <c r="U18" i="12"/>
  <c r="T18" i="12"/>
  <c r="Q18" i="12"/>
  <c r="P18" i="12"/>
  <c r="M18" i="12"/>
  <c r="M17" i="12"/>
  <c r="M26" i="15"/>
  <c r="Q200" i="15"/>
  <c r="U200" i="15"/>
  <c r="N17" i="15"/>
  <c r="P199" i="15"/>
  <c r="X199" i="15"/>
  <c r="Y200" i="15"/>
  <c r="O201" i="15"/>
  <c r="Q199" i="15"/>
  <c r="U199" i="15"/>
  <c r="Y199" i="15"/>
  <c r="R200" i="15"/>
  <c r="T199" i="15"/>
  <c r="O200" i="15"/>
  <c r="X201" i="15"/>
  <c r="S201" i="15"/>
  <c r="R199" i="15"/>
  <c r="V199" i="15"/>
  <c r="Z199" i="15"/>
  <c r="W200" i="15"/>
  <c r="N136" i="15"/>
  <c r="S200" i="15"/>
  <c r="N121" i="15"/>
  <c r="W201" i="15"/>
  <c r="T201" i="15"/>
  <c r="Y201" i="15"/>
  <c r="V200" i="15"/>
  <c r="Z200" i="15"/>
  <c r="P201" i="15"/>
  <c r="U201" i="15"/>
  <c r="Z201" i="15"/>
  <c r="Q201" i="15"/>
  <c r="V201" i="15"/>
  <c r="O199" i="15"/>
  <c r="S199" i="15"/>
  <c r="W199" i="15"/>
  <c r="P200" i="15"/>
  <c r="T200" i="15"/>
  <c r="X200" i="15"/>
  <c r="M27" i="14"/>
  <c r="P181" i="14"/>
  <c r="T181" i="14"/>
  <c r="X181" i="14"/>
  <c r="W181" i="14"/>
  <c r="U181" i="14"/>
  <c r="Y181" i="14"/>
  <c r="R181" i="14"/>
  <c r="V181" i="14"/>
  <c r="Z181" i="14"/>
  <c r="N103" i="14"/>
  <c r="W183" i="14"/>
  <c r="T183" i="14"/>
  <c r="Y183" i="14"/>
  <c r="V182" i="14"/>
  <c r="Z182" i="14"/>
  <c r="P183" i="14"/>
  <c r="U183" i="14"/>
  <c r="Z183" i="14"/>
  <c r="Q183" i="14"/>
  <c r="V183" i="14"/>
  <c r="S181" i="14"/>
  <c r="P182" i="14"/>
  <c r="N17" i="14"/>
  <c r="O181" i="14"/>
  <c r="T182" i="14"/>
  <c r="Q181" i="14"/>
  <c r="X182" i="14"/>
  <c r="R209" i="15"/>
  <c r="U209" i="15"/>
  <c r="T209" i="15"/>
  <c r="Y209" i="15"/>
  <c r="Z209" i="15"/>
  <c r="Q209" i="15"/>
  <c r="P209" i="15"/>
  <c r="X209" i="15"/>
  <c r="O209" i="15"/>
  <c r="V209" i="15"/>
  <c r="W209" i="15"/>
  <c r="S209" i="15"/>
  <c r="R191" i="14"/>
  <c r="X191" i="14"/>
  <c r="Y191" i="14"/>
  <c r="Z191" i="14"/>
  <c r="U191" i="14"/>
  <c r="O191" i="14"/>
  <c r="S191" i="14"/>
  <c r="T191" i="14"/>
  <c r="P191" i="14"/>
  <c r="V191" i="14"/>
  <c r="W191" i="14"/>
  <c r="Q191" i="14"/>
  <c r="P134" i="2"/>
  <c r="P19" i="2" s="1"/>
  <c r="O134" i="2"/>
  <c r="O19" i="2" s="1"/>
  <c r="D36" i="56" s="1"/>
  <c r="N112" i="2"/>
  <c r="Q134" i="2"/>
  <c r="Q19" i="2" s="1"/>
  <c r="M19" i="2"/>
  <c r="N96" i="2"/>
  <c r="N97" i="2"/>
  <c r="N98" i="2"/>
  <c r="N99" i="2"/>
  <c r="N100" i="2"/>
  <c r="N101" i="2"/>
  <c r="N102" i="2"/>
  <c r="N111" i="2"/>
  <c r="N113" i="2"/>
  <c r="N114" i="2"/>
  <c r="N115" i="2"/>
  <c r="N116" i="2"/>
  <c r="N109" i="2"/>
  <c r="N110" i="2"/>
  <c r="N108" i="2"/>
  <c r="R134" i="2"/>
  <c r="R19" i="2" s="1"/>
  <c r="S134" i="2"/>
  <c r="S19" i="2"/>
  <c r="G36" i="60" s="1"/>
  <c r="G33" i="60" s="1"/>
  <c r="T134" i="2"/>
  <c r="T19" i="2" s="1"/>
  <c r="U134" i="2"/>
  <c r="U19" i="2"/>
  <c r="I36" i="60" s="1"/>
  <c r="V134" i="2"/>
  <c r="V19" i="2" s="1"/>
  <c r="W134" i="2"/>
  <c r="W19" i="2"/>
  <c r="X134" i="2"/>
  <c r="X19" i="2" s="1"/>
  <c r="Y134" i="2"/>
  <c r="Y19" i="2"/>
  <c r="Z134" i="2"/>
  <c r="Z19" i="2" s="1"/>
  <c r="V118" i="2"/>
  <c r="W118" i="2"/>
  <c r="X118" i="2"/>
  <c r="Y118" i="2"/>
  <c r="Z118" i="2"/>
  <c r="N128" i="2"/>
  <c r="N129" i="2"/>
  <c r="N130" i="2"/>
  <c r="N131" i="2"/>
  <c r="N125" i="2"/>
  <c r="N126" i="2"/>
  <c r="N127" i="2"/>
  <c r="B10" i="2"/>
  <c r="B7" i="10"/>
  <c r="D10" i="2"/>
  <c r="N191" i="2"/>
  <c r="M134" i="2"/>
  <c r="L134" i="2"/>
  <c r="M141" i="2"/>
  <c r="L141" i="2"/>
  <c r="M148" i="2"/>
  <c r="L148" i="2"/>
  <c r="M155" i="2"/>
  <c r="L155" i="2"/>
  <c r="M162" i="2"/>
  <c r="L162" i="2"/>
  <c r="M169" i="2"/>
  <c r="L169" i="2"/>
  <c r="M176" i="2"/>
  <c r="L176" i="2"/>
  <c r="L118" i="2"/>
  <c r="L103" i="2"/>
  <c r="A135" i="2"/>
  <c r="A142" i="2"/>
  <c r="A149" i="2"/>
  <c r="A156" i="2"/>
  <c r="A163" i="2"/>
  <c r="A170" i="2"/>
  <c r="A177" i="2"/>
  <c r="N176" i="2"/>
  <c r="N175" i="2"/>
  <c r="N174" i="2"/>
  <c r="N173" i="2"/>
  <c r="N172" i="2"/>
  <c r="N169" i="2"/>
  <c r="N168" i="2"/>
  <c r="N167" i="2"/>
  <c r="N166" i="2"/>
  <c r="N165" i="2"/>
  <c r="N162" i="2"/>
  <c r="N161" i="2"/>
  <c r="N160" i="2"/>
  <c r="N159" i="2"/>
  <c r="N158" i="2"/>
  <c r="N155" i="2"/>
  <c r="N154" i="2"/>
  <c r="N153" i="2"/>
  <c r="N152" i="2"/>
  <c r="N151" i="2"/>
  <c r="N148" i="2"/>
  <c r="N147" i="2"/>
  <c r="N146" i="2"/>
  <c r="N145" i="2"/>
  <c r="N144" i="2"/>
  <c r="N141" i="2"/>
  <c r="N140" i="2"/>
  <c r="N139" i="2"/>
  <c r="N138" i="2"/>
  <c r="N137" i="2"/>
  <c r="A67" i="2"/>
  <c r="A73" i="2"/>
  <c r="A79" i="2"/>
  <c r="A85" i="2"/>
  <c r="A61" i="2"/>
  <c r="A55" i="2"/>
  <c r="A181" i="2"/>
  <c r="C181" i="2"/>
  <c r="D181" i="2"/>
  <c r="A182" i="2"/>
  <c r="C182" i="2"/>
  <c r="D182" i="2"/>
  <c r="A183" i="2"/>
  <c r="C183" i="2"/>
  <c r="D183" i="2"/>
  <c r="Z190" i="2"/>
  <c r="Y190" i="2"/>
  <c r="X190" i="2"/>
  <c r="W190" i="2"/>
  <c r="V190" i="2"/>
  <c r="U190" i="2"/>
  <c r="T190" i="2"/>
  <c r="S190" i="2"/>
  <c r="R190" i="2"/>
  <c r="Q190" i="2"/>
  <c r="P190" i="2"/>
  <c r="O190" i="2"/>
  <c r="Z189" i="2"/>
  <c r="Y189" i="2"/>
  <c r="X189" i="2"/>
  <c r="W189" i="2"/>
  <c r="V189" i="2"/>
  <c r="U189" i="2"/>
  <c r="T189" i="2"/>
  <c r="S189" i="2"/>
  <c r="R189" i="2"/>
  <c r="Q189" i="2"/>
  <c r="P189" i="2"/>
  <c r="O189" i="2"/>
  <c r="Z188" i="2"/>
  <c r="Y188" i="2"/>
  <c r="X188" i="2"/>
  <c r="W188" i="2"/>
  <c r="V188" i="2"/>
  <c r="U188" i="2"/>
  <c r="T188" i="2"/>
  <c r="S188" i="2"/>
  <c r="R188" i="2"/>
  <c r="Q188" i="2"/>
  <c r="P188" i="2"/>
  <c r="O188" i="2"/>
  <c r="Z187" i="2"/>
  <c r="Y187" i="2"/>
  <c r="X187" i="2"/>
  <c r="W187" i="2"/>
  <c r="V187" i="2"/>
  <c r="U187" i="2"/>
  <c r="T187" i="2"/>
  <c r="S187" i="2"/>
  <c r="R187" i="2"/>
  <c r="Q187" i="2"/>
  <c r="P187" i="2"/>
  <c r="O187" i="2"/>
  <c r="Z186" i="2"/>
  <c r="Y186" i="2"/>
  <c r="X186" i="2"/>
  <c r="W186" i="2"/>
  <c r="V186" i="2"/>
  <c r="U186" i="2"/>
  <c r="T186" i="2"/>
  <c r="S186" i="2"/>
  <c r="R186" i="2"/>
  <c r="Q186" i="2"/>
  <c r="P186" i="2"/>
  <c r="O186" i="2"/>
  <c r="Z185" i="2"/>
  <c r="Y185" i="2"/>
  <c r="X185" i="2"/>
  <c r="W185" i="2"/>
  <c r="V185" i="2"/>
  <c r="U185" i="2"/>
  <c r="T185" i="2"/>
  <c r="S185" i="2"/>
  <c r="R185" i="2"/>
  <c r="Q185" i="2"/>
  <c r="P185" i="2"/>
  <c r="O185" i="2"/>
  <c r="Z184" i="2"/>
  <c r="Y184" i="2"/>
  <c r="X184" i="2"/>
  <c r="W184" i="2"/>
  <c r="V184" i="2"/>
  <c r="U184" i="2"/>
  <c r="T184" i="2"/>
  <c r="S184" i="2"/>
  <c r="R184" i="2"/>
  <c r="Q184" i="2"/>
  <c r="P184" i="2"/>
  <c r="O184" i="2"/>
  <c r="D190" i="2"/>
  <c r="D189" i="2"/>
  <c r="D188" i="2"/>
  <c r="D187" i="2"/>
  <c r="D186" i="2"/>
  <c r="D185" i="2"/>
  <c r="D184" i="2"/>
  <c r="C190" i="2"/>
  <c r="C189" i="2"/>
  <c r="C188" i="2"/>
  <c r="C187" i="2"/>
  <c r="C186" i="2"/>
  <c r="C185" i="2"/>
  <c r="A185" i="2"/>
  <c r="A186" i="2"/>
  <c r="A187" i="2"/>
  <c r="A188" i="2"/>
  <c r="A189" i="2"/>
  <c r="C184" i="2"/>
  <c r="B9" i="10"/>
  <c r="B5" i="10"/>
  <c r="E17" i="10"/>
  <c r="F17" i="10"/>
  <c r="G17" i="10"/>
  <c r="F34" i="10"/>
  <c r="F16" i="10"/>
  <c r="F15" i="10"/>
  <c r="F14" i="10"/>
  <c r="C14" i="10"/>
  <c r="E14" i="10"/>
  <c r="C15" i="10"/>
  <c r="E15" i="10"/>
  <c r="C16" i="10"/>
  <c r="E16" i="10"/>
  <c r="B14" i="10"/>
  <c r="B15" i="10"/>
  <c r="B16" i="10"/>
  <c r="B17" i="10"/>
  <c r="T16" i="10"/>
  <c r="P16" i="10"/>
  <c r="M16" i="10"/>
  <c r="L16" i="10"/>
  <c r="T15" i="10"/>
  <c r="Q15" i="10"/>
  <c r="P15" i="10"/>
  <c r="O15" i="10"/>
  <c r="M15" i="10"/>
  <c r="L15" i="10"/>
  <c r="I15" i="10"/>
  <c r="T14" i="10"/>
  <c r="L14" i="10"/>
  <c r="K14" i="10"/>
  <c r="I14" i="10"/>
  <c r="S16" i="10"/>
  <c r="R16" i="10"/>
  <c r="Q16" i="10"/>
  <c r="O16" i="10"/>
  <c r="N16" i="10"/>
  <c r="K16" i="10"/>
  <c r="J16" i="10"/>
  <c r="I16" i="10"/>
  <c r="S15" i="10"/>
  <c r="R15" i="10"/>
  <c r="N15" i="10"/>
  <c r="K15" i="10"/>
  <c r="J15" i="10"/>
  <c r="S14" i="10"/>
  <c r="S34" i="10"/>
  <c r="R14" i="10"/>
  <c r="Q14" i="10"/>
  <c r="Q34" i="10"/>
  <c r="P14" i="10"/>
  <c r="O14" i="10"/>
  <c r="O34" i="10"/>
  <c r="N14" i="10"/>
  <c r="M14" i="10"/>
  <c r="J14" i="10"/>
  <c r="J34" i="10"/>
  <c r="K34" i="10"/>
  <c r="N34" i="10"/>
  <c r="R34" i="10"/>
  <c r="T34" i="10"/>
  <c r="P34" i="10"/>
  <c r="L34" i="10"/>
  <c r="I34" i="10"/>
  <c r="M34" i="10"/>
  <c r="A190" i="2"/>
  <c r="A184" i="2"/>
  <c r="I1"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2" i="9"/>
  <c r="A31" i="2"/>
  <c r="Z18" i="2"/>
  <c r="Y18" i="2"/>
  <c r="X18" i="2"/>
  <c r="W18" i="2"/>
  <c r="K35" i="60" s="1"/>
  <c r="V18" i="2"/>
  <c r="J35" i="60" s="1"/>
  <c r="M118" i="2"/>
  <c r="M18" i="2"/>
  <c r="G15" i="10"/>
  <c r="N121" i="2"/>
  <c r="N124" i="2"/>
  <c r="N123" i="2"/>
  <c r="N122" i="2"/>
  <c r="N95" i="2"/>
  <c r="N103" i="2"/>
  <c r="N106" i="2"/>
  <c r="N107" i="2"/>
  <c r="G16" i="10"/>
  <c r="A119" i="2"/>
  <c r="A104" i="2"/>
  <c r="A93" i="2"/>
  <c r="M103" i="2"/>
  <c r="M17" i="2"/>
  <c r="M27" i="2"/>
  <c r="N118" i="2"/>
  <c r="D7" i="10"/>
  <c r="E28" i="56"/>
  <c r="J28" i="56"/>
  <c r="N28" i="56"/>
  <c r="I28" i="56"/>
  <c r="V28" i="56"/>
  <c r="F28" i="56"/>
  <c r="M28" i="56"/>
  <c r="G28" i="56"/>
  <c r="T28" i="56"/>
  <c r="D28" i="56"/>
  <c r="P28" i="56"/>
  <c r="L28" i="56"/>
  <c r="AA28" i="56"/>
  <c r="Z28" i="56"/>
  <c r="X28" i="56"/>
  <c r="S28" i="56"/>
  <c r="R28" i="56"/>
  <c r="Y28" i="56"/>
  <c r="O191" i="16"/>
  <c r="U191" i="16"/>
  <c r="X42" i="56"/>
  <c r="K41" i="56"/>
  <c r="R42" i="56"/>
  <c r="E41" i="56"/>
  <c r="AA42" i="56"/>
  <c r="N41" i="56"/>
  <c r="Y191" i="16"/>
  <c r="S191" i="16"/>
  <c r="V191" i="16"/>
  <c r="Y42" i="56"/>
  <c r="L41" i="56"/>
  <c r="W42" i="56"/>
  <c r="J41" i="56"/>
  <c r="T191" i="16"/>
  <c r="D42" i="56"/>
  <c r="V42" i="56"/>
  <c r="I41" i="56"/>
  <c r="Z42" i="56"/>
  <c r="M41" i="56"/>
  <c r="Z191" i="16"/>
  <c r="R191" i="16"/>
  <c r="U42" i="56"/>
  <c r="H41" i="56"/>
  <c r="S42" i="56"/>
  <c r="T42" i="56"/>
  <c r="F41" i="56"/>
  <c r="C45" i="17"/>
  <c r="C44" i="17"/>
  <c r="F54" i="17"/>
  <c r="F53" i="17"/>
  <c r="C11" i="55"/>
  <c r="C26" i="55"/>
  <c r="E26" i="55"/>
  <c r="E53" i="17"/>
  <c r="V53" i="17"/>
  <c r="M22" i="23"/>
  <c r="X133" i="23"/>
  <c r="G18" i="22"/>
  <c r="V133" i="23"/>
  <c r="O133" i="23"/>
  <c r="Y133" i="23"/>
  <c r="Q133" i="23"/>
  <c r="R133" i="23"/>
  <c r="P133" i="23"/>
  <c r="T133" i="23"/>
  <c r="S133" i="23"/>
  <c r="W133" i="23"/>
  <c r="U133" i="23"/>
  <c r="Z133" i="23"/>
  <c r="H56" i="17"/>
  <c r="H58" i="17"/>
  <c r="N134" i="25"/>
  <c r="F19" i="41"/>
  <c r="C52" i="17"/>
  <c r="C51" i="17"/>
  <c r="E51" i="17"/>
  <c r="Y169" i="42"/>
  <c r="U169" i="42"/>
  <c r="Q169" i="42"/>
  <c r="X169" i="42"/>
  <c r="T169" i="42"/>
  <c r="P169" i="42"/>
  <c r="W169" i="42"/>
  <c r="S169" i="42"/>
  <c r="O169" i="42"/>
  <c r="N18" i="42"/>
  <c r="O27" i="42"/>
  <c r="Z169" i="42"/>
  <c r="V169" i="42"/>
  <c r="R169" i="42"/>
  <c r="V22" i="19"/>
  <c r="J48" i="60" s="1"/>
  <c r="J47" i="60" s="1"/>
  <c r="X22" i="19"/>
  <c r="L48" i="60" s="1"/>
  <c r="L47" i="60" s="1"/>
  <c r="L46" i="60" s="1"/>
  <c r="N82" i="19"/>
  <c r="S141" i="19"/>
  <c r="P141" i="19"/>
  <c r="Y141" i="19"/>
  <c r="O141" i="19"/>
  <c r="X141" i="19"/>
  <c r="Z141" i="19"/>
  <c r="V141" i="19"/>
  <c r="R141" i="19"/>
  <c r="U141" i="19"/>
  <c r="N17" i="19"/>
  <c r="W141" i="19"/>
  <c r="T141" i="19"/>
  <c r="Q141" i="19"/>
  <c r="B26" i="17"/>
  <c r="B21" i="17"/>
  <c r="H19" i="26"/>
  <c r="E42" i="17"/>
  <c r="E41" i="17"/>
  <c r="B42" i="17"/>
  <c r="H19" i="10"/>
  <c r="Q191" i="16"/>
  <c r="G54" i="17"/>
  <c r="Q28" i="56"/>
  <c r="W28" i="56"/>
  <c r="U28" i="56"/>
  <c r="B28" i="56"/>
  <c r="Q42" i="56"/>
  <c r="P42" i="56"/>
  <c r="B42" i="56"/>
  <c r="B41" i="56"/>
  <c r="D41" i="56"/>
  <c r="D58" i="17"/>
  <c r="T59" i="17"/>
  <c r="G53" i="17"/>
  <c r="D11" i="55"/>
  <c r="D26" i="55"/>
  <c r="X178" i="42"/>
  <c r="T178" i="42"/>
  <c r="P178" i="42"/>
  <c r="W178" i="42"/>
  <c r="S178" i="42"/>
  <c r="O178" i="42"/>
  <c r="Z178" i="42"/>
  <c r="V178" i="42"/>
  <c r="R178" i="42"/>
  <c r="Y178" i="42"/>
  <c r="U178" i="42"/>
  <c r="Q178" i="42"/>
  <c r="G15" i="41"/>
  <c r="N27" i="42"/>
  <c r="H14" i="18"/>
  <c r="B20" i="17"/>
  <c r="C21" i="17"/>
  <c r="C20" i="17"/>
  <c r="B41" i="17"/>
  <c r="C42" i="17"/>
  <c r="C41" i="17"/>
  <c r="I42" i="17"/>
  <c r="I41" i="17"/>
  <c r="C28" i="56"/>
  <c r="C42" i="56"/>
  <c r="C41" i="56"/>
  <c r="B14" i="55"/>
  <c r="B29" i="55"/>
  <c r="E10" i="17"/>
  <c r="F10" i="17"/>
  <c r="G19" i="41"/>
  <c r="B28" i="17"/>
  <c r="G10" i="17"/>
  <c r="U37" i="56"/>
  <c r="B37" i="56"/>
  <c r="C37" i="56"/>
  <c r="Y27" i="20"/>
  <c r="Z27" i="20"/>
  <c r="N50" i="60"/>
  <c r="N49" i="60"/>
  <c r="X27" i="20"/>
  <c r="N158" i="12"/>
  <c r="N186" i="12"/>
  <c r="C22" i="56"/>
  <c r="V20" i="56"/>
  <c r="M27" i="12"/>
  <c r="N165" i="12"/>
  <c r="N193" i="12"/>
  <c r="R199" i="12"/>
  <c r="N151" i="12"/>
  <c r="N19" i="12"/>
  <c r="N179" i="12"/>
  <c r="O200" i="12"/>
  <c r="N135" i="12"/>
  <c r="N172" i="12"/>
  <c r="U200" i="12"/>
  <c r="Z200" i="12"/>
  <c r="S199" i="12"/>
  <c r="Q199" i="12"/>
  <c r="Y199" i="12"/>
  <c r="R200" i="12"/>
  <c r="X200" i="12"/>
  <c r="N18" i="12"/>
  <c r="U199" i="12"/>
  <c r="Z199" i="12"/>
  <c r="P199" i="12"/>
  <c r="Y200" i="12"/>
  <c r="V200" i="12"/>
  <c r="T200" i="12"/>
  <c r="Q200" i="12"/>
  <c r="S200" i="12"/>
  <c r="W200" i="12"/>
  <c r="X199" i="12"/>
  <c r="V199" i="12"/>
  <c r="O199" i="12"/>
  <c r="P200" i="12"/>
  <c r="T199" i="12"/>
  <c r="W199" i="12"/>
  <c r="Z27" i="12"/>
  <c r="V27" i="12"/>
  <c r="Y27" i="12"/>
  <c r="U27" i="12"/>
  <c r="Q27" i="12"/>
  <c r="X27" i="12"/>
  <c r="T27" i="12"/>
  <c r="P27" i="12"/>
  <c r="W27" i="12"/>
  <c r="S27" i="12"/>
  <c r="O27" i="12"/>
  <c r="R21" i="44"/>
  <c r="Z21" i="44"/>
  <c r="Q87" i="44"/>
  <c r="U87" i="44"/>
  <c r="Y87" i="44"/>
  <c r="N81" i="44"/>
  <c r="N20" i="44"/>
  <c r="H17" i="43"/>
  <c r="U86" i="44"/>
  <c r="X86" i="44"/>
  <c r="O86" i="44"/>
  <c r="W21" i="44"/>
  <c r="N17" i="44"/>
  <c r="S87" i="44"/>
  <c r="W87" i="44"/>
  <c r="R86" i="44"/>
  <c r="Q21" i="44"/>
  <c r="U21" i="44"/>
  <c r="Y21" i="44"/>
  <c r="N66" i="44"/>
  <c r="F19" i="60"/>
  <c r="F18" i="60"/>
  <c r="G19" i="56"/>
  <c r="V21" i="44"/>
  <c r="N19" i="60"/>
  <c r="N18" i="60"/>
  <c r="O19" i="56"/>
  <c r="O18" i="56"/>
  <c r="G19" i="60"/>
  <c r="G18" i="60"/>
  <c r="H19" i="56"/>
  <c r="K19" i="60"/>
  <c r="K18" i="60"/>
  <c r="L19" i="56"/>
  <c r="H14" i="43"/>
  <c r="Z88" i="44"/>
  <c r="H19" i="60"/>
  <c r="H18" i="60"/>
  <c r="I19" i="56"/>
  <c r="L19" i="60"/>
  <c r="L18" i="60"/>
  <c r="M19" i="56"/>
  <c r="E19" i="60"/>
  <c r="F19" i="56"/>
  <c r="I19" i="60"/>
  <c r="I18" i="60"/>
  <c r="J19" i="56"/>
  <c r="M19" i="60"/>
  <c r="M18" i="60"/>
  <c r="N19" i="56"/>
  <c r="V88" i="44"/>
  <c r="Y88" i="44"/>
  <c r="T88" i="44"/>
  <c r="U88" i="44"/>
  <c r="S88" i="44"/>
  <c r="O88" i="44"/>
  <c r="P88" i="44"/>
  <c r="X88" i="44"/>
  <c r="R88" i="44"/>
  <c r="Q88" i="44"/>
  <c r="S86" i="44"/>
  <c r="O21" i="44"/>
  <c r="U91" i="44"/>
  <c r="W86" i="44"/>
  <c r="P87" i="44"/>
  <c r="R87" i="44"/>
  <c r="T87" i="44"/>
  <c r="V87" i="44"/>
  <c r="X87" i="44"/>
  <c r="Z87" i="44"/>
  <c r="P21" i="44"/>
  <c r="M76" i="44"/>
  <c r="M81" i="44"/>
  <c r="N75" i="44"/>
  <c r="Q86" i="44"/>
  <c r="G14" i="24"/>
  <c r="G20" i="24"/>
  <c r="M23" i="25"/>
  <c r="N88" i="25"/>
  <c r="W138" i="25"/>
  <c r="V138" i="25"/>
  <c r="Z137" i="25"/>
  <c r="Y138" i="25"/>
  <c r="U138" i="25"/>
  <c r="Q138" i="25"/>
  <c r="Y137" i="25"/>
  <c r="S137" i="25"/>
  <c r="P137" i="25"/>
  <c r="N21" i="25"/>
  <c r="H18" i="24"/>
  <c r="X138" i="25"/>
  <c r="T138" i="25"/>
  <c r="P138" i="25"/>
  <c r="X137" i="25"/>
  <c r="U137" i="25"/>
  <c r="T137" i="25"/>
  <c r="R137" i="25"/>
  <c r="V137" i="25"/>
  <c r="N17" i="25"/>
  <c r="H14" i="24"/>
  <c r="O137" i="25"/>
  <c r="S138" i="25"/>
  <c r="N18" i="25"/>
  <c r="H15" i="24"/>
  <c r="O138" i="25"/>
  <c r="Z138" i="25"/>
  <c r="W137" i="25"/>
  <c r="R138" i="25"/>
  <c r="Q137" i="25"/>
  <c r="N27" i="60"/>
  <c r="Z191" i="33"/>
  <c r="O27" i="56"/>
  <c r="L27" i="60"/>
  <c r="M27" i="56"/>
  <c r="X191" i="33"/>
  <c r="J27" i="60"/>
  <c r="K27" i="56"/>
  <c r="V191" i="33"/>
  <c r="H27" i="60"/>
  <c r="I27" i="56"/>
  <c r="T191" i="33"/>
  <c r="F27" i="60"/>
  <c r="G27" i="56"/>
  <c r="R191" i="33"/>
  <c r="D27" i="60"/>
  <c r="E27" i="56"/>
  <c r="R27" i="56"/>
  <c r="P191" i="33"/>
  <c r="C27" i="60"/>
  <c r="D27" i="56"/>
  <c r="O191" i="33"/>
  <c r="M27" i="60"/>
  <c r="N27" i="56"/>
  <c r="AA27" i="56"/>
  <c r="Y191" i="33"/>
  <c r="K27" i="60"/>
  <c r="L27" i="56"/>
  <c r="Y27" i="56"/>
  <c r="W191" i="33"/>
  <c r="I27" i="60"/>
  <c r="J27" i="56"/>
  <c r="W27" i="56"/>
  <c r="U191" i="33"/>
  <c r="G27" i="60"/>
  <c r="S191" i="33"/>
  <c r="H27" i="56"/>
  <c r="U27" i="56"/>
  <c r="E27" i="60"/>
  <c r="AO27" i="60"/>
  <c r="F27" i="56"/>
  <c r="S27" i="56"/>
  <c r="Q191" i="33"/>
  <c r="B27" i="17"/>
  <c r="B25" i="17"/>
  <c r="E27" i="17"/>
  <c r="B13" i="55"/>
  <c r="B28" i="55"/>
  <c r="N27" i="33"/>
  <c r="N20" i="25"/>
  <c r="H17" i="24"/>
  <c r="W139" i="25"/>
  <c r="W23" i="25"/>
  <c r="S139" i="25"/>
  <c r="S23" i="25"/>
  <c r="N19" i="25"/>
  <c r="O139" i="25"/>
  <c r="O23" i="25"/>
  <c r="Z139" i="25"/>
  <c r="Z23" i="25"/>
  <c r="V23" i="25"/>
  <c r="V139" i="25"/>
  <c r="R23" i="25"/>
  <c r="R139" i="25"/>
  <c r="Y23" i="25"/>
  <c r="Y139" i="25"/>
  <c r="U139" i="25"/>
  <c r="U23" i="25"/>
  <c r="Q139" i="25"/>
  <c r="Q23" i="25"/>
  <c r="X23" i="25"/>
  <c r="X139" i="25"/>
  <c r="T139" i="25"/>
  <c r="T23" i="25"/>
  <c r="P23" i="25"/>
  <c r="P139" i="25"/>
  <c r="N134" i="2"/>
  <c r="N19" i="2" s="1"/>
  <c r="M36" i="60"/>
  <c r="N36" i="56"/>
  <c r="K36" i="60"/>
  <c r="L36" i="56"/>
  <c r="J34" i="60"/>
  <c r="K34" i="56"/>
  <c r="V181" i="2"/>
  <c r="H34" i="60"/>
  <c r="I34" i="56"/>
  <c r="T181" i="2"/>
  <c r="L34" i="60"/>
  <c r="M34" i="56"/>
  <c r="X181" i="2"/>
  <c r="D34" i="60"/>
  <c r="S181" i="2"/>
  <c r="P181" i="2"/>
  <c r="E34" i="56"/>
  <c r="U181" i="2"/>
  <c r="O181" i="2"/>
  <c r="W181" i="2"/>
  <c r="N34" i="60"/>
  <c r="O34" i="56"/>
  <c r="Z181" i="2"/>
  <c r="F34" i="60"/>
  <c r="R181" i="2"/>
  <c r="G34" i="56"/>
  <c r="G14" i="10"/>
  <c r="G34" i="10"/>
  <c r="N34" i="56"/>
  <c r="L34" i="56"/>
  <c r="W27" i="2"/>
  <c r="S27" i="2"/>
  <c r="N17" i="2"/>
  <c r="D34" i="56"/>
  <c r="Y181" i="2"/>
  <c r="Q181" i="2"/>
  <c r="F34" i="56"/>
  <c r="Y27" i="2"/>
  <c r="J34" i="56"/>
  <c r="H34" i="56"/>
  <c r="N85" i="20"/>
  <c r="N19" i="20"/>
  <c r="N104" i="20"/>
  <c r="N20" i="20" s="1"/>
  <c r="H20" i="18" s="1"/>
  <c r="D48" i="60"/>
  <c r="D47" i="60"/>
  <c r="E48" i="56"/>
  <c r="K48" i="56"/>
  <c r="K47" i="56" s="1"/>
  <c r="O22" i="19"/>
  <c r="O144" i="52"/>
  <c r="Q144" i="52"/>
  <c r="S144" i="52"/>
  <c r="U144" i="52"/>
  <c r="W144" i="52"/>
  <c r="Y144" i="52"/>
  <c r="N32" i="56"/>
  <c r="L32" i="56"/>
  <c r="J32" i="56"/>
  <c r="H32" i="56"/>
  <c r="F32" i="56"/>
  <c r="D32" i="56"/>
  <c r="P144" i="52"/>
  <c r="R144" i="52"/>
  <c r="T144" i="52"/>
  <c r="V144" i="52"/>
  <c r="X144" i="52"/>
  <c r="Z144" i="52"/>
  <c r="O32" i="56"/>
  <c r="M32" i="56"/>
  <c r="Z32" i="56"/>
  <c r="K32" i="56"/>
  <c r="X32" i="56"/>
  <c r="I32" i="56"/>
  <c r="V32" i="56"/>
  <c r="G32" i="56"/>
  <c r="T32" i="56"/>
  <c r="E32" i="56"/>
  <c r="R32" i="56"/>
  <c r="E30" i="60"/>
  <c r="F30" i="56"/>
  <c r="Q143" i="52"/>
  <c r="M30" i="60"/>
  <c r="N30" i="56"/>
  <c r="Y143" i="52"/>
  <c r="F30" i="60"/>
  <c r="G30" i="56"/>
  <c r="T30" i="56"/>
  <c r="R143" i="52"/>
  <c r="N30" i="60"/>
  <c r="O30" i="56"/>
  <c r="Z143" i="52"/>
  <c r="C30" i="60"/>
  <c r="D30" i="56"/>
  <c r="N18" i="52"/>
  <c r="H15" i="51"/>
  <c r="E30" i="17"/>
  <c r="O143" i="52"/>
  <c r="U143" i="52"/>
  <c r="G30" i="60"/>
  <c r="H30" i="56"/>
  <c r="U30" i="56"/>
  <c r="S143" i="52"/>
  <c r="K30" i="60"/>
  <c r="W143" i="52"/>
  <c r="L30" i="56"/>
  <c r="D30" i="60"/>
  <c r="E30" i="56"/>
  <c r="R30" i="56"/>
  <c r="P143" i="52"/>
  <c r="H30" i="60"/>
  <c r="T143" i="52"/>
  <c r="I30" i="56"/>
  <c r="V30" i="56"/>
  <c r="L30" i="60"/>
  <c r="M30" i="56"/>
  <c r="Z30" i="56"/>
  <c r="X143" i="52"/>
  <c r="K30" i="56"/>
  <c r="X30" i="56"/>
  <c r="V143" i="52"/>
  <c r="J30" i="56"/>
  <c r="W142" i="52"/>
  <c r="Q142" i="52"/>
  <c r="X142" i="52"/>
  <c r="Z142" i="52"/>
  <c r="O31" i="56"/>
  <c r="M31" i="56"/>
  <c r="F31" i="56"/>
  <c r="O27" i="52"/>
  <c r="W27" i="52"/>
  <c r="S27" i="52"/>
  <c r="B31" i="60"/>
  <c r="AO31" i="60"/>
  <c r="T142" i="52"/>
  <c r="V142" i="52"/>
  <c r="J31" i="56"/>
  <c r="H31" i="56"/>
  <c r="Z27" i="52"/>
  <c r="V27" i="52"/>
  <c r="R27" i="52"/>
  <c r="N17" i="52"/>
  <c r="P142" i="52"/>
  <c r="R142" i="52"/>
  <c r="Y142" i="52"/>
  <c r="N31" i="56"/>
  <c r="L31" i="56"/>
  <c r="G31" i="56"/>
  <c r="E31" i="56"/>
  <c r="Y27" i="52"/>
  <c r="U27" i="52"/>
  <c r="Q27" i="52"/>
  <c r="U142" i="52"/>
  <c r="D31" i="56"/>
  <c r="K31" i="56"/>
  <c r="I31" i="56"/>
  <c r="X27" i="52"/>
  <c r="T27" i="52"/>
  <c r="T152" i="52"/>
  <c r="P27" i="52"/>
  <c r="C15" i="55"/>
  <c r="C30" i="55"/>
  <c r="C24" i="56"/>
  <c r="Y20" i="56"/>
  <c r="AA20" i="56"/>
  <c r="W20" i="56"/>
  <c r="T20" i="56"/>
  <c r="S20" i="56"/>
  <c r="Z20" i="56"/>
  <c r="U20" i="56"/>
  <c r="B24" i="56"/>
  <c r="B23" i="56"/>
  <c r="P21" i="56"/>
  <c r="Q23" i="56"/>
  <c r="C23" i="56"/>
  <c r="B22" i="56"/>
  <c r="H20" i="56"/>
  <c r="B21" i="56"/>
  <c r="D20" i="56"/>
  <c r="L20" i="56"/>
  <c r="W57" i="56"/>
  <c r="C57" i="56"/>
  <c r="N160" i="20"/>
  <c r="N25" i="20"/>
  <c r="H25" i="18"/>
  <c r="W177" i="20"/>
  <c r="P177" i="20"/>
  <c r="S177" i="20"/>
  <c r="X177" i="20"/>
  <c r="T177" i="20"/>
  <c r="Z177" i="20"/>
  <c r="Q177" i="20"/>
  <c r="O177" i="20"/>
  <c r="V177" i="20"/>
  <c r="R177" i="20"/>
  <c r="Y177" i="20"/>
  <c r="U177" i="20"/>
  <c r="W175" i="20"/>
  <c r="L50" i="60"/>
  <c r="M50" i="56"/>
  <c r="M49" i="56"/>
  <c r="Y175" i="20"/>
  <c r="Z175" i="20"/>
  <c r="W27" i="20"/>
  <c r="M50" i="60"/>
  <c r="N50" i="56"/>
  <c r="O50" i="56"/>
  <c r="O49" i="56"/>
  <c r="L49" i="60"/>
  <c r="T171" i="20"/>
  <c r="X171" i="20"/>
  <c r="P171" i="20"/>
  <c r="V171" i="20"/>
  <c r="Z171" i="20"/>
  <c r="O171" i="20"/>
  <c r="W171" i="20"/>
  <c r="H19" i="18"/>
  <c r="Q171" i="20"/>
  <c r="U171" i="20"/>
  <c r="S171" i="20"/>
  <c r="Y171" i="20"/>
  <c r="R171" i="20"/>
  <c r="E20" i="17"/>
  <c r="V20" i="17"/>
  <c r="M26" i="59"/>
  <c r="V57" i="17"/>
  <c r="B15" i="55"/>
  <c r="D12" i="55"/>
  <c r="G40" i="60"/>
  <c r="G39" i="60"/>
  <c r="H40" i="56"/>
  <c r="L40" i="60"/>
  <c r="L39" i="60"/>
  <c r="M40" i="56"/>
  <c r="D40" i="60"/>
  <c r="D39" i="60"/>
  <c r="E40" i="56"/>
  <c r="I40" i="60"/>
  <c r="I39" i="60"/>
  <c r="J40" i="56"/>
  <c r="N40" i="60"/>
  <c r="N39" i="60"/>
  <c r="O40" i="56"/>
  <c r="O39" i="56"/>
  <c r="C40" i="60"/>
  <c r="D40" i="56"/>
  <c r="H40" i="60"/>
  <c r="H39" i="60"/>
  <c r="I40" i="56"/>
  <c r="J40" i="60"/>
  <c r="J39" i="60"/>
  <c r="K40" i="56"/>
  <c r="K40" i="60"/>
  <c r="K39" i="60"/>
  <c r="L40" i="56"/>
  <c r="E40" i="60"/>
  <c r="F40" i="56"/>
  <c r="M40" i="60"/>
  <c r="M39" i="60"/>
  <c r="M33" i="60"/>
  <c r="N40" i="56"/>
  <c r="Y91" i="44"/>
  <c r="D19" i="60"/>
  <c r="D18" i="60"/>
  <c r="P91" i="44"/>
  <c r="E19" i="56"/>
  <c r="C19" i="60"/>
  <c r="O91" i="44"/>
  <c r="D19" i="56"/>
  <c r="J18" i="56"/>
  <c r="W19" i="56"/>
  <c r="W18" i="56"/>
  <c r="F18" i="56"/>
  <c r="S19" i="56"/>
  <c r="S18" i="56"/>
  <c r="W91" i="44"/>
  <c r="J19" i="60"/>
  <c r="J18" i="60"/>
  <c r="K19" i="56"/>
  <c r="V91" i="44"/>
  <c r="E18" i="60"/>
  <c r="AO19" i="60"/>
  <c r="I18" i="56"/>
  <c r="V19" i="56"/>
  <c r="V18" i="56"/>
  <c r="R91" i="44"/>
  <c r="N44" i="44"/>
  <c r="N76" i="44"/>
  <c r="N19" i="44"/>
  <c r="N18" i="56"/>
  <c r="AA19" i="56"/>
  <c r="AA18" i="56"/>
  <c r="X91" i="44"/>
  <c r="T91" i="44"/>
  <c r="S91" i="44"/>
  <c r="Z91" i="44"/>
  <c r="G18" i="56"/>
  <c r="T19" i="56"/>
  <c r="T18" i="56"/>
  <c r="Q91" i="44"/>
  <c r="Z19" i="56"/>
  <c r="Z18" i="56"/>
  <c r="M18" i="56"/>
  <c r="L18" i="56"/>
  <c r="Y19" i="56"/>
  <c r="Y18" i="56"/>
  <c r="H18" i="56"/>
  <c r="U19" i="56"/>
  <c r="U18" i="56"/>
  <c r="B27" i="56"/>
  <c r="Q27" i="56"/>
  <c r="P27" i="56"/>
  <c r="X27" i="56"/>
  <c r="B27" i="60"/>
  <c r="V27" i="56"/>
  <c r="T27" i="56"/>
  <c r="Z27" i="56"/>
  <c r="H15" i="60"/>
  <c r="H14" i="60"/>
  <c r="T142" i="25"/>
  <c r="I15" i="56"/>
  <c r="E15" i="60"/>
  <c r="Q142" i="25"/>
  <c r="F15" i="56"/>
  <c r="C15" i="60"/>
  <c r="D15" i="56"/>
  <c r="O142" i="25"/>
  <c r="M15" i="60"/>
  <c r="M14" i="60"/>
  <c r="Y142" i="25"/>
  <c r="N15" i="56"/>
  <c r="J15" i="60"/>
  <c r="J14" i="60"/>
  <c r="V142" i="25"/>
  <c r="K15" i="56"/>
  <c r="K15" i="60"/>
  <c r="K14" i="60"/>
  <c r="L15" i="56"/>
  <c r="W142" i="25"/>
  <c r="I15" i="60"/>
  <c r="I14" i="60"/>
  <c r="J15" i="56"/>
  <c r="U142" i="25"/>
  <c r="N15" i="60"/>
  <c r="N14" i="60"/>
  <c r="O15" i="56"/>
  <c r="O14" i="56"/>
  <c r="Z142" i="25"/>
  <c r="H16" i="24"/>
  <c r="H20" i="24"/>
  <c r="N23" i="25"/>
  <c r="D15" i="60"/>
  <c r="D14" i="60"/>
  <c r="E15" i="56"/>
  <c r="P142" i="25"/>
  <c r="L15" i="60"/>
  <c r="L14" i="60"/>
  <c r="M15" i="56"/>
  <c r="X142" i="25"/>
  <c r="F15" i="60"/>
  <c r="F14" i="60"/>
  <c r="G15" i="56"/>
  <c r="R142" i="25"/>
  <c r="G15" i="60"/>
  <c r="G14" i="60"/>
  <c r="H15" i="56"/>
  <c r="S142" i="25"/>
  <c r="B34" i="60"/>
  <c r="AO34" i="60"/>
  <c r="Z34" i="56"/>
  <c r="V34" i="56"/>
  <c r="X34" i="56"/>
  <c r="W34" i="56"/>
  <c r="S34" i="56"/>
  <c r="AA34" i="56"/>
  <c r="P34" i="56"/>
  <c r="B34" i="56"/>
  <c r="Q34" i="56"/>
  <c r="U34" i="56"/>
  <c r="E34" i="17"/>
  <c r="B34" i="17"/>
  <c r="H14" i="10"/>
  <c r="Y34" i="56"/>
  <c r="T34" i="56"/>
  <c r="R34" i="56"/>
  <c r="E47" i="56"/>
  <c r="R48" i="56"/>
  <c r="R47" i="56"/>
  <c r="C48" i="60"/>
  <c r="D48" i="56"/>
  <c r="Q32" i="56"/>
  <c r="B32" i="56"/>
  <c r="P32" i="56"/>
  <c r="Y32" i="56"/>
  <c r="S32" i="56"/>
  <c r="AA32" i="56"/>
  <c r="U32" i="56"/>
  <c r="X152" i="52"/>
  <c r="W32" i="56"/>
  <c r="Y30" i="56"/>
  <c r="W30" i="56"/>
  <c r="B30" i="56"/>
  <c r="Q30" i="56"/>
  <c r="P30" i="56"/>
  <c r="C30" i="56"/>
  <c r="S30" i="56"/>
  <c r="B30" i="60"/>
  <c r="AA30" i="56"/>
  <c r="AO30" i="60"/>
  <c r="V31" i="56"/>
  <c r="Q152" i="52"/>
  <c r="T31" i="56"/>
  <c r="V152" i="52"/>
  <c r="O152" i="52"/>
  <c r="P152" i="52"/>
  <c r="X31" i="56"/>
  <c r="U152" i="52"/>
  <c r="Y31" i="56"/>
  <c r="Z152" i="52"/>
  <c r="S31" i="56"/>
  <c r="P31" i="56"/>
  <c r="Q31" i="56"/>
  <c r="B31" i="56"/>
  <c r="Y152" i="52"/>
  <c r="AA31" i="56"/>
  <c r="N27" i="52"/>
  <c r="H14" i="51"/>
  <c r="U31" i="56"/>
  <c r="S152" i="52"/>
  <c r="Z31" i="56"/>
  <c r="R31" i="56"/>
  <c r="R152" i="52"/>
  <c r="W31" i="56"/>
  <c r="W152" i="52"/>
  <c r="Q20" i="56"/>
  <c r="B20" i="56"/>
  <c r="C21" i="56"/>
  <c r="C20" i="56"/>
  <c r="P20" i="56"/>
  <c r="N49" i="56"/>
  <c r="AA50" i="56"/>
  <c r="AA49" i="56"/>
  <c r="M49" i="60"/>
  <c r="K50" i="60"/>
  <c r="L50" i="56"/>
  <c r="E76" i="60"/>
  <c r="E70" i="60"/>
  <c r="B30" i="55"/>
  <c r="S40" i="56"/>
  <c r="S39" i="56" s="1"/>
  <c r="F39" i="56"/>
  <c r="J39" i="56"/>
  <c r="W40" i="56"/>
  <c r="W39" i="56"/>
  <c r="D39" i="56"/>
  <c r="Q40" i="56"/>
  <c r="Q39" i="56" s="1"/>
  <c r="P40" i="56"/>
  <c r="P39" i="56" s="1"/>
  <c r="H39" i="56"/>
  <c r="E39" i="60"/>
  <c r="C39" i="60"/>
  <c r="N39" i="56"/>
  <c r="AA40" i="56"/>
  <c r="AA39" i="56"/>
  <c r="K39" i="56"/>
  <c r="X40" i="56"/>
  <c r="X39" i="56"/>
  <c r="I39" i="56"/>
  <c r="V40" i="56"/>
  <c r="V39" i="56"/>
  <c r="E39" i="56"/>
  <c r="R40" i="56"/>
  <c r="R39" i="56" s="1"/>
  <c r="Z40" i="56"/>
  <c r="Z39" i="56"/>
  <c r="M39" i="56"/>
  <c r="L39" i="56"/>
  <c r="Y40" i="56"/>
  <c r="Y39" i="56"/>
  <c r="B19" i="60"/>
  <c r="B18" i="60"/>
  <c r="C18" i="60"/>
  <c r="AO18" i="60"/>
  <c r="E18" i="56"/>
  <c r="R19" i="56"/>
  <c r="R18" i="56"/>
  <c r="H16" i="43"/>
  <c r="H19" i="43"/>
  <c r="E19" i="17"/>
  <c r="N21" i="44"/>
  <c r="Q19" i="56"/>
  <c r="Q18" i="56"/>
  <c r="P19" i="56"/>
  <c r="B19" i="56"/>
  <c r="B18" i="56"/>
  <c r="D18" i="56"/>
  <c r="K18" i="56"/>
  <c r="X19" i="56"/>
  <c r="X18" i="56"/>
  <c r="C27" i="56"/>
  <c r="G14" i="56"/>
  <c r="T15" i="56"/>
  <c r="T14" i="56"/>
  <c r="AA15" i="56"/>
  <c r="AA14" i="56"/>
  <c r="N14" i="56"/>
  <c r="B15" i="56"/>
  <c r="B14" i="56"/>
  <c r="D14" i="56"/>
  <c r="Q15" i="56"/>
  <c r="Q14" i="56"/>
  <c r="P15" i="56"/>
  <c r="E14" i="60"/>
  <c r="AO15" i="60"/>
  <c r="H14" i="56"/>
  <c r="U15" i="56"/>
  <c r="U14" i="56"/>
  <c r="X15" i="56"/>
  <c r="X14" i="56"/>
  <c r="K14" i="56"/>
  <c r="C14" i="60"/>
  <c r="B15" i="60"/>
  <c r="B14" i="60"/>
  <c r="V15" i="56"/>
  <c r="V14" i="56"/>
  <c r="I14" i="56"/>
  <c r="E14" i="56"/>
  <c r="R15" i="56"/>
  <c r="R14" i="56"/>
  <c r="B15" i="17"/>
  <c r="E15" i="17"/>
  <c r="S15" i="56"/>
  <c r="S14" i="56"/>
  <c r="F14" i="56"/>
  <c r="M14" i="56"/>
  <c r="Z15" i="56"/>
  <c r="Z14" i="56"/>
  <c r="J14" i="56"/>
  <c r="W15" i="56"/>
  <c r="W14" i="56"/>
  <c r="L14" i="56"/>
  <c r="Y15" i="56"/>
  <c r="Y14" i="56"/>
  <c r="C34" i="17"/>
  <c r="I34" i="17"/>
  <c r="C34" i="56"/>
  <c r="P48" i="56"/>
  <c r="D47" i="56"/>
  <c r="Q48" i="56"/>
  <c r="Q47" i="56"/>
  <c r="C47" i="60"/>
  <c r="C32" i="56"/>
  <c r="C31" i="56"/>
  <c r="H19" i="51"/>
  <c r="E31" i="17"/>
  <c r="L49" i="56"/>
  <c r="Z50" i="56"/>
  <c r="Z49" i="56"/>
  <c r="N76" i="60"/>
  <c r="N70" i="60"/>
  <c r="K49" i="60"/>
  <c r="F76" i="60"/>
  <c r="AN33" i="56"/>
  <c r="AN56" i="56"/>
  <c r="E18" i="17"/>
  <c r="F19" i="17"/>
  <c r="P18" i="56"/>
  <c r="C19" i="56"/>
  <c r="C18" i="56"/>
  <c r="C15" i="17"/>
  <c r="C14" i="17"/>
  <c r="B14" i="17"/>
  <c r="AO14" i="60"/>
  <c r="P14" i="56"/>
  <c r="C15" i="56"/>
  <c r="C14" i="56"/>
  <c r="F15" i="17"/>
  <c r="E14" i="17"/>
  <c r="P47" i="56"/>
  <c r="B17" i="55"/>
  <c r="B32" i="55"/>
  <c r="F70" i="60"/>
  <c r="I70" i="60"/>
  <c r="I76" i="60"/>
  <c r="K70" i="60"/>
  <c r="K76" i="60"/>
  <c r="C70" i="60"/>
  <c r="C76" i="60"/>
  <c r="M76" i="60"/>
  <c r="M70" i="60"/>
  <c r="D76" i="60"/>
  <c r="D70" i="60"/>
  <c r="J76" i="60"/>
  <c r="J70" i="60"/>
  <c r="L70" i="60"/>
  <c r="L76" i="60"/>
  <c r="H70" i="60"/>
  <c r="H76" i="60"/>
  <c r="AN58" i="56"/>
  <c r="AN69" i="56"/>
  <c r="AB70" i="56"/>
  <c r="F18" i="17"/>
  <c r="G19" i="17"/>
  <c r="G18" i="17"/>
  <c r="F14" i="17"/>
  <c r="G15" i="17"/>
  <c r="G14" i="17"/>
  <c r="AN75" i="56"/>
  <c r="AB76" i="56"/>
  <c r="G70" i="60"/>
  <c r="G76" i="60"/>
  <c r="AJ324" i="66"/>
  <c r="AD324" i="66"/>
  <c r="AA324" i="66"/>
  <c r="AE324" i="66"/>
  <c r="V324" i="66"/>
  <c r="AO324" i="66"/>
  <c r="W416" i="66"/>
  <c r="W408" i="66"/>
  <c r="AH416" i="66"/>
  <c r="AE415" i="66"/>
  <c r="AO404" i="66"/>
  <c r="R400" i="66"/>
  <c r="AL421" i="66"/>
  <c r="AO400" i="66"/>
  <c r="AC411" i="66"/>
  <c r="Z416" i="66"/>
  <c r="AC412" i="66"/>
  <c r="AF406" i="66"/>
  <c r="AJ390" i="66"/>
  <c r="AE398" i="66"/>
  <c r="AL403" i="66"/>
  <c r="AI414" i="66"/>
  <c r="AH418" i="66"/>
  <c r="AK414" i="66"/>
  <c r="AJ409" i="66"/>
  <c r="AL393" i="66"/>
  <c r="AM401" i="66"/>
  <c r="AF414" i="66"/>
  <c r="R398" i="66"/>
  <c r="AN415" i="66"/>
  <c r="R420" i="66"/>
  <c r="T411" i="66"/>
  <c r="AK400" i="66"/>
  <c r="AH396" i="66"/>
  <c r="U390" i="66"/>
  <c r="AM399" i="66"/>
  <c r="AG415" i="66"/>
  <c r="AM404" i="66"/>
  <c r="AO422" i="66"/>
  <c r="Y412" i="66"/>
  <c r="X412" i="66"/>
  <c r="R397" i="66"/>
  <c r="Z411" i="66"/>
  <c r="Y421" i="66"/>
  <c r="U407" i="66"/>
  <c r="U422" i="66"/>
  <c r="AM407" i="66"/>
  <c r="AD400" i="66"/>
  <c r="AH411" i="66"/>
  <c r="Y395" i="66"/>
  <c r="AJ400" i="66"/>
  <c r="AA410" i="66"/>
  <c r="AD414" i="66"/>
  <c r="AC410" i="66"/>
  <c r="AL402" i="66"/>
  <c r="X422" i="66"/>
  <c r="AK397" i="66"/>
  <c r="AJ406" i="66"/>
  <c r="AA416" i="66"/>
  <c r="AI420" i="66"/>
  <c r="AM419" i="66"/>
  <c r="Z399" i="66"/>
  <c r="AG393" i="66"/>
  <c r="AP392" i="66"/>
  <c r="R387" i="66"/>
  <c r="Y390" i="66"/>
  <c r="AG379" i="66"/>
  <c r="AL388" i="66"/>
  <c r="AM406" i="66"/>
  <c r="Y414" i="66"/>
  <c r="AN398" i="66"/>
  <c r="AG399" i="66"/>
  <c r="AH414" i="66"/>
  <c r="AN403" i="66"/>
  <c r="Y397" i="66"/>
  <c r="U413" i="66"/>
  <c r="S413" i="66"/>
  <c r="X392" i="66"/>
  <c r="AJ410" i="66"/>
  <c r="AG422" i="66"/>
  <c r="V404" i="66"/>
  <c r="AL394" i="66"/>
  <c r="AK394" i="66"/>
  <c r="AG377" i="66"/>
  <c r="AD381" i="66"/>
  <c r="AM369" i="66"/>
  <c r="W359" i="66"/>
  <c r="AG348" i="66"/>
  <c r="AL373" i="66"/>
  <c r="Z363" i="66"/>
  <c r="AA376" i="66"/>
  <c r="W407" i="66"/>
  <c r="AO399" i="66"/>
  <c r="AP413" i="66"/>
  <c r="AN418" i="66"/>
  <c r="AA382" i="66"/>
  <c r="T387" i="66"/>
  <c r="Y374" i="66"/>
  <c r="AP414" i="66"/>
  <c r="AG411" i="66"/>
  <c r="AO418" i="66"/>
  <c r="T403" i="66"/>
  <c r="Y404" i="66"/>
  <c r="AD420" i="66"/>
  <c r="AN416" i="66"/>
  <c r="S403" i="66"/>
  <c r="Y419" i="66"/>
  <c r="W419" i="66"/>
  <c r="AP397" i="66"/>
  <c r="AK393" i="66"/>
  <c r="AK405" i="66"/>
  <c r="W409" i="66"/>
  <c r="AN402" i="66"/>
  <c r="AJ382" i="66"/>
  <c r="W380" i="66"/>
  <c r="Z386" i="66"/>
  <c r="AA377" i="66"/>
  <c r="AG366" i="66"/>
  <c r="AM355" i="66"/>
  <c r="AI385" i="66"/>
  <c r="AJ370" i="66"/>
  <c r="X360" i="66"/>
  <c r="AI410" i="66"/>
  <c r="X403" i="66"/>
  <c r="AH415" i="66"/>
  <c r="Y392" i="66"/>
  <c r="AD411" i="66"/>
  <c r="AC324" i="66"/>
  <c r="W324" i="66"/>
  <c r="AN324" i="66"/>
  <c r="U324" i="66"/>
  <c r="AL324" i="66"/>
  <c r="X324" i="66"/>
  <c r="AG405" i="66"/>
  <c r="AF413" i="66"/>
  <c r="AO412" i="66"/>
  <c r="AL413" i="66"/>
  <c r="AH397" i="66"/>
  <c r="AD412" i="66"/>
  <c r="S422" i="66"/>
  <c r="AO407" i="66"/>
  <c r="T413" i="66"/>
  <c r="AK408" i="66"/>
  <c r="V402" i="66"/>
  <c r="R413" i="66"/>
  <c r="AO395" i="66"/>
  <c r="Z401" i="66"/>
  <c r="Y411" i="66"/>
  <c r="X415" i="66"/>
  <c r="W411" i="66"/>
  <c r="AF403" i="66"/>
  <c r="AF390" i="66"/>
  <c r="AA398" i="66"/>
  <c r="T408" i="66"/>
  <c r="S418" i="66"/>
  <c r="AE422" i="66"/>
  <c r="AI421" i="66"/>
  <c r="AP400" i="66"/>
  <c r="AM394" i="66"/>
  <c r="AF393" i="66"/>
  <c r="AH387" i="66"/>
  <c r="U391" i="66"/>
  <c r="AM412" i="66"/>
  <c r="AP420" i="66"/>
  <c r="Y420" i="66"/>
  <c r="AE409" i="66"/>
  <c r="Z404" i="66"/>
  <c r="AP393" i="66"/>
  <c r="AD406" i="66"/>
  <c r="AK417" i="66"/>
  <c r="R422" i="66"/>
  <c r="AG418" i="66"/>
  <c r="AC404" i="66"/>
  <c r="Z397" i="66"/>
  <c r="R405" i="66"/>
  <c r="AJ422" i="66"/>
  <c r="U421" i="66"/>
  <c r="AI406" i="66"/>
  <c r="S421" i="66"/>
  <c r="AK406" i="66"/>
  <c r="AH399" i="66"/>
  <c r="R411" i="66"/>
  <c r="U395" i="66"/>
  <c r="R403" i="66"/>
  <c r="Y409" i="66"/>
  <c r="AK413" i="66"/>
  <c r="AK412" i="66"/>
  <c r="V391" i="66"/>
  <c r="X409" i="66"/>
  <c r="AC403" i="66"/>
  <c r="AP383" i="66"/>
  <c r="AG387" i="66"/>
  <c r="AM376" i="66"/>
  <c r="AM422" i="66"/>
  <c r="Z420" i="66"/>
  <c r="AO408" i="66"/>
  <c r="Z393" i="66"/>
  <c r="AI416" i="66"/>
  <c r="AI417" i="66"/>
  <c r="AF396" i="66"/>
  <c r="AN420" i="66"/>
  <c r="AO405" i="66"/>
  <c r="AM405" i="66"/>
  <c r="AH409" i="66"/>
  <c r="AL401" i="66"/>
  <c r="AO411" i="66"/>
  <c r="V421" i="66"/>
  <c r="AM400" i="66"/>
  <c r="W388" i="66"/>
  <c r="AC401" i="66"/>
  <c r="AD384" i="66"/>
  <c r="X378" i="66"/>
  <c r="W367" i="66"/>
  <c r="AG356" i="66"/>
  <c r="AG388" i="66"/>
  <c r="Z371" i="66"/>
  <c r="AN360" i="66"/>
  <c r="AA414" i="66"/>
  <c r="AJ405" i="66"/>
  <c r="AI392" i="66"/>
  <c r="AO394" i="66"/>
  <c r="U398" i="66"/>
  <c r="AO377" i="66"/>
  <c r="V419" i="66"/>
  <c r="AK370" i="66"/>
  <c r="AI413" i="66"/>
  <c r="W406" i="66"/>
  <c r="AE413" i="66"/>
  <c r="X398" i="66"/>
  <c r="AM398" i="66"/>
  <c r="AN413" i="66"/>
  <c r="AP402" i="66"/>
  <c r="AE396" i="66"/>
  <c r="S412" i="66"/>
  <c r="U412" i="66"/>
  <c r="Z391" i="66"/>
  <c r="AF409" i="66"/>
  <c r="AK420" i="66"/>
  <c r="AH402" i="66"/>
  <c r="V394" i="66"/>
  <c r="W392" i="66"/>
  <c r="Z417" i="66"/>
  <c r="AN383" i="66"/>
  <c r="AG374" i="66"/>
  <c r="AM363" i="66"/>
  <c r="W353" i="66"/>
  <c r="X380" i="66"/>
  <c r="X368" i="66"/>
  <c r="AO382" i="66"/>
  <c r="AJ415" i="66"/>
  <c r="X394" i="66"/>
  <c r="AP398" i="66"/>
  <c r="U394" i="66"/>
  <c r="Z324" i="66"/>
  <c r="T324" i="66"/>
  <c r="AK324" i="66"/>
  <c r="AG421" i="66"/>
  <c r="AM410" i="66"/>
  <c r="Y418" i="66"/>
  <c r="AD402" i="66"/>
  <c r="AE403" i="66"/>
  <c r="AF419" i="66"/>
  <c r="X414" i="66"/>
  <c r="U402" i="66"/>
  <c r="AA418" i="66"/>
  <c r="AC418" i="66"/>
  <c r="V397" i="66"/>
  <c r="U393" i="66"/>
  <c r="AD422" i="66"/>
  <c r="AA407" i="66"/>
  <c r="AH401" i="66"/>
  <c r="T382" i="66"/>
  <c r="AG407" i="66"/>
  <c r="AO414" i="66"/>
  <c r="AD399" i="66"/>
  <c r="Y400" i="66"/>
  <c r="AF415" i="66"/>
  <c r="AN404" i="66"/>
  <c r="AO397" i="66"/>
  <c r="AO413" i="66"/>
  <c r="AM413" i="66"/>
  <c r="R393" i="66"/>
  <c r="T412" i="66"/>
  <c r="Z414" i="66"/>
  <c r="AF407" i="66"/>
  <c r="R396" i="66"/>
  <c r="AE397" i="66"/>
  <c r="AO392" i="66"/>
  <c r="AE419" i="66"/>
  <c r="Z405" i="66"/>
  <c r="R419" i="66"/>
  <c r="S420" i="66"/>
  <c r="AJ398" i="66"/>
  <c r="AC407" i="66"/>
  <c r="T404" i="66"/>
  <c r="AM380" i="66"/>
  <c r="U396" i="66"/>
  <c r="AG364" i="66"/>
  <c r="R381" i="66"/>
  <c r="AE385" i="66"/>
  <c r="AJ396" i="66"/>
  <c r="V389" i="66"/>
  <c r="AE400" i="66"/>
  <c r="S367" i="66"/>
  <c r="AJ419" i="66"/>
  <c r="AJ392" i="66"/>
  <c r="AK416" i="66"/>
  <c r="R415" i="66"/>
  <c r="S405" i="66"/>
  <c r="V401" i="66"/>
  <c r="AJ414" i="66"/>
  <c r="AM386" i="66"/>
  <c r="AM389" i="66"/>
  <c r="W361" i="66"/>
  <c r="X376" i="66"/>
  <c r="AK378" i="66"/>
  <c r="Z409" i="66"/>
  <c r="U385" i="66"/>
  <c r="AF389" i="66"/>
  <c r="AP376" i="66"/>
  <c r="AO409" i="66"/>
  <c r="V400" i="66"/>
  <c r="AE411" i="66"/>
  <c r="AA420" i="66"/>
  <c r="AL399" i="66"/>
  <c r="AC409" i="66"/>
  <c r="AH417" i="66"/>
  <c r="U419" i="66"/>
  <c r="Z392" i="66"/>
  <c r="Z410" i="66"/>
  <c r="AM373" i="66"/>
  <c r="AG352" i="66"/>
  <c r="AH367" i="66"/>
  <c r="AC422" i="66"/>
  <c r="AN397" i="66"/>
  <c r="AK387" i="66"/>
  <c r="Y380" i="66"/>
  <c r="AG404" i="66"/>
  <c r="T410" i="66"/>
  <c r="AI397" i="66"/>
  <c r="S400" i="66"/>
  <c r="AJ420" i="66"/>
  <c r="AP407" i="66"/>
  <c r="AE369" i="66"/>
  <c r="AN396" i="66"/>
  <c r="AD394" i="66"/>
  <c r="S386" i="66"/>
  <c r="AE361" i="66"/>
  <c r="Y401" i="66"/>
  <c r="X372" i="66"/>
  <c r="W387" i="66"/>
  <c r="Y369" i="66"/>
  <c r="AE358" i="66"/>
  <c r="AI387" i="66"/>
  <c r="AN347" i="66"/>
  <c r="AL336" i="66"/>
  <c r="Z326" i="66"/>
  <c r="AL353" i="66"/>
  <c r="AO340" i="66"/>
  <c r="R391" i="66"/>
  <c r="AP387" i="66"/>
  <c r="S399" i="66"/>
  <c r="AO364" i="66"/>
  <c r="AK350" i="66"/>
  <c r="T372" i="66"/>
  <c r="AK386" i="66"/>
  <c r="AK369" i="66"/>
  <c r="V422" i="66"/>
  <c r="V395" i="66"/>
  <c r="AC420" i="66"/>
  <c r="AO393" i="66"/>
  <c r="AG408" i="66"/>
  <c r="X404" i="66"/>
  <c r="T396" i="66"/>
  <c r="AM388" i="66"/>
  <c r="AI402" i="66"/>
  <c r="AG362" i="66"/>
  <c r="AP324" i="66"/>
  <c r="AG324" i="66"/>
  <c r="AI324" i="66"/>
  <c r="AM418" i="66"/>
  <c r="AF421" i="66"/>
  <c r="Y410" i="66"/>
  <c r="AF394" i="66"/>
  <c r="AE418" i="66"/>
  <c r="AA419" i="66"/>
  <c r="T398" i="66"/>
  <c r="Y393" i="66"/>
  <c r="AK407" i="66"/>
  <c r="AI407" i="66"/>
  <c r="AL412" i="66"/>
  <c r="AH403" i="66"/>
  <c r="AC415" i="66"/>
  <c r="AN392" i="66"/>
  <c r="AH407" i="66"/>
  <c r="AM420" i="66"/>
  <c r="AD418" i="66"/>
  <c r="AO406" i="66"/>
  <c r="AD391" i="66"/>
  <c r="S414" i="66"/>
  <c r="S415" i="66"/>
  <c r="T394" i="66"/>
  <c r="AN409" i="66"/>
  <c r="AN421" i="66"/>
  <c r="AJ418" i="66"/>
  <c r="AL404" i="66"/>
  <c r="AN399" i="66"/>
  <c r="AE406" i="66"/>
  <c r="AD407" i="66"/>
  <c r="S393" i="66"/>
  <c r="AM384" i="66"/>
  <c r="AG417" i="66"/>
  <c r="AL417" i="66"/>
  <c r="AK409" i="66"/>
  <c r="AD419" i="66"/>
  <c r="AP416" i="66"/>
  <c r="U400" i="66"/>
  <c r="AL416" i="66"/>
  <c r="AN388" i="66"/>
  <c r="AM390" i="66"/>
  <c r="AM361" i="66"/>
  <c r="AO376" i="66"/>
  <c r="AF379" i="66"/>
  <c r="AH413" i="66"/>
  <c r="R385" i="66"/>
  <c r="AC390" i="66"/>
  <c r="AC413" i="66"/>
  <c r="V414" i="66"/>
  <c r="T414" i="66"/>
  <c r="AI409" i="66"/>
  <c r="AP401" i="66"/>
  <c r="AF404" i="66"/>
  <c r="AO419" i="66"/>
  <c r="W396" i="66"/>
  <c r="AG383" i="66"/>
  <c r="AJ380" i="66"/>
  <c r="AG358" i="66"/>
  <c r="V373" i="66"/>
  <c r="AK375" i="66"/>
  <c r="S398" i="66"/>
  <c r="AD387" i="66"/>
  <c r="AE380" i="66"/>
  <c r="V386" i="66"/>
  <c r="AA373" i="66"/>
  <c r="AA421" i="66"/>
  <c r="AM414" i="66"/>
  <c r="AN410" i="66"/>
  <c r="S406" i="66"/>
  <c r="AP409" i="66"/>
  <c r="AJ413" i="66"/>
  <c r="U397" i="66"/>
  <c r="U418" i="66"/>
  <c r="AL385" i="66"/>
  <c r="V388" i="66"/>
  <c r="AG368" i="66"/>
  <c r="AA400" i="66"/>
  <c r="T362" i="66"/>
  <c r="V417" i="66"/>
  <c r="AK401" i="66"/>
  <c r="AK379" i="66"/>
  <c r="AC372" i="66"/>
  <c r="AP395" i="66"/>
  <c r="X400" i="66"/>
  <c r="AL389" i="66"/>
  <c r="Y389" i="66"/>
  <c r="AI399" i="66"/>
  <c r="S381" i="66"/>
  <c r="U366" i="66"/>
  <c r="AG400" i="66"/>
  <c r="AG392" i="66"/>
  <c r="U379" i="66"/>
  <c r="AD379" i="66"/>
  <c r="U358" i="66"/>
  <c r="AH381" i="66"/>
  <c r="R369" i="66"/>
  <c r="U378" i="66"/>
  <c r="AE366" i="66"/>
  <c r="AO355" i="66"/>
  <c r="V372" i="66"/>
  <c r="AL344" i="66"/>
  <c r="Z334" i="66"/>
  <c r="AP379" i="66"/>
  <c r="V349" i="66"/>
  <c r="Y338" i="66"/>
  <c r="AP419" i="66"/>
  <c r="Z413" i="66"/>
  <c r="AH386" i="66"/>
  <c r="AA361" i="66"/>
  <c r="W397" i="66"/>
  <c r="AP367" i="66"/>
  <c r="AP378" i="66"/>
  <c r="U367" i="66"/>
  <c r="AE421" i="66"/>
  <c r="R409" i="66"/>
  <c r="U406" i="66"/>
  <c r="AI422" i="66"/>
  <c r="T401" i="66"/>
  <c r="AI412" i="66"/>
  <c r="AF416" i="66"/>
  <c r="AG381" i="66"/>
  <c r="S379" i="66"/>
  <c r="S324" i="66"/>
  <c r="AM324" i="66"/>
  <c r="AG413" i="66"/>
  <c r="AN406" i="66"/>
  <c r="AP422" i="66"/>
  <c r="AL406" i="66"/>
  <c r="AM421" i="66"/>
  <c r="AK395" i="66"/>
  <c r="AG414" i="66"/>
  <c r="AF384" i="66"/>
  <c r="AE417" i="66"/>
  <c r="AO402" i="66"/>
  <c r="AJ411" i="66"/>
  <c r="AC417" i="66"/>
  <c r="X396" i="66"/>
  <c r="AL420" i="66"/>
  <c r="T399" i="66"/>
  <c r="AK403" i="66"/>
  <c r="T416" i="66"/>
  <c r="AF402" i="66"/>
  <c r="AK421" i="66"/>
  <c r="W384" i="66"/>
  <c r="W375" i="66"/>
  <c r="AN368" i="66"/>
  <c r="AN400" i="66"/>
  <c r="AK382" i="66"/>
  <c r="Y408" i="66"/>
  <c r="AH395" i="66"/>
  <c r="V408" i="66"/>
  <c r="Y398" i="66"/>
  <c r="AM371" i="66"/>
  <c r="V365" i="66"/>
  <c r="T395" i="66"/>
  <c r="AE388" i="66"/>
  <c r="X381" i="66"/>
  <c r="AN414" i="66"/>
  <c r="V410" i="66"/>
  <c r="T400" i="66"/>
  <c r="AE414" i="66"/>
  <c r="AM382" i="66"/>
  <c r="AM357" i="66"/>
  <c r="AC421" i="66"/>
  <c r="W404" i="66"/>
  <c r="AK418" i="66"/>
  <c r="AD392" i="66"/>
  <c r="Y381" i="66"/>
  <c r="S373" i="66"/>
  <c r="AF385" i="66"/>
  <c r="AC354" i="66"/>
  <c r="AH365" i="66"/>
  <c r="AO363" i="66"/>
  <c r="AH360" i="66"/>
  <c r="AN331" i="66"/>
  <c r="Y346" i="66"/>
  <c r="X397" i="66"/>
  <c r="AO380" i="66"/>
  <c r="W379" i="66"/>
  <c r="U375" i="66"/>
  <c r="AO410" i="66"/>
  <c r="R399" i="66"/>
  <c r="V415" i="66"/>
  <c r="AH412" i="66"/>
  <c r="W373" i="66"/>
  <c r="S391" i="66"/>
  <c r="S419" i="66"/>
  <c r="AP396" i="66"/>
  <c r="AI386" i="66"/>
  <c r="X379" i="66"/>
  <c r="T409" i="66"/>
  <c r="T406" i="66"/>
  <c r="Y394" i="66"/>
  <c r="AE393" i="66"/>
  <c r="R412" i="66"/>
  <c r="X385" i="66"/>
  <c r="Y372" i="66"/>
  <c r="T418" i="66"/>
  <c r="AL392" i="66"/>
  <c r="AA384" i="66"/>
  <c r="V377" i="66"/>
  <c r="S357" i="66"/>
  <c r="AH380" i="66"/>
  <c r="T368" i="66"/>
  <c r="AN376" i="66"/>
  <c r="AO365" i="66"/>
  <c r="Y355" i="66"/>
  <c r="AF369" i="66"/>
  <c r="V344" i="66"/>
  <c r="AJ333" i="66"/>
  <c r="AH376" i="66"/>
  <c r="Y348" i="66"/>
  <c r="AK419" i="66"/>
  <c r="AJ408" i="66"/>
  <c r="Y403" i="66"/>
  <c r="AG409" i="66"/>
  <c r="X401" i="66"/>
  <c r="R418" i="66"/>
  <c r="AC400" i="66"/>
  <c r="AG416" i="66"/>
  <c r="AI403" i="66"/>
  <c r="AI404" i="66"/>
  <c r="AM391" i="66"/>
  <c r="AI395" i="66"/>
  <c r="W371" i="66"/>
  <c r="AM349" i="66"/>
  <c r="AF364" i="66"/>
  <c r="AM411" i="66"/>
  <c r="Z394" i="66"/>
  <c r="AF391" i="66"/>
  <c r="W389" i="66"/>
  <c r="S409" i="66"/>
  <c r="R421" i="66"/>
  <c r="V405" i="66"/>
  <c r="AL409" i="66"/>
  <c r="AE378" i="66"/>
  <c r="Z384" i="66"/>
  <c r="AA371" i="66"/>
  <c r="X407" i="66"/>
  <c r="R408" i="66"/>
  <c r="AE382" i="66"/>
  <c r="AA375" i="66"/>
  <c r="Y356" i="66"/>
  <c r="AH379" i="66"/>
  <c r="T364" i="66"/>
  <c r="Y373" i="66"/>
  <c r="AE362" i="66"/>
  <c r="AM408" i="66"/>
  <c r="AI415" i="66"/>
  <c r="AF324" i="66"/>
  <c r="Y324" i="66"/>
  <c r="T419" i="66"/>
  <c r="T392" i="66"/>
  <c r="AM415" i="66"/>
  <c r="X411" i="66"/>
  <c r="AP421" i="66"/>
  <c r="AF400" i="66"/>
  <c r="AL410" i="66"/>
  <c r="W418" i="66"/>
  <c r="AH419" i="66"/>
  <c r="AE410" i="66"/>
  <c r="AN422" i="66"/>
  <c r="AJ417" i="66"/>
  <c r="S401" i="66"/>
  <c r="Z418" i="66"/>
  <c r="AD389" i="66"/>
  <c r="W412" i="66"/>
  <c r="X421" i="66"/>
  <c r="U420" i="66"/>
  <c r="S411" i="66"/>
  <c r="AP386" i="66"/>
  <c r="AG372" i="66"/>
  <c r="AL365" i="66"/>
  <c r="AN395" i="66"/>
  <c r="R378" i="66"/>
  <c r="AP415" i="66"/>
  <c r="AL415" i="66"/>
  <c r="Y399" i="66"/>
  <c r="X388" i="66"/>
  <c r="W369" i="66"/>
  <c r="AJ362" i="66"/>
  <c r="R406" i="66"/>
  <c r="U377" i="66"/>
  <c r="AI369" i="66"/>
  <c r="AL422" i="66"/>
  <c r="W421" i="66"/>
  <c r="AA409" i="66"/>
  <c r="AL397" i="66"/>
  <c r="X383" i="66"/>
  <c r="AG378" i="66"/>
  <c r="AP391" i="66"/>
  <c r="AA393" i="66"/>
  <c r="AL408" i="66"/>
  <c r="AF386" i="66"/>
  <c r="X389" i="66"/>
  <c r="AN419" i="66"/>
  <c r="Z385" i="66"/>
  <c r="AO350" i="66"/>
  <c r="AH361" i="66"/>
  <c r="Y361" i="66"/>
  <c r="AN353" i="66"/>
  <c r="AL328" i="66"/>
  <c r="AE343" i="66"/>
  <c r="AA404" i="66"/>
  <c r="S371" i="66"/>
  <c r="Z375" i="66"/>
  <c r="AA372" i="66"/>
  <c r="X408" i="66"/>
  <c r="AD408" i="66"/>
  <c r="AA396" i="66"/>
  <c r="V385" i="66"/>
  <c r="AM367" i="66"/>
  <c r="AJ377" i="66"/>
  <c r="AD361" i="66"/>
  <c r="AF410" i="66"/>
  <c r="AO398" i="66"/>
  <c r="AI378" i="66"/>
  <c r="AE371" i="66"/>
  <c r="AH393" i="66"/>
  <c r="AL398" i="66"/>
  <c r="R389" i="66"/>
  <c r="AA388" i="66"/>
  <c r="Y396" i="66"/>
  <c r="AK388" i="66"/>
  <c r="AK368" i="66"/>
  <c r="AF392" i="66"/>
  <c r="Z390" i="66"/>
  <c r="Y377" i="66"/>
  <c r="U370" i="66"/>
  <c r="AE353" i="66"/>
  <c r="AJ374" i="66"/>
  <c r="AN364" i="66"/>
  <c r="AO373" i="66"/>
  <c r="Y363" i="66"/>
  <c r="AE352" i="66"/>
  <c r="X359" i="66"/>
  <c r="AJ341" i="66"/>
  <c r="X331" i="66"/>
  <c r="AP364" i="66"/>
  <c r="AE345" i="66"/>
  <c r="AA415" i="66"/>
  <c r="AF395" i="66"/>
  <c r="Y387" i="66"/>
  <c r="AN417" i="66"/>
  <c r="AN390" i="66"/>
  <c r="U414" i="66"/>
  <c r="T407" i="66"/>
  <c r="X416" i="66"/>
  <c r="X420" i="66"/>
  <c r="Z421" i="66"/>
  <c r="AP406" i="66"/>
  <c r="AJ385" i="66"/>
  <c r="AM365" i="66"/>
  <c r="AP382" i="66"/>
  <c r="AI391" i="66"/>
  <c r="AL400" i="66"/>
  <c r="W391" i="66"/>
  <c r="S384" i="66"/>
  <c r="U376" i="66"/>
  <c r="T405" i="66"/>
  <c r="AD403" i="66"/>
  <c r="R392" i="66"/>
  <c r="AA391" i="66"/>
  <c r="R407" i="66"/>
  <c r="W385" i="66"/>
  <c r="AI367" i="66"/>
  <c r="AJ416" i="66"/>
  <c r="AF388" i="66"/>
  <c r="AD409" i="66"/>
  <c r="Y368" i="66"/>
  <c r="AK352" i="66"/>
  <c r="AP373" i="66"/>
  <c r="AD421" i="66"/>
  <c r="AE370" i="66"/>
  <c r="AO359" i="66"/>
  <c r="AH400" i="66"/>
  <c r="AD417" i="66"/>
  <c r="AL407" i="66"/>
  <c r="AO421" i="66"/>
  <c r="U411" i="66"/>
  <c r="W410" i="66"/>
  <c r="AL418" i="66"/>
  <c r="AA417" i="66"/>
  <c r="AI405" i="66"/>
  <c r="AL414" i="66"/>
  <c r="X406" i="66"/>
  <c r="AP418" i="66"/>
  <c r="W422" i="66"/>
  <c r="U405" i="66"/>
  <c r="AG398" i="66"/>
  <c r="AC414" i="66"/>
  <c r="AO396" i="66"/>
  <c r="Y422" i="66"/>
  <c r="R402" i="66"/>
  <c r="AN379" i="66"/>
  <c r="S396" i="66"/>
  <c r="AG395" i="66"/>
  <c r="R386" i="66"/>
  <c r="AI371" i="66"/>
  <c r="AE374" i="66"/>
  <c r="Z342" i="66"/>
  <c r="AG420" i="66"/>
  <c r="AI357" i="66"/>
  <c r="AA364" i="66"/>
  <c r="AE408" i="66"/>
  <c r="AH406" i="66"/>
  <c r="AP371" i="66"/>
  <c r="AO417" i="66"/>
  <c r="AI400" i="66"/>
  <c r="U416" i="66"/>
  <c r="AL411" i="66"/>
  <c r="AA380" i="66"/>
  <c r="AI375" i="66"/>
  <c r="R401" i="66"/>
  <c r="R384" i="66"/>
  <c r="AL390" i="66"/>
  <c r="AM383" i="66"/>
  <c r="AO357" i="66"/>
  <c r="X347" i="66"/>
  <c r="AJ325" i="66"/>
  <c r="Y340" i="66"/>
  <c r="X386" i="66"/>
  <c r="Y406" i="66"/>
  <c r="V393" i="66"/>
  <c r="AD395" i="66"/>
  <c r="Z398" i="66"/>
  <c r="AG376" i="66"/>
  <c r="T370" i="66"/>
  <c r="AP403" i="66"/>
  <c r="AH388" i="66"/>
  <c r="AI401" i="66"/>
  <c r="AN384" i="66"/>
  <c r="AJ387" i="66"/>
  <c r="W417" i="66"/>
  <c r="AK389" i="66"/>
  <c r="AI359" i="66"/>
  <c r="Z367" i="66"/>
  <c r="Y365" i="66"/>
  <c r="AC399" i="66"/>
  <c r="W365" i="66"/>
  <c r="AP389" i="66"/>
  <c r="AD396" i="66"/>
  <c r="AL377" i="66"/>
  <c r="X387" i="66"/>
  <c r="V379" i="66"/>
  <c r="AF365" i="66"/>
  <c r="T333" i="66"/>
  <c r="AE347" i="66"/>
  <c r="Z403" i="66"/>
  <c r="Z388" i="66"/>
  <c r="AO356" i="66"/>
  <c r="AH373" i="66"/>
  <c r="V380" i="66"/>
  <c r="AK363" i="66"/>
  <c r="U353" i="66"/>
  <c r="AD368" i="66"/>
  <c r="X345" i="66"/>
  <c r="V334" i="66"/>
  <c r="T379" i="66"/>
  <c r="AP348" i="66"/>
  <c r="Z419" i="66"/>
  <c r="W395" i="66"/>
  <c r="T383" i="66"/>
  <c r="Y360" i="66"/>
  <c r="S389" i="66"/>
  <c r="Z369" i="66"/>
  <c r="AF378" i="66"/>
  <c r="AM366" i="66"/>
  <c r="W356" i="66"/>
  <c r="T373" i="66"/>
  <c r="T345" i="66"/>
  <c r="AH334" i="66"/>
  <c r="AJ378" i="66"/>
  <c r="AL349" i="66"/>
  <c r="AG338" i="66"/>
  <c r="Y370" i="66"/>
  <c r="AD363" i="66"/>
  <c r="AF359" i="66"/>
  <c r="AI347" i="66"/>
  <c r="U332" i="66"/>
  <c r="AA320" i="66"/>
  <c r="AN350" i="66"/>
  <c r="AP337" i="66"/>
  <c r="V387" i="66"/>
  <c r="AP365" i="66"/>
  <c r="AN325" i="66"/>
  <c r="AM335" i="66"/>
  <c r="W325" i="66"/>
  <c r="AF358" i="66"/>
  <c r="AJ342" i="66"/>
  <c r="X332" i="66"/>
  <c r="S395" i="66"/>
  <c r="AA379" i="66"/>
  <c r="AF337" i="66"/>
  <c r="S339" i="66"/>
  <c r="AI327" i="66"/>
  <c r="AD378" i="66"/>
  <c r="X346" i="66"/>
  <c r="AI361" i="66"/>
  <c r="X417" i="66"/>
  <c r="V413" i="66"/>
  <c r="AK384" i="66"/>
  <c r="AC402" i="66"/>
  <c r="AK399" i="66"/>
  <c r="AL386" i="66"/>
  <c r="AO387" i="66"/>
  <c r="AF366" i="66"/>
  <c r="Z406" i="66"/>
  <c r="R338" i="66"/>
  <c r="AP354" i="66"/>
  <c r="Z395" i="66"/>
  <c r="AL405" i="66"/>
  <c r="AC360" i="66"/>
  <c r="T377" i="66"/>
  <c r="AG390" i="66"/>
  <c r="AA366" i="66"/>
  <c r="U355" i="66"/>
  <c r="T347" i="66"/>
  <c r="AH336" i="66"/>
  <c r="AF325" i="66"/>
  <c r="Z352" i="66"/>
  <c r="W403" i="66"/>
  <c r="AN382" i="66"/>
  <c r="R388" i="66"/>
  <c r="AO362" i="66"/>
  <c r="AK348" i="66"/>
  <c r="AL371" i="66"/>
  <c r="AG382" i="66"/>
  <c r="AG371" i="66"/>
  <c r="AM360" i="66"/>
  <c r="W350" i="66"/>
  <c r="AN351" i="66"/>
  <c r="AP338" i="66"/>
  <c r="R326" i="66"/>
  <c r="V353" i="66"/>
  <c r="AG340" i="66"/>
  <c r="T389" i="66"/>
  <c r="T360" i="66"/>
  <c r="T354" i="66"/>
  <c r="AD359" i="66"/>
  <c r="U334" i="66"/>
  <c r="AA322" i="66"/>
  <c r="X356" i="66"/>
  <c r="AL339" i="66"/>
  <c r="AJ412" i="66"/>
  <c r="AM379" i="66"/>
  <c r="S352" i="66"/>
  <c r="AH377" i="66"/>
  <c r="W335" i="66"/>
  <c r="AG323" i="66"/>
  <c r="X357" i="66"/>
  <c r="T342" i="66"/>
  <c r="AH420" i="66"/>
  <c r="AK362" i="66"/>
  <c r="S362" i="66"/>
  <c r="X325" i="66"/>
  <c r="S335" i="66"/>
  <c r="AC323" i="66"/>
  <c r="X354" i="66"/>
  <c r="T340" i="66"/>
  <c r="AA341" i="66"/>
  <c r="AH335" i="66"/>
  <c r="AP351" i="66"/>
  <c r="AK415" i="66"/>
  <c r="W378" i="66"/>
  <c r="AD369" i="66"/>
  <c r="AM385" i="66"/>
  <c r="AO403" i="66"/>
  <c r="AF401" i="66"/>
  <c r="AA355" i="66"/>
  <c r="AO361" i="66"/>
  <c r="AH346" i="66"/>
  <c r="T325" i="66"/>
  <c r="AE339" i="66"/>
  <c r="AJ384" i="66"/>
  <c r="AO372" i="66"/>
  <c r="AI349" i="66"/>
  <c r="X366" i="66"/>
  <c r="U373" i="66"/>
  <c r="AK359" i="66"/>
  <c r="U349" i="66"/>
  <c r="AF349" i="66"/>
  <c r="AD338" i="66"/>
  <c r="R328" i="66"/>
  <c r="AD360" i="66"/>
  <c r="W415" i="66"/>
  <c r="AJ393" i="66"/>
  <c r="AO379" i="66"/>
  <c r="AE383" i="66"/>
  <c r="AC358" i="66"/>
  <c r="Z382" i="66"/>
  <c r="AL367" i="66"/>
  <c r="AE376" i="66"/>
  <c r="AG365" i="66"/>
  <c r="AM354" i="66"/>
  <c r="AF367" i="66"/>
  <c r="AN343" i="66"/>
  <c r="AL332" i="66"/>
  <c r="AF373" i="66"/>
  <c r="AM347" i="66"/>
  <c r="S416" i="66"/>
  <c r="AO360" i="66"/>
  <c r="AI368" i="66"/>
  <c r="AL338" i="66"/>
  <c r="U336" i="66"/>
  <c r="AA325" i="66"/>
  <c r="Z360" i="66"/>
  <c r="X342" i="66"/>
  <c r="AA413" i="66"/>
  <c r="AO352" i="66"/>
  <c r="S360" i="66"/>
  <c r="AL330" i="66"/>
  <c r="W337" i="66"/>
  <c r="AG326" i="66"/>
  <c r="Z362" i="66"/>
  <c r="AP343" i="66"/>
  <c r="AD333" i="66"/>
  <c r="AN381" i="66"/>
  <c r="S370" i="66"/>
  <c r="AH332" i="66"/>
  <c r="S337" i="66"/>
  <c r="AC326" i="66"/>
  <c r="AD372" i="66"/>
  <c r="R345" i="66"/>
  <c r="AN370" i="66"/>
  <c r="AF356" i="66"/>
  <c r="AH327" i="66"/>
  <c r="V420" i="66"/>
  <c r="U403" i="66"/>
  <c r="AD340" i="66"/>
  <c r="S363" i="66"/>
  <c r="AA356" i="66"/>
  <c r="U415" i="66"/>
  <c r="AH422" i="66"/>
  <c r="AA408" i="66"/>
  <c r="R416" i="66"/>
  <c r="AA411" i="66"/>
  <c r="AN407" i="66"/>
  <c r="U399" i="66"/>
  <c r="AJ403" i="66"/>
  <c r="AA394" i="66"/>
  <c r="S417" i="66"/>
  <c r="AM416" i="66"/>
  <c r="V416" i="66"/>
  <c r="R390" i="66"/>
  <c r="AK404" i="66"/>
  <c r="AM397" i="66"/>
  <c r="AL395" i="66"/>
  <c r="AF405" i="66"/>
  <c r="W363" i="66"/>
  <c r="AJ386" i="66"/>
  <c r="AJ395" i="66"/>
  <c r="AK376" i="66"/>
  <c r="AK398" i="66"/>
  <c r="S365" i="66"/>
  <c r="AO371" i="66"/>
  <c r="AN339" i="66"/>
  <c r="AN412" i="66"/>
  <c r="Y354" i="66"/>
  <c r="W414" i="66"/>
  <c r="AK422" i="66"/>
  <c r="AF387" i="66"/>
  <c r="R367" i="66"/>
  <c r="T390" i="66"/>
  <c r="AE391" i="66"/>
  <c r="U404" i="66"/>
  <c r="AH385" i="66"/>
  <c r="AA422" i="66"/>
  <c r="AH383" i="66"/>
  <c r="Y364" i="66"/>
  <c r="Y371" i="66"/>
  <c r="AO349" i="66"/>
  <c r="X339" i="66"/>
  <c r="R357" i="66"/>
  <c r="R404" i="66"/>
  <c r="AA378" i="66"/>
  <c r="Y402" i="66"/>
  <c r="AE416" i="66"/>
  <c r="X399" i="66"/>
  <c r="W386" i="66"/>
  <c r="AG360" i="66"/>
  <c r="AN377" i="66"/>
  <c r="AO368" i="66"/>
  <c r="AJ397" i="66"/>
  <c r="AE386" i="66"/>
  <c r="AN378" i="66"/>
  <c r="AM392" i="66"/>
  <c r="AP388" i="66"/>
  <c r="S349" i="66"/>
  <c r="AL381" i="66"/>
  <c r="Y357" i="66"/>
  <c r="Z415" i="66"/>
  <c r="AM381" i="66"/>
  <c r="S404" i="66"/>
  <c r="Z387" i="66"/>
  <c r="S408" i="66"/>
  <c r="AC362" i="66"/>
  <c r="Y367" i="66"/>
  <c r="AN349" i="66"/>
  <c r="AF327" i="66"/>
  <c r="Y342" i="66"/>
  <c r="AG391" i="66"/>
  <c r="AH378" i="66"/>
  <c r="AC352" i="66"/>
  <c r="AJ368" i="66"/>
  <c r="AA374" i="66"/>
  <c r="U361" i="66"/>
  <c r="AA350" i="66"/>
  <c r="AJ358" i="66"/>
  <c r="V342" i="66"/>
  <c r="AJ331" i="66"/>
  <c r="AP366" i="66"/>
  <c r="AD416" i="66"/>
  <c r="T397" i="66"/>
  <c r="Y385" i="66"/>
  <c r="Y376" i="66"/>
  <c r="AK356" i="66"/>
  <c r="R380" i="66"/>
  <c r="T366" i="66"/>
  <c r="AM374" i="66"/>
  <c r="W364" i="66"/>
  <c r="AG353" i="66"/>
  <c r="AJ361" i="66"/>
  <c r="AH342" i="66"/>
  <c r="AF331" i="66"/>
  <c r="AP368" i="66"/>
  <c r="AG346" i="66"/>
  <c r="AN408" i="66"/>
  <c r="AI353" i="66"/>
  <c r="S374" i="66"/>
  <c r="AJ343" i="66"/>
  <c r="AC342" i="66"/>
  <c r="AA329" i="66"/>
  <c r="V374" i="66"/>
  <c r="AP345" i="66"/>
  <c r="AD335" i="66"/>
  <c r="AM402" i="66"/>
  <c r="W376" i="66"/>
  <c r="AD366" i="66"/>
  <c r="R354" i="66"/>
  <c r="W333" i="66"/>
  <c r="AG321" i="66"/>
  <c r="T353" i="66"/>
  <c r="X340" i="66"/>
  <c r="AA401" i="66"/>
  <c r="AK366" i="66"/>
  <c r="AI364" i="66"/>
  <c r="AJ327" i="66"/>
  <c r="AI335" i="66"/>
  <c r="S325" i="66"/>
  <c r="V368" i="66"/>
  <c r="V343" i="66"/>
  <c r="AI358" i="66"/>
  <c r="X390" i="66"/>
  <c r="AH398" i="66"/>
  <c r="AM359" i="66"/>
  <c r="AF382" i="66"/>
  <c r="X393" i="66"/>
  <c r="U374" i="66"/>
  <c r="AI381" i="66"/>
  <c r="Y375" i="66"/>
  <c r="AH362" i="66"/>
  <c r="AD332" i="66"/>
  <c r="AO346" i="66"/>
  <c r="AJ399" i="66"/>
  <c r="AP384" i="66"/>
  <c r="U356" i="66"/>
  <c r="AN372" i="66"/>
  <c r="AI377" i="66"/>
  <c r="U363" i="66"/>
  <c r="AA352" i="66"/>
  <c r="AD364" i="66"/>
  <c r="AH344" i="66"/>
  <c r="AF333" i="66"/>
  <c r="R376" i="66"/>
  <c r="AI418" i="66"/>
  <c r="AJ407" i="66"/>
  <c r="AI390" i="66"/>
  <c r="V390" i="66"/>
  <c r="AA359" i="66"/>
  <c r="S385" i="66"/>
  <c r="AF368" i="66"/>
  <c r="AM368" i="66"/>
  <c r="W358" i="66"/>
  <c r="Z381" i="66"/>
  <c r="AP346" i="66"/>
  <c r="AD336" i="66"/>
  <c r="AN375" i="66"/>
  <c r="AH348" i="66"/>
  <c r="AM337" i="66"/>
  <c r="AC364" i="66"/>
  <c r="AC371" i="66"/>
  <c r="X341" i="66"/>
  <c r="AC346" i="66"/>
  <c r="AA331" i="66"/>
  <c r="Y388" i="66"/>
  <c r="AL347" i="66"/>
  <c r="Z337" i="66"/>
  <c r="AP408" i="66"/>
  <c r="AF362" i="66"/>
  <c r="T358" i="66"/>
  <c r="AD349" i="66"/>
  <c r="AG332" i="66"/>
  <c r="AM320" i="66"/>
  <c r="AJ351" i="66"/>
  <c r="AH339" i="66"/>
  <c r="X405" i="66"/>
  <c r="T420" i="66"/>
  <c r="AI348" i="66"/>
  <c r="AC348" i="66"/>
  <c r="AC332" i="66"/>
  <c r="AI320" i="66"/>
  <c r="T348" i="66"/>
  <c r="AD401" i="66"/>
  <c r="AO328" i="66"/>
  <c r="AJ330" i="66"/>
  <c r="Y416" i="66"/>
  <c r="AJ394" i="66"/>
  <c r="AM375" i="66"/>
  <c r="Z422" i="66"/>
  <c r="AG406" i="66"/>
  <c r="AK377" i="66"/>
  <c r="AA399" i="66"/>
  <c r="Z377" i="66"/>
  <c r="AO351" i="66"/>
  <c r="T341" i="66"/>
  <c r="AF361" i="66"/>
  <c r="AK410" i="66"/>
  <c r="AK383" i="66"/>
  <c r="U364" i="66"/>
  <c r="Y386" i="66"/>
  <c r="X362" i="66"/>
  <c r="U369" i="66"/>
  <c r="U357" i="66"/>
  <c r="AL376" i="66"/>
  <c r="AD346" i="66"/>
  <c r="R336" i="66"/>
  <c r="AO388" i="66"/>
  <c r="AL355" i="66"/>
  <c r="V399" i="66"/>
  <c r="Z389" i="66"/>
  <c r="AA397" i="66"/>
  <c r="AK372" i="66"/>
  <c r="AO354" i="66"/>
  <c r="AP377" i="66"/>
  <c r="AH363" i="66"/>
  <c r="AG373" i="66"/>
  <c r="AM362" i="66"/>
  <c r="W352" i="66"/>
  <c r="T357" i="66"/>
  <c r="AL340" i="66"/>
  <c r="Z330" i="66"/>
  <c r="AF363" i="66"/>
  <c r="W345" i="66"/>
  <c r="AD398" i="66"/>
  <c r="AN391" i="66"/>
  <c r="S358" i="66"/>
  <c r="V355" i="66"/>
  <c r="AA333" i="66"/>
  <c r="AK321" i="66"/>
  <c r="AN354" i="66"/>
  <c r="V339" i="66"/>
  <c r="Z396" i="66"/>
  <c r="AL375" i="66"/>
  <c r="AC349" i="66"/>
  <c r="Z368" i="66"/>
  <c r="AG334" i="66"/>
  <c r="AM322" i="66"/>
  <c r="AJ355" i="66"/>
  <c r="AD341" i="66"/>
  <c r="AC408" i="66"/>
  <c r="S359" i="66"/>
  <c r="AC359" i="66"/>
  <c r="X375" i="66"/>
  <c r="AC334" i="66"/>
  <c r="AI322" i="66"/>
  <c r="V364" i="66"/>
  <c r="AP341" i="66"/>
  <c r="AF329" i="66"/>
  <c r="AP339" i="66"/>
  <c r="R368" i="66"/>
  <c r="AJ391" i="66"/>
  <c r="AN386" i="66"/>
  <c r="V359" i="66"/>
  <c r="R324" i="66"/>
  <c r="AO420" i="66"/>
  <c r="W405" i="66"/>
  <c r="Z400" i="66"/>
  <c r="AN411" i="66"/>
  <c r="AN401" i="66"/>
  <c r="W401" i="66"/>
  <c r="T422" i="66"/>
  <c r="AH410" i="66"/>
  <c r="AG410" i="66"/>
  <c r="AG397" i="66"/>
  <c r="AM353" i="66"/>
  <c r="AC389" i="66"/>
  <c r="AO415" i="66"/>
  <c r="S410" i="66"/>
  <c r="AG350" i="66"/>
  <c r="Y366" i="66"/>
  <c r="S407" i="66"/>
  <c r="AH421" i="66"/>
  <c r="AF372" i="66"/>
  <c r="AH384" i="66"/>
  <c r="V383" i="66"/>
  <c r="U408" i="66"/>
  <c r="AG394" i="66"/>
  <c r="Y353" i="66"/>
  <c r="V370" i="66"/>
  <c r="U389" i="66"/>
  <c r="AJ364" i="66"/>
  <c r="AC419" i="66"/>
  <c r="Y417" i="66"/>
  <c r="W357" i="66"/>
  <c r="W394" i="66"/>
  <c r="AJ383" i="66"/>
  <c r="S394" i="66"/>
  <c r="AP417" i="66"/>
  <c r="AD388" i="66"/>
  <c r="X413" i="66"/>
  <c r="AK391" i="66"/>
  <c r="AK360" i="66"/>
  <c r="AD371" i="66"/>
  <c r="AE368" i="66"/>
  <c r="Z379" i="66"/>
  <c r="V336" i="66"/>
  <c r="AH352" i="66"/>
  <c r="AP411" i="66"/>
  <c r="W420" i="66"/>
  <c r="Y413" i="66"/>
  <c r="T421" i="66"/>
  <c r="X419" i="66"/>
  <c r="AM378" i="66"/>
  <c r="W355" i="66"/>
  <c r="Y407" i="66"/>
  <c r="AD383" i="66"/>
  <c r="AA406" i="66"/>
  <c r="R394" i="66"/>
  <c r="U383" i="66"/>
  <c r="AO374" i="66"/>
  <c r="V398" i="66"/>
  <c r="AE399" i="66"/>
  <c r="AO386" i="66"/>
  <c r="S376" i="66"/>
  <c r="AE354" i="66"/>
  <c r="AA402" i="66"/>
  <c r="AM387" i="66"/>
  <c r="U368" i="66"/>
  <c r="AK385" i="66"/>
  <c r="AF411" i="66"/>
  <c r="R410" i="66"/>
  <c r="AE356" i="66"/>
  <c r="AF343" i="66"/>
  <c r="AP374" i="66"/>
  <c r="AE412" i="66"/>
  <c r="AM395" i="66"/>
  <c r="AE367" i="66"/>
  <c r="Z408" i="66"/>
  <c r="AL363" i="66"/>
  <c r="U371" i="66"/>
  <c r="AA358" i="66"/>
  <c r="Y384" i="66"/>
  <c r="T352" i="66"/>
  <c r="AJ339" i="66"/>
  <c r="X329" i="66"/>
  <c r="AP357" i="66"/>
  <c r="AA405" i="66"/>
  <c r="AE402" i="66"/>
  <c r="X418" i="66"/>
  <c r="S369" i="66"/>
  <c r="S353" i="66"/>
  <c r="AP375" i="66"/>
  <c r="AP361" i="66"/>
  <c r="W372" i="66"/>
  <c r="AG361" i="66"/>
  <c r="AM350" i="66"/>
  <c r="X353" i="66"/>
  <c r="AF339" i="66"/>
  <c r="T329" i="66"/>
  <c r="AH358" i="66"/>
  <c r="AM343" i="66"/>
  <c r="AJ388" i="66"/>
  <c r="AF376" i="66"/>
  <c r="AC363" i="66"/>
  <c r="AN333" i="66"/>
  <c r="AA337" i="66"/>
  <c r="AK326" i="66"/>
  <c r="X365" i="66"/>
  <c r="AD343" i="66"/>
  <c r="R333" i="66"/>
  <c r="AE363" i="66"/>
  <c r="AC365" i="66"/>
  <c r="AF345" i="66"/>
  <c r="AK344" i="66"/>
  <c r="AG330" i="66"/>
  <c r="AJ379" i="66"/>
  <c r="X348" i="66"/>
  <c r="V337" i="66"/>
  <c r="U352" i="66"/>
  <c r="S354" i="66"/>
  <c r="AP352" i="66"/>
  <c r="S333" i="66"/>
  <c r="AC321" i="66"/>
  <c r="AN356" i="66"/>
  <c r="AJ340" i="66"/>
  <c r="AK346" i="66"/>
  <c r="W413" i="66"/>
  <c r="AG402" i="66"/>
  <c r="R375" i="66"/>
  <c r="AN387" i="66"/>
  <c r="T384" i="66"/>
  <c r="AG412" i="66"/>
  <c r="AO358" i="66"/>
  <c r="AE364" i="66"/>
  <c r="AD348" i="66"/>
  <c r="AP326" i="66"/>
  <c r="AE341" i="66"/>
  <c r="AH389" i="66"/>
  <c r="AK374" i="66"/>
  <c r="AE351" i="66"/>
  <c r="V367" i="66"/>
  <c r="AK373" i="66"/>
  <c r="AA360" i="66"/>
  <c r="AK349" i="66"/>
  <c r="T356" i="66"/>
  <c r="AF341" i="66"/>
  <c r="T331" i="66"/>
  <c r="Z364" i="66"/>
  <c r="AI419" i="66"/>
  <c r="X395" i="66"/>
  <c r="AK381" i="66"/>
  <c r="AC374" i="66"/>
  <c r="AI355" i="66"/>
  <c r="R379" i="66"/>
  <c r="Z365" i="66"/>
  <c r="AD377" i="66"/>
  <c r="W366" i="66"/>
  <c r="AG355" i="66"/>
  <c r="AP370" i="66"/>
  <c r="AD344" i="66"/>
  <c r="R334" i="66"/>
  <c r="Z366" i="66"/>
  <c r="AM345" i="66"/>
  <c r="R417" i="66"/>
  <c r="Y350" i="66"/>
  <c r="AI360" i="66"/>
  <c r="AP328" i="66"/>
  <c r="S341" i="66"/>
  <c r="AK328" i="66"/>
  <c r="T371" i="66"/>
  <c r="Z345" i="66"/>
  <c r="AN334" i="66"/>
  <c r="U388" i="66"/>
  <c r="AC373" i="66"/>
  <c r="T343" i="66"/>
  <c r="AA343" i="66"/>
  <c r="AM329" i="66"/>
  <c r="AJ375" i="66"/>
  <c r="AH347" i="66"/>
  <c r="AF336" i="66"/>
  <c r="W399" i="66"/>
  <c r="AH371" i="66"/>
  <c r="AP344" i="66"/>
  <c r="S343" i="66"/>
  <c r="AI329" i="66"/>
  <c r="T375" i="66"/>
  <c r="AH345" i="66"/>
  <c r="S402" i="66"/>
  <c r="AJ371" i="66"/>
  <c r="X328" i="66"/>
  <c r="AE401" i="66"/>
  <c r="AF417" i="66"/>
  <c r="AG354" i="66"/>
  <c r="X402" i="66"/>
  <c r="AD413" i="66"/>
  <c r="AF383" i="66"/>
  <c r="AI380" i="66"/>
  <c r="V363" i="66"/>
  <c r="R377" i="66"/>
  <c r="AF335" i="66"/>
  <c r="AD351" i="66"/>
  <c r="AA403" i="66"/>
  <c r="U392" i="66"/>
  <c r="AE359" i="66"/>
  <c r="T376" i="66"/>
  <c r="W383" i="66"/>
  <c r="AK365" i="66"/>
  <c r="AA354" i="66"/>
  <c r="R362" i="66"/>
  <c r="R344" i="66"/>
  <c r="AP332" i="66"/>
  <c r="Z374" i="66"/>
  <c r="V351" i="66"/>
  <c r="W398" i="66"/>
  <c r="Z412" i="66"/>
  <c r="AE365" i="66"/>
  <c r="AA351" i="66"/>
  <c r="X374" i="66"/>
  <c r="AE395" i="66"/>
  <c r="AM370" i="66"/>
  <c r="W360" i="66"/>
  <c r="AG349" i="66"/>
  <c r="X349" i="66"/>
  <c r="Z338" i="66"/>
  <c r="AN327" i="66"/>
  <c r="AH356" i="66"/>
  <c r="AG342" i="66"/>
  <c r="AO389" i="66"/>
  <c r="AP369" i="66"/>
  <c r="AK380" i="66"/>
  <c r="S345" i="66"/>
  <c r="AK330" i="66"/>
  <c r="Z380" i="66"/>
  <c r="V347" i="66"/>
  <c r="AJ336" i="66"/>
  <c r="V406" i="66"/>
  <c r="AL396" i="66"/>
  <c r="AI408" i="66"/>
  <c r="X384" i="66"/>
  <c r="AF381" i="66"/>
  <c r="AE350" i="66"/>
  <c r="Y405" i="66"/>
  <c r="AG380" i="66"/>
  <c r="AO383" i="66"/>
  <c r="AH390" i="66"/>
  <c r="AE360" i="66"/>
  <c r="S397" i="66"/>
  <c r="AD404" i="66"/>
  <c r="Y391" i="66"/>
  <c r="AF370" i="66"/>
  <c r="AF398" i="66"/>
  <c r="AL369" i="66"/>
  <c r="AP399" i="66"/>
  <c r="AP412" i="66"/>
  <c r="AJ347" i="66"/>
  <c r="AD410" i="66"/>
  <c r="AE349" i="66"/>
  <c r="AM358" i="66"/>
  <c r="AH326" i="66"/>
  <c r="U323" i="66"/>
  <c r="AA387" i="66"/>
  <c r="AA339" i="66"/>
  <c r="AJ334" i="66"/>
  <c r="AF351" i="66"/>
  <c r="AN348" i="66"/>
  <c r="AG385" i="66"/>
  <c r="V396" i="66"/>
  <c r="R372" i="66"/>
  <c r="AI389" i="66"/>
  <c r="AO378" i="66"/>
  <c r="AH328" i="66"/>
  <c r="AP404" i="66"/>
  <c r="V361" i="66"/>
  <c r="AM352" i="66"/>
  <c r="AH357" i="66"/>
  <c r="S350" i="66"/>
  <c r="AP362" i="66"/>
  <c r="AI362" i="66"/>
  <c r="AL364" i="66"/>
  <c r="AI372" i="66"/>
  <c r="V366" i="66"/>
  <c r="R374" i="66"/>
  <c r="AD390" i="66"/>
  <c r="AE372" i="66"/>
  <c r="AN393" i="66"/>
  <c r="AI376" i="66"/>
  <c r="AP340" i="66"/>
  <c r="AJ402" i="66"/>
  <c r="U362" i="66"/>
  <c r="W368" i="66"/>
  <c r="AN335" i="66"/>
  <c r="AO401" i="66"/>
  <c r="U328" i="66"/>
  <c r="S388" i="66"/>
  <c r="AJ352" i="66"/>
  <c r="AM331" i="66"/>
  <c r="AF350" i="66"/>
  <c r="AH394" i="66"/>
  <c r="T363" i="66"/>
  <c r="AI331" i="66"/>
  <c r="AN352" i="66"/>
  <c r="AO336" i="66"/>
  <c r="Y347" i="66"/>
  <c r="R373" i="66"/>
  <c r="AH382" i="66"/>
  <c r="AN345" i="66"/>
  <c r="AI394" i="66"/>
  <c r="AK392" i="66"/>
  <c r="AM356" i="66"/>
  <c r="T381" i="66"/>
  <c r="X377" i="66"/>
  <c r="U381" i="66"/>
  <c r="W331" i="66"/>
  <c r="AI393" i="66"/>
  <c r="S331" i="66"/>
  <c r="V384" i="66"/>
  <c r="AL360" i="66"/>
  <c r="U319" i="66"/>
  <c r="AA308" i="66"/>
  <c r="Z359" i="66"/>
  <c r="S321" i="66"/>
  <c r="Z310" i="66"/>
  <c r="AG337" i="66"/>
  <c r="W315" i="66"/>
  <c r="AG304" i="66"/>
  <c r="AN373" i="66"/>
  <c r="T298" i="66"/>
  <c r="U286" i="66"/>
  <c r="AA275" i="66"/>
  <c r="AL346" i="66"/>
  <c r="AJ349" i="66"/>
  <c r="X373" i="66"/>
  <c r="AP321" i="66"/>
  <c r="AM310" i="66"/>
  <c r="W300" i="66"/>
  <c r="U325" i="66"/>
  <c r="AH312" i="66"/>
  <c r="AI346" i="66"/>
  <c r="AC318" i="66"/>
  <c r="AI307" i="66"/>
  <c r="S297" i="66"/>
  <c r="AL305" i="66"/>
  <c r="W291" i="66"/>
  <c r="AG280" i="66"/>
  <c r="AI374" i="66"/>
  <c r="T359" i="66"/>
  <c r="AF328" i="66"/>
  <c r="AE332" i="66"/>
  <c r="AI314" i="66"/>
  <c r="S304" i="66"/>
  <c r="W348" i="66"/>
  <c r="X319" i="66"/>
  <c r="V308" i="66"/>
  <c r="AE330" i="66"/>
  <c r="AE313" i="66"/>
  <c r="AO302" i="66"/>
  <c r="AA334" i="66"/>
  <c r="R296" i="66"/>
  <c r="AC284" i="66"/>
  <c r="AI273" i="66"/>
  <c r="AO347" i="66"/>
  <c r="AN317" i="66"/>
  <c r="AK300" i="66"/>
  <c r="AM273" i="66"/>
  <c r="AH392" i="66"/>
  <c r="AA392" i="66"/>
  <c r="Z350" i="66"/>
  <c r="AF374" i="66"/>
  <c r="R360" i="66"/>
  <c r="AE404" i="66"/>
  <c r="AD380" i="66"/>
  <c r="AG375" i="66"/>
  <c r="X343" i="66"/>
  <c r="AM417" i="66"/>
  <c r="AC338" i="66"/>
  <c r="AH333" i="66"/>
  <c r="AK340" i="66"/>
  <c r="Z335" i="66"/>
  <c r="AC340" i="66"/>
  <c r="AC369" i="66"/>
  <c r="Z355" i="66"/>
  <c r="AA318" i="66"/>
  <c r="AK307" i="66"/>
  <c r="V354" i="66"/>
  <c r="V320" i="66"/>
  <c r="AJ309" i="66"/>
  <c r="AE334" i="66"/>
  <c r="AG314" i="66"/>
  <c r="AM303" i="66"/>
  <c r="AE346" i="66"/>
  <c r="Y297" i="66"/>
  <c r="AA285" i="66"/>
  <c r="AK274" i="66"/>
  <c r="AP336" i="66"/>
  <c r="AJ346" i="66"/>
  <c r="AN326" i="66"/>
  <c r="AD325" i="66"/>
  <c r="AM312" i="66"/>
  <c r="W302" i="66"/>
  <c r="AO331" i="66"/>
  <c r="AD314" i="66"/>
  <c r="AD306" i="66"/>
  <c r="AH323" i="66"/>
  <c r="AC312" i="66"/>
  <c r="AI301" i="66"/>
  <c r="AG322" i="66"/>
  <c r="W296" i="66"/>
  <c r="W285" i="66"/>
  <c r="AG274" i="66"/>
  <c r="AE335" i="66"/>
  <c r="R335" i="66"/>
  <c r="AH353" i="66"/>
  <c r="AC319" i="66"/>
  <c r="AI308" i="66"/>
  <c r="AN361" i="66"/>
  <c r="AD321" i="66"/>
  <c r="AH310" i="66"/>
  <c r="AI338" i="66"/>
  <c r="AE315" i="66"/>
  <c r="AO304" i="66"/>
  <c r="Y294" i="66"/>
  <c r="AE298" i="66"/>
  <c r="AC286" i="66"/>
  <c r="AI275" i="66"/>
  <c r="AH329" i="66"/>
  <c r="AK343" i="66"/>
  <c r="AK308" i="66"/>
  <c r="Y292" i="66"/>
  <c r="AI263" i="66"/>
  <c r="Y383" i="66"/>
  <c r="AO369" i="66"/>
  <c r="V392" i="66"/>
  <c r="AO375" i="66"/>
  <c r="Z340" i="66"/>
  <c r="AD415" i="66"/>
  <c r="AJ376" i="66"/>
  <c r="AG351" i="66"/>
  <c r="AL359" i="66"/>
  <c r="AC355" i="66"/>
  <c r="AN358" i="66"/>
  <c r="AC357" i="66"/>
  <c r="AJ359" i="66"/>
  <c r="AC367" i="66"/>
  <c r="X358" i="66"/>
  <c r="T351" i="66"/>
  <c r="AK333" i="66"/>
  <c r="U315" i="66"/>
  <c r="AA304" i="66"/>
  <c r="W340" i="66"/>
  <c r="T317" i="66"/>
  <c r="AH306" i="66"/>
  <c r="R323" i="66"/>
  <c r="W311" i="66"/>
  <c r="AG300" i="66"/>
  <c r="AL317" i="66"/>
  <c r="AK292" i="66"/>
  <c r="U282" i="66"/>
  <c r="T393" i="66"/>
  <c r="Y336" i="66"/>
  <c r="V335" i="66"/>
  <c r="AH359" i="66"/>
  <c r="X320" i="66"/>
  <c r="AG309" i="66"/>
  <c r="Z376" i="66"/>
  <c r="AN313" i="66"/>
  <c r="R353" i="66"/>
  <c r="AI319" i="66"/>
  <c r="S309" i="66"/>
  <c r="AC298" i="66"/>
  <c r="Z311" i="66"/>
  <c r="AG292" i="66"/>
  <c r="AM281" i="66"/>
  <c r="AE377" i="66"/>
  <c r="Y321" i="66"/>
  <c r="AL329" i="66"/>
  <c r="Y337" i="66"/>
  <c r="S316" i="66"/>
  <c r="AC305" i="66"/>
  <c r="W344" i="66"/>
  <c r="R318" i="66"/>
  <c r="R310" i="66"/>
  <c r="AK335" i="66"/>
  <c r="AO314" i="66"/>
  <c r="Y304" i="66"/>
  <c r="V350" i="66"/>
  <c r="AJ297" i="66"/>
  <c r="AI285" i="66"/>
  <c r="S275" i="66"/>
  <c r="V327" i="66"/>
  <c r="AG333" i="66"/>
  <c r="AK316" i="66"/>
  <c r="AE289" i="66"/>
  <c r="AA395" i="66"/>
  <c r="W382" i="66"/>
  <c r="T415" i="66"/>
  <c r="AI411" i="66"/>
  <c r="AE420" i="66"/>
  <c r="R358" i="66"/>
  <c r="AC416" i="66"/>
  <c r="AP385" i="66"/>
  <c r="U350" i="66"/>
  <c r="X351" i="66"/>
  <c r="AO416" i="66"/>
  <c r="AE387" i="66"/>
  <c r="AH408" i="66"/>
  <c r="Y415" i="66"/>
  <c r="AO367" i="66"/>
  <c r="V412" i="66"/>
  <c r="Y349" i="66"/>
  <c r="AL419" i="66"/>
  <c r="AK367" i="66"/>
  <c r="X337" i="66"/>
  <c r="T386" i="66"/>
  <c r="AJ372" i="66"/>
  <c r="W393" i="66"/>
  <c r="Z354" i="66"/>
  <c r="AI352" i="66"/>
  <c r="AF357" i="66"/>
  <c r="AI354" i="66"/>
  <c r="AM327" i="66"/>
  <c r="AC344" i="66"/>
  <c r="R414" i="66"/>
  <c r="S377" i="66"/>
  <c r="AA383" i="66"/>
  <c r="AC405" i="66"/>
  <c r="R363" i="66"/>
  <c r="AP356" i="66"/>
  <c r="AA367" i="66"/>
  <c r="AN359" i="66"/>
  <c r="W343" i="66"/>
  <c r="AN342" i="66"/>
  <c r="X333" i="66"/>
  <c r="AF344" i="66"/>
  <c r="T335" i="66"/>
  <c r="AF342" i="66"/>
  <c r="AF408" i="66"/>
  <c r="U401" i="66"/>
  <c r="AJ357" i="66"/>
  <c r="X391" i="66"/>
  <c r="AA362" i="66"/>
  <c r="AD330" i="66"/>
  <c r="AI388" i="66"/>
  <c r="AG403" i="66"/>
  <c r="AG357" i="66"/>
  <c r="S387" i="66"/>
  <c r="Y382" i="66"/>
  <c r="X369" i="66"/>
  <c r="AE375" i="66"/>
  <c r="AH340" i="66"/>
  <c r="W329" i="66"/>
  <c r="R347" i="66"/>
  <c r="AA386" i="66"/>
  <c r="AD342" i="66"/>
  <c r="S329" i="66"/>
  <c r="AD347" i="66"/>
  <c r="Y326" i="66"/>
  <c r="AG419" i="66"/>
  <c r="Y351" i="66"/>
  <c r="AF360" i="66"/>
  <c r="AL334" i="66"/>
  <c r="AG401" i="66"/>
  <c r="X370" i="66"/>
  <c r="V376" i="66"/>
  <c r="AP350" i="66"/>
  <c r="V346" i="66"/>
  <c r="AD376" i="66"/>
  <c r="AL380" i="66"/>
  <c r="AI383" i="66"/>
  <c r="AL378" i="66"/>
  <c r="AE322" i="66"/>
  <c r="AA338" i="66"/>
  <c r="AA316" i="66"/>
  <c r="AK305" i="66"/>
  <c r="U345" i="66"/>
  <c r="Z318" i="66"/>
  <c r="AN307" i="66"/>
  <c r="AE326" i="66"/>
  <c r="AG312" i="66"/>
  <c r="AM301" i="66"/>
  <c r="AA323" i="66"/>
  <c r="R294" i="66"/>
  <c r="AA283" i="66"/>
  <c r="AK272" i="66"/>
  <c r="AA345" i="66"/>
  <c r="Z339" i="66"/>
  <c r="R349" i="66"/>
  <c r="AM318" i="66"/>
  <c r="W308" i="66"/>
  <c r="AD358" i="66"/>
  <c r="AL320" i="66"/>
  <c r="AF309" i="66"/>
  <c r="AA336" i="66"/>
  <c r="AI315" i="66"/>
  <c r="S305" i="66"/>
  <c r="AC294" i="66"/>
  <c r="AJ300" i="66"/>
  <c r="AG288" i="66"/>
  <c r="AM277" i="66"/>
  <c r="AD334" i="66"/>
  <c r="AH343" i="66"/>
  <c r="T326" i="66"/>
  <c r="Z323" i="66"/>
  <c r="S312" i="66"/>
  <c r="AC301" i="66"/>
  <c r="AM338" i="66"/>
  <c r="V316" i="66"/>
  <c r="AJ305" i="66"/>
  <c r="AM321" i="66"/>
  <c r="AO310" i="66"/>
  <c r="Y300" i="66"/>
  <c r="AJ316" i="66"/>
  <c r="AC292" i="66"/>
  <c r="AI281" i="66"/>
  <c r="S351" i="66"/>
  <c r="AE318" i="66"/>
  <c r="AF305" i="66"/>
  <c r="T318" i="66"/>
  <c r="AE405" i="66"/>
  <c r="T402" i="66"/>
  <c r="AI398" i="66"/>
  <c r="AA381" i="66"/>
  <c r="AL342" i="66"/>
  <c r="AF399" i="66"/>
  <c r="AE357" i="66"/>
  <c r="AM364" i="66"/>
  <c r="V332" i="66"/>
  <c r="AA357" i="66"/>
  <c r="AA327" i="66"/>
  <c r="AC368" i="66"/>
  <c r="AG328" i="66"/>
  <c r="Y379" i="66"/>
  <c r="AC328" i="66"/>
  <c r="S392" i="66"/>
  <c r="S336" i="66"/>
  <c r="AK315" i="66"/>
  <c r="U305" i="66"/>
  <c r="U343" i="66"/>
  <c r="AJ317" i="66"/>
  <c r="X307" i="66"/>
  <c r="AM323" i="66"/>
  <c r="AM311" i="66"/>
  <c r="W301" i="66"/>
  <c r="AL319" i="66"/>
  <c r="AA293" i="66"/>
  <c r="AK282" i="66"/>
  <c r="AF420" i="66"/>
  <c r="U340" i="66"/>
  <c r="AH337" i="66"/>
  <c r="AJ365" i="66"/>
  <c r="T321" i="66"/>
  <c r="W310" i="66"/>
  <c r="S383" i="66"/>
  <c r="X323" i="66"/>
  <c r="R312" i="66"/>
  <c r="V358" i="66"/>
  <c r="AF320" i="66"/>
  <c r="AI309" i="66"/>
  <c r="S299" i="66"/>
  <c r="R313" i="66"/>
  <c r="W293" i="66"/>
  <c r="AG282" i="66"/>
  <c r="AK354" i="66"/>
  <c r="AO323" i="66"/>
  <c r="R331" i="66"/>
  <c r="AA340" i="66"/>
  <c r="AI316" i="66"/>
  <c r="S306" i="66"/>
  <c r="W346" i="66"/>
  <c r="AH318" i="66"/>
  <c r="AF307" i="66"/>
  <c r="AK327" i="66"/>
  <c r="AO312" i="66"/>
  <c r="Y302" i="66"/>
  <c r="AA326" i="66"/>
  <c r="X295" i="66"/>
  <c r="AI283" i="66"/>
  <c r="S273" i="66"/>
  <c r="AI336" i="66"/>
  <c r="AP312" i="66"/>
  <c r="U298" i="66"/>
  <c r="AE281" i="66"/>
  <c r="AA412" i="66"/>
  <c r="AK390" i="66"/>
  <c r="X355" i="66"/>
  <c r="U384" i="66"/>
  <c r="AK361" i="66"/>
  <c r="AN329" i="66"/>
  <c r="S378" i="66"/>
  <c r="AN362" i="66"/>
  <c r="AN355" i="66"/>
  <c r="AG344" i="66"/>
  <c r="AF380" i="66"/>
  <c r="AH341" i="66"/>
  <c r="Z328" i="66"/>
  <c r="Z343" i="66"/>
  <c r="V330" i="66"/>
  <c r="Z341" i="66"/>
  <c r="AP331" i="66"/>
  <c r="AJ323" i="66"/>
  <c r="AA312" i="66"/>
  <c r="AK301" i="66"/>
  <c r="S330" i="66"/>
  <c r="AH314" i="66"/>
  <c r="AP355" i="66"/>
  <c r="W319" i="66"/>
  <c r="AG308" i="66"/>
  <c r="AM297" i="66"/>
  <c r="X306" i="66"/>
  <c r="U290" i="66"/>
  <c r="AA279" i="66"/>
  <c r="R382" i="66"/>
  <c r="AE325" i="66"/>
  <c r="V331" i="66"/>
  <c r="AO343" i="66"/>
  <c r="AG317" i="66"/>
  <c r="AM306" i="66"/>
  <c r="AP349" i="66"/>
  <c r="AD322" i="66"/>
  <c r="AL310" i="66"/>
  <c r="Y341" i="66"/>
  <c r="S317" i="66"/>
  <c r="AC306" i="66"/>
  <c r="AI295" i="66"/>
  <c r="R303" i="66"/>
  <c r="AM289" i="66"/>
  <c r="W279" i="66"/>
  <c r="T361" i="66"/>
  <c r="AF348" i="66"/>
  <c r="Z327" i="66"/>
  <c r="AM326" i="66"/>
  <c r="AC313" i="66"/>
  <c r="AI302" i="66"/>
  <c r="S334" i="66"/>
  <c r="AP314" i="66"/>
  <c r="AP306" i="66"/>
  <c r="Z325" i="66"/>
  <c r="Y312" i="66"/>
  <c r="AE301" i="66"/>
  <c r="AL321" i="66"/>
  <c r="AI293" i="66"/>
  <c r="S283" i="66"/>
  <c r="AC272" i="66"/>
  <c r="W326" i="66"/>
  <c r="U306" i="66"/>
  <c r="AO278" i="66"/>
  <c r="Y359" i="66"/>
  <c r="AL387" i="66"/>
  <c r="AE407" i="66"/>
  <c r="AM403" i="66"/>
  <c r="W351" i="66"/>
  <c r="AE394" i="66"/>
  <c r="S380" i="66"/>
  <c r="U417" i="66"/>
  <c r="AI396" i="66"/>
  <c r="AO342" i="66"/>
  <c r="AH405" i="66"/>
  <c r="AF422" i="66"/>
  <c r="W390" i="66"/>
  <c r="Y362" i="66"/>
  <c r="V326" i="66"/>
  <c r="U386" i="66"/>
  <c r="W341" i="66"/>
  <c r="AK334" i="66"/>
  <c r="AJ335" i="66"/>
  <c r="AD385" i="66"/>
  <c r="AE331" i="66"/>
  <c r="AO353" i="66"/>
  <c r="AA370" i="66"/>
  <c r="T339" i="66"/>
  <c r="V375" i="66"/>
  <c r="R342" i="66"/>
  <c r="U360" i="66"/>
  <c r="AN385" i="66"/>
  <c r="AN344" i="66"/>
  <c r="AE373" i="66"/>
  <c r="V371" i="66"/>
  <c r="AK411" i="66"/>
  <c r="V381" i="66"/>
  <c r="AM339" i="66"/>
  <c r="X334" i="66"/>
  <c r="U342" i="66"/>
  <c r="AP335" i="66"/>
  <c r="AI341" i="66"/>
  <c r="AE392" i="66"/>
  <c r="Z402" i="66"/>
  <c r="AJ373" i="66"/>
  <c r="S361" i="66"/>
  <c r="X335" i="66"/>
  <c r="U330" i="66"/>
  <c r="R348" i="66"/>
  <c r="AJ356" i="66"/>
  <c r="AN346" i="66"/>
  <c r="U322" i="66"/>
  <c r="AA300" i="66"/>
  <c r="AL312" i="66"/>
  <c r="AM317" i="66"/>
  <c r="AG296" i="66"/>
  <c r="AK288" i="66"/>
  <c r="Z378" i="66"/>
  <c r="AP329" i="66"/>
  <c r="AG313" i="66"/>
  <c r="AI334" i="66"/>
  <c r="R366" i="66"/>
  <c r="AC310" i="66"/>
  <c r="R315" i="66"/>
  <c r="W283" i="66"/>
  <c r="AE327" i="66"/>
  <c r="Y343" i="66"/>
  <c r="AI306" i="66"/>
  <c r="Y322" i="66"/>
  <c r="AI340" i="66"/>
  <c r="AE305" i="66"/>
  <c r="AN301" i="66"/>
  <c r="AC276" i="66"/>
  <c r="R355" i="66"/>
  <c r="Y284" i="66"/>
  <c r="W402" i="66"/>
  <c r="AN389" i="66"/>
  <c r="Z332" i="66"/>
  <c r="W381" i="66"/>
  <c r="X371" i="66"/>
  <c r="X367" i="66"/>
  <c r="AL368" i="66"/>
  <c r="R370" i="66"/>
  <c r="AL325" i="66"/>
  <c r="AA302" i="66"/>
  <c r="X315" i="66"/>
  <c r="AM319" i="66"/>
  <c r="AG298" i="66"/>
  <c r="AK290" i="66"/>
  <c r="Y358" i="66"/>
  <c r="AL331" i="66"/>
  <c r="W318" i="66"/>
  <c r="Z353" i="66"/>
  <c r="AP308" i="66"/>
  <c r="AI317" i="66"/>
  <c r="AC296" i="66"/>
  <c r="AG290" i="66"/>
  <c r="S364" i="66"/>
  <c r="AP327" i="66"/>
  <c r="S314" i="66"/>
  <c r="AE336" i="66"/>
  <c r="T305" i="66"/>
  <c r="Y310" i="66"/>
  <c r="AJ314" i="66"/>
  <c r="S281" i="66"/>
  <c r="AO315" i="66"/>
  <c r="AJ421" i="66"/>
  <c r="R330" i="66"/>
  <c r="U351" i="66"/>
  <c r="AO370" i="66"/>
  <c r="V340" i="66"/>
  <c r="AA335" i="66"/>
  <c r="AG336" i="66"/>
  <c r="AC336" i="66"/>
  <c r="R327" i="66"/>
  <c r="AK309" i="66"/>
  <c r="AJ322" i="66"/>
  <c r="AO341" i="66"/>
  <c r="AM305" i="66"/>
  <c r="AL299" i="66"/>
  <c r="AK276" i="66"/>
  <c r="AP360" i="66"/>
  <c r="U333" i="66"/>
  <c r="W304" i="66"/>
  <c r="AN305" i="66"/>
  <c r="AI311" i="66"/>
  <c r="V319" i="66"/>
  <c r="AG284" i="66"/>
  <c r="AO332" i="66"/>
  <c r="AA348" i="66"/>
  <c r="S308" i="66"/>
  <c r="AG320" i="66"/>
  <c r="S346" i="66"/>
  <c r="AO306" i="66"/>
  <c r="AP303" i="66"/>
  <c r="AI277" i="66"/>
  <c r="AE302" i="66"/>
  <c r="AA295" i="66"/>
  <c r="S375" i="66"/>
  <c r="Z370" i="66"/>
  <c r="AI356" i="66"/>
  <c r="AK311" i="66"/>
  <c r="AD350" i="66"/>
  <c r="Z303" i="66"/>
  <c r="AD367" i="66"/>
  <c r="AM316" i="66"/>
  <c r="AJ307" i="66"/>
  <c r="AM336" i="66"/>
  <c r="U344" i="66"/>
  <c r="S310" i="66"/>
  <c r="AG343" i="66"/>
  <c r="AP302" i="66"/>
  <c r="AH404" i="66"/>
  <c r="AI261" i="66"/>
  <c r="S251" i="66"/>
  <c r="AC240" i="66"/>
  <c r="V301" i="66"/>
  <c r="R289" i="66"/>
  <c r="AP277" i="66"/>
  <c r="AL263" i="66"/>
  <c r="AG327" i="66"/>
  <c r="AJ294" i="66"/>
  <c r="AO283" i="66"/>
  <c r="Y323" i="66"/>
  <c r="Y307" i="66"/>
  <c r="U327" i="66"/>
  <c r="AD297" i="66"/>
  <c r="AE265" i="66"/>
  <c r="AO254" i="66"/>
  <c r="Y244" i="66"/>
  <c r="AJ312" i="66"/>
  <c r="AF292" i="66"/>
  <c r="T282" i="66"/>
  <c r="AH271" i="66"/>
  <c r="AD257" i="66"/>
  <c r="AF300" i="66"/>
  <c r="AA288" i="66"/>
  <c r="AK277" i="66"/>
  <c r="V356" i="66"/>
  <c r="T322" i="66"/>
  <c r="AA307" i="66"/>
  <c r="Y280" i="66"/>
  <c r="AA261" i="66"/>
  <c r="AK250" i="66"/>
  <c r="U240" i="66"/>
  <c r="AL301" i="66"/>
  <c r="T288" i="66"/>
  <c r="AH277" i="66"/>
  <c r="T264" i="66"/>
  <c r="S332" i="66"/>
  <c r="Z294" i="66"/>
  <c r="AG283" i="66"/>
  <c r="AN341" i="66"/>
  <c r="AO313" i="66"/>
  <c r="V306" i="66"/>
  <c r="Y320" i="66"/>
  <c r="AG270" i="66"/>
  <c r="AG256" i="66"/>
  <c r="AM245" i="66"/>
  <c r="T320" i="66"/>
  <c r="V295" i="66"/>
  <c r="S390" i="66"/>
  <c r="AL326" i="66"/>
  <c r="AM341" i="66"/>
  <c r="AN340" i="66"/>
  <c r="AK319" i="66"/>
  <c r="AP310" i="66"/>
  <c r="AG294" i="66"/>
  <c r="AL372" i="66"/>
  <c r="W314" i="66"/>
  <c r="X305" i="66"/>
  <c r="V317" i="66"/>
  <c r="Y330" i="66"/>
  <c r="AC307" i="66"/>
  <c r="AM332" i="66"/>
  <c r="AM296" i="66"/>
  <c r="AI323" i="66"/>
  <c r="S261" i="66"/>
  <c r="AC250" i="66"/>
  <c r="AI239" i="66"/>
  <c r="AP304" i="66"/>
  <c r="AN290" i="66"/>
  <c r="AL279" i="66"/>
  <c r="X266" i="66"/>
  <c r="R351" i="66"/>
  <c r="V297" i="66"/>
  <c r="AO285" i="66"/>
  <c r="AI350" i="66"/>
  <c r="Y315" i="66"/>
  <c r="AE379" i="66"/>
  <c r="T316" i="66"/>
  <c r="Y270" i="66"/>
  <c r="AO256" i="66"/>
  <c r="Y246" i="66"/>
  <c r="AF321" i="66"/>
  <c r="AF294" i="66"/>
  <c r="AP283" i="66"/>
  <c r="AD273" i="66"/>
  <c r="Z259" i="66"/>
  <c r="AF304" i="66"/>
  <c r="AA290" i="66"/>
  <c r="AK279" i="66"/>
  <c r="AF334" i="66"/>
  <c r="AK347" i="66"/>
  <c r="AA315" i="66"/>
  <c r="Y288" i="66"/>
  <c r="AA263" i="66"/>
  <c r="AK252" i="66"/>
  <c r="U242" i="66"/>
  <c r="AH305" i="66"/>
  <c r="AP289" i="66"/>
  <c r="AD279" i="66"/>
  <c r="AP265" i="66"/>
  <c r="AP359" i="66"/>
  <c r="AJ296" i="66"/>
  <c r="AG285" i="66"/>
  <c r="AM274" i="66"/>
  <c r="Z322" i="66"/>
  <c r="AF313" i="66"/>
  <c r="AK298" i="66"/>
  <c r="AO272" i="66"/>
  <c r="AG258" i="66"/>
  <c r="AM247" i="66"/>
  <c r="AH364" i="66"/>
  <c r="AN297" i="66"/>
  <c r="AP390" i="66"/>
  <c r="AK396" i="66"/>
  <c r="AJ337" i="66"/>
  <c r="AM333" i="66"/>
  <c r="S342" i="66"/>
  <c r="AP318" i="66"/>
  <c r="AG302" i="66"/>
  <c r="AA273" i="66"/>
  <c r="AK322" i="66"/>
  <c r="X313" i="66"/>
  <c r="AI297" i="66"/>
  <c r="X364" i="66"/>
  <c r="AC315" i="66"/>
  <c r="Z306" i="66"/>
  <c r="AJ318" i="66"/>
  <c r="AE321" i="66"/>
  <c r="S263" i="66"/>
  <c r="AC252" i="66"/>
  <c r="AI241" i="66"/>
  <c r="AN303" i="66"/>
  <c r="X290" i="66"/>
  <c r="V279" i="66"/>
  <c r="AH265" i="66"/>
  <c r="AC343" i="66"/>
  <c r="AJ299" i="66"/>
  <c r="AO287" i="66"/>
  <c r="Y277" i="66"/>
  <c r="AP323" i="66"/>
  <c r="AL314" i="66"/>
  <c r="AA297" i="66"/>
  <c r="Y272" i="66"/>
  <c r="AO258" i="66"/>
  <c r="Y248" i="66"/>
  <c r="AH374" i="66"/>
  <c r="AC297" i="66"/>
  <c r="AL285" i="66"/>
  <c r="Z275" i="66"/>
  <c r="V261" i="66"/>
  <c r="R311" i="66"/>
  <c r="AA292" i="66"/>
  <c r="AK281" i="66"/>
  <c r="AE320" i="66"/>
  <c r="AO303" i="66"/>
  <c r="R325" i="66"/>
  <c r="AH296" i="66"/>
  <c r="AA265" i="66"/>
  <c r="AK254" i="66"/>
  <c r="U244" i="66"/>
  <c r="T312" i="66"/>
  <c r="AL291" i="66"/>
  <c r="Z281" i="66"/>
  <c r="AN270" i="66"/>
  <c r="Z257" i="66"/>
  <c r="X300" i="66"/>
  <c r="AG287" i="66"/>
  <c r="AM276" i="66"/>
  <c r="AL352" i="66"/>
  <c r="X321" i="66"/>
  <c r="AK306" i="66"/>
  <c r="AE279" i="66"/>
  <c r="AG260" i="66"/>
  <c r="AM249" i="66"/>
  <c r="W239" i="66"/>
  <c r="Z300" i="66"/>
  <c r="AP287" i="66"/>
  <c r="S322" i="66"/>
  <c r="AP333" i="66"/>
  <c r="AJ326" i="66"/>
  <c r="Z298" i="66"/>
  <c r="AL294" i="66"/>
  <c r="AD303" i="66"/>
  <c r="AO322" i="66"/>
  <c r="Y250" i="66"/>
  <c r="V277" i="66"/>
  <c r="AK283" i="66"/>
  <c r="T314" i="66"/>
  <c r="AO320" i="66"/>
  <c r="V259" i="66"/>
  <c r="X330" i="66"/>
  <c r="AG262" i="66"/>
  <c r="AL289" i="66"/>
  <c r="AD277" i="66"/>
  <c r="Z263" i="66"/>
  <c r="V322" i="66"/>
  <c r="AC293" i="66"/>
  <c r="AI282" i="66"/>
  <c r="S272" i="66"/>
  <c r="W262" i="66"/>
  <c r="AG251" i="66"/>
  <c r="AM240" i="66"/>
  <c r="V260" i="66"/>
  <c r="Y239" i="66"/>
  <c r="V227" i="66"/>
  <c r="AJ216" i="66"/>
  <c r="AJ277" i="66"/>
  <c r="AN243" i="66"/>
  <c r="AM230" i="66"/>
  <c r="W220" i="66"/>
  <c r="AG209" i="66"/>
  <c r="AG201" i="66"/>
  <c r="AH368" i="66"/>
  <c r="AF263" i="66"/>
  <c r="AE238" i="66"/>
  <c r="AN227" i="66"/>
  <c r="AL216" i="66"/>
  <c r="AI237" i="66"/>
  <c r="Z206" i="66"/>
  <c r="AL192" i="66"/>
  <c r="AI181" i="66"/>
  <c r="S171" i="66"/>
  <c r="AC160" i="66"/>
  <c r="S225" i="66"/>
  <c r="AL201" i="66"/>
  <c r="AP187" i="66"/>
  <c r="AD177" i="66"/>
  <c r="AA272" i="66"/>
  <c r="AI258" i="66"/>
  <c r="S248" i="66"/>
  <c r="AP297" i="66"/>
  <c r="Z252" i="66"/>
  <c r="X236" i="66"/>
  <c r="V225" i="66"/>
  <c r="AJ214" i="66"/>
  <c r="X273" i="66"/>
  <c r="X242" i="66"/>
  <c r="S230" i="66"/>
  <c r="AC219" i="66"/>
  <c r="AI208" i="66"/>
  <c r="S198" i="66"/>
  <c r="AD320" i="66"/>
  <c r="X257" i="66"/>
  <c r="AF237" i="66"/>
  <c r="T227" i="66"/>
  <c r="AH216" i="66"/>
  <c r="AP239" i="66"/>
  <c r="AP206" i="66"/>
  <c r="AG192" i="66"/>
  <c r="AE181" i="66"/>
  <c r="AO170" i="66"/>
  <c r="Y160" i="66"/>
  <c r="AI221" i="66"/>
  <c r="AF201" i="66"/>
  <c r="R189" i="66"/>
  <c r="AP177" i="66"/>
  <c r="W272" i="66"/>
  <c r="AO257" i="66"/>
  <c r="Y247" i="66"/>
  <c r="AF291" i="66"/>
  <c r="AD249" i="66"/>
  <c r="AN234" i="66"/>
  <c r="AL223" i="66"/>
  <c r="Z213" i="66"/>
  <c r="AN265" i="66"/>
  <c r="AF240" i="66"/>
  <c r="Y229" i="66"/>
  <c r="AE218" i="66"/>
  <c r="AO207" i="66"/>
  <c r="Y197" i="66"/>
  <c r="AD307" i="66"/>
  <c r="T255" i="66"/>
  <c r="V236" i="66"/>
  <c r="AJ225" i="66"/>
  <c r="X215" i="66"/>
  <c r="AE231" i="66"/>
  <c r="V204" i="66"/>
  <c r="AA189" i="66"/>
  <c r="AK178" i="66"/>
  <c r="U168" i="66"/>
  <c r="AP274" i="66"/>
  <c r="AE213" i="66"/>
  <c r="U198" i="66"/>
  <c r="V185" i="66"/>
  <c r="AJ174" i="66"/>
  <c r="AA264" i="66"/>
  <c r="AK253" i="66"/>
  <c r="U243" i="66"/>
  <c r="AN277" i="66"/>
  <c r="Z244" i="66"/>
  <c r="X232" i="66"/>
  <c r="V221" i="66"/>
  <c r="V298" i="66"/>
  <c r="AL255" i="66"/>
  <c r="U235" i="66"/>
  <c r="AA224" i="66"/>
  <c r="AK213" i="66"/>
  <c r="U203" i="66"/>
  <c r="AA192" i="66"/>
  <c r="T273" i="66"/>
  <c r="AD244" i="66"/>
  <c r="T231" i="66"/>
  <c r="AH220" i="66"/>
  <c r="Z276" i="66"/>
  <c r="AN209" i="66"/>
  <c r="AG359" i="66"/>
  <c r="AG310" i="66"/>
  <c r="AI305" i="66"/>
  <c r="Y298" i="66"/>
  <c r="AI243" i="66"/>
  <c r="AF270" i="66"/>
  <c r="AL383" i="66"/>
  <c r="AE271" i="66"/>
  <c r="AF296" i="66"/>
  <c r="V309" i="66"/>
  <c r="Y301" i="66"/>
  <c r="U254" i="66"/>
  <c r="AJ280" i="66"/>
  <c r="AM286" i="66"/>
  <c r="U304" i="66"/>
  <c r="AG238" i="66"/>
  <c r="AL281" i="66"/>
  <c r="Z271" i="66"/>
  <c r="V257" i="66"/>
  <c r="AO299" i="66"/>
  <c r="AC287" i="66"/>
  <c r="AI276" i="66"/>
  <c r="AM266" i="66"/>
  <c r="W256" i="66"/>
  <c r="AG245" i="66"/>
  <c r="X279" i="66"/>
  <c r="AD246" i="66"/>
  <c r="T232" i="66"/>
  <c r="AH221" i="66"/>
  <c r="AK297" i="66"/>
  <c r="AD255" i="66"/>
  <c r="AG235" i="66"/>
  <c r="AM224" i="66"/>
  <c r="W214" i="66"/>
  <c r="AG203" i="66"/>
  <c r="AM192" i="66"/>
  <c r="AF275" i="66"/>
  <c r="AL242" i="66"/>
  <c r="AJ229" i="66"/>
  <c r="X219" i="66"/>
  <c r="AH266" i="66"/>
  <c r="AN208" i="66"/>
  <c r="AA195" i="66"/>
  <c r="AI183" i="66"/>
  <c r="S173" i="66"/>
  <c r="AC162" i="66"/>
  <c r="AO232" i="66"/>
  <c r="Z204" i="66"/>
  <c r="AL189" i="66"/>
  <c r="Z179" i="66"/>
  <c r="AO275" i="66"/>
  <c r="AI260" i="66"/>
  <c r="S250" i="66"/>
  <c r="Z317" i="66"/>
  <c r="AJ261" i="66"/>
  <c r="W238" i="66"/>
  <c r="AH227" i="66"/>
  <c r="AF216" i="66"/>
  <c r="T279" i="66"/>
  <c r="AH324" i="66"/>
  <c r="AN394" i="66"/>
  <c r="Z383" i="66"/>
  <c r="AO385" i="66"/>
  <c r="AG389" i="66"/>
  <c r="Z361" i="66"/>
  <c r="AP394" i="66"/>
  <c r="X410" i="66"/>
  <c r="AA363" i="66"/>
  <c r="Z407" i="66"/>
  <c r="V378" i="66"/>
  <c r="AD353" i="66"/>
  <c r="AG369" i="66"/>
  <c r="V411" i="66"/>
  <c r="R341" i="66"/>
  <c r="AL366" i="66"/>
  <c r="AN374" i="66"/>
  <c r="AN405" i="66"/>
  <c r="AP342" i="66"/>
  <c r="AK357" i="66"/>
  <c r="AF412" i="66"/>
  <c r="AP330" i="66"/>
  <c r="AK336" i="66"/>
  <c r="U338" i="66"/>
  <c r="AI337" i="66"/>
  <c r="AF397" i="66"/>
  <c r="AH330" i="66"/>
  <c r="AK351" i="66"/>
  <c r="T378" i="66"/>
  <c r="AJ348" i="66"/>
  <c r="AM393" i="66"/>
  <c r="W320" i="66"/>
  <c r="AG384" i="66"/>
  <c r="V409" i="66"/>
  <c r="V333" i="66"/>
  <c r="AC406" i="66"/>
  <c r="AP381" i="66"/>
  <c r="AL379" i="66"/>
  <c r="W339" i="66"/>
  <c r="U346" i="66"/>
  <c r="AI345" i="66"/>
  <c r="T338" i="66"/>
  <c r="AK313" i="66"/>
  <c r="Y335" i="66"/>
  <c r="AJ367" i="66"/>
  <c r="AM309" i="66"/>
  <c r="AH313" i="66"/>
  <c r="AK280" i="66"/>
  <c r="AO330" i="66"/>
  <c r="AO337" i="66"/>
  <c r="AG305" i="66"/>
  <c r="AF317" i="66"/>
  <c r="AH325" i="66"/>
  <c r="AC302" i="66"/>
  <c r="T297" i="66"/>
  <c r="W275" i="66"/>
  <c r="X336" i="66"/>
  <c r="S320" i="66"/>
  <c r="AJ313" i="66"/>
  <c r="AO318" i="66"/>
  <c r="AE297" i="66"/>
  <c r="AI289" i="66"/>
  <c r="AO326" i="66"/>
  <c r="AC322" i="66"/>
  <c r="AK402" i="66"/>
  <c r="AK358" i="66"/>
  <c r="AN371" i="66"/>
  <c r="AN366" i="66"/>
  <c r="W347" i="66"/>
  <c r="T344" i="66"/>
  <c r="AL345" i="66"/>
  <c r="AL343" i="66"/>
  <c r="Z321" i="66"/>
  <c r="AA390" i="66"/>
  <c r="V312" i="66"/>
  <c r="W317" i="66"/>
  <c r="AM295" i="66"/>
  <c r="U288" i="66"/>
  <c r="AI366" i="66"/>
  <c r="Z329" i="66"/>
  <c r="AG315" i="66"/>
  <c r="AE342" i="66"/>
  <c r="S315" i="66"/>
  <c r="AN363" i="66"/>
  <c r="AM287" i="66"/>
  <c r="AA385" i="66"/>
  <c r="U380" i="66"/>
  <c r="AC311" i="66"/>
  <c r="S326" i="66"/>
  <c r="AL348" i="66"/>
  <c r="AE307" i="66"/>
  <c r="V305" i="66"/>
  <c r="AC278" i="66"/>
  <c r="Y305" i="66"/>
  <c r="AD309" i="66"/>
  <c r="W349" i="66"/>
  <c r="Y344" i="66"/>
  <c r="AF353" i="66"/>
  <c r="U354" i="66"/>
  <c r="AJ329" i="66"/>
  <c r="AK323" i="66"/>
  <c r="AM325" i="66"/>
  <c r="AI325" i="66"/>
  <c r="AA344" i="66"/>
  <c r="U307" i="66"/>
  <c r="AF319" i="66"/>
  <c r="AK331" i="66"/>
  <c r="W303" i="66"/>
  <c r="AH295" i="66"/>
  <c r="U274" i="66"/>
  <c r="X344" i="66"/>
  <c r="AE323" i="66"/>
  <c r="AG301" i="66"/>
  <c r="AL318" i="66"/>
  <c r="U331" i="66"/>
  <c r="AI303" i="66"/>
  <c r="AJ298" i="66"/>
  <c r="AG276" i="66"/>
  <c r="AJ338" i="66"/>
  <c r="AJ321" i="66"/>
  <c r="S300" i="66"/>
  <c r="Z320" i="66"/>
  <c r="AO298" i="66"/>
  <c r="S291" i="66"/>
  <c r="R332" i="66"/>
  <c r="AH302" i="66"/>
  <c r="R383" i="66"/>
  <c r="AD373" i="66"/>
  <c r="X352" i="66"/>
  <c r="X350" i="66"/>
  <c r="U301" i="66"/>
  <c r="AG318" i="66"/>
  <c r="AA289" i="66"/>
  <c r="AO321" i="66"/>
  <c r="W306" i="66"/>
  <c r="W328" i="66"/>
  <c r="AO297" i="66"/>
  <c r="AD337" i="66"/>
  <c r="AE381" i="66"/>
  <c r="AO316" i="66"/>
  <c r="AI287" i="66"/>
  <c r="U314" i="66"/>
  <c r="S259" i="66"/>
  <c r="AC248" i="66"/>
  <c r="AP380" i="66"/>
  <c r="AH297" i="66"/>
  <c r="AP285" i="66"/>
  <c r="AD275" i="66"/>
  <c r="Z261" i="66"/>
  <c r="AL309" i="66"/>
  <c r="AO291" i="66"/>
  <c r="Y281" i="66"/>
  <c r="AD331" i="66"/>
  <c r="AH351" i="66"/>
  <c r="AA313" i="66"/>
  <c r="Y286" i="66"/>
  <c r="AO262" i="66"/>
  <c r="Y252" i="66"/>
  <c r="AE241" i="66"/>
  <c r="AF303" i="66"/>
  <c r="T290" i="66"/>
  <c r="AH279" i="66"/>
  <c r="AD265" i="66"/>
  <c r="Z349" i="66"/>
  <c r="AP296" i="66"/>
  <c r="AK285" i="66"/>
  <c r="U275" i="66"/>
  <c r="AO319" i="66"/>
  <c r="AJ311" i="66"/>
  <c r="AK296" i="66"/>
  <c r="U272" i="66"/>
  <c r="AK258" i="66"/>
  <c r="U248" i="66"/>
  <c r="T367" i="66"/>
  <c r="S298" i="66"/>
  <c r="AH285" i="66"/>
  <c r="AF274" i="66"/>
  <c r="AH261" i="66"/>
  <c r="Z313" i="66"/>
  <c r="AG291" i="66"/>
  <c r="AM280" i="66"/>
  <c r="AP347" i="66"/>
  <c r="Y303" i="66"/>
  <c r="W323" i="66"/>
  <c r="AN295" i="66"/>
  <c r="AG264" i="66"/>
  <c r="AM253" i="66"/>
  <c r="W243" i="66"/>
  <c r="Z309" i="66"/>
  <c r="X292" i="66"/>
  <c r="R346" i="66"/>
  <c r="AO391" i="66"/>
  <c r="AH350" i="66"/>
  <c r="Z357" i="66"/>
  <c r="U309" i="66"/>
  <c r="AO339" i="66"/>
  <c r="AP298" i="66"/>
  <c r="T355" i="66"/>
  <c r="AG303" i="66"/>
  <c r="R322" i="66"/>
  <c r="AH294" i="66"/>
  <c r="AF332" i="66"/>
  <c r="AD352" i="66"/>
  <c r="Y314" i="66"/>
  <c r="S285" i="66"/>
  <c r="AA303" i="66"/>
  <c r="AC258" i="66"/>
  <c r="AI247" i="66"/>
  <c r="R300" i="66"/>
  <c r="AL287" i="66"/>
  <c r="Z277" i="66"/>
  <c r="V263" i="66"/>
  <c r="AA321" i="66"/>
  <c r="AO293" i="66"/>
  <c r="Y283" i="66"/>
  <c r="AN357" i="66"/>
  <c r="AE304" i="66"/>
  <c r="AH321" i="66"/>
  <c r="W294" i="66"/>
  <c r="AO264" i="66"/>
  <c r="Y254" i="66"/>
  <c r="AE243" i="66"/>
  <c r="X308" i="66"/>
  <c r="AP291" i="66"/>
  <c r="AD281" i="66"/>
  <c r="R271" i="66"/>
  <c r="AN256" i="66"/>
  <c r="AD299" i="66"/>
  <c r="AK287" i="66"/>
  <c r="U277" i="66"/>
  <c r="AI342" i="66"/>
  <c r="T319" i="66"/>
  <c r="AK304" i="66"/>
  <c r="AE277" i="66"/>
  <c r="AK260" i="66"/>
  <c r="U250" i="66"/>
  <c r="AA239" i="66"/>
  <c r="AH300" i="66"/>
  <c r="AD287" i="66"/>
  <c r="R277" i="66"/>
  <c r="AD263" i="66"/>
  <c r="AL323" i="66"/>
  <c r="AG293" i="66"/>
  <c r="AM282" i="66"/>
  <c r="AK342" i="66"/>
  <c r="Y311" i="66"/>
  <c r="AL356" i="66"/>
  <c r="X312" i="66"/>
  <c r="AG266" i="66"/>
  <c r="AM255" i="66"/>
  <c r="W245" i="66"/>
  <c r="AH317" i="66"/>
  <c r="V294" i="66"/>
  <c r="AP405" i="66"/>
  <c r="AH354" i="66"/>
  <c r="AI382" i="66"/>
  <c r="AD397" i="66"/>
  <c r="U317" i="66"/>
  <c r="AD308" i="66"/>
  <c r="AO329" i="66"/>
  <c r="Z356" i="66"/>
  <c r="AG311" i="66"/>
  <c r="AH349" i="66"/>
  <c r="AP307" i="66"/>
  <c r="AN367" i="66"/>
  <c r="AI304" i="66"/>
  <c r="AH322" i="66"/>
  <c r="S293" i="66"/>
  <c r="R308" i="66"/>
  <c r="AC260" i="66"/>
  <c r="AI249" i="66"/>
  <c r="S239" i="66"/>
  <c r="Z299" i="66"/>
  <c r="V287" i="66"/>
  <c r="AJ276" i="66"/>
  <c r="AF262" i="66"/>
  <c r="Z296" i="66"/>
  <c r="Y285" i="66"/>
  <c r="AH372" i="66"/>
  <c r="AE312" i="66"/>
  <c r="S348" i="66"/>
  <c r="AN306" i="66"/>
  <c r="AO266" i="66"/>
  <c r="Y256" i="66"/>
  <c r="AE245" i="66"/>
  <c r="R319" i="66"/>
  <c r="AL293" i="66"/>
  <c r="Z283" i="66"/>
  <c r="AN272" i="66"/>
  <c r="AJ258" i="66"/>
  <c r="V303" i="66"/>
  <c r="AK289" i="66"/>
  <c r="U279" i="66"/>
  <c r="AN330" i="66"/>
  <c r="W338" i="66"/>
  <c r="AK312" i="66"/>
  <c r="AE285" i="66"/>
  <c r="AK262" i="66"/>
  <c r="U252" i="66"/>
  <c r="AA241" i="66"/>
  <c r="Z304" i="66"/>
  <c r="Z289" i="66"/>
  <c r="AN278" i="66"/>
  <c r="Z265" i="66"/>
  <c r="AC347" i="66"/>
  <c r="AP295" i="66"/>
  <c r="AM284" i="66"/>
  <c r="AA365" i="66"/>
  <c r="Y319" i="66"/>
  <c r="T311" i="66"/>
  <c r="U296" i="66"/>
  <c r="AM271" i="66"/>
  <c r="AM257" i="66"/>
  <c r="W247" i="66"/>
  <c r="AK339" i="66"/>
  <c r="R297" i="66"/>
  <c r="AO338" i="66"/>
  <c r="AK303" i="66"/>
  <c r="T365" i="66"/>
  <c r="Y331" i="66"/>
  <c r="S257" i="66"/>
  <c r="T284" i="66"/>
  <c r="AO289" i="66"/>
  <c r="AA305" i="66"/>
  <c r="AE239" i="66"/>
  <c r="AH263" i="66"/>
  <c r="AF355" i="66"/>
  <c r="U270" i="66"/>
  <c r="AA294" i="66"/>
  <c r="AF306" i="66"/>
  <c r="AK345" i="66"/>
  <c r="AM251" i="66"/>
  <c r="AD285" i="66"/>
  <c r="R275" i="66"/>
  <c r="AN260" i="66"/>
  <c r="T308" i="66"/>
  <c r="AI290" i="66"/>
  <c r="S280" i="66"/>
  <c r="AG273" i="66"/>
  <c r="AG259" i="66"/>
  <c r="AM248" i="66"/>
  <c r="AO295" i="66"/>
  <c r="AH252" i="66"/>
  <c r="V235" i="66"/>
  <c r="AJ224" i="66"/>
  <c r="X214" i="66"/>
  <c r="AP266" i="66"/>
  <c r="X239" i="66"/>
  <c r="W228" i="66"/>
  <c r="AG217" i="66"/>
  <c r="AM206" i="66"/>
  <c r="AM198" i="66"/>
  <c r="X299" i="66"/>
  <c r="AH254" i="66"/>
  <c r="AN235" i="66"/>
  <c r="AL224" i="66"/>
  <c r="Z214" i="66"/>
  <c r="W227" i="66"/>
  <c r="AO202" i="66"/>
  <c r="AI189" i="66"/>
  <c r="S179" i="66"/>
  <c r="AC168" i="66"/>
  <c r="AP278" i="66"/>
  <c r="AK214" i="66"/>
  <c r="AF198" i="66"/>
  <c r="AD185" i="66"/>
  <c r="R175" i="66"/>
  <c r="AI266" i="66"/>
  <c r="S256" i="66"/>
  <c r="AC245" i="66"/>
  <c r="AP284" i="66"/>
  <c r="AF247" i="66"/>
  <c r="V233" i="66"/>
  <c r="AJ222" i="66"/>
  <c r="X212" i="66"/>
  <c r="R262" i="66"/>
  <c r="V238" i="66"/>
  <c r="AC227" i="66"/>
  <c r="AI216" i="66"/>
  <c r="S206" i="66"/>
  <c r="AC195" i="66"/>
  <c r="X293" i="66"/>
  <c r="AH250" i="66"/>
  <c r="T235" i="66"/>
  <c r="AH224" i="66"/>
  <c r="AF213" i="66"/>
  <c r="AK228" i="66"/>
  <c r="AJ202" i="66"/>
  <c r="AE189" i="66"/>
  <c r="AO178" i="66"/>
  <c r="Y168" i="66"/>
  <c r="X271" i="66"/>
  <c r="AH211" i="66"/>
  <c r="Z198" i="66"/>
  <c r="AP185" i="66"/>
  <c r="AD175" i="66"/>
  <c r="AO265" i="66"/>
  <c r="Y255" i="66"/>
  <c r="AE244" i="66"/>
  <c r="V278" i="66"/>
  <c r="AH244" i="66"/>
  <c r="AL231" i="66"/>
  <c r="Z221" i="66"/>
  <c r="AC299" i="66"/>
  <c r="AD256" i="66"/>
  <c r="Y237" i="66"/>
  <c r="AE226" i="66"/>
  <c r="AO215" i="66"/>
  <c r="Y205" i="66"/>
  <c r="AE194" i="66"/>
  <c r="AP292" i="66"/>
  <c r="Z249" i="66"/>
  <c r="AJ233" i="66"/>
  <c r="X223" i="66"/>
  <c r="V212" i="66"/>
  <c r="AO220" i="66"/>
  <c r="AP200" i="66"/>
  <c r="AK186" i="66"/>
  <c r="U176" i="66"/>
  <c r="AA165" i="66"/>
  <c r="AJ248" i="66"/>
  <c r="AL208" i="66"/>
  <c r="AM193" i="66"/>
  <c r="AJ182" i="66"/>
  <c r="AH288" i="66"/>
  <c r="AK261" i="66"/>
  <c r="U251" i="66"/>
  <c r="AA240" i="66"/>
  <c r="AL262" i="66"/>
  <c r="Z240" i="66"/>
  <c r="V229" i="66"/>
  <c r="AJ218" i="66"/>
  <c r="Z286" i="66"/>
  <c r="X248" i="66"/>
  <c r="AA232" i="66"/>
  <c r="AK221" i="66"/>
  <c r="U211" i="66"/>
  <c r="AA200" i="66"/>
  <c r="V315" i="66"/>
  <c r="AD260" i="66"/>
  <c r="AG239" i="66"/>
  <c r="AH228" i="66"/>
  <c r="AF217" i="66"/>
  <c r="AI238" i="66"/>
  <c r="AF206" i="66"/>
  <c r="V369" i="66"/>
  <c r="AA281" i="66"/>
  <c r="AG278" i="66"/>
  <c r="AE337" i="66"/>
  <c r="AN308" i="66"/>
  <c r="R257" i="66"/>
  <c r="AH320" i="66"/>
  <c r="Y258" i="66"/>
  <c r="V285" i="66"/>
  <c r="AK291" i="66"/>
  <c r="AP320" i="66"/>
  <c r="AA243" i="66"/>
  <c r="X270" i="66"/>
  <c r="W276" i="66"/>
  <c r="AO276" i="66"/>
  <c r="AF299" i="66"/>
  <c r="Z279" i="66"/>
  <c r="V265" i="66"/>
  <c r="AC345" i="66"/>
  <c r="AK295" i="66"/>
  <c r="AI284" i="66"/>
  <c r="S274" i="66"/>
  <c r="W264" i="66"/>
  <c r="AG253" i="66"/>
  <c r="AM242" i="66"/>
  <c r="V270" i="66"/>
  <c r="R242" i="66"/>
  <c r="AH229" i="66"/>
  <c r="AF218" i="66"/>
  <c r="AJ283" i="66"/>
  <c r="T249" i="66"/>
  <c r="AM232" i="66"/>
  <c r="W222" i="66"/>
  <c r="AG211" i="66"/>
  <c r="AM200" i="66"/>
  <c r="AL322" i="66"/>
  <c r="AJ259" i="66"/>
  <c r="AJ237" i="66"/>
  <c r="X227" i="66"/>
  <c r="V216" i="66"/>
  <c r="AM235" i="66"/>
  <c r="AD205" i="66"/>
  <c r="AP191" i="66"/>
  <c r="S181" i="66"/>
  <c r="AC170" i="66"/>
  <c r="X316" i="66"/>
  <c r="AG222" i="66"/>
  <c r="AO200" i="66"/>
  <c r="Z187" i="66"/>
  <c r="AN176" i="66"/>
  <c r="AG271" i="66"/>
  <c r="S258" i="66"/>
  <c r="AC247" i="66"/>
  <c r="T295" i="66"/>
  <c r="X251" i="66"/>
  <c r="AH235" i="66"/>
  <c r="AF224" i="66"/>
  <c r="T214" i="66"/>
  <c r="AH270" i="66"/>
  <c r="AJ404" i="66"/>
  <c r="AD375" i="66"/>
  <c r="T380" i="66"/>
  <c r="T388" i="66"/>
  <c r="R356" i="66"/>
  <c r="AI363" i="66"/>
  <c r="AL370" i="66"/>
  <c r="S382" i="66"/>
  <c r="AJ350" i="66"/>
  <c r="W374" i="66"/>
  <c r="T334" i="66"/>
  <c r="AC370" i="66"/>
  <c r="Z346" i="66"/>
  <c r="AI370" i="66"/>
  <c r="R365" i="66"/>
  <c r="T330" i="66"/>
  <c r="R350" i="66"/>
  <c r="AF377" i="66"/>
  <c r="T336" i="66"/>
  <c r="AD382" i="66"/>
  <c r="U303" i="66"/>
  <c r="AK320" i="66"/>
  <c r="AA291" i="66"/>
  <c r="AJ332" i="66"/>
  <c r="AM344" i="66"/>
  <c r="S313" i="66"/>
  <c r="AM285" i="66"/>
  <c r="AL358" i="66"/>
  <c r="AD370" i="66"/>
  <c r="Y316" i="66"/>
  <c r="S287" i="66"/>
  <c r="AA311" i="66"/>
  <c r="AK353" i="66"/>
  <c r="AJ363" i="66"/>
  <c r="V338" i="66"/>
  <c r="AN328" i="66"/>
  <c r="AD323" i="66"/>
  <c r="AG306" i="66"/>
  <c r="AA277" i="66"/>
  <c r="AC335" i="66"/>
  <c r="AP316" i="66"/>
  <c r="S307" i="66"/>
  <c r="AM279" i="66"/>
  <c r="AK329" i="66"/>
  <c r="AF315" i="66"/>
  <c r="AE299" i="66"/>
  <c r="AC361" i="66"/>
  <c r="AC366" i="66"/>
  <c r="U410" i="66"/>
  <c r="AN380" i="66"/>
  <c r="AI373" i="66"/>
  <c r="AK317" i="66"/>
  <c r="T309" i="66"/>
  <c r="AE338" i="66"/>
  <c r="T327" i="66"/>
  <c r="W312" i="66"/>
  <c r="Z316" i="66"/>
  <c r="S301" i="66"/>
  <c r="AD393" i="66"/>
  <c r="AI318" i="66"/>
  <c r="AE309" i="66"/>
  <c r="AC280" i="66"/>
  <c r="AD310" i="66"/>
  <c r="AK371" i="66"/>
  <c r="AD355" i="66"/>
  <c r="AP322" i="66"/>
  <c r="W297" i="66"/>
  <c r="AG341" i="66"/>
  <c r="S303" i="66"/>
  <c r="AN320" i="66"/>
  <c r="AE295" i="66"/>
  <c r="S265" i="66"/>
  <c r="S243" i="66"/>
  <c r="AD291" i="66"/>
  <c r="AN266" i="66"/>
  <c r="R298" i="66"/>
  <c r="T374" i="66"/>
  <c r="AN309" i="66"/>
  <c r="AO270" i="66"/>
  <c r="AO246" i="66"/>
  <c r="AG295" i="66"/>
  <c r="T274" i="66"/>
  <c r="R307" i="66"/>
  <c r="AA280" i="66"/>
  <c r="T369" i="66"/>
  <c r="AO290" i="66"/>
  <c r="AA253" i="66"/>
  <c r="AL307" i="66"/>
  <c r="T280" i="66"/>
  <c r="T256" i="66"/>
  <c r="W286" i="66"/>
  <c r="U329" i="66"/>
  <c r="AA301" i="66"/>
  <c r="W259" i="66"/>
  <c r="AM237" i="66"/>
  <c r="AH391" i="66"/>
  <c r="V348" i="66"/>
  <c r="AA389" i="66"/>
  <c r="W305" i="66"/>
  <c r="W330" i="66"/>
  <c r="AC300" i="66"/>
  <c r="S318" i="66"/>
  <c r="AM342" i="66"/>
  <c r="AC264" i="66"/>
  <c r="AC242" i="66"/>
  <c r="AL296" i="66"/>
  <c r="AN274" i="66"/>
  <c r="AH307" i="66"/>
  <c r="AE280" i="66"/>
  <c r="AM340" i="66"/>
  <c r="AE283" i="66"/>
  <c r="AE251" i="66"/>
  <c r="X302" i="66"/>
  <c r="R279" i="66"/>
  <c r="AE340" i="66"/>
  <c r="U285" i="66"/>
  <c r="Y317" i="66"/>
  <c r="U294" i="66"/>
  <c r="U258" i="66"/>
  <c r="W342" i="66"/>
  <c r="R285" i="66"/>
  <c r="R261" i="66"/>
  <c r="AM290" i="66"/>
  <c r="X338" i="66"/>
  <c r="U320" i="66"/>
  <c r="AM263" i="66"/>
  <c r="AG242" i="66"/>
  <c r="AH291" i="66"/>
  <c r="AK364" i="66"/>
  <c r="AI333" i="66"/>
  <c r="AM328" i="66"/>
  <c r="AL341" i="66"/>
  <c r="S319" i="66"/>
  <c r="V329" i="66"/>
  <c r="AE311" i="66"/>
  <c r="U341" i="66"/>
  <c r="S247" i="66"/>
  <c r="AL295" i="66"/>
  <c r="X274" i="66"/>
  <c r="AE290" i="66"/>
  <c r="AF326" i="66"/>
  <c r="U308" i="66"/>
  <c r="AE261" i="66"/>
  <c r="Y240" i="66"/>
  <c r="AN288" i="66"/>
  <c r="X264" i="66"/>
  <c r="Z295" i="66"/>
  <c r="R361" i="66"/>
  <c r="AL306" i="66"/>
  <c r="AK270" i="66"/>
  <c r="AK246" i="66"/>
  <c r="AA296" i="66"/>
  <c r="Z273" i="66"/>
  <c r="AJ308" i="66"/>
  <c r="AG279" i="66"/>
  <c r="V360" i="66"/>
  <c r="Y290" i="66"/>
  <c r="AG252" i="66"/>
  <c r="R305" i="66"/>
  <c r="U321" i="66"/>
  <c r="W289" i="66"/>
  <c r="AH319" i="66"/>
  <c r="X363" i="66"/>
  <c r="X288" i="66"/>
  <c r="X361" i="66"/>
  <c r="AJ272" i="66"/>
  <c r="AE287" i="66"/>
  <c r="AP279" i="66"/>
  <c r="V357" i="66"/>
  <c r="AC285" i="66"/>
  <c r="AM264" i="66"/>
  <c r="AG243" i="66"/>
  <c r="R243" i="66"/>
  <c r="V219" i="66"/>
  <c r="AL251" i="66"/>
  <c r="AM222" i="66"/>
  <c r="W204" i="66"/>
  <c r="AF279" i="66"/>
  <c r="Z230" i="66"/>
  <c r="AH272" i="66"/>
  <c r="X196" i="66"/>
  <c r="AI173" i="66"/>
  <c r="AK234" i="66"/>
  <c r="S191" i="66"/>
  <c r="AA237" i="66"/>
  <c r="AI250" i="66"/>
  <c r="AN263" i="66"/>
  <c r="X228" i="66"/>
  <c r="T281" i="66"/>
  <c r="AI232" i="66"/>
  <c r="AC211" i="66"/>
  <c r="V241" i="66"/>
  <c r="T219" i="66"/>
  <c r="Y210" i="66"/>
  <c r="Y184" i="66"/>
  <c r="AO162" i="66"/>
  <c r="AP204" i="66"/>
  <c r="R181" i="66"/>
  <c r="AE260" i="66"/>
  <c r="AN314" i="66"/>
  <c r="Z237" i="66"/>
  <c r="AL215" i="66"/>
  <c r="AJ245" i="66"/>
  <c r="Y221" i="66"/>
  <c r="AO199" i="66"/>
  <c r="AL266" i="66"/>
  <c r="V228" i="66"/>
  <c r="AN250" i="66"/>
  <c r="X193" i="66"/>
  <c r="AK170" i="66"/>
  <c r="Y224" i="66"/>
  <c r="X188" i="66"/>
  <c r="AA270" i="66"/>
  <c r="AK245" i="66"/>
  <c r="V249" i="66"/>
  <c r="X224" i="66"/>
  <c r="X265" i="66"/>
  <c r="U227" i="66"/>
  <c r="AK205" i="66"/>
  <c r="V286" i="66"/>
  <c r="AF233" i="66"/>
  <c r="AH212" i="66"/>
  <c r="AD365" i="66"/>
  <c r="AI321" i="66"/>
  <c r="AC254" i="66"/>
  <c r="Y287" i="66"/>
  <c r="AL354" i="66"/>
  <c r="AF352" i="66"/>
  <c r="V291" i="66"/>
  <c r="AD318" i="66"/>
  <c r="AN284" i="66"/>
  <c r="X260" i="66"/>
  <c r="S290" i="66"/>
  <c r="AE272" i="66"/>
  <c r="W248" i="66"/>
  <c r="AF251" i="66"/>
  <c r="T224" i="66"/>
  <c r="AL264" i="66"/>
  <c r="AG227" i="66"/>
  <c r="W206" i="66"/>
  <c r="AJ287" i="66"/>
  <c r="V232" i="66"/>
  <c r="X211" i="66"/>
  <c r="AL198" i="66"/>
  <c r="AI175" i="66"/>
  <c r="X245" i="66"/>
  <c r="Y194" i="66"/>
  <c r="Z262" i="66"/>
  <c r="AI252" i="66"/>
  <c r="AL274" i="66"/>
  <c r="T230" i="66"/>
  <c r="X287" i="66"/>
  <c r="AN240" i="66"/>
  <c r="AC229" i="66"/>
  <c r="AI218" i="66"/>
  <c r="S208" i="66"/>
  <c r="AC197" i="66"/>
  <c r="X291" i="66"/>
  <c r="AH249" i="66"/>
  <c r="AD234" i="66"/>
  <c r="R224" i="66"/>
  <c r="AP212" i="66"/>
  <c r="AC226" i="66"/>
  <c r="AM201" i="66"/>
  <c r="AO188" i="66"/>
  <c r="Y178" i="66"/>
  <c r="AE167" i="66"/>
  <c r="AD264" i="66"/>
  <c r="AH210" i="66"/>
  <c r="AD197" i="66"/>
  <c r="Z185" i="66"/>
  <c r="AN174" i="66"/>
  <c r="Y265" i="66"/>
  <c r="AE254" i="66"/>
  <c r="AO243" i="66"/>
  <c r="V276" i="66"/>
  <c r="AH243" i="66"/>
  <c r="V231" i="66"/>
  <c r="AJ220" i="66"/>
  <c r="AJ295" i="66"/>
  <c r="AJ254" i="66"/>
  <c r="AE236" i="66"/>
  <c r="AO225" i="66"/>
  <c r="Y215" i="66"/>
  <c r="AE204" i="66"/>
  <c r="AO193" i="66"/>
  <c r="AF281" i="66"/>
  <c r="AD243" i="66"/>
  <c r="AH230" i="66"/>
  <c r="AF219" i="66"/>
  <c r="AP270" i="66"/>
  <c r="T210" i="66"/>
  <c r="AL195" i="66"/>
  <c r="AA183" i="66"/>
  <c r="AK172" i="66"/>
  <c r="U162" i="66"/>
  <c r="AA231" i="66"/>
  <c r="AN203" i="66"/>
  <c r="T190" i="66"/>
  <c r="AH179" i="66"/>
  <c r="AM272" i="66"/>
  <c r="AA258" i="66"/>
  <c r="AK247" i="66"/>
  <c r="AD296" i="66"/>
  <c r="AP252" i="66"/>
  <c r="AF236" i="66"/>
  <c r="T226" i="66"/>
  <c r="AH215" i="66"/>
  <c r="R276" i="66"/>
  <c r="X240" i="66"/>
  <c r="U229" i="66"/>
  <c r="AA218" i="66"/>
  <c r="AK207" i="66"/>
  <c r="U197" i="66"/>
  <c r="Z292" i="66"/>
  <c r="AD252" i="66"/>
  <c r="X327" i="66"/>
  <c r="AM299" i="66"/>
  <c r="S295" i="66"/>
  <c r="AD357" i="66"/>
  <c r="AI251" i="66"/>
  <c r="AF278" i="66"/>
  <c r="AE284" i="66"/>
  <c r="AF301" i="66"/>
  <c r="AF316" i="66"/>
  <c r="T258" i="66"/>
  <c r="AP325" i="66"/>
  <c r="U262" i="66"/>
  <c r="AJ288" i="66"/>
  <c r="U295" i="66"/>
  <c r="AH308" i="66"/>
  <c r="AG246" i="66"/>
  <c r="X284" i="66"/>
  <c r="V273" i="66"/>
  <c r="AH259" i="66"/>
  <c r="AL303" i="66"/>
  <c r="AC289" i="66"/>
  <c r="AI278" i="66"/>
  <c r="AK271" i="66"/>
  <c r="W258" i="66"/>
  <c r="AG247" i="66"/>
  <c r="AF289" i="66"/>
  <c r="V250" i="66"/>
  <c r="AP233" i="66"/>
  <c r="AD223" i="66"/>
  <c r="R213" i="66"/>
  <c r="AH262" i="66"/>
  <c r="AG237" i="66"/>
  <c r="AM226" i="66"/>
  <c r="W216" i="66"/>
  <c r="AG205" i="66"/>
  <c r="AM194" i="66"/>
  <c r="AJ285" i="66"/>
  <c r="Z246" i="66"/>
  <c r="AF231" i="66"/>
  <c r="T221" i="66"/>
  <c r="T302" i="66"/>
  <c r="AA211" i="66"/>
  <c r="AP197" i="66"/>
  <c r="AI185" i="66"/>
  <c r="S175" i="66"/>
  <c r="AC164" i="66"/>
  <c r="AJ241" i="66"/>
  <c r="AJ206" i="66"/>
  <c r="AK192" i="66"/>
  <c r="V181" i="66"/>
  <c r="AN254" i="66"/>
  <c r="AI262" i="66"/>
  <c r="S252" i="66"/>
  <c r="AC241" i="66"/>
  <c r="AJ271" i="66"/>
  <c r="AP240" i="66"/>
  <c r="AD229" i="66"/>
  <c r="R219" i="66"/>
  <c r="X285" i="66"/>
  <c r="T250" i="66"/>
  <c r="S234" i="66"/>
  <c r="AC223" i="66"/>
  <c r="AI212" i="66"/>
  <c r="S202" i="66"/>
  <c r="AC191" i="66"/>
  <c r="AD262" i="66"/>
  <c r="V239" i="66"/>
  <c r="Z228" i="66"/>
  <c r="AN217" i="66"/>
  <c r="AH251" i="66"/>
  <c r="AH208" i="66"/>
  <c r="Z194" i="66"/>
  <c r="AO182" i="66"/>
  <c r="Y172" i="66"/>
  <c r="AE161" i="66"/>
  <c r="AO226" i="66"/>
  <c r="X203" i="66"/>
  <c r="X190" i="66"/>
  <c r="V179" i="66"/>
  <c r="AO273" i="66"/>
  <c r="Y259" i="66"/>
  <c r="AE248" i="66"/>
  <c r="U297" i="66"/>
  <c r="R252" i="66"/>
  <c r="T236" i="66"/>
  <c r="AH225" i="66"/>
  <c r="AF214" i="66"/>
  <c r="AP272" i="66"/>
  <c r="X243" i="66"/>
  <c r="AE230" i="66"/>
  <c r="AO219" i="66"/>
  <c r="Y209" i="66"/>
  <c r="AE198" i="66"/>
  <c r="AF297" i="66"/>
  <c r="AL252" i="66"/>
  <c r="AP234" i="66"/>
  <c r="AD224" i="66"/>
  <c r="R214" i="66"/>
  <c r="AM225" i="66"/>
  <c r="AD202" i="66"/>
  <c r="U188" i="66"/>
  <c r="AA177" i="66"/>
  <c r="AK166" i="66"/>
  <c r="AP262" i="66"/>
  <c r="AC210" i="66"/>
  <c r="AE195" i="66"/>
  <c r="AP183" i="66"/>
  <c r="AD173" i="66"/>
  <c r="U263" i="66"/>
  <c r="AA252" i="66"/>
  <c r="AK241" i="66"/>
  <c r="AL270" i="66"/>
  <c r="Z242" i="66"/>
  <c r="R231" i="66"/>
  <c r="AP219" i="66"/>
  <c r="AP290" i="66"/>
  <c r="X252" i="66"/>
  <c r="AK233" i="66"/>
  <c r="U223" i="66"/>
  <c r="AA212" i="66"/>
  <c r="AK201" i="66"/>
  <c r="U191" i="66"/>
  <c r="V266" i="66"/>
  <c r="AL241" i="66"/>
  <c r="AN229" i="66"/>
  <c r="AL218" i="66"/>
  <c r="V253" i="66"/>
  <c r="X208" i="66"/>
  <c r="Y339" i="66"/>
  <c r="AO281" i="66"/>
  <c r="T323" i="66"/>
  <c r="W332" i="66"/>
  <c r="R259" i="66"/>
  <c r="AM270" i="66"/>
  <c r="AP248" i="66"/>
  <c r="R260" i="66"/>
  <c r="AM204" i="66"/>
  <c r="AP230" i="66"/>
  <c r="T197" i="66"/>
  <c r="AE237" i="66"/>
  <c r="AF249" i="66"/>
  <c r="AD266" i="66"/>
  <c r="T283" i="66"/>
  <c r="S212" i="66"/>
  <c r="Z238" i="66"/>
  <c r="AL207" i="66"/>
  <c r="AO160" i="66"/>
  <c r="AF178" i="66"/>
  <c r="AD294" i="66"/>
  <c r="AP213" i="66"/>
  <c r="Y219" i="66"/>
  <c r="Z250" i="66"/>
  <c r="AK222" i="66"/>
  <c r="U166" i="66"/>
  <c r="Z183" i="66"/>
  <c r="U241" i="66"/>
  <c r="Z219" i="66"/>
  <c r="AA222" i="66"/>
  <c r="R264" i="66"/>
  <c r="AP224" i="66"/>
  <c r="W225" i="66"/>
  <c r="AF195" i="66"/>
  <c r="AM183" i="66"/>
  <c r="W173" i="66"/>
  <c r="AG162" i="66"/>
  <c r="AI227" i="66"/>
  <c r="AN202" i="66"/>
  <c r="AJ366" i="66"/>
  <c r="AC238" i="66"/>
  <c r="AJ290" i="66"/>
  <c r="V275" i="66"/>
  <c r="AF280" i="66"/>
  <c r="S286" i="66"/>
  <c r="W244" i="66"/>
  <c r="AL219" i="66"/>
  <c r="AG223" i="66"/>
  <c r="AJ265" i="66"/>
  <c r="X246" i="66"/>
  <c r="AI171" i="66"/>
  <c r="AF188" i="66"/>
  <c r="AI248" i="66"/>
  <c r="AL225" i="66"/>
  <c r="AI230" i="66"/>
  <c r="AD295" i="66"/>
  <c r="V214" i="66"/>
  <c r="AE179" i="66"/>
  <c r="R199" i="66"/>
  <c r="AO255" i="66"/>
  <c r="R233" i="66"/>
  <c r="AP237" i="66"/>
  <c r="AF418" i="66"/>
  <c r="AD405" i="66"/>
  <c r="AM351" i="66"/>
  <c r="AH375" i="66"/>
  <c r="T417" i="66"/>
  <c r="AK355" i="66"/>
  <c r="AF347" i="66"/>
  <c r="V407" i="66"/>
  <c r="AC330" i="66"/>
  <c r="AO390" i="66"/>
  <c r="AG396" i="66"/>
  <c r="AG363" i="66"/>
  <c r="U326" i="66"/>
  <c r="S327" i="66"/>
  <c r="AO344" i="66"/>
  <c r="R352" i="66"/>
  <c r="AA347" i="66"/>
  <c r="S347" i="66"/>
  <c r="AM409" i="66"/>
  <c r="AL384" i="66"/>
  <c r="AI343" i="66"/>
  <c r="T349" i="66"/>
  <c r="AD329" i="66"/>
  <c r="AC325" i="66"/>
  <c r="W307" i="66"/>
  <c r="U278" i="66"/>
  <c r="AC327" i="66"/>
  <c r="T315" i="66"/>
  <c r="AI299" i="66"/>
  <c r="U372" i="66"/>
  <c r="AC317" i="66"/>
  <c r="AA328" i="66"/>
  <c r="Y308" i="66"/>
  <c r="S279" i="66"/>
  <c r="R295" i="66"/>
  <c r="AD374" i="66"/>
  <c r="U387" i="66"/>
  <c r="S366" i="66"/>
  <c r="AL361" i="66"/>
  <c r="U313" i="66"/>
  <c r="R359" i="66"/>
  <c r="AP311" i="66"/>
  <c r="Y328" i="66"/>
  <c r="AG307" i="66"/>
  <c r="AC304" i="66"/>
  <c r="W277" i="66"/>
  <c r="AF322" i="66"/>
  <c r="T313" i="66"/>
  <c r="AO296" i="66"/>
  <c r="AN365" i="66"/>
  <c r="AG272" i="66"/>
  <c r="AA353" i="66"/>
  <c r="AM372" i="66"/>
  <c r="AJ401" i="66"/>
  <c r="W377" i="66"/>
  <c r="AG316" i="66"/>
  <c r="AA287" i="66"/>
  <c r="AJ328" i="66"/>
  <c r="AC339" i="66"/>
  <c r="Z308" i="66"/>
  <c r="AE344" i="66"/>
  <c r="AL351" i="66"/>
  <c r="AI310" i="66"/>
  <c r="AD312" i="66"/>
  <c r="Y296" i="66"/>
  <c r="AD345" i="66"/>
  <c r="S340" i="66"/>
  <c r="AN337" i="66"/>
  <c r="AM377" i="66"/>
  <c r="Y327" i="66"/>
  <c r="AK278" i="66"/>
  <c r="AM346" i="66"/>
  <c r="AG286" i="66"/>
  <c r="S323" i="66"/>
  <c r="S277" i="66"/>
  <c r="AC256" i="66"/>
  <c r="R317" i="66"/>
  <c r="AD283" i="66"/>
  <c r="AN258" i="66"/>
  <c r="Y289" i="66"/>
  <c r="Y345" i="66"/>
  <c r="AK302" i="66"/>
  <c r="Y260" i="66"/>
  <c r="AO238" i="66"/>
  <c r="AH287" i="66"/>
  <c r="R263" i="66"/>
  <c r="AK293" i="66"/>
  <c r="U348" i="66"/>
  <c r="AG345" i="66"/>
  <c r="AK266" i="66"/>
  <c r="AA245" i="66"/>
  <c r="AH293" i="66"/>
  <c r="T272" i="66"/>
  <c r="X304" i="66"/>
  <c r="W278" i="66"/>
  <c r="AO335" i="66"/>
  <c r="AO284" i="66"/>
  <c r="W251" i="66"/>
  <c r="AN302" i="66"/>
  <c r="AA369" i="66"/>
  <c r="AF338" i="66"/>
  <c r="AH366" i="66"/>
  <c r="AK286" i="66"/>
  <c r="U337" i="66"/>
  <c r="AM283" i="66"/>
  <c r="AN319" i="66"/>
  <c r="AC274" i="66"/>
  <c r="AI255" i="66"/>
  <c r="Z293" i="66"/>
  <c r="AL271" i="66"/>
  <c r="AN300" i="66"/>
  <c r="AO277" i="66"/>
  <c r="X317" i="66"/>
  <c r="AE273" i="66"/>
  <c r="AO248" i="66"/>
  <c r="X298" i="66"/>
  <c r="AP275" i="66"/>
  <c r="AP313" i="66"/>
  <c r="AA282" i="66"/>
  <c r="AE306" i="66"/>
  <c r="T300" i="66"/>
  <c r="AA255" i="66"/>
  <c r="AD315" i="66"/>
  <c r="AP281" i="66"/>
  <c r="AP257" i="66"/>
  <c r="W288" i="66"/>
  <c r="AF375" i="66"/>
  <c r="AA309" i="66"/>
  <c r="W261" i="66"/>
  <c r="AM239" i="66"/>
  <c r="AF288" i="66"/>
  <c r="W370" i="66"/>
  <c r="Y334" i="66"/>
  <c r="W313" i="66"/>
  <c r="AG386" i="66"/>
  <c r="AC308" i="66"/>
  <c r="AM334" i="66"/>
  <c r="AO300" i="66"/>
  <c r="S271" i="66"/>
  <c r="AC244" i="66"/>
  <c r="AJ292" i="66"/>
  <c r="V271" i="66"/>
  <c r="AD317" i="66"/>
  <c r="AE282" i="66"/>
  <c r="AO301" i="66"/>
  <c r="AE291" i="66"/>
  <c r="AE253" i="66"/>
  <c r="T306" i="66"/>
  <c r="AN280" i="66"/>
  <c r="X256" i="66"/>
  <c r="U287" i="66"/>
  <c r="AC331" i="66"/>
  <c r="U302" i="66"/>
  <c r="U260" i="66"/>
  <c r="AK238" i="66"/>
  <c r="AN286" i="66"/>
  <c r="AN262" i="66"/>
  <c r="AM292" i="66"/>
  <c r="AE329" i="66"/>
  <c r="AA342" i="66"/>
  <c r="AM265" i="66"/>
  <c r="AG244" i="66"/>
  <c r="AD293" i="66"/>
  <c r="X322" i="66"/>
  <c r="AO308" i="66"/>
  <c r="AH273" i="66"/>
  <c r="Y278" i="66"/>
  <c r="AO325" i="66"/>
  <c r="AK256" i="66"/>
  <c r="AG289" i="66"/>
  <c r="W241" i="66"/>
  <c r="AP271" i="66"/>
  <c r="T301" i="66"/>
  <c r="AC277" i="66"/>
  <c r="AM256" i="66"/>
  <c r="X281" i="66"/>
  <c r="AJ232" i="66"/>
  <c r="AJ302" i="66"/>
  <c r="W236" i="66"/>
  <c r="AM214" i="66"/>
  <c r="W196" i="66"/>
  <c r="AP249" i="66"/>
  <c r="Z222" i="66"/>
  <c r="AI215" i="66"/>
  <c r="S187" i="66"/>
  <c r="AI165" i="66"/>
  <c r="W209" i="66"/>
  <c r="R183" i="66"/>
  <c r="S264" i="66"/>
  <c r="AI242" i="66"/>
  <c r="AP242" i="66"/>
  <c r="X220" i="66"/>
  <c r="AN252" i="66"/>
  <c r="AI224" i="66"/>
  <c r="AC203" i="66"/>
  <c r="T285" i="66"/>
  <c r="AH232" i="66"/>
  <c r="T211" i="66"/>
  <c r="AD199" i="66"/>
  <c r="Y176" i="66"/>
  <c r="T244" i="66"/>
  <c r="AO194" i="66"/>
  <c r="Z301" i="66"/>
  <c r="AE252" i="66"/>
  <c r="X263" i="66"/>
  <c r="Z229" i="66"/>
  <c r="AL284" i="66"/>
  <c r="AE234" i="66"/>
  <c r="Y213" i="66"/>
  <c r="AO191" i="66"/>
  <c r="AL244" i="66"/>
  <c r="V220" i="66"/>
  <c r="AO210" i="66"/>
  <c r="U184" i="66"/>
  <c r="AK162" i="66"/>
  <c r="AK204" i="66"/>
  <c r="X180" i="66"/>
  <c r="U259" i="66"/>
  <c r="AH299" i="66"/>
  <c r="V237" i="66"/>
  <c r="X216" i="66"/>
  <c r="AF241" i="66"/>
  <c r="U219" i="66"/>
  <c r="AK197" i="66"/>
  <c r="AN253" i="66"/>
  <c r="AF225" i="66"/>
  <c r="AM227" i="66"/>
  <c r="Z347" i="66"/>
  <c r="V325" i="66"/>
  <c r="T292" i="66"/>
  <c r="Z312" i="66"/>
  <c r="AJ274" i="66"/>
  <c r="AE293" i="66"/>
  <c r="AJ256" i="66"/>
  <c r="AM259" i="66"/>
  <c r="AN276" i="66"/>
  <c r="Z315" i="66"/>
  <c r="S282" i="66"/>
  <c r="AG261" i="66"/>
  <c r="Y333" i="66"/>
  <c r="AH237" i="66"/>
  <c r="T216" i="66"/>
  <c r="AF242" i="66"/>
  <c r="AG219" i="66"/>
  <c r="W198" i="66"/>
  <c r="AF253" i="66"/>
  <c r="V224" i="66"/>
  <c r="AC224" i="66"/>
  <c r="S189" i="66"/>
  <c r="AI167" i="66"/>
  <c r="AP211" i="66"/>
  <c r="AN184" i="66"/>
  <c r="S266" i="66"/>
  <c r="AI244" i="66"/>
  <c r="V246" i="66"/>
  <c r="T222" i="66"/>
  <c r="AN259" i="66"/>
  <c r="AC237" i="66"/>
  <c r="AI226" i="66"/>
  <c r="S216" i="66"/>
  <c r="AC205" i="66"/>
  <c r="AI194" i="66"/>
  <c r="AD282" i="66"/>
  <c r="R245" i="66"/>
  <c r="R232" i="66"/>
  <c r="AP220" i="66"/>
  <c r="AD300" i="66"/>
  <c r="S215" i="66"/>
  <c r="AG198" i="66"/>
  <c r="Y186" i="66"/>
  <c r="AE175" i="66"/>
  <c r="AO164" i="66"/>
  <c r="V240" i="66"/>
  <c r="Z207" i="66"/>
  <c r="T194" i="66"/>
  <c r="AN182" i="66"/>
  <c r="T291" i="66"/>
  <c r="AE262" i="66"/>
  <c r="AO251" i="66"/>
  <c r="Y241" i="66"/>
  <c r="T261" i="66"/>
  <c r="AJ239" i="66"/>
  <c r="AJ228" i="66"/>
  <c r="X218" i="66"/>
  <c r="AH282" i="66"/>
  <c r="AJ249" i="66"/>
  <c r="AO233" i="66"/>
  <c r="Y223" i="66"/>
  <c r="AE212" i="66"/>
  <c r="AO201" i="66"/>
  <c r="Y191" i="66"/>
  <c r="AH264" i="66"/>
  <c r="AP238" i="66"/>
  <c r="AF227" i="66"/>
  <c r="T217" i="66"/>
  <c r="U239" i="66"/>
  <c r="AK206" i="66"/>
  <c r="AE191" i="66"/>
  <c r="AK180" i="66"/>
  <c r="U170" i="66"/>
  <c r="AJ303" i="66"/>
  <c r="S221" i="66"/>
  <c r="AD200" i="66"/>
  <c r="AH187" i="66"/>
  <c r="AF176" i="66"/>
  <c r="AA266" i="66"/>
  <c r="AK255" i="66"/>
  <c r="U245" i="66"/>
  <c r="AN283" i="66"/>
  <c r="R248" i="66"/>
  <c r="T234" i="66"/>
  <c r="AH223" i="66"/>
  <c r="AF212" i="66"/>
  <c r="T263" i="66"/>
  <c r="U237" i="66"/>
  <c r="AA226" i="66"/>
  <c r="AK215" i="66"/>
  <c r="U205" i="66"/>
  <c r="AA194" i="66"/>
  <c r="R284" i="66"/>
  <c r="AJ247" i="66"/>
  <c r="W322" i="66"/>
  <c r="AE384" i="66"/>
  <c r="Z344" i="66"/>
  <c r="AF310" i="66"/>
  <c r="S241" i="66"/>
  <c r="R265" i="66"/>
  <c r="AO334" i="66"/>
  <c r="Y266" i="66"/>
  <c r="V293" i="66"/>
  <c r="AJ301" i="66"/>
  <c r="AO327" i="66"/>
  <c r="AA251" i="66"/>
  <c r="X278" i="66"/>
  <c r="W284" i="66"/>
  <c r="AE348" i="66"/>
  <c r="V323" i="66"/>
  <c r="V281" i="66"/>
  <c r="AJ270" i="66"/>
  <c r="AF256" i="66"/>
  <c r="T299" i="66"/>
  <c r="AI286" i="66"/>
  <c r="S276" i="66"/>
  <c r="W266" i="66"/>
  <c r="AG255" i="66"/>
  <c r="AM244" i="66"/>
  <c r="X277" i="66"/>
  <c r="V245" i="66"/>
  <c r="AD231" i="66"/>
  <c r="R221" i="66"/>
  <c r="Z290" i="66"/>
  <c r="T254" i="66"/>
  <c r="AM234" i="66"/>
  <c r="W224" i="66"/>
  <c r="AG213" i="66"/>
  <c r="AM202" i="66"/>
  <c r="W192" i="66"/>
  <c r="AL272" i="66"/>
  <c r="AD241" i="66"/>
  <c r="T229" i="66"/>
  <c r="AH218" i="66"/>
  <c r="R258" i="66"/>
  <c r="R208" i="66"/>
  <c r="AF194" i="66"/>
  <c r="S183" i="66"/>
  <c r="AC172" i="66"/>
  <c r="AI161" i="66"/>
  <c r="Y230" i="66"/>
  <c r="AD203" i="66"/>
  <c r="V189" i="66"/>
  <c r="AJ178" i="66"/>
  <c r="W274" i="66"/>
  <c r="S260" i="66"/>
  <c r="AC249" i="66"/>
  <c r="AF308" i="66"/>
  <c r="R256" i="66"/>
  <c r="AD237" i="66"/>
  <c r="R227" i="66"/>
  <c r="AP215" i="66"/>
  <c r="T277" i="66"/>
  <c r="AN244" i="66"/>
  <c r="AC231" i="66"/>
  <c r="AI220" i="66"/>
  <c r="S210" i="66"/>
  <c r="AC199" i="66"/>
  <c r="AL298" i="66"/>
  <c r="X253" i="66"/>
  <c r="Z236" i="66"/>
  <c r="AN225" i="66"/>
  <c r="AL214" i="66"/>
  <c r="W235" i="66"/>
  <c r="X205" i="66"/>
  <c r="AO190" i="66"/>
  <c r="Y180" i="66"/>
  <c r="AE169" i="66"/>
  <c r="AJ291" i="66"/>
  <c r="W217" i="66"/>
  <c r="AM199" i="66"/>
  <c r="V187" i="66"/>
  <c r="AJ176" i="66"/>
  <c r="AE270" i="66"/>
  <c r="AE256" i="66"/>
  <c r="AO245" i="66"/>
  <c r="V282" i="66"/>
  <c r="X247" i="66"/>
  <c r="AH233" i="66"/>
  <c r="AF222" i="66"/>
  <c r="T212" i="66"/>
  <c r="AF261" i="66"/>
  <c r="AL238" i="66"/>
  <c r="AO227" i="66"/>
  <c r="Y217" i="66"/>
  <c r="AE206" i="66"/>
  <c r="AO195" i="66"/>
  <c r="AL288" i="66"/>
  <c r="AP246" i="66"/>
  <c r="AD232" i="66"/>
  <c r="R222" i="66"/>
  <c r="AN318" i="66"/>
  <c r="AO214" i="66"/>
  <c r="X199" i="66"/>
  <c r="AA185" i="66"/>
  <c r="AK174" i="66"/>
  <c r="U164" i="66"/>
  <c r="AK239" i="66"/>
  <c r="T207" i="66"/>
  <c r="Z192" i="66"/>
  <c r="AD181" i="66"/>
  <c r="R251" i="66"/>
  <c r="AA260" i="66"/>
  <c r="AK249" i="66"/>
  <c r="V313" i="66"/>
  <c r="AF257" i="66"/>
  <c r="AH238" i="66"/>
  <c r="AP227" i="66"/>
  <c r="AD217" i="66"/>
  <c r="R282" i="66"/>
  <c r="X244" i="66"/>
  <c r="U231" i="66"/>
  <c r="AA220" i="66"/>
  <c r="AK209" i="66"/>
  <c r="U199" i="66"/>
  <c r="AL300" i="66"/>
  <c r="Z256" i="66"/>
  <c r="AO237" i="66"/>
  <c r="AL226" i="66"/>
  <c r="Z216" i="66"/>
  <c r="Y234" i="66"/>
  <c r="AL204" i="66"/>
  <c r="AE319" i="66"/>
  <c r="AO288" i="66"/>
  <c r="AA259" i="66"/>
  <c r="AM243" i="66"/>
  <c r="AD302" i="66"/>
  <c r="AG257" i="66"/>
  <c r="Z233" i="66"/>
  <c r="AM236" i="66"/>
  <c r="W194" i="66"/>
  <c r="AD220" i="66"/>
  <c r="S185" i="66"/>
  <c r="AM205" i="66"/>
  <c r="S262" i="66"/>
  <c r="AO239" i="66"/>
  <c r="AN248" i="66"/>
  <c r="AC201" i="66"/>
  <c r="AJ227" i="66"/>
  <c r="AD193" i="66"/>
  <c r="AO224" i="66"/>
  <c r="U273" i="66"/>
  <c r="AL250" i="66"/>
  <c r="R270" i="66"/>
  <c r="AE208" i="66"/>
  <c r="Z234" i="66"/>
  <c r="AH201" i="66"/>
  <c r="T252" i="66"/>
  <c r="AF298" i="66"/>
  <c r="AP264" i="66"/>
  <c r="Z288" i="66"/>
  <c r="AK211" i="66"/>
  <c r="V243" i="66"/>
  <c r="R220" i="66"/>
  <c r="S209" i="66"/>
  <c r="V192" i="66"/>
  <c r="W181" i="66"/>
  <c r="AG170" i="66"/>
  <c r="AK341" i="66"/>
  <c r="AC218" i="66"/>
  <c r="AK198" i="66"/>
  <c r="AH315" i="66"/>
  <c r="AP261" i="66"/>
  <c r="AL297" i="66"/>
  <c r="AG281" i="66"/>
  <c r="T270" i="66"/>
  <c r="AC275" i="66"/>
  <c r="X275" i="66"/>
  <c r="AN287" i="66"/>
  <c r="AM212" i="66"/>
  <c r="W240" i="66"/>
  <c r="V207" i="66"/>
  <c r="S161" i="66"/>
  <c r="T178" i="66"/>
  <c r="R301" i="66"/>
  <c r="Z215" i="66"/>
  <c r="S220" i="66"/>
  <c r="AJ251" i="66"/>
  <c r="AC232" i="66"/>
  <c r="AO168" i="66"/>
  <c r="AF186" i="66"/>
  <c r="Y245" i="66"/>
  <c r="AP221" i="66"/>
  <c r="Y227" i="66"/>
  <c r="V403" i="66"/>
  <c r="AJ360" i="66"/>
  <c r="T385" i="66"/>
  <c r="T337" i="66"/>
  <c r="AI365" i="66"/>
  <c r="Y352" i="66"/>
  <c r="X382" i="66"/>
  <c r="U409" i="66"/>
  <c r="T350" i="66"/>
  <c r="S355" i="66"/>
  <c r="AD386" i="66"/>
  <c r="AI339" i="66"/>
  <c r="AH370" i="66"/>
  <c r="AO381" i="66"/>
  <c r="AG367" i="66"/>
  <c r="AL337" i="66"/>
  <c r="AE328" i="66"/>
  <c r="AN315" i="66"/>
  <c r="W299" i="66"/>
  <c r="AI379" i="66"/>
  <c r="W316" i="66"/>
  <c r="T307" i="66"/>
  <c r="S328" i="66"/>
  <c r="AK338" i="66"/>
  <c r="AC309" i="66"/>
  <c r="X311" i="66"/>
  <c r="AO294" i="66"/>
  <c r="T332" i="66"/>
  <c r="AG370" i="66"/>
  <c r="AP334" i="66"/>
  <c r="Z336" i="66"/>
  <c r="R340" i="66"/>
  <c r="AA310" i="66"/>
  <c r="AI344" i="66"/>
  <c r="X301" i="66"/>
  <c r="AN369" i="66"/>
  <c r="AM304" i="66"/>
  <c r="S344" i="66"/>
  <c r="T304" i="66"/>
  <c r="AJ353" i="66"/>
  <c r="AC303" i="66"/>
  <c r="R321" i="66"/>
  <c r="AI291" i="66"/>
  <c r="Z351" i="66"/>
  <c r="AC266" i="66"/>
  <c r="AH369" i="66"/>
  <c r="W362" i="66"/>
  <c r="AA349" i="66"/>
  <c r="AD362" i="66"/>
  <c r="AL350" i="66"/>
  <c r="AM313" i="66"/>
  <c r="AK284" i="66"/>
  <c r="X326" i="66"/>
  <c r="AG329" i="66"/>
  <c r="AN322" i="66"/>
  <c r="AC295" i="66"/>
  <c r="AL333" i="66"/>
  <c r="AL357" i="66"/>
  <c r="AL362" i="66"/>
  <c r="AN312" i="66"/>
  <c r="Y313" i="66"/>
  <c r="AI271" i="66"/>
  <c r="AF354" i="66"/>
  <c r="R314" i="66"/>
  <c r="V318" i="66"/>
  <c r="AM275" i="66"/>
  <c r="AN311" i="66"/>
  <c r="R337" i="66"/>
  <c r="AI253" i="66"/>
  <c r="AJ306" i="66"/>
  <c r="R281" i="66"/>
  <c r="AF371" i="66"/>
  <c r="AE286" i="66"/>
  <c r="AO317" i="66"/>
  <c r="AG331" i="66"/>
  <c r="AE257" i="66"/>
  <c r="AI332" i="66"/>
  <c r="AF284" i="66"/>
  <c r="AP259" i="66"/>
  <c r="U291" i="66"/>
  <c r="AF340" i="66"/>
  <c r="U318" i="66"/>
  <c r="U264" i="66"/>
  <c r="AK242" i="66"/>
  <c r="AF290" i="66"/>
  <c r="AF266" i="66"/>
  <c r="AG297" i="66"/>
  <c r="AG275" i="66"/>
  <c r="R316" i="66"/>
  <c r="Y274" i="66"/>
  <c r="AG248" i="66"/>
  <c r="AI298" i="66"/>
  <c r="U359" i="66"/>
  <c r="Z358" i="66"/>
  <c r="AN321" i="66"/>
  <c r="U276" i="66"/>
  <c r="AJ315" i="66"/>
  <c r="AE390" i="66"/>
  <c r="AL308" i="66"/>
  <c r="AJ369" i="66"/>
  <c r="S253" i="66"/>
  <c r="AD356" i="66"/>
  <c r="Z285" i="66"/>
  <c r="AJ260" i="66"/>
  <c r="Y291" i="66"/>
  <c r="R329" i="66"/>
  <c r="AK310" i="66"/>
  <c r="Y262" i="66"/>
  <c r="AO240" i="66"/>
  <c r="AD289" i="66"/>
  <c r="AN264" i="66"/>
  <c r="T296" i="66"/>
  <c r="T391" i="66"/>
  <c r="X309" i="66"/>
  <c r="AA271" i="66"/>
  <c r="AA247" i="66"/>
  <c r="X297" i="66"/>
  <c r="AP273" i="66"/>
  <c r="AN310" i="66"/>
  <c r="W280" i="66"/>
  <c r="AE300" i="66"/>
  <c r="AO292" i="66"/>
  <c r="W253" i="66"/>
  <c r="V307" i="66"/>
  <c r="AL382" i="66"/>
  <c r="AK332" i="66"/>
  <c r="AA306" i="66"/>
  <c r="AM294" i="66"/>
  <c r="AM300" i="66"/>
  <c r="AM291" i="66"/>
  <c r="AC341" i="66"/>
  <c r="AC282" i="66"/>
  <c r="AI257" i="66"/>
  <c r="W336" i="66"/>
  <c r="AJ284" i="66"/>
  <c r="T260" i="66"/>
  <c r="AN304" i="66"/>
  <c r="AO279" i="66"/>
  <c r="AI330" i="66"/>
  <c r="AO280" i="66"/>
  <c r="AO250" i="66"/>
  <c r="AP300" i="66"/>
  <c r="AL277" i="66"/>
  <c r="AO333" i="66"/>
  <c r="AA284" i="66"/>
  <c r="AE314" i="66"/>
  <c r="Y325" i="66"/>
  <c r="AA257" i="66"/>
  <c r="Y329" i="66"/>
  <c r="AL283" i="66"/>
  <c r="AL259" i="66"/>
  <c r="W290" i="66"/>
  <c r="Z333" i="66"/>
  <c r="AA317" i="66"/>
  <c r="W263" i="66"/>
  <c r="AM241" i="66"/>
  <c r="R291" i="66"/>
  <c r="U292" i="66"/>
  <c r="AI279" i="66"/>
  <c r="AD259" i="66"/>
  <c r="AO260" i="66"/>
  <c r="AE294" i="66"/>
  <c r="U246" i="66"/>
  <c r="AM278" i="66"/>
  <c r="R304" i="66"/>
  <c r="AL265" i="66"/>
  <c r="AE296" i="66"/>
  <c r="AI274" i="66"/>
  <c r="W254" i="66"/>
  <c r="AD272" i="66"/>
  <c r="X230" i="66"/>
  <c r="AN285" i="66"/>
  <c r="AG233" i="66"/>
  <c r="W212" i="66"/>
  <c r="AG193" i="66"/>
  <c r="V244" i="66"/>
  <c r="V328" i="66"/>
  <c r="AH338" i="66"/>
  <c r="V418" i="66"/>
  <c r="R339" i="66"/>
  <c r="AJ345" i="66"/>
  <c r="U311" i="66"/>
  <c r="AM302" i="66"/>
  <c r="U382" i="66"/>
  <c r="W354" i="66"/>
  <c r="W309" i="66"/>
  <c r="AI300" i="66"/>
  <c r="AN332" i="66"/>
  <c r="W295" i="66"/>
  <c r="AC314" i="66"/>
  <c r="AI265" i="66"/>
  <c r="AM307" i="66"/>
  <c r="R364" i="66"/>
  <c r="AP293" i="66"/>
  <c r="AJ319" i="66"/>
  <c r="AF276" i="66"/>
  <c r="AJ304" i="66"/>
  <c r="AF258" i="66"/>
  <c r="AM261" i="66"/>
  <c r="AN338" i="66"/>
  <c r="AO345" i="66"/>
  <c r="AE288" i="66"/>
  <c r="Y238" i="66"/>
  <c r="Y332" i="66"/>
  <c r="R293" i="66"/>
  <c r="AK325" i="66"/>
  <c r="AO348" i="66"/>
  <c r="AI326" i="66"/>
  <c r="S255" i="66"/>
  <c r="Y264" i="66"/>
  <c r="AH298" i="66"/>
  <c r="AA249" i="66"/>
  <c r="W282" i="66"/>
  <c r="AF314" i="66"/>
  <c r="Y279" i="66"/>
  <c r="AK314" i="66"/>
  <c r="W270" i="66"/>
  <c r="Z258" i="66"/>
  <c r="AL232" i="66"/>
  <c r="AI199" i="66"/>
  <c r="AF250" i="66"/>
  <c r="Z278" i="66"/>
  <c r="AL276" i="66"/>
  <c r="AD292" i="66"/>
  <c r="S214" i="66"/>
  <c r="V272" i="66"/>
  <c r="AN261" i="66"/>
  <c r="AE173" i="66"/>
  <c r="AI191" i="66"/>
  <c r="AO249" i="66"/>
  <c r="AN226" i="66"/>
  <c r="AO231" i="66"/>
  <c r="AJ217" i="66"/>
  <c r="AA181" i="66"/>
  <c r="AA201" i="66"/>
  <c r="AA256" i="66"/>
  <c r="AJ234" i="66"/>
  <c r="AK237" i="66"/>
  <c r="U195" i="66"/>
  <c r="T223" i="66"/>
  <c r="AK337" i="66"/>
  <c r="AH281" i="66"/>
  <c r="AF260" i="66"/>
  <c r="Y299" i="66"/>
  <c r="AL273" i="66"/>
  <c r="AC279" i="66"/>
  <c r="AH292" i="66"/>
  <c r="AH213" i="66"/>
  <c r="AM216" i="66"/>
  <c r="AL248" i="66"/>
  <c r="AI213" i="66"/>
  <c r="S165" i="66"/>
  <c r="AL181" i="66"/>
  <c r="S242" i="66"/>
  <c r="AH219" i="66"/>
  <c r="AI234" i="66"/>
  <c r="AC213" i="66"/>
  <c r="S192" i="66"/>
  <c r="R240" i="66"/>
  <c r="AD218" i="66"/>
  <c r="AD209" i="66"/>
  <c r="AE183" i="66"/>
  <c r="Y162" i="66"/>
  <c r="U204" i="66"/>
  <c r="AL179" i="66"/>
  <c r="AO259" i="66"/>
  <c r="V300" i="66"/>
  <c r="AJ236" i="66"/>
  <c r="V215" i="66"/>
  <c r="AF244" i="66"/>
  <c r="AE220" i="66"/>
  <c r="Y199" i="66"/>
  <c r="R254" i="66"/>
  <c r="T225" i="66"/>
  <c r="U228" i="66"/>
  <c r="AK188" i="66"/>
  <c r="AA167" i="66"/>
  <c r="Z211" i="66"/>
  <c r="AF184" i="66"/>
  <c r="AK263" i="66"/>
  <c r="AA242" i="66"/>
  <c r="Z243" i="66"/>
  <c r="AF220" i="66"/>
  <c r="Z253" i="66"/>
  <c r="AK223" i="66"/>
  <c r="AA202" i="66"/>
  <c r="AD270" i="66"/>
  <c r="AM330" i="66"/>
  <c r="AI312" i="66"/>
  <c r="AF302" i="66"/>
  <c r="AO309" i="66"/>
  <c r="AJ282" i="66"/>
  <c r="U310" i="66"/>
  <c r="AJ264" i="66"/>
  <c r="W271" i="66"/>
  <c r="AJ278" i="66"/>
  <c r="AC337" i="66"/>
  <c r="S284" i="66"/>
  <c r="AG263" i="66"/>
  <c r="W242" i="66"/>
  <c r="R241" i="66"/>
  <c r="AP217" i="66"/>
  <c r="AL247" i="66"/>
  <c r="AG221" i="66"/>
  <c r="W200" i="66"/>
  <c r="AN257" i="66"/>
  <c r="AH226" i="66"/>
  <c r="AA233" i="66"/>
  <c r="T191" i="66"/>
  <c r="AI169" i="66"/>
  <c r="U220" i="66"/>
  <c r="AJ186" i="66"/>
  <c r="AI270" i="66"/>
  <c r="AI246" i="66"/>
  <c r="AL249" i="66"/>
  <c r="AP223" i="66"/>
  <c r="Z266" i="66"/>
  <c r="AI228" i="66"/>
  <c r="AC207" i="66"/>
  <c r="X289" i="66"/>
  <c r="AN233" i="66"/>
  <c r="Z212" i="66"/>
  <c r="R201" i="66"/>
  <c r="AE177" i="66"/>
  <c r="AP255" i="66"/>
  <c r="AG196" i="66"/>
  <c r="X174" i="66"/>
  <c r="AO253" i="66"/>
  <c r="V274" i="66"/>
  <c r="AF230" i="66"/>
  <c r="AP288" i="66"/>
  <c r="AO235" i="66"/>
  <c r="AE214" i="66"/>
  <c r="Y193" i="66"/>
  <c r="V242" i="66"/>
  <c r="AP218" i="66"/>
  <c r="X209" i="66"/>
  <c r="AK182" i="66"/>
  <c r="AA161" i="66"/>
  <c r="S203" i="66"/>
  <c r="R179" i="66"/>
  <c r="AK257" i="66"/>
  <c r="AF293" i="66"/>
  <c r="AP235" i="66"/>
  <c r="R215" i="66"/>
  <c r="AC239" i="66"/>
  <c r="AK217" i="66"/>
  <c r="AA196" i="66"/>
  <c r="T251" i="66"/>
  <c r="Z224" i="66"/>
  <c r="U222" i="66"/>
  <c r="S249" i="66"/>
  <c r="X286" i="66"/>
  <c r="AI288" i="66"/>
  <c r="AN222" i="66"/>
  <c r="AF283" i="66"/>
  <c r="AC174" i="66"/>
  <c r="AC251" i="66"/>
  <c r="AC233" i="66"/>
  <c r="X217" i="66"/>
  <c r="AC202" i="66"/>
  <c r="AD235" i="66"/>
  <c r="AO197" i="66"/>
  <c r="AA187" i="66"/>
  <c r="AA262" i="66"/>
  <c r="AJ250" i="66"/>
  <c r="R236" i="66"/>
  <c r="T203" i="66"/>
  <c r="AG178" i="66"/>
  <c r="X261" i="66"/>
  <c r="Z195" i="66"/>
  <c r="AL335" i="66"/>
  <c r="V299" i="66"/>
  <c r="AG265" i="66"/>
  <c r="R253" i="66"/>
  <c r="AD228" i="66"/>
  <c r="S227" i="66"/>
  <c r="AL254" i="66"/>
  <c r="AC209" i="66"/>
  <c r="AE203" i="66"/>
  <c r="T176" i="66"/>
  <c r="AH309" i="66"/>
  <c r="Y195" i="66"/>
  <c r="AL220" i="66"/>
  <c r="AK184" i="66"/>
  <c r="Y206" i="66"/>
  <c r="AK259" i="66"/>
  <c r="AL237" i="66"/>
  <c r="AN242" i="66"/>
  <c r="AA198" i="66"/>
  <c r="V234" i="66"/>
  <c r="X213" i="66"/>
  <c r="Y202" i="66"/>
  <c r="AC329" i="66"/>
  <c r="AO252" i="66"/>
  <c r="U238" i="66"/>
  <c r="AN292" i="66"/>
  <c r="T294" i="66"/>
  <c r="W252" i="66"/>
  <c r="AL227" i="66"/>
  <c r="AG231" i="66"/>
  <c r="AI384" i="66"/>
  <c r="V345" i="66"/>
  <c r="W327" i="66"/>
  <c r="AG347" i="66"/>
  <c r="W321" i="66"/>
  <c r="V352" i="66"/>
  <c r="S368" i="66"/>
  <c r="U280" i="66"/>
  <c r="AC333" i="66"/>
  <c r="Y318" i="66"/>
  <c r="AO366" i="66"/>
  <c r="S356" i="66"/>
  <c r="W287" i="66"/>
  <c r="AE317" i="66"/>
  <c r="Y306" i="66"/>
  <c r="R273" i="66"/>
  <c r="AE275" i="66"/>
  <c r="AJ320" i="66"/>
  <c r="U256" i="66"/>
  <c r="AM288" i="66"/>
  <c r="AG240" i="66"/>
  <c r="AM315" i="66"/>
  <c r="AE303" i="66"/>
  <c r="AD313" i="66"/>
  <c r="W334" i="66"/>
  <c r="R287" i="66"/>
  <c r="U335" i="66"/>
  <c r="AD271" i="66"/>
  <c r="Y282" i="66"/>
  <c r="W400" i="66"/>
  <c r="W281" i="66"/>
  <c r="V311" i="66"/>
  <c r="Y293" i="66"/>
  <c r="AO242" i="66"/>
  <c r="AA276" i="66"/>
  <c r="AK299" i="66"/>
  <c r="AE308" i="66"/>
  <c r="AC350" i="66"/>
  <c r="AP299" i="66"/>
  <c r="R283" i="66"/>
  <c r="W246" i="66"/>
  <c r="AG225" i="66"/>
  <c r="AN219" i="66"/>
  <c r="AC184" i="66"/>
  <c r="R205" i="66"/>
  <c r="AC261" i="66"/>
  <c r="T239" i="66"/>
  <c r="AD247" i="66"/>
  <c r="AI200" i="66"/>
  <c r="R246" i="66"/>
  <c r="AG218" i="66"/>
  <c r="AE165" i="66"/>
  <c r="AD183" i="66"/>
  <c r="AO241" i="66"/>
  <c r="AN218" i="66"/>
  <c r="AO223" i="66"/>
  <c r="AH284" i="66"/>
  <c r="Z280" i="66"/>
  <c r="AA173" i="66"/>
  <c r="AJ190" i="66"/>
  <c r="AA248" i="66"/>
  <c r="AJ226" i="66"/>
  <c r="AK229" i="66"/>
  <c r="S294" i="66"/>
  <c r="T215" i="66"/>
  <c r="AD354" i="66"/>
  <c r="AM298" i="66"/>
  <c r="U281" i="66"/>
  <c r="AG339" i="66"/>
  <c r="AJ262" i="66"/>
  <c r="AC271" i="66"/>
  <c r="AH256" i="66"/>
  <c r="AJ275" i="66"/>
  <c r="AM208" i="66"/>
  <c r="X235" i="66"/>
  <c r="T202" i="66"/>
  <c r="R272" i="66"/>
  <c r="AL173" i="66"/>
  <c r="AL282" i="66"/>
  <c r="X314" i="66"/>
  <c r="S232" i="66"/>
  <c r="AI210" i="66"/>
  <c r="R309" i="66"/>
  <c r="AP236" i="66"/>
  <c r="R216" i="66"/>
  <c r="U206" i="66"/>
  <c r="AO180" i="66"/>
  <c r="AL313" i="66"/>
  <c r="AJ200" i="66"/>
  <c r="Z177" i="66"/>
  <c r="Y257" i="66"/>
  <c r="Z284" i="66"/>
  <c r="X234" i="66"/>
  <c r="AJ212" i="66"/>
  <c r="AH239" i="66"/>
  <c r="AO217" i="66"/>
  <c r="AE196" i="66"/>
  <c r="V248" i="66"/>
  <c r="AH222" i="66"/>
  <c r="AA217" i="66"/>
  <c r="U186" i="66"/>
  <c r="AK164" i="66"/>
  <c r="AP207" i="66"/>
  <c r="T182" i="66"/>
  <c r="U261" i="66"/>
  <c r="AP319" i="66"/>
  <c r="AD239" i="66"/>
  <c r="T218" i="66"/>
  <c r="AJ246" i="66"/>
  <c r="U221" i="66"/>
  <c r="AK199" i="66"/>
  <c r="V258" i="66"/>
  <c r="AD316" i="66"/>
  <c r="AH289" i="66"/>
  <c r="S338" i="66"/>
  <c r="X272" i="66"/>
  <c r="AO282" i="66"/>
  <c r="U339" i="66"/>
  <c r="W257" i="66"/>
  <c r="X276" i="66"/>
  <c r="AF312" i="66"/>
  <c r="AC281" i="66"/>
  <c r="AM260" i="66"/>
  <c r="X318" i="66"/>
  <c r="R237" i="66"/>
  <c r="AD215" i="66"/>
  <c r="X241" i="66"/>
  <c r="AM218" i="66"/>
  <c r="AG197" i="66"/>
  <c r="V252" i="66"/>
  <c r="AF223" i="66"/>
  <c r="AM221" i="66"/>
  <c r="AC188" i="66"/>
  <c r="S167" i="66"/>
  <c r="AN210" i="66"/>
  <c r="X184" i="66"/>
  <c r="AC265" i="66"/>
  <c r="S244" i="66"/>
  <c r="AP244" i="66"/>
  <c r="AD221" i="66"/>
  <c r="V255" i="66"/>
  <c r="S226" i="66"/>
  <c r="AI204" i="66"/>
  <c r="AD278" i="66"/>
  <c r="AL230" i="66"/>
  <c r="AH286" i="66"/>
  <c r="AJ197" i="66"/>
  <c r="AO174" i="66"/>
  <c r="AG236" i="66"/>
  <c r="W193" i="66"/>
  <c r="Z274" i="66"/>
  <c r="Y251" i="66"/>
  <c r="AD258" i="66"/>
  <c r="T228" i="66"/>
  <c r="AH280" i="66"/>
  <c r="Y233" i="66"/>
  <c r="AO211" i="66"/>
  <c r="AI328" i="66"/>
  <c r="T238" i="66"/>
  <c r="AD216" i="66"/>
  <c r="AN205" i="66"/>
  <c r="U180" i="66"/>
  <c r="R290" i="66"/>
  <c r="AH199" i="66"/>
  <c r="AP175" i="66"/>
  <c r="U255" i="66"/>
  <c r="AN281" i="66"/>
  <c r="AD233" i="66"/>
  <c r="Z319" i="66"/>
  <c r="AA236" i="66"/>
  <c r="U215" i="66"/>
  <c r="AK193" i="66"/>
  <c r="AH246" i="66"/>
  <c r="AN221" i="66"/>
  <c r="AI211" i="66"/>
  <c r="T276" i="66"/>
  <c r="W292" i="66"/>
  <c r="S278" i="66"/>
  <c r="AL315" i="66"/>
  <c r="Z245" i="66"/>
  <c r="AI163" i="66"/>
  <c r="AI240" i="66"/>
  <c r="AI222" i="66"/>
  <c r="AF245" i="66"/>
  <c r="AH189" i="66"/>
  <c r="R225" i="66"/>
  <c r="AN294" i="66"/>
  <c r="AK176" i="66"/>
  <c r="AK251" i="66"/>
  <c r="U233" i="66"/>
  <c r="AD230" i="66"/>
  <c r="S199" i="66"/>
  <c r="AM175" i="66"/>
  <c r="AD238" i="66"/>
  <c r="U192" i="66"/>
  <c r="AE263" i="66"/>
  <c r="AL311" i="66"/>
  <c r="AM254" i="66"/>
  <c r="W234" i="66"/>
  <c r="R218" i="66"/>
  <c r="AH202" i="66"/>
  <c r="AN236" i="66"/>
  <c r="AI198" i="66"/>
  <c r="Y190" i="66"/>
  <c r="AE266" i="66"/>
  <c r="X259" i="66"/>
  <c r="AL286" i="66"/>
  <c r="R299" i="66"/>
  <c r="U174" i="66"/>
  <c r="AD191" i="66"/>
  <c r="U249" i="66"/>
  <c r="Z227" i="66"/>
  <c r="AA230" i="66"/>
  <c r="AN296" i="66"/>
  <c r="X229" i="66"/>
  <c r="R247" i="66"/>
  <c r="AE355" i="66"/>
  <c r="AD298" i="66"/>
  <c r="X280" i="66"/>
  <c r="X262" i="66"/>
  <c r="T278" i="66"/>
  <c r="AC283" i="66"/>
  <c r="AG241" i="66"/>
  <c r="Z217" i="66"/>
  <c r="AM220" i="66"/>
  <c r="AJ255" i="66"/>
  <c r="AE229" i="66"/>
  <c r="S169" i="66"/>
  <c r="T186" i="66"/>
  <c r="S246" i="66"/>
  <c r="Z223" i="66"/>
  <c r="S228" i="66"/>
  <c r="T287" i="66"/>
  <c r="AJ211" i="66"/>
  <c r="AO176" i="66"/>
  <c r="AJ195" i="66"/>
  <c r="Y253" i="66"/>
  <c r="AP229" i="66"/>
  <c r="Y235" i="66"/>
  <c r="AE192" i="66"/>
  <c r="Z218" i="66"/>
  <c r="U182" i="66"/>
  <c r="X202" i="66"/>
  <c r="U257" i="66"/>
  <c r="Z235" i="66"/>
  <c r="AF238" i="66"/>
  <c r="AK195" i="66"/>
  <c r="AP232" i="66"/>
  <c r="AJ389" i="66"/>
  <c r="R371" i="66"/>
  <c r="AD339" i="66"/>
  <c r="AF346" i="66"/>
  <c r="Z302" i="66"/>
  <c r="AM293" i="66"/>
  <c r="Z307" i="66"/>
  <c r="U365" i="66"/>
  <c r="AN336" i="66"/>
  <c r="AA346" i="66"/>
  <c r="AG299" i="66"/>
  <c r="S289" i="66"/>
  <c r="AP358" i="66"/>
  <c r="AC320" i="66"/>
  <c r="AM314" i="66"/>
  <c r="Z372" i="66"/>
  <c r="AC288" i="66"/>
  <c r="AM348" i="66"/>
  <c r="AF330" i="66"/>
  <c r="AO286" i="66"/>
  <c r="V302" i="66"/>
  <c r="AE249" i="66"/>
  <c r="U283" i="66"/>
  <c r="AF318" i="66"/>
  <c r="AL327" i="66"/>
  <c r="V289" i="66"/>
  <c r="T328" i="66"/>
  <c r="Y276" i="66"/>
  <c r="AN282" i="66"/>
  <c r="U300" i="66"/>
  <c r="AL261" i="66"/>
  <c r="U266" i="66"/>
  <c r="AL302" i="66"/>
  <c r="AG250" i="66"/>
  <c r="U347" i="66"/>
  <c r="AL316" i="66"/>
  <c r="X282" i="66"/>
  <c r="R343" i="66"/>
  <c r="Z291" i="66"/>
  <c r="AH316" i="66"/>
  <c r="AL275" i="66"/>
  <c r="AH303" i="66"/>
  <c r="AC316" i="66"/>
  <c r="AO311" i="66"/>
  <c r="AL257" i="66"/>
  <c r="AN247" i="66"/>
  <c r="AN211" i="66"/>
  <c r="AC176" i="66"/>
  <c r="T195" i="66"/>
  <c r="AC253" i="66"/>
  <c r="AJ230" i="66"/>
  <c r="AC235" i="66"/>
  <c r="AI192" i="66"/>
  <c r="AF229" i="66"/>
  <c r="R196" i="66"/>
  <c r="Y232" i="66"/>
  <c r="AL253" i="66"/>
  <c r="AD254" i="66"/>
  <c r="AH276" i="66"/>
  <c r="AE210" i="66"/>
  <c r="AL239" i="66"/>
  <c r="AF207" i="66"/>
  <c r="U160" i="66"/>
  <c r="V177" i="66"/>
  <c r="AD286" i="66"/>
  <c r="V213" i="66"/>
  <c r="AA216" i="66"/>
  <c r="R249" i="66"/>
  <c r="AG216" i="66"/>
  <c r="Z314" i="66"/>
  <c r="AK294" i="66"/>
  <c r="AK264" i="66"/>
  <c r="W249" i="66"/>
  <c r="AD305" i="66"/>
  <c r="AM258" i="66"/>
  <c r="AF234" i="66"/>
  <c r="AA238" i="66"/>
  <c r="AG195" i="66"/>
  <c r="AJ221" i="66"/>
  <c r="AC186" i="66"/>
  <c r="AE207" i="66"/>
  <c r="AC263" i="66"/>
  <c r="AP241" i="66"/>
  <c r="AD251" i="66"/>
  <c r="S224" i="66"/>
  <c r="AI202" i="66"/>
  <c r="T265" i="66"/>
  <c r="AP228" i="66"/>
  <c r="R255" i="66"/>
  <c r="V195" i="66"/>
  <c r="AO172" i="66"/>
  <c r="AA229" i="66"/>
  <c r="AN190" i="66"/>
  <c r="Y275" i="66"/>
  <c r="Y249" i="66"/>
  <c r="T253" i="66"/>
  <c r="X226" i="66"/>
  <c r="AH274" i="66"/>
  <c r="Y231" i="66"/>
  <c r="AO209" i="66"/>
  <c r="AH301" i="66"/>
  <c r="AF235" i="66"/>
  <c r="AH214" i="66"/>
  <c r="Z203" i="66"/>
  <c r="U178" i="66"/>
  <c r="Z270" i="66"/>
  <c r="X197" i="66"/>
  <c r="T174" i="66"/>
  <c r="U253" i="66"/>
  <c r="AN275" i="66"/>
  <c r="AH231" i="66"/>
  <c r="X294" i="66"/>
  <c r="AA234" i="66"/>
  <c r="U213" i="66"/>
  <c r="AK191" i="66"/>
  <c r="AP363" i="66"/>
  <c r="AG319" i="66"/>
  <c r="AE310" i="66"/>
  <c r="AG335" i="66"/>
  <c r="AE255" i="66"/>
  <c r="U289" i="66"/>
  <c r="AK240" i="66"/>
  <c r="S372" i="66"/>
  <c r="V296" i="66"/>
  <c r="AF264" i="66"/>
  <c r="AP294" i="66"/>
  <c r="AC273" i="66"/>
  <c r="AM252" i="66"/>
  <c r="Z264" i="66"/>
  <c r="R229" i="66"/>
  <c r="AJ281" i="66"/>
  <c r="W232" i="66"/>
  <c r="AM210" i="66"/>
  <c r="AJ310" i="66"/>
  <c r="T237" i="66"/>
  <c r="AF215" i="66"/>
  <c r="AG204" i="66"/>
  <c r="AC180" i="66"/>
  <c r="Y295" i="66"/>
  <c r="T200" i="66"/>
  <c r="X176" i="66"/>
  <c r="AC257" i="66"/>
  <c r="R292" i="66"/>
  <c r="R235" i="66"/>
  <c r="AD213" i="66"/>
  <c r="AN239" i="66"/>
  <c r="S218" i="66"/>
  <c r="AI196" i="66"/>
  <c r="AD248" i="66"/>
  <c r="AL222" i="66"/>
  <c r="AE223" i="66"/>
  <c r="Y188" i="66"/>
  <c r="AO166" i="66"/>
  <c r="AM209" i="66"/>
  <c r="AJ184" i="66"/>
  <c r="AE264" i="66"/>
  <c r="Y243" i="66"/>
  <c r="AH242" i="66"/>
  <c r="T220" i="66"/>
  <c r="AH253" i="66"/>
  <c r="Y225" i="66"/>
  <c r="AO203" i="66"/>
  <c r="AF277" i="66"/>
  <c r="R230" i="66"/>
  <c r="AP260" i="66"/>
  <c r="AP194" i="66"/>
  <c r="U172" i="66"/>
  <c r="AG228" i="66"/>
  <c r="AD189" i="66"/>
  <c r="AO271" i="66"/>
  <c r="U247" i="66"/>
  <c r="AN251" i="66"/>
  <c r="AD225" i="66"/>
  <c r="R274" i="66"/>
  <c r="AA228" i="66"/>
  <c r="U207" i="66"/>
  <c r="V290" i="66"/>
  <c r="AL234" i="66"/>
  <c r="AN213" i="66"/>
  <c r="R395" i="66"/>
  <c r="AH304" i="66"/>
  <c r="AH283" i="66"/>
  <c r="AM246" i="66"/>
  <c r="W226" i="66"/>
  <c r="T289" i="66"/>
  <c r="AN191" i="66"/>
  <c r="AN228" i="66"/>
  <c r="AP353" i="66"/>
  <c r="Y182" i="66"/>
  <c r="AE258" i="66"/>
  <c r="AN241" i="66"/>
  <c r="AN223" i="66"/>
  <c r="AH209" i="66"/>
  <c r="Z241" i="66"/>
  <c r="U201" i="66"/>
  <c r="AD214" i="66"/>
  <c r="W189" i="66"/>
  <c r="AM167" i="66"/>
  <c r="X210" i="66"/>
  <c r="R302" i="66"/>
  <c r="V314" i="66"/>
  <c r="V382" i="66"/>
  <c r="R244" i="66"/>
  <c r="W202" i="66"/>
  <c r="AI193" i="66"/>
  <c r="Y273" i="66"/>
  <c r="T275" i="66"/>
  <c r="AJ235" i="66"/>
  <c r="AD284" i="66"/>
  <c r="V280" i="66"/>
  <c r="AE216" i="66"/>
  <c r="AP245" i="66"/>
  <c r="AG212" i="66"/>
  <c r="AA163" i="66"/>
  <c r="AN180" i="66"/>
  <c r="V304" i="66"/>
  <c r="AN216" i="66"/>
  <c r="AK219" i="66"/>
  <c r="AP254" i="66"/>
  <c r="AJ223" i="66"/>
  <c r="Y220" i="66"/>
  <c r="AE333" i="66"/>
  <c r="AH311" i="66"/>
  <c r="AA286" i="66"/>
  <c r="AL374" i="66"/>
  <c r="AP263" i="66"/>
  <c r="AI272" i="66"/>
  <c r="V262" i="66"/>
  <c r="AJ279" i="66"/>
  <c r="W210" i="66"/>
  <c r="AD236" i="66"/>
  <c r="AJ203" i="66"/>
  <c r="R286" i="66"/>
  <c r="AH175" i="66"/>
  <c r="AD288" i="66"/>
  <c r="AN212" i="66"/>
  <c r="AC217" i="66"/>
  <c r="T247" i="66"/>
  <c r="W221" i="66"/>
  <c r="Y166" i="66"/>
  <c r="T184" i="66"/>
  <c r="AE242" i="66"/>
  <c r="AD219" i="66"/>
  <c r="AE224" i="66"/>
  <c r="AJ273" i="66"/>
  <c r="X254" i="66"/>
  <c r="AA171" i="66"/>
  <c r="AN188" i="66"/>
  <c r="AA246" i="66"/>
  <c r="AN224" i="66"/>
  <c r="AK227" i="66"/>
  <c r="V288" i="66"/>
  <c r="R228" i="66"/>
  <c r="U236" i="66"/>
  <c r="Z197" i="66"/>
  <c r="AJ344" i="66"/>
  <c r="AO307" i="66"/>
  <c r="R320" i="66"/>
  <c r="AI245" i="66"/>
  <c r="AF282" i="66"/>
  <c r="S245" i="66"/>
  <c r="U293" i="66"/>
  <c r="U284" i="66"/>
  <c r="AK318" i="66"/>
  <c r="W255" i="66"/>
  <c r="X222" i="66"/>
  <c r="S163" i="66"/>
  <c r="S222" i="66"/>
  <c r="V208" i="66"/>
  <c r="AE202" i="66"/>
  <c r="AM233" i="66"/>
  <c r="AA208" i="66"/>
  <c r="AE247" i="66"/>
  <c r="AM250" i="66"/>
  <c r="AJ213" i="66"/>
  <c r="AF232" i="66"/>
  <c r="Z254" i="66"/>
  <c r="Y170" i="66"/>
  <c r="AE246" i="66"/>
  <c r="AE228" i="66"/>
  <c r="AF211" i="66"/>
  <c r="R193" i="66"/>
  <c r="AF228" i="66"/>
  <c r="AP305" i="66"/>
  <c r="AC262" i="66"/>
  <c r="X303" i="66"/>
  <c r="S292" i="66"/>
  <c r="AP225" i="66"/>
  <c r="AN293" i="66"/>
  <c r="AI177" i="66"/>
  <c r="AI254" i="66"/>
  <c r="AI236" i="66"/>
  <c r="Z220" i="66"/>
  <c r="AD206" i="66"/>
  <c r="AM238" i="66"/>
  <c r="Y201" i="66"/>
  <c r="AK190" i="66"/>
  <c r="AK265" i="66"/>
  <c r="AH260" i="66"/>
  <c r="Z232" i="66"/>
  <c r="AF272" i="66"/>
  <c r="AF180" i="66"/>
  <c r="AO247" i="66"/>
  <c r="AL229" i="66"/>
  <c r="W165" i="66"/>
  <c r="W298" i="66"/>
  <c r="AC259" i="66"/>
  <c r="AL245" i="66"/>
  <c r="AI235" i="66"/>
  <c r="U209" i="66"/>
  <c r="T346" i="66"/>
  <c r="AA330" i="66"/>
  <c r="AG199" i="66"/>
  <c r="AC190" i="66"/>
  <c r="S270" i="66"/>
  <c r="V264" i="66"/>
  <c r="X233" i="66"/>
  <c r="AN249" i="66"/>
  <c r="T271" i="66"/>
  <c r="AO213" i="66"/>
  <c r="AC208" i="66"/>
  <c r="AL177" i="66"/>
  <c r="AL213" i="66"/>
  <c r="R250" i="66"/>
  <c r="R212" i="66"/>
  <c r="AN193" i="66"/>
  <c r="AG182" i="66"/>
  <c r="AM171" i="66"/>
  <c r="W161" i="66"/>
  <c r="AA223" i="66"/>
  <c r="V201" i="66"/>
  <c r="AI351" i="66"/>
  <c r="AI259" i="66"/>
  <c r="Y242" i="66"/>
  <c r="AN298" i="66"/>
  <c r="T286" i="66"/>
  <c r="AC291" i="66"/>
  <c r="AG249" i="66"/>
  <c r="Z225" i="66"/>
  <c r="AM228" i="66"/>
  <c r="AN291" i="66"/>
  <c r="AD212" i="66"/>
  <c r="S177" i="66"/>
  <c r="AP195" i="66"/>
  <c r="S254" i="66"/>
  <c r="Z231" i="66"/>
  <c r="S236" i="66"/>
  <c r="AC193" i="66"/>
  <c r="AJ219" i="66"/>
  <c r="AO184" i="66"/>
  <c r="AH205" i="66"/>
  <c r="Y261" i="66"/>
  <c r="R238" i="66"/>
  <c r="V247" i="66"/>
  <c r="AE200" i="66"/>
  <c r="Z226" i="66"/>
  <c r="U190" i="66"/>
  <c r="AC216" i="66"/>
  <c r="U265" i="66"/>
  <c r="AD245" i="66"/>
  <c r="AP258" i="66"/>
  <c r="AK203" i="66"/>
  <c r="X237" i="66"/>
  <c r="AJ210" i="66"/>
  <c r="W179" i="66"/>
  <c r="AF273" i="66"/>
  <c r="V196" i="66"/>
  <c r="AP181" i="66"/>
  <c r="AH255" i="66"/>
  <c r="AL209" i="66"/>
  <c r="Z196" i="66"/>
  <c r="AE184" i="66"/>
  <c r="AO173" i="66"/>
  <c r="Y163" i="66"/>
  <c r="Z186" i="66"/>
  <c r="AC76" i="66"/>
  <c r="AC12" i="66"/>
  <c r="T183" i="66"/>
  <c r="AJ240" i="66"/>
  <c r="V172" i="66"/>
  <c r="S217" i="66"/>
  <c r="AA199" i="66"/>
  <c r="U187" i="66"/>
  <c r="AA176" i="66"/>
  <c r="AK165" i="66"/>
  <c r="AP202" i="66"/>
  <c r="T163" i="66"/>
  <c r="AO68" i="66"/>
  <c r="AO14" i="66"/>
  <c r="AN189" i="66"/>
  <c r="AD161" i="66"/>
  <c r="AL176" i="66"/>
  <c r="AI207" i="66"/>
  <c r="AD192" i="66"/>
  <c r="AG181" i="66"/>
  <c r="AM170" i="66"/>
  <c r="W160" i="66"/>
  <c r="AH178" i="66"/>
  <c r="AA73" i="66"/>
  <c r="AA19" i="66"/>
  <c r="S223" i="66"/>
  <c r="AP169" i="66"/>
  <c r="AO196" i="66"/>
  <c r="AM223" i="66"/>
  <c r="AH200" i="66"/>
  <c r="AC187" i="66"/>
  <c r="AI176" i="66"/>
  <c r="S166" i="66"/>
  <c r="Y208" i="66"/>
  <c r="AF166" i="66"/>
  <c r="AG70" i="66"/>
  <c r="W17" i="66"/>
  <c r="AE205" i="66"/>
  <c r="AD166" i="66"/>
  <c r="AJ187" i="66"/>
  <c r="AN167" i="66"/>
  <c r="AI68" i="66"/>
  <c r="AI14" i="66"/>
  <c r="AJ71" i="66"/>
  <c r="AC9" i="66"/>
  <c r="AP13" i="66"/>
  <c r="AH14" i="66"/>
  <c r="AD77" i="66"/>
  <c r="AP4" i="66"/>
  <c r="AL178" i="66"/>
  <c r="AJ160" i="66"/>
  <c r="AP203" i="66"/>
  <c r="AM177" i="66"/>
  <c r="Z251" i="66"/>
  <c r="AD194" i="66"/>
  <c r="Z181" i="66"/>
  <c r="X250" i="66"/>
  <c r="AP208" i="66"/>
  <c r="AD195" i="66"/>
  <c r="AO183" i="66"/>
  <c r="Y173" i="66"/>
  <c r="AE162" i="66"/>
  <c r="AN183" i="66"/>
  <c r="AI75" i="66"/>
  <c r="S65" i="66"/>
  <c r="AJ289" i="66"/>
  <c r="AD180" i="66"/>
  <c r="U218" i="66"/>
  <c r="AN170" i="66"/>
  <c r="AG214" i="66"/>
  <c r="AD198" i="66"/>
  <c r="AA186" i="66"/>
  <c r="AK175" i="66"/>
  <c r="U165" i="66"/>
  <c r="AJ199" i="66"/>
  <c r="AN161" i="66"/>
  <c r="Y68" i="66"/>
  <c r="Y14" i="66"/>
  <c r="AN187" i="66"/>
  <c r="V160" i="66"/>
  <c r="AH174" i="66"/>
  <c r="AN206" i="66"/>
  <c r="AH191" i="66"/>
  <c r="AM180" i="66"/>
  <c r="W170" i="66"/>
  <c r="AP317" i="66"/>
  <c r="V173" i="66"/>
  <c r="AK72" i="66"/>
  <c r="AK18" i="66"/>
  <c r="AK212" i="66"/>
  <c r="AP168" i="66"/>
  <c r="Z193" i="66"/>
  <c r="AG220" i="66"/>
  <c r="AL199" i="66"/>
  <c r="AI186" i="66"/>
  <c r="S176" i="66"/>
  <c r="AC165" i="66"/>
  <c r="AC204" i="66"/>
  <c r="T165" i="66"/>
  <c r="AM69" i="66"/>
  <c r="AG16" i="66"/>
  <c r="X201" i="66"/>
  <c r="Z165" i="66"/>
  <c r="AN185" i="66"/>
  <c r="X165" i="66"/>
  <c r="S68" i="66"/>
  <c r="S14" i="66"/>
  <c r="AF70" i="66"/>
  <c r="AI8" i="66"/>
  <c r="AL12" i="66"/>
  <c r="AN10" i="66"/>
  <c r="V76" i="66"/>
  <c r="Z4" i="66"/>
  <c r="AD169" i="66"/>
  <c r="AO77" i="66"/>
  <c r="AN199" i="66"/>
  <c r="AG176" i="66"/>
  <c r="T242" i="66"/>
  <c r="AP192" i="66"/>
  <c r="AJ180" i="66"/>
  <c r="AN246" i="66"/>
  <c r="U208" i="66"/>
  <c r="AH194" i="66"/>
  <c r="Y183" i="66"/>
  <c r="AE172" i="66"/>
  <c r="AO161" i="66"/>
  <c r="AJ181" i="66"/>
  <c r="S75" i="66"/>
  <c r="AI21" i="66"/>
  <c r="AF254" i="66"/>
  <c r="AP176" i="66"/>
  <c r="AF210" i="66"/>
  <c r="AF169" i="66"/>
  <c r="AM211" i="66"/>
  <c r="AH197" i="66"/>
  <c r="AK185" i="66"/>
  <c r="U175" i="66"/>
  <c r="AA164" i="66"/>
  <c r="W195" i="66"/>
  <c r="AF160" i="66"/>
  <c r="AE67" i="66"/>
  <c r="AE13" i="66"/>
  <c r="AH182" i="66"/>
  <c r="T293" i="66"/>
  <c r="R173" i="66"/>
  <c r="R206" i="66"/>
  <c r="AM190" i="66"/>
  <c r="W180" i="66"/>
  <c r="AG169" i="66"/>
  <c r="AH258" i="66"/>
  <c r="R172" i="66"/>
  <c r="U72" i="66"/>
  <c r="U18" i="66"/>
  <c r="AO208" i="66"/>
  <c r="AP167" i="66"/>
  <c r="AD190" i="66"/>
  <c r="Y218" i="66"/>
  <c r="AO198" i="66"/>
  <c r="S186" i="66"/>
  <c r="AC175" i="66"/>
  <c r="AI164" i="66"/>
  <c r="AD201" i="66"/>
  <c r="AJ163" i="66"/>
  <c r="W69" i="66"/>
  <c r="AM15" i="66"/>
  <c r="AL197" i="66"/>
  <c r="Z164" i="66"/>
  <c r="AF183" i="66"/>
  <c r="T161" i="66"/>
  <c r="AC67" i="66"/>
  <c r="AC13" i="66"/>
  <c r="X69" i="66"/>
  <c r="S8" i="66"/>
  <c r="AN11" i="66"/>
  <c r="AP9" i="66"/>
  <c r="AL74" i="66"/>
  <c r="AJ3" i="66"/>
  <c r="AD164" i="66"/>
  <c r="Y77" i="66"/>
  <c r="Z191" i="66"/>
  <c r="AM169" i="66"/>
  <c r="AE215" i="66"/>
  <c r="T188" i="66"/>
  <c r="AH177" i="66"/>
  <c r="AK230" i="66"/>
  <c r="AM203" i="66"/>
  <c r="AE190" i="66"/>
  <c r="AO179" i="66"/>
  <c r="Y169" i="66"/>
  <c r="AA235" i="66"/>
  <c r="AF171" i="66"/>
  <c r="AI71" i="66"/>
  <c r="AC18" i="66"/>
  <c r="AK210" i="66"/>
  <c r="Z169" i="66"/>
  <c r="AH195" i="66"/>
  <c r="AJ162" i="66"/>
  <c r="S207" i="66"/>
  <c r="AF193" i="66"/>
  <c r="AA182" i="66"/>
  <c r="AK171" i="66"/>
  <c r="U161" i="66"/>
  <c r="T181" i="66"/>
  <c r="AO74" i="66"/>
  <c r="AO20" i="66"/>
  <c r="AG230" i="66"/>
  <c r="V171" i="66"/>
  <c r="AL203" i="66"/>
  <c r="AK226" i="66"/>
  <c r="AN200" i="66"/>
  <c r="AG187" i="66"/>
  <c r="AM176" i="66"/>
  <c r="W166" i="66"/>
  <c r="AE209" i="66"/>
  <c r="AN162" i="66"/>
  <c r="AK68" i="66"/>
  <c r="AK14" i="66"/>
  <c r="V191" i="66"/>
  <c r="AD162" i="66"/>
  <c r="Z178" i="66"/>
  <c r="V209" i="66"/>
  <c r="AN194" i="66"/>
  <c r="AI182" i="66"/>
  <c r="S172" i="66"/>
  <c r="AC161" i="66"/>
  <c r="R184" i="66"/>
  <c r="AG76" i="66"/>
  <c r="AG12" i="66"/>
  <c r="AJ183" i="66"/>
  <c r="AE219" i="66"/>
  <c r="AD172" i="66"/>
  <c r="AI74" i="66"/>
  <c r="AI20" i="66"/>
  <c r="AP193" i="66"/>
  <c r="AJ19" i="66"/>
  <c r="AI4" i="66"/>
  <c r="AL6" i="66"/>
  <c r="AD5" i="66"/>
  <c r="AL68" i="66"/>
  <c r="Z73" i="66"/>
  <c r="AF71" i="66"/>
  <c r="AO73" i="66"/>
  <c r="Y21" i="66"/>
  <c r="AP190" i="66"/>
  <c r="AF15" i="66"/>
  <c r="Y3" i="66"/>
  <c r="V71" i="66"/>
  <c r="AH204" i="66"/>
  <c r="AP18" i="66"/>
  <c r="AP14" i="66"/>
  <c r="U75" i="66"/>
  <c r="AK21" i="66"/>
  <c r="AG232" i="66"/>
  <c r="AJ21" i="66"/>
  <c r="AK5" i="66"/>
  <c r="AF9" i="66"/>
  <c r="AF6" i="66"/>
  <c r="AL70" i="66"/>
  <c r="AL21" i="66"/>
  <c r="T160" i="66"/>
  <c r="AG67" i="66"/>
  <c r="AG13" i="66"/>
  <c r="AF69" i="66"/>
  <c r="AM6" i="66"/>
  <c r="AH10" i="66"/>
  <c r="T8" i="66"/>
  <c r="AH72" i="66"/>
  <c r="R2" i="66"/>
  <c r="AJ75" i="66"/>
  <c r="X13" i="66"/>
  <c r="AO384" i="66"/>
  <c r="AJ8" i="66"/>
  <c r="AN16" i="66"/>
  <c r="S3" i="66"/>
  <c r="AF2" i="66"/>
  <c r="AE7" i="66"/>
  <c r="AH74" i="66"/>
  <c r="AA11" i="66"/>
  <c r="AH192" i="66"/>
  <c r="R3" i="66"/>
  <c r="AE20" i="66"/>
  <c r="T185" i="66"/>
  <c r="X14" i="66"/>
  <c r="AE2" i="66"/>
  <c r="R70" i="66"/>
  <c r="T193" i="66"/>
  <c r="AL17" i="66"/>
  <c r="AH12" i="66"/>
  <c r="AA74" i="66"/>
  <c r="U21" i="66"/>
  <c r="AF189" i="66"/>
  <c r="AF20" i="66"/>
  <c r="U5" i="66"/>
  <c r="T7" i="66"/>
  <c r="AL5" i="66"/>
  <c r="AD69" i="66"/>
  <c r="Z17" i="66"/>
  <c r="AG77" i="66"/>
  <c r="AM66" i="66"/>
  <c r="AM12" i="66"/>
  <c r="X68" i="66"/>
  <c r="W6" i="66"/>
  <c r="R10" i="66"/>
  <c r="R7" i="66"/>
  <c r="AH71" i="66"/>
  <c r="AP75" i="66"/>
  <c r="T73" i="66"/>
  <c r="AM11" i="66"/>
  <c r="T199" i="66"/>
  <c r="AH3" i="66"/>
  <c r="T14" i="66"/>
  <c r="AC2" i="66"/>
  <c r="AJ73" i="66"/>
  <c r="AO6" i="66"/>
  <c r="AD72" i="66"/>
  <c r="AK10" i="66"/>
  <c r="Z182" i="66"/>
  <c r="AL16" i="66"/>
  <c r="AO19" i="66"/>
  <c r="X179" i="66"/>
  <c r="AN12" i="66"/>
  <c r="AL66" i="66"/>
  <c r="R69" i="66"/>
  <c r="AJ177" i="66"/>
  <c r="AD14" i="66"/>
  <c r="X6" i="66"/>
  <c r="AK73" i="66"/>
  <c r="AA20" i="66"/>
  <c r="V184" i="66"/>
  <c r="T19" i="66"/>
  <c r="AA4" i="66"/>
  <c r="AD6" i="66"/>
  <c r="V5" i="66"/>
  <c r="V68" i="66"/>
  <c r="AP15" i="66"/>
  <c r="AM76" i="66"/>
  <c r="W66" i="66"/>
  <c r="W12" i="66"/>
  <c r="AN66" i="66"/>
  <c r="AG5" i="66"/>
  <c r="AP6" i="66"/>
  <c r="AH5" i="66"/>
  <c r="AD70" i="66"/>
  <c r="AP73" i="66"/>
  <c r="AN71" i="66"/>
  <c r="W11" i="66"/>
  <c r="AH188" i="66"/>
  <c r="AN2" i="66"/>
  <c r="AJ12" i="66"/>
  <c r="AP372" i="66"/>
  <c r="X71" i="66"/>
  <c r="Y6" i="66"/>
  <c r="R66" i="66"/>
  <c r="U10" i="66"/>
  <c r="AJ172" i="66"/>
  <c r="X8" i="66"/>
  <c r="AO21" i="66"/>
  <c r="Z210" i="66"/>
  <c r="AJ16" i="66"/>
  <c r="AO3" i="66"/>
  <c r="R6" i="66"/>
  <c r="X4" i="66"/>
  <c r="AP19" i="66"/>
  <c r="V16" i="66"/>
  <c r="AK75" i="66"/>
  <c r="U65" i="66"/>
  <c r="AP280" i="66"/>
  <c r="AA6" i="66"/>
  <c r="V10" i="66"/>
  <c r="Z7" i="66"/>
  <c r="AP71" i="66"/>
  <c r="Z74" i="66"/>
  <c r="AF163" i="66"/>
  <c r="W68" i="66"/>
  <c r="W14" i="66"/>
  <c r="AN70" i="66"/>
  <c r="AG7" i="66"/>
  <c r="X11" i="66"/>
  <c r="Z9" i="66"/>
  <c r="AL73" i="66"/>
  <c r="AH2" i="66"/>
  <c r="T77" i="66"/>
  <c r="AJ15" i="66"/>
  <c r="AG2" i="66"/>
  <c r="R11" i="66"/>
  <c r="X18" i="66"/>
  <c r="AI3" i="66"/>
  <c r="X10" i="66"/>
  <c r="Y8" i="66"/>
  <c r="AH76" i="66"/>
  <c r="U12" i="66"/>
  <c r="AM215" i="66"/>
  <c r="AL3" i="66"/>
  <c r="AJ354" i="66"/>
  <c r="AJ381" i="66"/>
  <c r="AP410" i="66"/>
  <c r="AN323" i="66"/>
  <c r="Z331" i="66"/>
  <c r="AE278" i="66"/>
  <c r="U312" i="66"/>
  <c r="AK244" i="66"/>
  <c r="AM396" i="66"/>
  <c r="AJ266" i="66"/>
  <c r="AC246" i="66"/>
  <c r="AP179" i="66"/>
  <c r="Y263" i="66"/>
  <c r="AK273" i="66"/>
  <c r="AH236" i="66"/>
  <c r="AP309" i="66"/>
  <c r="AF226" i="66"/>
  <c r="AC178" i="66"/>
  <c r="T246" i="66"/>
  <c r="AD226" i="66"/>
  <c r="AM219" i="66"/>
  <c r="Z248" i="66"/>
  <c r="Y207" i="66"/>
  <c r="U200" i="66"/>
  <c r="AL256" i="66"/>
  <c r="V284" i="66"/>
  <c r="Z348" i="66"/>
  <c r="AF295" i="66"/>
  <c r="AE316" i="66"/>
  <c r="AE276" i="66"/>
  <c r="AN273" i="66"/>
  <c r="AH234" i="66"/>
  <c r="R266" i="66"/>
  <c r="AL280" i="66"/>
  <c r="AC215" i="66"/>
  <c r="S213" i="66"/>
  <c r="X182" i="66"/>
  <c r="AH217" i="66"/>
  <c r="AL258" i="66"/>
  <c r="AA169" i="66"/>
  <c r="AA244" i="66"/>
  <c r="AK225" i="66"/>
  <c r="Z305" i="66"/>
  <c r="X283" i="66"/>
  <c r="AL217" i="66"/>
  <c r="AO229" i="66"/>
  <c r="AG325" i="66"/>
  <c r="T206" i="66"/>
  <c r="AN230" i="66"/>
  <c r="AF243" i="66"/>
  <c r="AO205" i="66"/>
  <c r="AE274" i="66"/>
  <c r="AD240" i="66"/>
  <c r="Y378" i="66"/>
  <c r="AM262" i="66"/>
  <c r="AL304" i="66"/>
  <c r="AI179" i="66"/>
  <c r="AI256" i="66"/>
  <c r="R239" i="66"/>
  <c r="V222" i="66"/>
  <c r="R209" i="66"/>
  <c r="AH241" i="66"/>
  <c r="Y203" i="66"/>
  <c r="U194" i="66"/>
  <c r="U271" i="66"/>
  <c r="Z272" i="66"/>
  <c r="AJ238" i="66"/>
  <c r="Y214" i="66"/>
  <c r="AG190" i="66"/>
  <c r="AM179" i="66"/>
  <c r="W169" i="66"/>
  <c r="AF287" i="66"/>
  <c r="AC212" i="66"/>
  <c r="S197" i="66"/>
  <c r="AA314" i="66"/>
  <c r="AF286" i="66"/>
  <c r="T266" i="66"/>
  <c r="AP315" i="66"/>
  <c r="AH275" i="66"/>
  <c r="AI280" i="66"/>
  <c r="AA298" i="66"/>
  <c r="AN214" i="66"/>
  <c r="W218" i="66"/>
  <c r="AP250" i="66"/>
  <c r="AA219" i="66"/>
  <c r="AC166" i="66"/>
  <c r="AH183" i="66"/>
  <c r="AC243" i="66"/>
  <c r="AN220" i="66"/>
  <c r="AC225" i="66"/>
  <c r="AD274" i="66"/>
  <c r="AN271" i="66"/>
  <c r="Y174" i="66"/>
  <c r="AF192" i="66"/>
  <c r="AE250" i="66"/>
  <c r="AD227" i="66"/>
  <c r="AE232" i="66"/>
  <c r="AN316" i="66"/>
  <c r="AN215" i="66"/>
  <c r="AA179" i="66"/>
  <c r="AP198" i="66"/>
  <c r="AA254" i="66"/>
  <c r="AN232" i="66"/>
  <c r="AK235" i="66"/>
  <c r="U193" i="66"/>
  <c r="AJ231" i="66"/>
  <c r="AC196" i="66"/>
  <c r="AM173" i="66"/>
  <c r="AO230" i="66"/>
  <c r="AP189" i="66"/>
  <c r="AD179" i="66"/>
  <c r="AG234" i="66"/>
  <c r="AC206" i="66"/>
  <c r="AO192" i="66"/>
  <c r="AO181" i="66"/>
  <c r="Y171" i="66"/>
  <c r="AE160" i="66"/>
  <c r="AF177" i="66"/>
  <c r="AI73" i="66"/>
  <c r="AC20" i="66"/>
  <c r="AE233" i="66"/>
  <c r="AN172" i="66"/>
  <c r="R204" i="66"/>
  <c r="AJ166" i="66"/>
  <c r="AF209" i="66"/>
  <c r="U196" i="66"/>
  <c r="AA184" i="66"/>
  <c r="AK173" i="66"/>
  <c r="U163" i="66"/>
  <c r="AD188" i="66"/>
  <c r="AO76" i="66"/>
  <c r="Y66" i="66"/>
  <c r="Y12" i="66"/>
  <c r="Z176" i="66"/>
  <c r="AM213" i="66"/>
  <c r="AI233" i="66"/>
  <c r="Y204" i="66"/>
  <c r="AG189" i="66"/>
  <c r="AM178" i="66"/>
  <c r="W168" i="66"/>
  <c r="AO228" i="66"/>
  <c r="T168" i="66"/>
  <c r="AK70" i="66"/>
  <c r="AK16" i="66"/>
  <c r="AK202" i="66"/>
  <c r="AH165" i="66"/>
  <c r="R186" i="66"/>
  <c r="AO212" i="66"/>
  <c r="W197" i="66"/>
  <c r="AI184" i="66"/>
  <c r="S174" i="66"/>
  <c r="AC163" i="66"/>
  <c r="AJ193" i="66"/>
  <c r="X161" i="66"/>
  <c r="AM67" i="66"/>
  <c r="AG14" i="66"/>
  <c r="AH190" i="66"/>
  <c r="V162" i="66"/>
  <c r="AN177" i="66"/>
  <c r="AI76" i="66"/>
  <c r="S66" i="66"/>
  <c r="AI294" i="66"/>
  <c r="AF66" i="66"/>
  <c r="AI6" i="66"/>
  <c r="AD10" i="66"/>
  <c r="AP7" i="66"/>
  <c r="Z72" i="66"/>
  <c r="AD2" i="66"/>
  <c r="AJ76" i="66"/>
  <c r="AO75" i="66"/>
  <c r="AK194" i="66"/>
  <c r="AG172" i="66"/>
  <c r="AI225" i="66"/>
  <c r="Z189" i="66"/>
  <c r="AN178" i="66"/>
  <c r="AC236" i="66"/>
  <c r="AF205" i="66"/>
  <c r="T192" i="66"/>
  <c r="Y181" i="66"/>
  <c r="AE170" i="66"/>
  <c r="AF285" i="66"/>
  <c r="Z174" i="66"/>
  <c r="S73" i="66"/>
  <c r="AI19" i="66"/>
  <c r="AA227" i="66"/>
  <c r="AD171" i="66"/>
  <c r="S201" i="66"/>
  <c r="AF165" i="66"/>
  <c r="AK208" i="66"/>
  <c r="X195" i="66"/>
  <c r="AK183" i="66"/>
  <c r="U173" i="66"/>
  <c r="AA162" i="66"/>
  <c r="AF185" i="66"/>
  <c r="Y76" i="66"/>
  <c r="AJ252" i="66"/>
  <c r="V174" i="66"/>
  <c r="AP209" i="66"/>
  <c r="AM231" i="66"/>
  <c r="AG202" i="66"/>
  <c r="AM188" i="66"/>
  <c r="W178" i="66"/>
  <c r="AG167" i="66"/>
  <c r="AC220" i="66"/>
  <c r="AN166" i="66"/>
  <c r="U70" i="66"/>
  <c r="U16" i="66"/>
  <c r="X198" i="66"/>
  <c r="AH164" i="66"/>
  <c r="Z184" i="66"/>
  <c r="W211" i="66"/>
  <c r="AF196" i="66"/>
  <c r="S184" i="66"/>
  <c r="AC173" i="66"/>
  <c r="AI162" i="66"/>
  <c r="V190" i="66"/>
  <c r="AM77" i="66"/>
  <c r="W67" i="66"/>
  <c r="AM13" i="66"/>
  <c r="AP188" i="66"/>
  <c r="AL160" i="66"/>
  <c r="AJ175" i="66"/>
  <c r="S76" i="66"/>
  <c r="AC65" i="66"/>
  <c r="X249" i="66"/>
  <c r="T65" i="66"/>
  <c r="S6" i="66"/>
  <c r="AN9" i="66"/>
  <c r="AN6" i="66"/>
  <c r="Z71" i="66"/>
  <c r="AH77" i="66"/>
  <c r="T74" i="66"/>
  <c r="Y75" i="66"/>
  <c r="S193" i="66"/>
  <c r="W171" i="66"/>
  <c r="AK220" i="66"/>
  <c r="AJ188" i="66"/>
  <c r="X178" i="66"/>
  <c r="AK232" i="66"/>
  <c r="AJ204" i="66"/>
  <c r="W191" i="66"/>
  <c r="AE180" i="66"/>
  <c r="AO169" i="66"/>
  <c r="AJ242" i="66"/>
  <c r="AH172" i="66"/>
  <c r="AC72" i="66"/>
  <c r="S19" i="66"/>
  <c r="AA221" i="66"/>
  <c r="Z170" i="66"/>
  <c r="R198" i="66"/>
  <c r="X164" i="66"/>
  <c r="AN207" i="66"/>
  <c r="AC194" i="66"/>
  <c r="U183" i="66"/>
  <c r="AA172" i="66"/>
  <c r="AK161" i="66"/>
  <c r="X183" i="66"/>
  <c r="AE75" i="66"/>
  <c r="AE21" i="66"/>
  <c r="Z239" i="66"/>
  <c r="AF172" i="66"/>
  <c r="AG206" i="66"/>
  <c r="AM229" i="66"/>
  <c r="AJ201" i="66"/>
  <c r="W188" i="66"/>
  <c r="AG177" i="66"/>
  <c r="AM166" i="66"/>
  <c r="AC214" i="66"/>
  <c r="T164" i="66"/>
  <c r="AA69" i="66"/>
  <c r="AA15" i="66"/>
  <c r="R195" i="66"/>
  <c r="AH163" i="66"/>
  <c r="AP180" i="66"/>
  <c r="V210" i="66"/>
  <c r="AI195" i="66"/>
  <c r="AC183" i="66"/>
  <c r="AI172" i="66"/>
  <c r="S162" i="66"/>
  <c r="AP186" i="66"/>
  <c r="W77" i="66"/>
  <c r="AG66" i="66"/>
  <c r="W13" i="66"/>
  <c r="AL186" i="66"/>
  <c r="AJ244" i="66"/>
  <c r="AN173" i="66"/>
  <c r="AC75" i="66"/>
  <c r="AC21" i="66"/>
  <c r="W213" i="66"/>
  <c r="T21" i="66"/>
  <c r="AC5" i="66"/>
  <c r="X9" i="66"/>
  <c r="T6" i="66"/>
  <c r="V70" i="66"/>
  <c r="Z75" i="66"/>
  <c r="AN72" i="66"/>
  <c r="AE74" i="66"/>
  <c r="AM185" i="66"/>
  <c r="AG164" i="66"/>
  <c r="W205" i="66"/>
  <c r="AH185" i="66"/>
  <c r="AF174" i="66"/>
  <c r="AI219" i="66"/>
  <c r="AC200" i="66"/>
  <c r="AO187" i="66"/>
  <c r="Y177" i="66"/>
  <c r="AE166" i="66"/>
  <c r="W207" i="66"/>
  <c r="AJ164" i="66"/>
  <c r="S69" i="66"/>
  <c r="AI15" i="66"/>
  <c r="Y196" i="66"/>
  <c r="R165" i="66"/>
  <c r="X185" i="66"/>
  <c r="U230" i="66"/>
  <c r="AH203" i="66"/>
  <c r="AA190" i="66"/>
  <c r="AK179" i="66"/>
  <c r="U169" i="66"/>
  <c r="AI229" i="66"/>
  <c r="Z172" i="66"/>
  <c r="Y72" i="66"/>
  <c r="Y18" i="66"/>
  <c r="R207" i="66"/>
  <c r="R167" i="66"/>
  <c r="AL191" i="66"/>
  <c r="AO216" i="66"/>
  <c r="AK196" i="66"/>
  <c r="AM184" i="66"/>
  <c r="W174" i="66"/>
  <c r="AG163" i="66"/>
  <c r="V194" i="66"/>
  <c r="AK76" i="66"/>
  <c r="U66" i="66"/>
  <c r="AD311" i="66"/>
  <c r="R182" i="66"/>
  <c r="U212" i="66"/>
  <c r="AF239" i="66"/>
  <c r="AL205" i="66"/>
  <c r="AI190" i="66"/>
  <c r="S180" i="66"/>
  <c r="AC169" i="66"/>
  <c r="AN245" i="66"/>
  <c r="AP174" i="66"/>
  <c r="AM73" i="66"/>
  <c r="AG20" i="66"/>
  <c r="W237" i="66"/>
  <c r="AL171" i="66"/>
  <c r="AN201" i="66"/>
  <c r="X167" i="66"/>
  <c r="S72" i="66"/>
  <c r="S18" i="66"/>
  <c r="Z162" i="66"/>
  <c r="T13" i="66"/>
  <c r="S2" i="66"/>
  <c r="Z70" i="66"/>
  <c r="AJ196" i="66"/>
  <c r="R18" i="66"/>
  <c r="AP12" i="66"/>
  <c r="T66" i="66"/>
  <c r="AO71" i="66"/>
  <c r="AE18" i="66"/>
  <c r="AH166" i="66"/>
  <c r="Y11" i="66"/>
  <c r="R21" i="66"/>
  <c r="Z66" i="66"/>
  <c r="V167" i="66"/>
  <c r="V8" i="66"/>
  <c r="AP205" i="66"/>
  <c r="AA72" i="66"/>
  <c r="U19" i="66"/>
  <c r="AL170" i="66"/>
  <c r="X15" i="66"/>
  <c r="U3" i="66"/>
  <c r="X5" i="66"/>
  <c r="AD253" i="66"/>
  <c r="AH19" i="66"/>
  <c r="Z12" i="66"/>
  <c r="AG75" i="66"/>
  <c r="AG21" i="66"/>
  <c r="AK216" i="66"/>
  <c r="AJ18" i="66"/>
  <c r="W4" i="66"/>
  <c r="AJ5" i="66"/>
  <c r="AN299" i="66"/>
  <c r="AP67" i="66"/>
  <c r="R17" i="66"/>
  <c r="AN67" i="66"/>
  <c r="AM9" i="66"/>
  <c r="AP171" i="66"/>
  <c r="AP20" i="66"/>
  <c r="S11" i="66"/>
  <c r="AA197" i="66"/>
  <c r="AN21" i="66"/>
  <c r="AO4" i="66"/>
  <c r="V3" i="66"/>
  <c r="AK8" i="66"/>
  <c r="AH162" i="66"/>
  <c r="Y71" i="66"/>
  <c r="AO17" i="66"/>
  <c r="AP161" i="66"/>
  <c r="AE10" i="66"/>
  <c r="AP16" i="66"/>
  <c r="R20" i="66"/>
  <c r="R162" i="66"/>
  <c r="AF7" i="66"/>
  <c r="AF187" i="66"/>
  <c r="AK71" i="66"/>
  <c r="AA18" i="66"/>
  <c r="AL165" i="66"/>
  <c r="AJ13" i="66"/>
  <c r="AA2" i="66"/>
  <c r="AP70" i="66"/>
  <c r="AI201" i="66"/>
  <c r="AH18" i="66"/>
  <c r="AL7" i="66"/>
  <c r="AM74" i="66"/>
  <c r="AM20" i="66"/>
  <c r="AF203" i="66"/>
  <c r="AF17" i="66"/>
  <c r="AG3" i="66"/>
  <c r="T5" i="66"/>
  <c r="AC234" i="66"/>
  <c r="AD66" i="66"/>
  <c r="AH15" i="66"/>
  <c r="X65" i="66"/>
  <c r="W9" i="66"/>
  <c r="AP166" i="66"/>
  <c r="AD11" i="66"/>
  <c r="AC10" i="66"/>
  <c r="AJ185" i="66"/>
  <c r="X19" i="66"/>
  <c r="Y4" i="66"/>
  <c r="T76" i="66"/>
  <c r="U8" i="66"/>
  <c r="AP77" i="66"/>
  <c r="AE70" i="66"/>
  <c r="Y17" i="66"/>
  <c r="AN76" i="66"/>
  <c r="AO9" i="66"/>
  <c r="AL15" i="66"/>
  <c r="AD18" i="66"/>
  <c r="V77" i="66"/>
  <c r="AL4" i="66"/>
  <c r="T177" i="66"/>
  <c r="U71" i="66"/>
  <c r="AK17" i="66"/>
  <c r="Z160" i="66"/>
  <c r="AF12" i="66"/>
  <c r="AP69" i="66"/>
  <c r="Z190" i="66"/>
  <c r="AD17" i="66"/>
  <c r="Z3" i="66"/>
  <c r="W74" i="66"/>
  <c r="W20" i="66"/>
  <c r="R188" i="66"/>
  <c r="T16" i="66"/>
  <c r="AM2" i="66"/>
  <c r="AL72" i="66"/>
  <c r="AH198" i="66"/>
  <c r="Z19" i="66"/>
  <c r="V13" i="66"/>
  <c r="AJ77" i="66"/>
  <c r="AG8" i="66"/>
  <c r="R161" i="66"/>
  <c r="T4" i="66"/>
  <c r="AI9" i="66"/>
  <c r="V178" i="66"/>
  <c r="AJ17" i="66"/>
  <c r="AE3" i="66"/>
  <c r="AJ70" i="66"/>
  <c r="AA7" i="66"/>
  <c r="R76" i="66"/>
  <c r="AP3" i="66"/>
  <c r="Y19" i="66"/>
  <c r="AH171" i="66"/>
  <c r="AO11" i="66"/>
  <c r="R65" i="66"/>
  <c r="R68" i="66"/>
  <c r="T172" i="66"/>
  <c r="AL8" i="66"/>
  <c r="Z255" i="66"/>
  <c r="U73" i="66"/>
  <c r="AK19" i="66"/>
  <c r="AH176" i="66"/>
  <c r="AN17" i="66"/>
  <c r="AK3" i="66"/>
  <c r="AN5" i="66"/>
  <c r="AD304" i="66"/>
  <c r="R67" i="66"/>
  <c r="Z14" i="66"/>
  <c r="W76" i="66"/>
  <c r="AP251" i="66"/>
  <c r="X20" i="66"/>
  <c r="AM4" i="66"/>
  <c r="Z6" i="66"/>
  <c r="R5" i="66"/>
  <c r="V69" i="66"/>
  <c r="AD21" i="66"/>
  <c r="T69" i="66"/>
  <c r="AG10" i="66"/>
  <c r="AN179" i="66"/>
  <c r="T2" i="66"/>
  <c r="AI11" i="66"/>
  <c r="T205" i="66"/>
  <c r="AE5" i="66"/>
  <c r="Z11" i="66"/>
  <c r="AA9" i="66"/>
  <c r="AL167" i="66"/>
  <c r="AD3" i="66"/>
  <c r="AL391" i="66"/>
  <c r="Z373" i="66"/>
  <c r="AA368" i="66"/>
  <c r="AH331" i="66"/>
  <c r="V341" i="66"/>
  <c r="U299" i="66"/>
  <c r="AE389" i="66"/>
  <c r="X258" i="66"/>
  <c r="AG277" i="66"/>
  <c r="AH257" i="66"/>
  <c r="AO274" i="66"/>
  <c r="V283" i="66"/>
  <c r="AN289" i="66"/>
  <c r="AF323" i="66"/>
  <c r="AF221" i="66"/>
  <c r="AH240" i="66"/>
  <c r="X231" i="66"/>
  <c r="V254" i="66"/>
  <c r="Z287" i="66"/>
  <c r="W230" i="66"/>
  <c r="AI197" i="66"/>
  <c r="AC221" i="66"/>
  <c r="S237" i="66"/>
  <c r="AL187" i="66"/>
  <c r="V223" i="66"/>
  <c r="AL290" i="66"/>
  <c r="AA175" i="66"/>
  <c r="AA250" i="66"/>
  <c r="AK231" i="66"/>
  <c r="V310" i="66"/>
  <c r="AO244" i="66"/>
  <c r="AJ286" i="66"/>
  <c r="W250" i="66"/>
  <c r="AG229" i="66"/>
  <c r="T213" i="66"/>
  <c r="AL196" i="66"/>
  <c r="AP231" i="66"/>
  <c r="S194" i="66"/>
  <c r="AE185" i="66"/>
  <c r="AO261" i="66"/>
  <c r="AF248" i="66"/>
  <c r="AP226" i="66"/>
  <c r="W219" i="66"/>
  <c r="AL246" i="66"/>
  <c r="AA204" i="66"/>
  <c r="R306" i="66"/>
  <c r="AG215" i="66"/>
  <c r="T259" i="66"/>
  <c r="AL212" i="66"/>
  <c r="AF259" i="66"/>
  <c r="AC290" i="66"/>
  <c r="AG191" i="66"/>
  <c r="X225" i="66"/>
  <c r="AN231" i="66"/>
  <c r="AF255" i="66"/>
  <c r="V218" i="66"/>
  <c r="AA299" i="66"/>
  <c r="T240" i="66"/>
  <c r="R226" i="66"/>
  <c r="AM217" i="66"/>
  <c r="AH248" i="66"/>
  <c r="AI206" i="66"/>
  <c r="Z200" i="66"/>
  <c r="AH173" i="66"/>
  <c r="AP286" i="66"/>
  <c r="AL240" i="66"/>
  <c r="AK160" i="66"/>
  <c r="AD290" i="66"/>
  <c r="U217" i="66"/>
  <c r="AD222" i="66"/>
  <c r="AI205" i="66"/>
  <c r="AM187" i="66"/>
  <c r="W177" i="66"/>
  <c r="AG166" i="66"/>
  <c r="AP247" i="66"/>
  <c r="AJ207" i="66"/>
  <c r="AH193" i="66"/>
  <c r="AM308" i="66"/>
  <c r="AE292" i="66"/>
  <c r="AK275" i="66"/>
  <c r="AO305" i="66"/>
  <c r="AD261" i="66"/>
  <c r="AA274" i="66"/>
  <c r="AJ253" i="66"/>
  <c r="AF271" i="66"/>
  <c r="AG207" i="66"/>
  <c r="R234" i="66"/>
  <c r="AF200" i="66"/>
  <c r="Z260" i="66"/>
  <c r="AL292" i="66"/>
  <c r="AL278" i="66"/>
  <c r="X296" i="66"/>
  <c r="AI214" i="66"/>
  <c r="AD242" i="66"/>
  <c r="S211" i="66"/>
  <c r="AE163" i="66"/>
  <c r="AH181" i="66"/>
  <c r="V321" i="66"/>
  <c r="R217" i="66"/>
  <c r="AO221" i="66"/>
  <c r="AP256" i="66"/>
  <c r="AO234" i="66"/>
  <c r="AK168" i="66"/>
  <c r="AL185" i="66"/>
  <c r="AK243" i="66"/>
  <c r="AL221" i="66"/>
  <c r="U225" i="66"/>
  <c r="AD276" i="66"/>
  <c r="V226" i="66"/>
  <c r="AM189" i="66"/>
  <c r="AG168" i="66"/>
  <c r="R211" i="66"/>
  <c r="AD187" i="66"/>
  <c r="R177" i="66"/>
  <c r="AC228" i="66"/>
  <c r="R203" i="66"/>
  <c r="AO189" i="66"/>
  <c r="Y179" i="66"/>
  <c r="AE168" i="66"/>
  <c r="AI223" i="66"/>
  <c r="T170" i="66"/>
  <c r="S71" i="66"/>
  <c r="AI17" i="66"/>
  <c r="AM207" i="66"/>
  <c r="Z168" i="66"/>
  <c r="R192" i="66"/>
  <c r="AH247" i="66"/>
  <c r="X206" i="66"/>
  <c r="AJ192" i="66"/>
  <c r="AK181" i="66"/>
  <c r="U171" i="66"/>
  <c r="AA160" i="66"/>
  <c r="T179" i="66"/>
  <c r="Y74" i="66"/>
  <c r="Y20" i="66"/>
  <c r="AG224" i="66"/>
  <c r="R170" i="66"/>
  <c r="AG200" i="66"/>
  <c r="U224" i="66"/>
  <c r="R200" i="66"/>
  <c r="AM186" i="66"/>
  <c r="W176" i="66"/>
  <c r="AG165" i="66"/>
  <c r="AJ205" i="66"/>
  <c r="AF161" i="66"/>
  <c r="U68" i="66"/>
  <c r="U14" i="66"/>
  <c r="X189" i="66"/>
  <c r="V161" i="66"/>
  <c r="V176" i="66"/>
  <c r="Z208" i="66"/>
  <c r="R194" i="66"/>
  <c r="S182" i="66"/>
  <c r="AC171" i="66"/>
  <c r="AI160" i="66"/>
  <c r="V182" i="66"/>
  <c r="AM75" i="66"/>
  <c r="W65" i="66"/>
  <c r="V292" i="66"/>
  <c r="AF181" i="66"/>
  <c r="V211" i="66"/>
  <c r="T171" i="66"/>
  <c r="S74" i="66"/>
  <c r="S20" i="66"/>
  <c r="AD186" i="66"/>
  <c r="X17" i="66"/>
  <c r="S4" i="66"/>
  <c r="V6" i="66"/>
  <c r="AF4" i="66"/>
  <c r="AH67" i="66"/>
  <c r="AP17" i="66"/>
  <c r="T70" i="66"/>
  <c r="Y73" i="66"/>
  <c r="AG188" i="66"/>
  <c r="W167" i="66"/>
  <c r="AG208" i="66"/>
  <c r="AN186" i="66"/>
  <c r="AL175" i="66"/>
  <c r="AE225" i="66"/>
  <c r="V202" i="66"/>
  <c r="Y189" i="66"/>
  <c r="AE178" i="66"/>
  <c r="AO167" i="66"/>
  <c r="U216" i="66"/>
  <c r="AJ168" i="66"/>
  <c r="AC70" i="66"/>
  <c r="S17" i="66"/>
  <c r="X204" i="66"/>
  <c r="Z167" i="66"/>
  <c r="T189" i="66"/>
  <c r="AE235" i="66"/>
  <c r="AA205" i="66"/>
  <c r="AM191" i="66"/>
  <c r="U181" i="66"/>
  <c r="AA170" i="66"/>
  <c r="AF265" i="66"/>
  <c r="AD176" i="66"/>
  <c r="AE73" i="66"/>
  <c r="AE19" i="66"/>
  <c r="AK218" i="66"/>
  <c r="R169" i="66"/>
  <c r="AF197" i="66"/>
  <c r="AE221" i="66"/>
  <c r="V199" i="66"/>
  <c r="W186" i="66"/>
  <c r="AG175" i="66"/>
  <c r="AM164" i="66"/>
  <c r="U202" i="66"/>
  <c r="X160" i="66"/>
  <c r="AA67" i="66"/>
  <c r="AA13" i="66"/>
  <c r="X187" i="66"/>
  <c r="T257" i="66"/>
  <c r="R174" i="66"/>
  <c r="AD207" i="66"/>
  <c r="V193" i="66"/>
  <c r="AC181" i="66"/>
  <c r="AI170" i="66"/>
  <c r="S160" i="66"/>
  <c r="R180" i="66"/>
  <c r="W75" i="66"/>
  <c r="AM21" i="66"/>
  <c r="V256" i="66"/>
  <c r="X175" i="66"/>
  <c r="AJ208" i="66"/>
  <c r="AN169" i="66"/>
  <c r="AC73" i="66"/>
  <c r="AC19" i="66"/>
  <c r="AL180" i="66"/>
  <c r="AN15" i="66"/>
  <c r="AC3" i="66"/>
  <c r="AF5" i="66"/>
  <c r="R288" i="66"/>
  <c r="V66" i="66"/>
  <c r="AD16" i="66"/>
  <c r="AJ68" i="66"/>
  <c r="AE72" i="66"/>
  <c r="W187" i="66"/>
  <c r="AM165" i="66"/>
  <c r="AO206" i="66"/>
  <c r="X186" i="66"/>
  <c r="V175" i="66"/>
  <c r="W223" i="66"/>
  <c r="Z201" i="66"/>
  <c r="AE188" i="66"/>
  <c r="AO177" i="66"/>
  <c r="Y167" i="66"/>
  <c r="AP210" i="66"/>
  <c r="X166" i="66"/>
  <c r="AI69" i="66"/>
  <c r="AC16" i="66"/>
  <c r="AL200" i="66"/>
  <c r="V166" i="66"/>
  <c r="T187" i="66"/>
  <c r="U232" i="66"/>
  <c r="AD204" i="66"/>
  <c r="R191" i="66"/>
  <c r="AA180" i="66"/>
  <c r="AK169" i="66"/>
  <c r="AN238" i="66"/>
  <c r="AF173" i="66"/>
  <c r="AO72" i="66"/>
  <c r="AO18" i="66"/>
  <c r="Z209" i="66"/>
  <c r="R168" i="66"/>
  <c r="AG194" i="66"/>
  <c r="AO218" i="66"/>
  <c r="Y198" i="66"/>
  <c r="AG185" i="66"/>
  <c r="AM174" i="66"/>
  <c r="W164" i="66"/>
  <c r="AC198" i="66"/>
  <c r="AA77" i="66"/>
  <c r="AK66" i="66"/>
  <c r="AK12" i="66"/>
  <c r="AD184" i="66"/>
  <c r="AA225" i="66"/>
  <c r="AL172" i="66"/>
  <c r="AH206" i="66"/>
  <c r="Y192" i="66"/>
  <c r="AI180" i="66"/>
  <c r="S170" i="66"/>
  <c r="AI296" i="66"/>
  <c r="R178" i="66"/>
  <c r="AG74" i="66"/>
  <c r="W21" i="66"/>
  <c r="AF246" i="66"/>
  <c r="T173" i="66"/>
  <c r="AN204" i="66"/>
  <c r="AF168" i="66"/>
  <c r="AI72" i="66"/>
  <c r="AI18" i="66"/>
  <c r="AD167" i="66"/>
  <c r="AF14" i="66"/>
  <c r="AI2" i="66"/>
  <c r="AD71" i="66"/>
  <c r="AD208" i="66"/>
  <c r="R19" i="66"/>
  <c r="R15" i="66"/>
  <c r="AF67" i="66"/>
  <c r="AC230" i="66"/>
  <c r="AG180" i="66"/>
  <c r="Z297" i="66"/>
  <c r="AN197" i="66"/>
  <c r="AF182" i="66"/>
  <c r="Z282" i="66"/>
  <c r="AL210" i="66"/>
  <c r="R197" i="66"/>
  <c r="Y185" i="66"/>
  <c r="AE174" i="66"/>
  <c r="AO163" i="66"/>
  <c r="AC192" i="66"/>
  <c r="S77" i="66"/>
  <c r="AC66" i="66"/>
  <c r="S13" i="66"/>
  <c r="V186" i="66"/>
  <c r="AD160" i="66"/>
  <c r="Z173" i="66"/>
  <c r="S219" i="66"/>
  <c r="X200" i="66"/>
  <c r="AK187" i="66"/>
  <c r="U177" i="66"/>
  <c r="AA166" i="66"/>
  <c r="V206" i="66"/>
  <c r="AJ165" i="66"/>
  <c r="AE69" i="66"/>
  <c r="AE15" i="66"/>
  <c r="X192" i="66"/>
  <c r="AL162" i="66"/>
  <c r="AP178" i="66"/>
  <c r="AF208" i="66"/>
  <c r="AA193" i="66"/>
  <c r="W182" i="66"/>
  <c r="AG171" i="66"/>
  <c r="AM160" i="66"/>
  <c r="AH180" i="66"/>
  <c r="U74" i="66"/>
  <c r="U20" i="66"/>
  <c r="S229" i="66"/>
  <c r="AP170" i="66"/>
  <c r="Z199" i="66"/>
  <c r="U226" i="66"/>
  <c r="AE201" i="66"/>
  <c r="S188" i="66"/>
  <c r="AC177" i="66"/>
  <c r="AI166" i="66"/>
  <c r="AL211" i="66"/>
  <c r="AJ167" i="66"/>
  <c r="W71" i="66"/>
  <c r="AM17" i="66"/>
  <c r="T208" i="66"/>
  <c r="AH167" i="66"/>
  <c r="AJ189" i="66"/>
  <c r="AF170" i="66"/>
  <c r="AC69" i="66"/>
  <c r="AC15" i="66"/>
  <c r="X73" i="66"/>
  <c r="S10" i="66"/>
  <c r="R16" i="66"/>
  <c r="AL18" i="66"/>
  <c r="AL164" i="66"/>
  <c r="AJ7" i="66"/>
  <c r="AF191" i="66"/>
  <c r="T162" i="66"/>
  <c r="Y69" i="66"/>
  <c r="AO15" i="66"/>
  <c r="X74" i="66"/>
  <c r="AE8" i="66"/>
  <c r="AD12" i="66"/>
  <c r="AJ10" i="66"/>
  <c r="AD74" i="66"/>
  <c r="AF3" i="66"/>
  <c r="AL163" i="66"/>
  <c r="AK69" i="66"/>
  <c r="AA16" i="66"/>
  <c r="AF76" i="66"/>
  <c r="U11" i="66"/>
  <c r="AL20" i="66"/>
  <c r="AL67" i="66"/>
  <c r="Z171" i="66"/>
  <c r="AH8" i="66"/>
  <c r="AP199" i="66"/>
  <c r="AM72" i="66"/>
  <c r="AM18" i="66"/>
  <c r="V168" i="66"/>
  <c r="X12" i="66"/>
  <c r="AH69" i="66"/>
  <c r="AD174" i="66"/>
  <c r="V17" i="66"/>
  <c r="AD7" i="66"/>
  <c r="AF72" i="66"/>
  <c r="W7" i="66"/>
  <c r="AH75" i="66"/>
  <c r="AP11" i="66"/>
  <c r="AC8" i="66"/>
  <c r="V164" i="66"/>
  <c r="T15" i="66"/>
  <c r="Y2" i="66"/>
  <c r="U6" i="66"/>
  <c r="V72" i="66"/>
  <c r="AE68" i="66"/>
  <c r="Y15" i="66"/>
  <c r="AJ72" i="66"/>
  <c r="AO7" i="66"/>
  <c r="AJ11" i="66"/>
  <c r="AL9" i="66"/>
  <c r="V73" i="66"/>
  <c r="AP2" i="66"/>
  <c r="X169" i="66"/>
  <c r="U69" i="66"/>
  <c r="AK15" i="66"/>
  <c r="X75" i="66"/>
  <c r="AA10" i="66"/>
  <c r="AH16" i="66"/>
  <c r="V65" i="66"/>
  <c r="Z166" i="66"/>
  <c r="R8" i="66"/>
  <c r="AP182" i="66"/>
  <c r="W72" i="66"/>
  <c r="W18" i="66"/>
  <c r="V163" i="66"/>
  <c r="AG11" i="66"/>
  <c r="AH21" i="66"/>
  <c r="AH68" i="66"/>
  <c r="AD170" i="66"/>
  <c r="AD8" i="66"/>
  <c r="X2" i="66"/>
  <c r="AJ69" i="66"/>
  <c r="AG6" i="66"/>
  <c r="AH73" i="66"/>
  <c r="AN4" i="66"/>
  <c r="AI7" i="66"/>
  <c r="AH160" i="66"/>
  <c r="AN13" i="66"/>
  <c r="Z247" i="66"/>
  <c r="AF21" i="66"/>
  <c r="AA5" i="66"/>
  <c r="AO67" i="66"/>
  <c r="AE14" i="66"/>
  <c r="X70" i="66"/>
  <c r="Y7" i="66"/>
  <c r="AP10" i="66"/>
  <c r="AN8" i="66"/>
  <c r="R72" i="66"/>
  <c r="Z2" i="66"/>
  <c r="AN163" i="66"/>
  <c r="AA68" i="66"/>
  <c r="U15" i="66"/>
  <c r="AN73" i="66"/>
  <c r="AK9" i="66"/>
  <c r="AD15" i="66"/>
  <c r="AL19" i="66"/>
  <c r="AH161" i="66"/>
  <c r="AH4" i="66"/>
  <c r="R171" i="66"/>
  <c r="AG71" i="66"/>
  <c r="AG17" i="66"/>
  <c r="AF77" i="66"/>
  <c r="AM10" i="66"/>
  <c r="AD20" i="66"/>
  <c r="V67" i="66"/>
  <c r="AD165" i="66"/>
  <c r="AN7" i="66"/>
  <c r="S231" i="66"/>
  <c r="X67" i="66"/>
  <c r="AM5" i="66"/>
  <c r="AD67" i="66"/>
  <c r="AJ74" i="66"/>
  <c r="S7" i="66"/>
  <c r="R77" i="66"/>
  <c r="AE11" i="66"/>
  <c r="Z202" i="66"/>
  <c r="T20" i="66"/>
  <c r="AK4" i="66"/>
  <c r="Z20" i="66"/>
  <c r="AO69" i="66"/>
  <c r="AE16" i="66"/>
  <c r="AF75" i="66"/>
  <c r="Y9" i="66"/>
  <c r="AH13" i="66"/>
  <c r="R14" i="66"/>
  <c r="AL75" i="66"/>
  <c r="V4" i="66"/>
  <c r="AL168" i="66"/>
  <c r="AA70" i="66"/>
  <c r="U17" i="66"/>
  <c r="AN77" i="66"/>
  <c r="AK11" i="66"/>
  <c r="AP21" i="66"/>
  <c r="AP68" i="66"/>
  <c r="R176" i="66"/>
  <c r="V14" i="66"/>
  <c r="T241" i="66"/>
  <c r="AG73" i="66"/>
  <c r="AG19" i="66"/>
  <c r="AJ173" i="66"/>
  <c r="AN14" i="66"/>
  <c r="W2" i="66"/>
  <c r="AH70" i="66"/>
  <c r="AN181" i="66"/>
  <c r="Z18" i="66"/>
  <c r="T12" i="66"/>
  <c r="T75" i="66"/>
  <c r="AM7" i="66"/>
  <c r="Z77" i="66"/>
  <c r="AJ2" i="66"/>
  <c r="S9" i="66"/>
  <c r="V169" i="66"/>
  <c r="AF311" i="66"/>
  <c r="S311" i="66"/>
  <c r="AI209" i="66"/>
  <c r="V251" i="66"/>
  <c r="AC255" i="66"/>
  <c r="AJ263" i="66"/>
  <c r="AA210" i="66"/>
  <c r="X255" i="66"/>
  <c r="AP301" i="66"/>
  <c r="AE222" i="66"/>
  <c r="AD280" i="66"/>
  <c r="AJ194" i="66"/>
  <c r="U214" i="66"/>
  <c r="W265" i="66"/>
  <c r="AL233" i="66"/>
  <c r="AF252" i="66"/>
  <c r="AA206" i="66"/>
  <c r="AG174" i="66"/>
  <c r="AF190" i="66"/>
  <c r="AG254" i="66"/>
  <c r="S240" i="66"/>
  <c r="R210" i="66"/>
  <c r="S204" i="66"/>
  <c r="AJ257" i="66"/>
  <c r="AL236" i="66"/>
  <c r="AN279" i="66"/>
  <c r="X221" i="66"/>
  <c r="R185" i="66"/>
  <c r="Y187" i="66"/>
  <c r="X162" i="66"/>
  <c r="R164" i="66"/>
  <c r="AK189" i="66"/>
  <c r="X171" i="66"/>
  <c r="AP165" i="66"/>
  <c r="W184" i="66"/>
  <c r="U76" i="66"/>
  <c r="T209" i="66"/>
  <c r="AC179" i="66"/>
  <c r="W73" i="66"/>
  <c r="AN198" i="66"/>
  <c r="X77" i="66"/>
  <c r="V180" i="66"/>
  <c r="AJ215" i="66"/>
  <c r="AL183" i="66"/>
  <c r="AE186" i="66"/>
  <c r="AN160" i="66"/>
  <c r="R163" i="66"/>
  <c r="U189" i="66"/>
  <c r="AJ169" i="66"/>
  <c r="AP164" i="66"/>
  <c r="AG183" i="66"/>
  <c r="AA75" i="66"/>
  <c r="Z205" i="66"/>
  <c r="AI178" i="66"/>
  <c r="AG72" i="66"/>
  <c r="T196" i="66"/>
  <c r="AN75" i="66"/>
  <c r="X173" i="66"/>
  <c r="AH290" i="66"/>
  <c r="V183" i="66"/>
  <c r="AO185" i="66"/>
  <c r="AI77" i="66"/>
  <c r="AL161" i="66"/>
  <c r="AA188" i="66"/>
  <c r="T167" i="66"/>
  <c r="AP163" i="66"/>
  <c r="AM182" i="66"/>
  <c r="AK74" i="66"/>
  <c r="AF202" i="66"/>
  <c r="S178" i="66"/>
  <c r="AM71" i="66"/>
  <c r="AN192" i="66"/>
  <c r="AF74" i="66"/>
  <c r="AL169" i="66"/>
  <c r="V198" i="66"/>
  <c r="T180" i="66"/>
  <c r="AE182" i="66"/>
  <c r="AC74" i="66"/>
  <c r="AH207" i="66"/>
  <c r="U185" i="66"/>
  <c r="AE77" i="66"/>
  <c r="AI231" i="66"/>
  <c r="AG179" i="66"/>
  <c r="AA71" i="66"/>
  <c r="V188" i="66"/>
  <c r="AI174" i="66"/>
  <c r="AG68" i="66"/>
  <c r="Z180" i="66"/>
  <c r="AJ67" i="66"/>
  <c r="AD73" i="66"/>
  <c r="AE66" i="66"/>
  <c r="AJ9" i="66"/>
  <c r="AK77" i="66"/>
  <c r="AA8" i="66"/>
  <c r="AL2" i="66"/>
  <c r="AN74" i="66"/>
  <c r="AL77" i="66"/>
  <c r="AG4" i="66"/>
  <c r="R73" i="66"/>
  <c r="AA3" i="66"/>
  <c r="AN20" i="66"/>
  <c r="AD68" i="66"/>
  <c r="U13" i="66"/>
  <c r="AD9" i="66"/>
  <c r="AG69" i="66"/>
  <c r="R13" i="66"/>
  <c r="V165" i="66"/>
  <c r="AJ20" i="66"/>
  <c r="AD168" i="66"/>
  <c r="Y65" i="66"/>
  <c r="AH6" i="66"/>
  <c r="AA76" i="66"/>
  <c r="U7" i="66"/>
  <c r="Z76" i="66"/>
  <c r="T72" i="66"/>
  <c r="V75" i="66"/>
  <c r="W3" i="66"/>
  <c r="AF10" i="66"/>
  <c r="U2" i="66"/>
  <c r="AN68" i="66"/>
  <c r="R71" i="66"/>
  <c r="AA14" i="66"/>
  <c r="V18" i="66"/>
  <c r="AM70" i="66"/>
  <c r="Z16" i="66"/>
  <c r="X181" i="66"/>
  <c r="X72" i="66"/>
  <c r="AO10" i="66"/>
  <c r="AN18" i="66"/>
  <c r="AL11" i="66"/>
  <c r="AA319" i="66"/>
  <c r="AD319" i="66"/>
  <c r="V217" i="66"/>
  <c r="AC270" i="66"/>
  <c r="S200" i="66"/>
  <c r="T233" i="66"/>
  <c r="W208" i="66"/>
  <c r="AL243" i="66"/>
  <c r="AK236" i="66"/>
  <c r="V362" i="66"/>
  <c r="AG186" i="66"/>
  <c r="AE197" i="66"/>
  <c r="T245" i="66"/>
  <c r="S196" i="66"/>
  <c r="AL228" i="66"/>
  <c r="AP216" i="66"/>
  <c r="AM163" i="66"/>
  <c r="S302" i="66"/>
  <c r="X310" i="66"/>
  <c r="AM196" i="66"/>
  <c r="AI264" i="66"/>
  <c r="V230" i="66"/>
  <c r="AN255" i="66"/>
  <c r="S205" i="66"/>
  <c r="T303" i="66"/>
  <c r="AG184" i="66"/>
  <c r="AP173" i="66"/>
  <c r="AE176" i="66"/>
  <c r="AC68" i="66"/>
  <c r="AD182" i="66"/>
  <c r="U179" i="66"/>
  <c r="AE71" i="66"/>
  <c r="AL188" i="66"/>
  <c r="AG173" i="66"/>
  <c r="AA65" i="66"/>
  <c r="S233" i="66"/>
  <c r="AI168" i="66"/>
  <c r="AM19" i="66"/>
  <c r="AN165" i="66"/>
  <c r="S12" i="66"/>
  <c r="AL14" i="66"/>
  <c r="W183" i="66"/>
  <c r="AH355" i="66"/>
  <c r="AO175" i="66"/>
  <c r="AI67" i="66"/>
  <c r="X177" i="66"/>
  <c r="AA178" i="66"/>
  <c r="AO70" i="66"/>
  <c r="AH186" i="66"/>
  <c r="AM172" i="66"/>
  <c r="AA21" i="66"/>
  <c r="W231" i="66"/>
  <c r="S168" i="66"/>
  <c r="W19" i="66"/>
  <c r="AF164" i="66"/>
  <c r="AC11" i="66"/>
  <c r="AP8" i="66"/>
  <c r="AM181" i="66"/>
  <c r="AJ293" i="66"/>
  <c r="Y175" i="66"/>
  <c r="S67" i="66"/>
  <c r="T175" i="66"/>
  <c r="AK177" i="66"/>
  <c r="Y70" i="66"/>
  <c r="AP184" i="66"/>
  <c r="W172" i="66"/>
  <c r="AK20" i="66"/>
  <c r="W229" i="66"/>
  <c r="AC167" i="66"/>
  <c r="AG18" i="66"/>
  <c r="X163" i="66"/>
  <c r="AI10" i="66"/>
  <c r="Z8" i="66"/>
  <c r="W175" i="66"/>
  <c r="X238" i="66"/>
  <c r="AO171" i="66"/>
  <c r="S21" i="66"/>
  <c r="X168" i="66"/>
  <c r="AA174" i="66"/>
  <c r="AO66" i="66"/>
  <c r="AJ171" i="66"/>
  <c r="AM168" i="66"/>
  <c r="AA17" i="66"/>
  <c r="Y216" i="66"/>
  <c r="S164" i="66"/>
  <c r="W15" i="66"/>
  <c r="AC77" i="66"/>
  <c r="AC7" i="66"/>
  <c r="T3" i="66"/>
  <c r="Y13" i="66"/>
  <c r="AJ6" i="66"/>
  <c r="U67" i="66"/>
  <c r="V12" i="66"/>
  <c r="AP162" i="66"/>
  <c r="AG9" i="66"/>
  <c r="AD4" i="66"/>
  <c r="V21" i="66"/>
  <c r="Y10" i="66"/>
  <c r="V11" i="66"/>
  <c r="Y5" i="66"/>
  <c r="AL71" i="66"/>
  <c r="AF68" i="66"/>
  <c r="V74" i="66"/>
  <c r="AG15" i="66"/>
  <c r="AD13" i="66"/>
  <c r="AF18" i="66"/>
  <c r="S5" i="66"/>
  <c r="AJ14" i="66"/>
  <c r="AO236" i="66"/>
  <c r="Z5" i="66"/>
  <c r="AL10" i="66"/>
  <c r="T166" i="66"/>
  <c r="W8" i="66"/>
  <c r="X3" i="66"/>
  <c r="AH11" i="66"/>
  <c r="AO8" i="66"/>
  <c r="AJ4" i="66"/>
  <c r="AE6" i="66"/>
  <c r="AP76" i="66"/>
  <c r="T71" i="66"/>
  <c r="AL76" i="66"/>
  <c r="AM16" i="66"/>
  <c r="V19" i="66"/>
  <c r="X21" i="66"/>
  <c r="AC6" i="66"/>
  <c r="AO2" i="66"/>
  <c r="AK6" i="66"/>
  <c r="AH20" i="66"/>
  <c r="AI313" i="66"/>
  <c r="AE259" i="66"/>
  <c r="S288" i="66"/>
  <c r="AH196" i="66"/>
  <c r="AI292" i="66"/>
  <c r="AJ191" i="66"/>
  <c r="AJ243" i="66"/>
  <c r="AA278" i="66"/>
  <c r="W201" i="66"/>
  <c r="Y164" i="66"/>
  <c r="R187" i="66"/>
  <c r="AD210" i="66"/>
  <c r="AK248" i="66"/>
  <c r="R280" i="66"/>
  <c r="AP214" i="66"/>
  <c r="AE187" i="66"/>
  <c r="Y226" i="66"/>
  <c r="AK200" i="66"/>
  <c r="W233" i="66"/>
  <c r="U316" i="66"/>
  <c r="W260" i="66"/>
  <c r="AP222" i="66"/>
  <c r="AP243" i="66"/>
  <c r="AN196" i="66"/>
  <c r="AH278" i="66"/>
  <c r="AP282" i="66"/>
  <c r="AA214" i="66"/>
  <c r="W163" i="66"/>
  <c r="AI217" i="66"/>
  <c r="AO165" i="66"/>
  <c r="S15" i="66"/>
  <c r="AE227" i="66"/>
  <c r="AA168" i="66"/>
  <c r="AE17" i="66"/>
  <c r="AA213" i="66"/>
  <c r="AM162" i="66"/>
  <c r="AP276" i="66"/>
  <c r="AO204" i="66"/>
  <c r="Y236" i="66"/>
  <c r="Y228" i="66"/>
  <c r="AC71" i="66"/>
  <c r="Z65" i="66"/>
  <c r="AH9" i="66"/>
  <c r="AM161" i="66"/>
  <c r="AA215" i="66"/>
  <c r="Y165" i="66"/>
  <c r="AC14" i="66"/>
  <c r="AK224" i="66"/>
  <c r="AK167" i="66"/>
  <c r="AO16" i="66"/>
  <c r="AE211" i="66"/>
  <c r="W162" i="66"/>
  <c r="T248" i="66"/>
  <c r="T204" i="66"/>
  <c r="AG226" i="66"/>
  <c r="Y222" i="66"/>
  <c r="AI70" i="66"/>
  <c r="Z21" i="66"/>
  <c r="V7" i="66"/>
  <c r="AG160" i="66"/>
  <c r="Y212" i="66"/>
  <c r="AE164" i="66"/>
  <c r="AI13" i="66"/>
  <c r="AC222" i="66"/>
  <c r="U167" i="66"/>
  <c r="Y16" i="66"/>
  <c r="AA209" i="66"/>
  <c r="AG161" i="66"/>
  <c r="S238" i="66"/>
  <c r="W203" i="66"/>
  <c r="AE217" i="66"/>
  <c r="AD211" i="66"/>
  <c r="S70" i="66"/>
  <c r="V20" i="66"/>
  <c r="AJ209" i="66"/>
  <c r="S235" i="66"/>
  <c r="X207" i="66"/>
  <c r="Y161" i="66"/>
  <c r="T243" i="66"/>
  <c r="AG210" i="66"/>
  <c r="AK163" i="66"/>
  <c r="AO12" i="66"/>
  <c r="V205" i="66"/>
  <c r="AN237" i="66"/>
  <c r="AL206" i="66"/>
  <c r="T198" i="66"/>
  <c r="V197" i="66"/>
  <c r="AL194" i="66"/>
  <c r="AI66" i="66"/>
  <c r="T11" i="66"/>
  <c r="AP160" i="66"/>
  <c r="X66" i="66"/>
  <c r="AL69" i="66"/>
  <c r="AK13" i="66"/>
  <c r="AL13" i="66"/>
  <c r="W70" i="66"/>
  <c r="V15" i="66"/>
  <c r="V170" i="66"/>
  <c r="AJ66" i="66"/>
  <c r="AF175" i="66"/>
  <c r="T9" i="66"/>
  <c r="U77" i="66"/>
  <c r="AK7" i="66"/>
  <c r="V2" i="66"/>
  <c r="AF73" i="66"/>
  <c r="AD76" i="66"/>
  <c r="AM3" i="66"/>
  <c r="AH66" i="66"/>
  <c r="AK2" i="66"/>
  <c r="T18" i="66"/>
  <c r="Z67" i="66"/>
  <c r="AA12" i="66"/>
  <c r="AF8" i="66"/>
  <c r="AM68" i="66"/>
  <c r="R12" i="66"/>
  <c r="Z161" i="66"/>
  <c r="AF19" i="66"/>
  <c r="AD163" i="66"/>
  <c r="Y67" i="66"/>
  <c r="Z10" i="66"/>
  <c r="AJ161" i="66"/>
  <c r="U9" i="66"/>
  <c r="R4" i="66"/>
  <c r="X76" i="66"/>
  <c r="R160" i="66"/>
  <c r="W5" i="66"/>
  <c r="R75" i="66"/>
  <c r="AL184" i="66"/>
  <c r="U4" i="66"/>
  <c r="AA332" i="66"/>
  <c r="Y309" i="66"/>
  <c r="AD301" i="66"/>
  <c r="AO186" i="66"/>
  <c r="R278" i="66"/>
  <c r="S296" i="66"/>
  <c r="Y271" i="66"/>
  <c r="AL260" i="66"/>
  <c r="T262" i="66"/>
  <c r="T310" i="66"/>
  <c r="AE240" i="66"/>
  <c r="R223" i="66"/>
  <c r="AE171" i="66"/>
  <c r="AC182" i="66"/>
  <c r="AA207" i="66"/>
  <c r="W199" i="66"/>
  <c r="AO263" i="66"/>
  <c r="AD250" i="66"/>
  <c r="W185" i="66"/>
  <c r="AF204" i="66"/>
  <c r="W273" i="66"/>
  <c r="AL235" i="66"/>
  <c r="AI187" i="66"/>
  <c r="AP253" i="66"/>
  <c r="U234" i="66"/>
  <c r="Y211" i="66"/>
  <c r="Z175" i="66"/>
  <c r="AH245" i="66"/>
  <c r="AI203" i="66"/>
  <c r="AF199" i="66"/>
  <c r="AA203" i="66"/>
  <c r="AE193" i="66"/>
  <c r="AL202" i="66"/>
  <c r="AO222" i="66"/>
  <c r="V203" i="66"/>
  <c r="AN195" i="66"/>
  <c r="AL190" i="66"/>
  <c r="AD178" i="66"/>
  <c r="S190" i="66"/>
  <c r="AP172" i="66"/>
  <c r="AH170" i="66"/>
  <c r="AC17" i="66"/>
  <c r="Z69" i="66"/>
  <c r="X170" i="66"/>
  <c r="R202" i="66"/>
  <c r="AJ198" i="66"/>
  <c r="V200" i="66"/>
  <c r="R190" i="66"/>
  <c r="AP201" i="66"/>
  <c r="W215" i="66"/>
  <c r="AE199" i="66"/>
  <c r="S195" i="66"/>
  <c r="AH184" i="66"/>
  <c r="AN175" i="66"/>
  <c r="AC189" i="66"/>
  <c r="AN171" i="66"/>
  <c r="AH169" i="66"/>
  <c r="AI16" i="66"/>
  <c r="Z68" i="66"/>
  <c r="AF167" i="66"/>
  <c r="Y200" i="66"/>
  <c r="AM197" i="66"/>
  <c r="AD196" i="66"/>
  <c r="Z188" i="66"/>
  <c r="T201" i="66"/>
  <c r="U210" i="66"/>
  <c r="AM195" i="66"/>
  <c r="X194" i="66"/>
  <c r="AL182" i="66"/>
  <c r="X172" i="66"/>
  <c r="AI188" i="66"/>
  <c r="T169" i="66"/>
  <c r="AH168" i="66"/>
  <c r="S16" i="66"/>
  <c r="AP66" i="66"/>
  <c r="AN164" i="66"/>
  <c r="X191" i="66"/>
  <c r="AL193" i="66"/>
  <c r="AJ179" i="66"/>
  <c r="AL174" i="66"/>
  <c r="AP196" i="66"/>
  <c r="AA191" i="66"/>
  <c r="AF179" i="66"/>
  <c r="W190" i="66"/>
  <c r="AJ170" i="66"/>
  <c r="AL166" i="66"/>
  <c r="AC185" i="66"/>
  <c r="AF162" i="66"/>
  <c r="Z163" i="66"/>
  <c r="AI12" i="66"/>
  <c r="V9" i="66"/>
  <c r="AE76" i="66"/>
  <c r="AO5" i="66"/>
  <c r="AP74" i="66"/>
  <c r="AN69" i="66"/>
  <c r="AD75" i="66"/>
  <c r="W16" i="66"/>
  <c r="Z15" i="66"/>
  <c r="AN19" i="66"/>
  <c r="AI5" i="66"/>
  <c r="X16" i="66"/>
  <c r="AE12" i="66"/>
  <c r="AP5" i="66"/>
  <c r="AA66" i="66"/>
  <c r="AF11" i="66"/>
  <c r="AN168" i="66"/>
  <c r="AM8" i="66"/>
  <c r="AN3" i="66"/>
  <c r="AD19" i="66"/>
  <c r="AE9" i="66"/>
  <c r="R9" i="66"/>
  <c r="AE4" i="66"/>
  <c r="AH17" i="66"/>
  <c r="T67" i="66"/>
  <c r="AP72" i="66"/>
  <c r="AM14" i="66"/>
  <c r="T10" i="66"/>
  <c r="T17" i="66"/>
  <c r="AC4" i="66"/>
  <c r="AF13" i="66"/>
  <c r="AO13" i="66"/>
  <c r="AH7" i="66"/>
  <c r="AK67" i="66"/>
  <c r="Z13" i="66"/>
  <c r="R166" i="66"/>
  <c r="W10" i="66"/>
  <c r="X7" i="66"/>
  <c r="T68" i="66"/>
  <c r="R147" i="66"/>
  <c r="AP149" i="66"/>
  <c r="Z145" i="66"/>
  <c r="T135" i="66"/>
  <c r="AF119" i="66"/>
  <c r="AJ107" i="66"/>
  <c r="AH155" i="66"/>
  <c r="X131" i="66"/>
  <c r="AM100" i="66"/>
  <c r="AG111" i="66"/>
  <c r="W122" i="66"/>
  <c r="AM132" i="66"/>
  <c r="AF144" i="66"/>
  <c r="AF111" i="66"/>
  <c r="V100" i="66"/>
  <c r="V140" i="66"/>
  <c r="Z124" i="66"/>
  <c r="U99" i="66"/>
  <c r="AK109" i="66"/>
  <c r="AA120" i="66"/>
  <c r="U131" i="66"/>
  <c r="AK141" i="66"/>
  <c r="Z116" i="66"/>
  <c r="AL100" i="66"/>
  <c r="AH138" i="66"/>
  <c r="AH120" i="66"/>
  <c r="Y97" i="66"/>
  <c r="AO107" i="66"/>
  <c r="AE118" i="66"/>
  <c r="Y129" i="66"/>
  <c r="AO139" i="66"/>
  <c r="AF159" i="66"/>
  <c r="Z136" i="66"/>
  <c r="V124" i="66"/>
  <c r="Z106" i="66"/>
  <c r="AL148" i="66"/>
  <c r="S104" i="66"/>
  <c r="AI114" i="66"/>
  <c r="AC125" i="66"/>
  <c r="S136" i="66"/>
  <c r="AN154" i="66"/>
  <c r="AL103" i="66"/>
  <c r="T116" i="66"/>
  <c r="V127" i="66"/>
  <c r="X138" i="66"/>
  <c r="AP152" i="66"/>
  <c r="AG102" i="66"/>
  <c r="W113" i="66"/>
  <c r="AM123" i="66"/>
  <c r="AG134" i="66"/>
  <c r="T148" i="66"/>
  <c r="S147" i="66"/>
  <c r="AI157" i="66"/>
  <c r="AF104" i="66"/>
  <c r="X116" i="66"/>
  <c r="Z127" i="66"/>
  <c r="AL137" i="66"/>
  <c r="Z154" i="66"/>
  <c r="AK102" i="66"/>
  <c r="AA113" i="66"/>
  <c r="U124" i="66"/>
  <c r="AK134" i="66"/>
  <c r="X151" i="66"/>
  <c r="AG150" i="66"/>
  <c r="AP97" i="66"/>
  <c r="AH109" i="66"/>
  <c r="AJ120" i="66"/>
  <c r="V131" i="66"/>
  <c r="Z142" i="66"/>
  <c r="AO96" i="66"/>
  <c r="AE107" i="66"/>
  <c r="Y118" i="66"/>
  <c r="AO128" i="66"/>
  <c r="AE139" i="66"/>
  <c r="T159" i="66"/>
  <c r="U152" i="66"/>
  <c r="AJ98" i="66"/>
  <c r="AL109" i="66"/>
  <c r="AN120" i="66"/>
  <c r="AP131" i="66"/>
  <c r="AE142" i="66"/>
  <c r="AC104" i="66"/>
  <c r="AI117" i="66"/>
  <c r="AN147" i="66"/>
  <c r="AA148" i="66"/>
  <c r="AI156" i="66"/>
  <c r="R126" i="66"/>
  <c r="AL128" i="66"/>
  <c r="AD124" i="66"/>
  <c r="T117" i="66"/>
  <c r="AP100" i="66"/>
  <c r="AP151" i="66"/>
  <c r="V132" i="66"/>
  <c r="X115" i="66"/>
  <c r="W96" i="66"/>
  <c r="AM106" i="66"/>
  <c r="AG117" i="66"/>
  <c r="W128" i="66"/>
  <c r="AM138" i="66"/>
  <c r="AF156" i="66"/>
  <c r="X135" i="66"/>
  <c r="V118" i="66"/>
  <c r="AF109" i="66"/>
  <c r="AP155" i="66"/>
  <c r="U105" i="66"/>
  <c r="AK115" i="66"/>
  <c r="AA126" i="66"/>
  <c r="U137" i="66"/>
  <c r="X159" i="66"/>
  <c r="AD138" i="66"/>
  <c r="AL118" i="66"/>
  <c r="AF105" i="66"/>
  <c r="AH142" i="66"/>
  <c r="Y103" i="66"/>
  <c r="AO113" i="66"/>
  <c r="AE124" i="66"/>
  <c r="Y135" i="66"/>
  <c r="T149" i="66"/>
  <c r="AP116" i="66"/>
  <c r="R102" i="66"/>
  <c r="Z149" i="66"/>
  <c r="AH128" i="66"/>
  <c r="AC99" i="66"/>
  <c r="S110" i="66"/>
  <c r="AI120" i="66"/>
  <c r="R74" i="66"/>
  <c r="AJ109" i="66"/>
  <c r="V104" i="66"/>
  <c r="T105" i="66"/>
  <c r="T99" i="66"/>
  <c r="AH151" i="66"/>
  <c r="AL134" i="66"/>
  <c r="AJ119" i="66"/>
  <c r="R104" i="66"/>
  <c r="V144" i="66"/>
  <c r="AG103" i="66"/>
  <c r="W114" i="66"/>
  <c r="AM124" i="66"/>
  <c r="AG135" i="66"/>
  <c r="AJ149" i="66"/>
  <c r="AF123" i="66"/>
  <c r="T103" i="66"/>
  <c r="R98" i="66"/>
  <c r="AD134" i="66"/>
  <c r="AK101" i="66"/>
  <c r="AA112" i="66"/>
  <c r="U123" i="66"/>
  <c r="AK133" i="66"/>
  <c r="AN148" i="66"/>
  <c r="V126" i="66"/>
  <c r="AJ103" i="66"/>
  <c r="Z157" i="66"/>
  <c r="V130" i="66"/>
  <c r="AO99" i="66"/>
  <c r="AE110" i="66"/>
  <c r="Y121" i="66"/>
  <c r="AO131" i="66"/>
  <c r="AI142" i="66"/>
  <c r="AF103" i="66"/>
  <c r="R149" i="66"/>
  <c r="AN133" i="66"/>
  <c r="AL114" i="66"/>
  <c r="S96" i="66"/>
  <c r="AI106" i="66"/>
  <c r="AC117" i="66"/>
  <c r="S128" i="66"/>
  <c r="AI138" i="66"/>
  <c r="AL95" i="66"/>
  <c r="AN106" i="66"/>
  <c r="AF118" i="66"/>
  <c r="X130" i="66"/>
  <c r="AJ140" i="66"/>
  <c r="AH159" i="66"/>
  <c r="W105" i="66"/>
  <c r="AM115" i="66"/>
  <c r="AG126" i="66"/>
  <c r="W137" i="66"/>
  <c r="AF153" i="66"/>
  <c r="AI149" i="66"/>
  <c r="AF96" i="66"/>
  <c r="AH107" i="66"/>
  <c r="Z119" i="66"/>
  <c r="AL129" i="66"/>
  <c r="AN140" i="66"/>
  <c r="AP159" i="66"/>
  <c r="AA105" i="66"/>
  <c r="U116" i="66"/>
  <c r="AK126" i="66"/>
  <c r="AA137" i="66"/>
  <c r="AG142" i="66"/>
  <c r="W153" i="66"/>
  <c r="R101" i="66"/>
  <c r="AJ112" i="66"/>
  <c r="V123" i="66"/>
  <c r="X134" i="66"/>
  <c r="AH146" i="66"/>
  <c r="AE99" i="66"/>
  <c r="Y110" i="66"/>
  <c r="AO120" i="66"/>
  <c r="AE131" i="66"/>
  <c r="AA142" i="66"/>
  <c r="U144" i="66"/>
  <c r="AK154" i="66"/>
  <c r="V101" i="66"/>
  <c r="AN112" i="66"/>
  <c r="AP123" i="66"/>
  <c r="R135" i="66"/>
  <c r="AP146" i="66"/>
  <c r="S107" i="66"/>
  <c r="S123" i="66"/>
  <c r="AO148" i="66"/>
  <c r="Y143" i="66"/>
  <c r="AK158" i="66"/>
  <c r="AJ135" i="66"/>
  <c r="Z138" i="66"/>
  <c r="AL136" i="66"/>
  <c r="AJ127" i="66"/>
  <c r="AH110" i="66"/>
  <c r="AN101" i="66"/>
  <c r="AN141" i="66"/>
  <c r="AN123" i="66"/>
  <c r="AM98" i="66"/>
  <c r="AG109" i="66"/>
  <c r="W120" i="66"/>
  <c r="AM130" i="66"/>
  <c r="AG141" i="66"/>
  <c r="AP104" i="66"/>
  <c r="AL152" i="66"/>
  <c r="AL132" i="66"/>
  <c r="Z118" i="66"/>
  <c r="U97" i="66"/>
  <c r="AK107" i="66"/>
  <c r="AA118" i="66"/>
  <c r="U129" i="66"/>
  <c r="AK139" i="66"/>
  <c r="X105" i="66"/>
  <c r="AH153" i="66"/>
  <c r="AD128" i="66"/>
  <c r="V114" i="66"/>
  <c r="Y95" i="66"/>
  <c r="AO105" i="66"/>
  <c r="AE116" i="66"/>
  <c r="Y127" i="66"/>
  <c r="AO137" i="66"/>
  <c r="AF154" i="66"/>
  <c r="AP128" i="66"/>
  <c r="R114" i="66"/>
  <c r="AF99" i="66"/>
  <c r="V138" i="66"/>
  <c r="S102" i="66"/>
  <c r="AI112" i="66"/>
  <c r="AC123" i="66"/>
  <c r="AD65" i="66"/>
  <c r="AP122" i="66"/>
  <c r="AH126" i="66"/>
  <c r="AN121" i="66"/>
  <c r="AP114" i="66"/>
  <c r="AP98" i="66"/>
  <c r="AD146" i="66"/>
  <c r="R130" i="66"/>
  <c r="X113" i="66"/>
  <c r="AG95" i="66"/>
  <c r="W106" i="66"/>
  <c r="AM116" i="66"/>
  <c r="AG127" i="66"/>
  <c r="W138" i="66"/>
  <c r="T155" i="66"/>
  <c r="T133" i="66"/>
  <c r="T115" i="66"/>
  <c r="X107" i="66"/>
  <c r="AD150" i="66"/>
  <c r="AA104" i="66"/>
  <c r="U115" i="66"/>
  <c r="AK125" i="66"/>
  <c r="AA136" i="66"/>
  <c r="AN156" i="66"/>
  <c r="AN135" i="66"/>
  <c r="AJ115" i="66"/>
  <c r="X103" i="66"/>
  <c r="AN139" i="66"/>
  <c r="AE102" i="66"/>
  <c r="Y113" i="66"/>
  <c r="AO123" i="66"/>
  <c r="AE134" i="66"/>
  <c r="AJ147" i="66"/>
  <c r="AF113" i="66"/>
  <c r="AN95" i="66"/>
  <c r="AP145" i="66"/>
  <c r="X123" i="66"/>
  <c r="AI98" i="66"/>
  <c r="AC109" i="66"/>
  <c r="S120" i="66"/>
  <c r="AI130" i="66"/>
  <c r="AC141" i="66"/>
  <c r="AN98" i="66"/>
  <c r="AP109" i="66"/>
  <c r="AH121" i="66"/>
  <c r="AJ132" i="66"/>
  <c r="AL143" i="66"/>
  <c r="W97" i="66"/>
  <c r="AM107" i="66"/>
  <c r="AG118" i="66"/>
  <c r="W129" i="66"/>
  <c r="AM139" i="66"/>
  <c r="AJ159" i="66"/>
  <c r="AC152" i="66"/>
  <c r="AH99" i="66"/>
  <c r="AJ110" i="66"/>
  <c r="AL121" i="66"/>
  <c r="AN132" i="66"/>
  <c r="R144" i="66"/>
  <c r="AA97" i="66"/>
  <c r="U108" i="66"/>
  <c r="AK118" i="66"/>
  <c r="AA129" i="66"/>
  <c r="U140" i="66"/>
  <c r="W145" i="66"/>
  <c r="AM155" i="66"/>
  <c r="T104" i="66"/>
  <c r="V115" i="66"/>
  <c r="X126" i="66"/>
  <c r="AJ136" i="66"/>
  <c r="V151" i="66"/>
  <c r="Y102" i="66"/>
  <c r="AO112" i="66"/>
  <c r="AE123" i="66"/>
  <c r="Y134" i="66"/>
  <c r="AF147" i="66"/>
  <c r="AK146" i="66"/>
  <c r="AA157" i="66"/>
  <c r="X104" i="66"/>
  <c r="Z115" i="66"/>
  <c r="R127" i="66"/>
  <c r="AD137" i="66"/>
  <c r="AH152" i="66"/>
  <c r="AI109" i="66"/>
  <c r="AC128" i="66"/>
  <c r="AG143" i="66"/>
  <c r="AO153" i="66"/>
  <c r="AD95" i="66"/>
  <c r="AD152" i="66"/>
  <c r="Z153" i="66"/>
  <c r="AL150" i="66"/>
  <c r="X137" i="66"/>
  <c r="T125" i="66"/>
  <c r="AL110" i="66"/>
  <c r="AF97" i="66"/>
  <c r="AH136" i="66"/>
  <c r="AG101" i="66"/>
  <c r="W112" i="66"/>
  <c r="AM122" i="66"/>
  <c r="AG133" i="66"/>
  <c r="AJ145" i="66"/>
  <c r="AF115" i="66"/>
  <c r="Z102" i="66"/>
  <c r="AH147" i="66"/>
  <c r="AF127" i="66"/>
  <c r="AK99" i="66"/>
  <c r="AA110" i="66"/>
  <c r="U121" i="66"/>
  <c r="AK131" i="66"/>
  <c r="AD142" i="66"/>
  <c r="R118" i="66"/>
  <c r="AP102" i="66"/>
  <c r="AL140" i="66"/>
  <c r="AL122" i="66"/>
  <c r="AO97" i="66"/>
  <c r="AE108" i="66"/>
  <c r="Y119" i="66"/>
  <c r="AO129" i="66"/>
  <c r="AE140" i="66"/>
  <c r="V96" i="66"/>
  <c r="AF139" i="66"/>
  <c r="Z126" i="66"/>
  <c r="R108" i="66"/>
  <c r="V152" i="66"/>
  <c r="AI104" i="66"/>
  <c r="AC115" i="66"/>
  <c r="S126" i="66"/>
  <c r="AF16" i="66"/>
  <c r="AF133" i="66"/>
  <c r="V136" i="66"/>
  <c r="AH134" i="66"/>
  <c r="AF125" i="66"/>
  <c r="AP108" i="66"/>
  <c r="AJ99" i="66"/>
  <c r="AJ139" i="66"/>
  <c r="AJ121" i="66"/>
  <c r="W98" i="66"/>
  <c r="AM108" i="66"/>
  <c r="AG119" i="66"/>
  <c r="W130" i="66"/>
  <c r="AM140" i="66"/>
  <c r="X99" i="66"/>
  <c r="Z147" i="66"/>
  <c r="AH130" i="66"/>
  <c r="AN115" i="66"/>
  <c r="AA96" i="66"/>
  <c r="U107" i="66"/>
  <c r="AK117" i="66"/>
  <c r="AA128" i="66"/>
  <c r="U139" i="66"/>
  <c r="AD102" i="66"/>
  <c r="V148" i="66"/>
  <c r="AN125" i="66"/>
  <c r="V112" i="66"/>
  <c r="AL156" i="66"/>
  <c r="Y105" i="66"/>
  <c r="AO115" i="66"/>
  <c r="AE126" i="66"/>
  <c r="Y137" i="66"/>
  <c r="T153" i="66"/>
  <c r="AL126" i="66"/>
  <c r="R112" i="66"/>
  <c r="AL104" i="66"/>
  <c r="R136" i="66"/>
  <c r="AC101" i="66"/>
  <c r="S112" i="66"/>
  <c r="AI122" i="66"/>
  <c r="AC133" i="66"/>
  <c r="AN146" i="66"/>
  <c r="Z101" i="66"/>
  <c r="R113" i="66"/>
  <c r="AJ124" i="66"/>
  <c r="V135" i="66"/>
  <c r="Z148" i="66"/>
  <c r="AM99" i="66"/>
  <c r="AG110" i="66"/>
  <c r="W121" i="66"/>
  <c r="AM131" i="66"/>
  <c r="AL142" i="66"/>
  <c r="AC144" i="66"/>
  <c r="S155" i="66"/>
  <c r="T102" i="66"/>
  <c r="V113" i="66"/>
  <c r="AN124" i="66"/>
  <c r="Z135" i="66"/>
  <c r="AL149" i="66"/>
  <c r="U100" i="66"/>
  <c r="AK110" i="66"/>
  <c r="AA121" i="66"/>
  <c r="U132" i="66"/>
  <c r="X143" i="66"/>
  <c r="AM147" i="66"/>
  <c r="AG159" i="66"/>
  <c r="AF106" i="66"/>
  <c r="X118" i="66"/>
  <c r="AJ128" i="66"/>
  <c r="V139" i="66"/>
  <c r="AP156" i="66"/>
  <c r="AO104" i="66"/>
  <c r="AE115" i="66"/>
  <c r="Y126" i="66"/>
  <c r="AO136" i="66"/>
  <c r="AJ152" i="66"/>
  <c r="AA149" i="66"/>
  <c r="AH95" i="66"/>
  <c r="Z107" i="66"/>
  <c r="AL117" i="66"/>
  <c r="AD129" i="66"/>
  <c r="AP139" i="66"/>
  <c r="S99" i="66"/>
  <c r="AC112" i="66"/>
  <c r="S139" i="66"/>
  <c r="W154" i="66"/>
  <c r="AI148" i="66"/>
  <c r="AP112" i="66"/>
  <c r="V108" i="66"/>
  <c r="AL108" i="66"/>
  <c r="AJ105" i="66"/>
  <c r="R155" i="66"/>
  <c r="AP136" i="66"/>
  <c r="AH122" i="66"/>
  <c r="AP106" i="66"/>
  <c r="AH149" i="66"/>
  <c r="W104" i="66"/>
  <c r="AM114" i="66"/>
  <c r="AG125" i="66"/>
  <c r="W136" i="66"/>
  <c r="T151" i="66"/>
  <c r="AJ125" i="66"/>
  <c r="V106" i="66"/>
  <c r="AH100" i="66"/>
  <c r="T137" i="66"/>
  <c r="AA102" i="66"/>
  <c r="U113" i="66"/>
  <c r="AK123" i="66"/>
  <c r="AA134" i="66"/>
  <c r="X150" i="66"/>
  <c r="Z128" i="66"/>
  <c r="AL106" i="66"/>
  <c r="AJ97" i="66"/>
  <c r="Z132" i="66"/>
  <c r="AE100" i="66"/>
  <c r="Y111" i="66"/>
  <c r="AO121" i="66"/>
  <c r="AE132" i="66"/>
  <c r="AJ143" i="66"/>
  <c r="AN105" i="66"/>
  <c r="AD154" i="66"/>
  <c r="AD136" i="66"/>
  <c r="AH116" i="66"/>
  <c r="AI96" i="66"/>
  <c r="AC107" i="66"/>
  <c r="S118" i="66"/>
  <c r="AC131" i="66"/>
  <c r="S142" i="66"/>
  <c r="AD99" i="66"/>
  <c r="AF110" i="66"/>
  <c r="X122" i="66"/>
  <c r="Z133" i="66"/>
  <c r="AP144" i="66"/>
  <c r="AM97" i="66"/>
  <c r="AG108" i="66"/>
  <c r="W119" i="66"/>
  <c r="AM129" i="66"/>
  <c r="AG140" i="66"/>
  <c r="AC142" i="66"/>
  <c r="S153" i="66"/>
  <c r="X100" i="66"/>
  <c r="Z111" i="66"/>
  <c r="R123" i="66"/>
  <c r="AD133" i="66"/>
  <c r="V145" i="66"/>
  <c r="U98" i="66"/>
  <c r="AK108" i="66"/>
  <c r="AA119" i="66"/>
  <c r="U130" i="66"/>
  <c r="AK140" i="66"/>
  <c r="AM145" i="66"/>
  <c r="AG156" i="66"/>
  <c r="AJ104" i="66"/>
  <c r="AL115" i="66"/>
  <c r="AN126" i="66"/>
  <c r="Z137" i="66"/>
  <c r="Z152" i="66"/>
  <c r="AO102" i="66"/>
  <c r="AE113" i="66"/>
  <c r="Y124" i="66"/>
  <c r="AO134" i="66"/>
  <c r="AJ148" i="66"/>
  <c r="AA147" i="66"/>
  <c r="U159" i="66"/>
  <c r="AN104" i="66"/>
  <c r="AP115" i="66"/>
  <c r="AH127" i="66"/>
  <c r="T138" i="66"/>
  <c r="AL153" i="66"/>
  <c r="AC102" i="66"/>
  <c r="S113" i="66"/>
  <c r="AI123" i="66"/>
  <c r="AC134" i="66"/>
  <c r="X149" i="66"/>
  <c r="AE149" i="66"/>
  <c r="W144" i="66"/>
  <c r="AM154" i="66"/>
  <c r="U149" i="66"/>
  <c r="AO143" i="66"/>
  <c r="AE154" i="66"/>
  <c r="AC149" i="66"/>
  <c r="X158" i="66"/>
  <c r="AJ158" i="66"/>
  <c r="AD111" i="66"/>
  <c r="AD109" i="66"/>
  <c r="AE143" i="66"/>
  <c r="AK153" i="66"/>
  <c r="Z158" i="66"/>
  <c r="V128" i="66"/>
  <c r="AP130" i="66"/>
  <c r="T127" i="66"/>
  <c r="V120" i="66"/>
  <c r="Z104" i="66"/>
  <c r="Z155" i="66"/>
  <c r="Z134" i="66"/>
  <c r="AF117" i="66"/>
  <c r="AM96" i="66"/>
  <c r="AG107" i="66"/>
  <c r="W118" i="66"/>
  <c r="AM128" i="66"/>
  <c r="AG139" i="66"/>
  <c r="AJ157" i="66"/>
  <c r="AH140" i="66"/>
  <c r="T123" i="66"/>
  <c r="AN111" i="66"/>
  <c r="U95" i="66"/>
  <c r="AK105" i="66"/>
  <c r="AA116" i="66"/>
  <c r="U127" i="66"/>
  <c r="AK137" i="66"/>
  <c r="AN97" i="66"/>
  <c r="T141" i="66"/>
  <c r="AF121" i="66"/>
  <c r="AN107" i="66"/>
  <c r="AP147" i="66"/>
  <c r="AO103" i="66"/>
  <c r="AE114" i="66"/>
  <c r="Y125" i="66"/>
  <c r="AO135" i="66"/>
  <c r="AF150" i="66"/>
  <c r="AH118" i="66"/>
  <c r="T107" i="66"/>
  <c r="AL154" i="66"/>
  <c r="AL130" i="66"/>
  <c r="S100" i="66"/>
  <c r="AI110" i="66"/>
  <c r="AC121" i="66"/>
  <c r="S132" i="66"/>
  <c r="AN142" i="66"/>
  <c r="T100" i="66"/>
  <c r="V111" i="66"/>
  <c r="AN122" i="66"/>
  <c r="AP133" i="66"/>
  <c r="R146" i="66"/>
  <c r="AG98" i="66"/>
  <c r="W109" i="66"/>
  <c r="AM119" i="66"/>
  <c r="AG130" i="66"/>
  <c r="W141" i="66"/>
  <c r="S143" i="66"/>
  <c r="AI153" i="66"/>
  <c r="AN100" i="66"/>
  <c r="AP111" i="66"/>
  <c r="AH123" i="66"/>
  <c r="T134" i="66"/>
  <c r="Z146" i="66"/>
  <c r="AK98" i="66"/>
  <c r="AA109" i="66"/>
  <c r="U120" i="66"/>
  <c r="AK130" i="66"/>
  <c r="AA141" i="66"/>
  <c r="AG146" i="66"/>
  <c r="W157" i="66"/>
  <c r="Z105" i="66"/>
  <c r="R117" i="66"/>
  <c r="AD127" i="66"/>
  <c r="AP137" i="66"/>
  <c r="AH154" i="66"/>
  <c r="AE103" i="66"/>
  <c r="Y114" i="66"/>
  <c r="AO124" i="66"/>
  <c r="AE135" i="66"/>
  <c r="T150" i="66"/>
  <c r="U148" i="66"/>
  <c r="AK159" i="66"/>
  <c r="T106" i="66"/>
  <c r="AF116" i="66"/>
  <c r="X128" i="66"/>
  <c r="AJ138" i="66"/>
  <c r="AP154" i="66"/>
  <c r="S103" i="66"/>
  <c r="AI113" i="66"/>
  <c r="AC124" i="66"/>
  <c r="S135" i="66"/>
  <c r="AN151" i="66"/>
  <c r="Y150" i="66"/>
  <c r="AM144" i="66"/>
  <c r="AG155" i="66"/>
  <c r="AK149" i="66"/>
  <c r="AE144" i="66"/>
  <c r="Y155" i="66"/>
  <c r="S150" i="66"/>
  <c r="T158" i="66"/>
  <c r="AF158" i="66"/>
  <c r="AD106" i="66"/>
  <c r="AD117" i="66"/>
  <c r="AE151" i="66"/>
  <c r="AO145" i="66"/>
  <c r="AM158" i="66"/>
  <c r="AH143" i="66"/>
  <c r="AD144" i="66"/>
  <c r="R142" i="66"/>
  <c r="AD132" i="66"/>
  <c r="X117" i="66"/>
  <c r="AH102" i="66"/>
  <c r="V150" i="66"/>
  <c r="T129" i="66"/>
  <c r="W100" i="66"/>
  <c r="AM110" i="66"/>
  <c r="AG121" i="66"/>
  <c r="W132" i="66"/>
  <c r="T143" i="66"/>
  <c r="X109" i="66"/>
  <c r="AH96" i="66"/>
  <c r="R138" i="66"/>
  <c r="V122" i="66"/>
  <c r="AA98" i="66"/>
  <c r="U109" i="66"/>
  <c r="AK119" i="66"/>
  <c r="AA130" i="66"/>
  <c r="U141" i="66"/>
  <c r="AN109" i="66"/>
  <c r="V98" i="66"/>
  <c r="X133" i="66"/>
  <c r="AP118" i="66"/>
  <c r="AE96" i="66"/>
  <c r="Y107" i="66"/>
  <c r="AO117" i="66"/>
  <c r="AE128" i="66"/>
  <c r="Y139" i="66"/>
  <c r="T157" i="66"/>
  <c r="V134" i="66"/>
  <c r="R122" i="66"/>
  <c r="AN103" i="66"/>
  <c r="Z143" i="66"/>
  <c r="AC103" i="66"/>
  <c r="S114" i="66"/>
  <c r="AI124" i="66"/>
  <c r="AC135" i="66"/>
  <c r="X152" i="66"/>
  <c r="V103" i="66"/>
  <c r="AN114" i="66"/>
  <c r="AF126" i="66"/>
  <c r="AH137" i="66"/>
  <c r="AL151" i="66"/>
  <c r="AM101" i="66"/>
  <c r="AG112" i="66"/>
  <c r="W123" i="66"/>
  <c r="AM133" i="66"/>
  <c r="AJ146" i="66"/>
  <c r="AC146" i="66"/>
  <c r="S157" i="66"/>
  <c r="AP103" i="66"/>
  <c r="AH115" i="66"/>
  <c r="AJ126" i="66"/>
  <c r="V137" i="66"/>
  <c r="V153" i="66"/>
  <c r="U102" i="66"/>
  <c r="AK112" i="66"/>
  <c r="AA123" i="66"/>
  <c r="U134" i="66"/>
  <c r="AN149" i="66"/>
  <c r="AM149" i="66"/>
  <c r="Z97" i="66"/>
  <c r="R109" i="66"/>
  <c r="T120" i="66"/>
  <c r="AF130" i="66"/>
  <c r="AH141" i="66"/>
  <c r="Y96" i="66"/>
  <c r="AO106" i="66"/>
  <c r="AE117" i="66"/>
  <c r="Y128" i="66"/>
  <c r="AO138" i="66"/>
  <c r="AJ156" i="66"/>
  <c r="AA151" i="66"/>
  <c r="T98" i="66"/>
  <c r="V109" i="66"/>
  <c r="X120" i="66"/>
  <c r="Z131" i="66"/>
  <c r="AL141" i="66"/>
  <c r="AI95" i="66"/>
  <c r="AC106" i="66"/>
  <c r="S117" i="66"/>
  <c r="AI127" i="66"/>
  <c r="AC138" i="66"/>
  <c r="AO142" i="66"/>
  <c r="AE153" i="66"/>
  <c r="W148" i="66"/>
  <c r="AM159" i="66"/>
  <c r="U153" i="66"/>
  <c r="AO147" i="66"/>
  <c r="AE159" i="66"/>
  <c r="AC153" i="66"/>
  <c r="S158" i="66"/>
  <c r="AD97" i="66"/>
  <c r="AI125" i="66"/>
  <c r="AO156" i="66"/>
  <c r="Y151" i="66"/>
  <c r="AD112" i="66"/>
  <c r="AD140" i="66"/>
  <c r="AD147" i="66"/>
  <c r="S134" i="66"/>
  <c r="X148" i="66"/>
  <c r="AP101" i="66"/>
  <c r="AH113" i="66"/>
  <c r="Z125" i="66"/>
  <c r="AL135" i="66"/>
  <c r="AD149" i="66"/>
  <c r="AG100" i="66"/>
  <c r="W111" i="66"/>
  <c r="AM121" i="66"/>
  <c r="AG132" i="66"/>
  <c r="T144" i="66"/>
  <c r="S145" i="66"/>
  <c r="AI155" i="66"/>
  <c r="AJ102" i="66"/>
  <c r="AL113" i="66"/>
  <c r="AD125" i="66"/>
  <c r="AP135" i="66"/>
  <c r="AP150" i="66"/>
  <c r="AK100" i="66"/>
  <c r="AA111" i="66"/>
  <c r="U122" i="66"/>
  <c r="AK132" i="66"/>
  <c r="AN145" i="66"/>
  <c r="AG148" i="66"/>
  <c r="T96" i="66"/>
  <c r="V107" i="66"/>
  <c r="AN118" i="66"/>
  <c r="Z129" i="66"/>
  <c r="AL139" i="66"/>
  <c r="R159" i="66"/>
  <c r="AE105" i="66"/>
  <c r="Y116" i="66"/>
  <c r="AO126" i="66"/>
  <c r="AE137" i="66"/>
  <c r="T154" i="66"/>
  <c r="U150" i="66"/>
  <c r="X96" i="66"/>
  <c r="AP107" i="66"/>
  <c r="R119" i="66"/>
  <c r="T130" i="66"/>
  <c r="AF140" i="66"/>
  <c r="Z159" i="66"/>
  <c r="S105" i="66"/>
  <c r="AI115" i="66"/>
  <c r="AC126" i="66"/>
  <c r="S137" i="66"/>
  <c r="X157" i="66"/>
  <c r="Y152" i="66"/>
  <c r="AM146" i="66"/>
  <c r="AG157" i="66"/>
  <c r="AK151" i="66"/>
  <c r="AE146" i="66"/>
  <c r="Y157" i="66"/>
  <c r="S152" i="66"/>
  <c r="AA158" i="66"/>
  <c r="AI158" i="66"/>
  <c r="AD98" i="66"/>
  <c r="AD105" i="66"/>
  <c r="Y154" i="66"/>
  <c r="AE148" i="66"/>
  <c r="AD121" i="66"/>
  <c r="AN137" i="66"/>
  <c r="AF141" i="66"/>
  <c r="AP138" i="66"/>
  <c r="AN129" i="66"/>
  <c r="AD114" i="66"/>
  <c r="Z96" i="66"/>
  <c r="AL146" i="66"/>
  <c r="AD126" i="66"/>
  <c r="AG99" i="66"/>
  <c r="W110" i="66"/>
  <c r="AM120" i="66"/>
  <c r="AG131" i="66"/>
  <c r="X142" i="66"/>
  <c r="AH106" i="66"/>
  <c r="V156" i="66"/>
  <c r="AP134" i="66"/>
  <c r="R120" i="66"/>
  <c r="AK97" i="66"/>
  <c r="AA108" i="66"/>
  <c r="U119" i="66"/>
  <c r="AK129" i="66"/>
  <c r="AA140" i="66"/>
  <c r="AF107" i="66"/>
  <c r="R157" i="66"/>
  <c r="T131" i="66"/>
  <c r="R116" i="66"/>
  <c r="AO95" i="66"/>
  <c r="AE106" i="66"/>
  <c r="Y117" i="66"/>
  <c r="AO127" i="66"/>
  <c r="AE138" i="66"/>
  <c r="AJ155" i="66"/>
  <c r="R132" i="66"/>
  <c r="T119" i="66"/>
  <c r="AJ101" i="66"/>
  <c r="Z140" i="66"/>
  <c r="AI102" i="66"/>
  <c r="AC113" i="66"/>
  <c r="S124" i="66"/>
  <c r="AI134" i="66"/>
  <c r="AN150" i="66"/>
  <c r="AF102" i="66"/>
  <c r="X114" i="66"/>
  <c r="AP125" i="66"/>
  <c r="R137" i="66"/>
  <c r="AH150" i="66"/>
  <c r="W101" i="66"/>
  <c r="AM111" i="66"/>
  <c r="AG122" i="66"/>
  <c r="W133" i="66"/>
  <c r="AF145" i="66"/>
  <c r="AI145" i="66"/>
  <c r="AC156" i="66"/>
  <c r="Z103" i="66"/>
  <c r="R115" i="66"/>
  <c r="T126" i="66"/>
  <c r="AF136" i="66"/>
  <c r="R152" i="66"/>
  <c r="AA101" i="66"/>
  <c r="U112" i="66"/>
  <c r="AK122" i="66"/>
  <c r="AA133" i="66"/>
  <c r="X147" i="66"/>
  <c r="W149" i="66"/>
  <c r="AJ96" i="66"/>
  <c r="AL107" i="66"/>
  <c r="AD119" i="66"/>
  <c r="AP129" i="66"/>
  <c r="R141" i="66"/>
  <c r="AE95" i="66"/>
  <c r="Y106" i="66"/>
  <c r="AO116" i="66"/>
  <c r="AE127" i="66"/>
  <c r="Y138" i="66"/>
  <c r="AF155" i="66"/>
  <c r="AK150" i="66"/>
  <c r="AN96" i="66"/>
  <c r="AF108" i="66"/>
  <c r="AH119" i="66"/>
  <c r="AJ130" i="66"/>
  <c r="V141" i="66"/>
  <c r="S95" i="66"/>
  <c r="AI105" i="66"/>
  <c r="AC116" i="66"/>
  <c r="S127" i="66"/>
  <c r="AI137" i="66"/>
  <c r="Y142" i="66"/>
  <c r="AO152" i="66"/>
  <c r="AG147" i="66"/>
  <c r="W159" i="66"/>
  <c r="AA152" i="66"/>
  <c r="Y147" i="66"/>
  <c r="AO157" i="66"/>
  <c r="AI152" i="66"/>
  <c r="W158" i="66"/>
  <c r="AE158" i="66"/>
  <c r="AD110" i="66"/>
  <c r="V157" i="66"/>
  <c r="W146" i="66"/>
  <c r="AE156" i="66"/>
  <c r="AD108" i="66"/>
  <c r="R96" i="66"/>
  <c r="T97" i="66"/>
  <c r="T95" i="66"/>
  <c r="V146" i="66"/>
  <c r="AH132" i="66"/>
  <c r="AH114" i="66"/>
  <c r="V102" i="66"/>
  <c r="AP140" i="66"/>
  <c r="AM102" i="66"/>
  <c r="AG113" i="66"/>
  <c r="W124" i="66"/>
  <c r="AM134" i="66"/>
  <c r="AF148" i="66"/>
  <c r="Z120" i="66"/>
  <c r="AD100" i="66"/>
  <c r="AD156" i="66"/>
  <c r="AN131" i="66"/>
  <c r="U101" i="66"/>
  <c r="AK111" i="66"/>
  <c r="AA122" i="66"/>
  <c r="U133" i="66"/>
  <c r="X146" i="66"/>
  <c r="R124" i="66"/>
  <c r="AF101" i="66"/>
  <c r="AD148" i="66"/>
  <c r="R128" i="66"/>
  <c r="Y99" i="66"/>
  <c r="AO109" i="66"/>
  <c r="AE120" i="66"/>
  <c r="Y131" i="66"/>
  <c r="AO141" i="66"/>
  <c r="Z100" i="66"/>
  <c r="AH145" i="66"/>
  <c r="AJ131" i="66"/>
  <c r="AL112" i="66"/>
  <c r="AC95" i="66"/>
  <c r="S106" i="66"/>
  <c r="AI116" i="66"/>
  <c r="AC127" i="66"/>
  <c r="S138" i="66"/>
  <c r="V95" i="66"/>
  <c r="X106" i="66"/>
  <c r="AP117" i="66"/>
  <c r="AH129" i="66"/>
  <c r="T140" i="66"/>
  <c r="Z156" i="66"/>
  <c r="AG104" i="66"/>
  <c r="W115" i="66"/>
  <c r="AM125" i="66"/>
  <c r="AG136" i="66"/>
  <c r="T152" i="66"/>
  <c r="S149" i="66"/>
  <c r="AP95" i="66"/>
  <c r="R107" i="66"/>
  <c r="AJ118" i="66"/>
  <c r="V129" i="66"/>
  <c r="X140" i="66"/>
  <c r="AL157" i="66"/>
  <c r="AK104" i="66"/>
  <c r="AA115" i="66"/>
  <c r="U126" i="66"/>
  <c r="AK136" i="66"/>
  <c r="AN157" i="66"/>
  <c r="AG152" i="66"/>
  <c r="AL99" i="66"/>
  <c r="T112" i="66"/>
  <c r="AF122" i="66"/>
  <c r="AH133" i="66"/>
  <c r="AD145" i="66"/>
  <c r="AO98" i="66"/>
  <c r="AE109" i="66"/>
  <c r="Y120" i="66"/>
  <c r="AO130" i="66"/>
  <c r="AE141" i="66"/>
  <c r="AA143" i="66"/>
  <c r="U154" i="66"/>
  <c r="AF100" i="66"/>
  <c r="X112" i="66"/>
  <c r="Z123" i="66"/>
  <c r="AL133" i="66"/>
  <c r="AL145" i="66"/>
  <c r="AC98" i="66"/>
  <c r="S109" i="66"/>
  <c r="AI119" i="66"/>
  <c r="AC130" i="66"/>
  <c r="S141" i="66"/>
  <c r="AE145" i="66"/>
  <c r="Y156" i="66"/>
  <c r="AM150" i="66"/>
  <c r="U145" i="66"/>
  <c r="AK155" i="66"/>
  <c r="AE150" i="66"/>
  <c r="AC145" i="66"/>
  <c r="S156" i="66"/>
  <c r="AO158" i="66"/>
  <c r="AI101" i="66"/>
  <c r="AC136" i="66"/>
  <c r="AG151" i="66"/>
  <c r="S146" i="66"/>
  <c r="AD157" i="66"/>
  <c r="AD123" i="66"/>
  <c r="AD153" i="66"/>
  <c r="AI136" i="66"/>
  <c r="X156" i="66"/>
  <c r="R105" i="66"/>
  <c r="AJ116" i="66"/>
  <c r="AL127" i="66"/>
  <c r="AN138" i="66"/>
  <c r="R154" i="66"/>
  <c r="W103" i="66"/>
  <c r="AM113" i="66"/>
  <c r="AG124" i="66"/>
  <c r="W135" i="66"/>
  <c r="AF149" i="66"/>
  <c r="AI147" i="66"/>
  <c r="AC159" i="66"/>
  <c r="V105" i="66"/>
  <c r="AN116" i="66"/>
  <c r="AP127" i="66"/>
  <c r="R139" i="66"/>
  <c r="AD155" i="66"/>
  <c r="AA103" i="66"/>
  <c r="U114" i="66"/>
  <c r="AK124" i="66"/>
  <c r="AA135" i="66"/>
  <c r="AN153" i="66"/>
  <c r="W151" i="66"/>
  <c r="AF98" i="66"/>
  <c r="X110" i="66"/>
  <c r="Z121" i="66"/>
  <c r="AL131" i="66"/>
  <c r="V143" i="66"/>
  <c r="AE97" i="66"/>
  <c r="Y108" i="66"/>
  <c r="AO118" i="66"/>
  <c r="AE129" i="66"/>
  <c r="Y140" i="66"/>
  <c r="U142" i="66"/>
  <c r="AK152" i="66"/>
  <c r="Z99" i="66"/>
  <c r="R111" i="66"/>
  <c r="T122" i="66"/>
  <c r="AF132" i="66"/>
  <c r="AD143" i="66"/>
  <c r="S97" i="66"/>
  <c r="AI107" i="66"/>
  <c r="AC118" i="66"/>
  <c r="S129" i="66"/>
  <c r="AI139" i="66"/>
  <c r="Y144" i="66"/>
  <c r="AO154" i="66"/>
  <c r="AG149" i="66"/>
  <c r="AK143" i="66"/>
  <c r="AA154" i="66"/>
  <c r="Y149" i="66"/>
  <c r="S144" i="66"/>
  <c r="AI154" i="66"/>
  <c r="V158" i="66"/>
  <c r="AD115" i="66"/>
  <c r="AD116" i="66"/>
  <c r="AC96" i="66"/>
  <c r="AM148" i="66"/>
  <c r="AC143" i="66"/>
  <c r="AD122" i="66"/>
  <c r="AP157" i="66"/>
  <c r="AL159" i="66"/>
  <c r="V154" i="66"/>
  <c r="AM142" i="66"/>
  <c r="X127" i="66"/>
  <c r="AH112" i="66"/>
  <c r="R100" i="66"/>
  <c r="AL138" i="66"/>
  <c r="W102" i="66"/>
  <c r="AM112" i="66"/>
  <c r="AG123" i="66"/>
  <c r="W134" i="66"/>
  <c r="T147" i="66"/>
  <c r="AN117" i="66"/>
  <c r="AP96" i="66"/>
  <c r="R151" i="66"/>
  <c r="AJ129" i="66"/>
  <c r="AA100" i="66"/>
  <c r="U111" i="66"/>
  <c r="AK121" i="66"/>
  <c r="AA132" i="66"/>
  <c r="AN144" i="66"/>
  <c r="AP120" i="66"/>
  <c r="X95" i="66"/>
  <c r="R143" i="66"/>
  <c r="AP124" i="66"/>
  <c r="AE98" i="66"/>
  <c r="Y109" i="66"/>
  <c r="AO119" i="66"/>
  <c r="AE130" i="66"/>
  <c r="Y141" i="66"/>
  <c r="Z98" i="66"/>
  <c r="AJ141" i="66"/>
  <c r="AF129" i="66"/>
  <c r="AP110" i="66"/>
  <c r="AH157" i="66"/>
  <c r="AC105" i="66"/>
  <c r="S116" i="66"/>
  <c r="AI126" i="66"/>
  <c r="AC137" i="66"/>
  <c r="AN159" i="66"/>
  <c r="AH105" i="66"/>
  <c r="Z117" i="66"/>
  <c r="R129" i="66"/>
  <c r="AD139" i="66"/>
  <c r="V155" i="66"/>
  <c r="AM103" i="66"/>
  <c r="AG114" i="66"/>
  <c r="W125" i="66"/>
  <c r="AM135" i="66"/>
  <c r="AJ150" i="66"/>
  <c r="AC148" i="66"/>
  <c r="Z95" i="66"/>
  <c r="AL105" i="66"/>
  <c r="T118" i="66"/>
  <c r="AF128" i="66"/>
  <c r="AH139" i="66"/>
  <c r="AH156" i="66"/>
  <c r="U104" i="66"/>
  <c r="AK114" i="66"/>
  <c r="AA125" i="66"/>
  <c r="U136" i="66"/>
  <c r="X155" i="66"/>
  <c r="AM151" i="66"/>
  <c r="V99" i="66"/>
  <c r="AN110" i="66"/>
  <c r="AP121" i="66"/>
  <c r="R133" i="66"/>
  <c r="Z144" i="66"/>
  <c r="Y98" i="66"/>
  <c r="AO108" i="66"/>
  <c r="AE119" i="66"/>
  <c r="Y130" i="66"/>
  <c r="AO140" i="66"/>
  <c r="AK142" i="66"/>
  <c r="AA153" i="66"/>
  <c r="AP99" i="66"/>
  <c r="AH111" i="66"/>
  <c r="AJ122" i="66"/>
  <c r="V133" i="66"/>
  <c r="AH144" i="66"/>
  <c r="AI97" i="66"/>
  <c r="AC108" i="66"/>
  <c r="S119" i="66"/>
  <c r="AI129" i="66"/>
  <c r="AC140" i="66"/>
  <c r="AO144" i="66"/>
  <c r="AE155" i="66"/>
  <c r="W150" i="66"/>
  <c r="AA144" i="66"/>
  <c r="U155" i="66"/>
  <c r="AO149" i="66"/>
  <c r="AI144" i="66"/>
  <c r="AC155" i="66"/>
  <c r="R158" i="66"/>
  <c r="AD103" i="66"/>
  <c r="AD104" i="66"/>
  <c r="S131" i="66"/>
  <c r="AM156" i="66"/>
  <c r="AC151" i="66"/>
  <c r="AL120" i="66"/>
  <c r="X121" i="66"/>
  <c r="AL116" i="66"/>
  <c r="Z112" i="66"/>
  <c r="AL96" i="66"/>
  <c r="W142" i="66"/>
  <c r="AP126" i="66"/>
  <c r="X111" i="66"/>
  <c r="AD159" i="66"/>
  <c r="AG105" i="66"/>
  <c r="W116" i="66"/>
  <c r="AM126" i="66"/>
  <c r="AG137" i="66"/>
  <c r="AJ153" i="66"/>
  <c r="AD130" i="66"/>
  <c r="T113" i="66"/>
  <c r="AH104" i="66"/>
  <c r="R145" i="66"/>
  <c r="AK103" i="66"/>
  <c r="AA114" i="66"/>
  <c r="U125" i="66"/>
  <c r="AK135" i="66"/>
  <c r="X154" i="66"/>
  <c r="AJ133" i="66"/>
  <c r="AJ113" i="66"/>
  <c r="T101" i="66"/>
  <c r="AJ137" i="66"/>
  <c r="AO101" i="66"/>
  <c r="AE112" i="66"/>
  <c r="Y123" i="66"/>
  <c r="AO133" i="66"/>
  <c r="AF146" i="66"/>
  <c r="R110" i="66"/>
  <c r="X101" i="66"/>
  <c r="X141" i="66"/>
  <c r="T121" i="66"/>
  <c r="S98" i="66"/>
  <c r="AI108" i="66"/>
  <c r="AC119" i="66"/>
  <c r="S130" i="66"/>
  <c r="AI140" i="66"/>
  <c r="X98" i="66"/>
  <c r="Z109" i="66"/>
  <c r="R121" i="66"/>
  <c r="T132" i="66"/>
  <c r="AJ142" i="66"/>
  <c r="AG96" i="66"/>
  <c r="W107" i="66"/>
  <c r="AM117" i="66"/>
  <c r="AG128" i="66"/>
  <c r="W139" i="66"/>
  <c r="AF157" i="66"/>
  <c r="AI151" i="66"/>
  <c r="R99" i="66"/>
  <c r="T110" i="66"/>
  <c r="V121" i="66"/>
  <c r="X132" i="66"/>
  <c r="AP142" i="66"/>
  <c r="AK96" i="66"/>
  <c r="AA107" i="66"/>
  <c r="U118" i="66"/>
  <c r="AK128" i="66"/>
  <c r="AA139" i="66"/>
  <c r="AG144" i="66"/>
  <c r="W155" i="66"/>
  <c r="AN102" i="66"/>
  <c r="AF114" i="66"/>
  <c r="AH125" i="66"/>
  <c r="T136" i="66"/>
  <c r="R150" i="66"/>
  <c r="AE101" i="66"/>
  <c r="Y112" i="66"/>
  <c r="AO122" i="66"/>
  <c r="AE133" i="66"/>
  <c r="T146" i="66"/>
  <c r="U146" i="66"/>
  <c r="AK156" i="66"/>
  <c r="AH103" i="66"/>
  <c r="AJ114" i="66"/>
  <c r="AL125" i="66"/>
  <c r="AN136" i="66"/>
  <c r="Z150" i="66"/>
  <c r="S101" i="66"/>
  <c r="AI111" i="66"/>
  <c r="AC122" i="66"/>
  <c r="S133" i="66"/>
  <c r="X145" i="66"/>
  <c r="Y148" i="66"/>
  <c r="AO159" i="66"/>
  <c r="AG153" i="66"/>
  <c r="AK147" i="66"/>
  <c r="AA159" i="66"/>
  <c r="Y153" i="66"/>
  <c r="S148" i="66"/>
  <c r="AI159" i="66"/>
  <c r="AD158" i="66"/>
  <c r="S115" i="66"/>
  <c r="AI141" i="66"/>
  <c r="AK145" i="66"/>
  <c r="U158" i="66"/>
  <c r="AP153" i="66"/>
  <c r="AD118" i="66"/>
  <c r="AD327" i="66"/>
  <c r="AK269" i="66"/>
  <c r="AN267" i="66"/>
  <c r="AM269" i="66"/>
  <c r="AO268" i="66"/>
  <c r="AJ78" i="66"/>
  <c r="AN83" i="66"/>
  <c r="V94" i="66"/>
  <c r="AG81" i="66"/>
  <c r="W92" i="66"/>
  <c r="AP92" i="66"/>
  <c r="AK85" i="66"/>
  <c r="AP80" i="66"/>
  <c r="AE78" i="66"/>
  <c r="Y89" i="66"/>
  <c r="AH88" i="66"/>
  <c r="AI78" i="66"/>
  <c r="AI92" i="66"/>
  <c r="AD91" i="66"/>
  <c r="W85" i="66"/>
  <c r="X84" i="66"/>
  <c r="AK78" i="66"/>
  <c r="AK92" i="66"/>
  <c r="AL91" i="66"/>
  <c r="AE85" i="66"/>
  <c r="AJ82" i="66"/>
  <c r="AC78" i="66"/>
  <c r="S93" i="66"/>
  <c r="S90" i="66"/>
  <c r="U86" i="66"/>
  <c r="U82" i="66"/>
  <c r="AD45" i="66"/>
  <c r="T32" i="66"/>
  <c r="AF57" i="66"/>
  <c r="Z50" i="66"/>
  <c r="X39" i="66"/>
  <c r="AD49" i="66"/>
  <c r="AJ36" i="66"/>
  <c r="AD35" i="66"/>
  <c r="R52" i="66"/>
  <c r="X41" i="66"/>
  <c r="R23" i="66"/>
  <c r="V36" i="66"/>
  <c r="R32" i="66"/>
  <c r="AL50" i="66"/>
  <c r="AN34" i="66"/>
  <c r="W22" i="66"/>
  <c r="AM32" i="66"/>
  <c r="AG43" i="66"/>
  <c r="W54" i="66"/>
  <c r="AM64" i="66"/>
  <c r="Z33" i="66"/>
  <c r="Z31" i="66"/>
  <c r="R51" i="66"/>
  <c r="T35" i="66"/>
  <c r="AF56" i="66"/>
  <c r="AA28" i="66"/>
  <c r="U39" i="66"/>
  <c r="AK49" i="66"/>
  <c r="AA60" i="66"/>
  <c r="V23" i="66"/>
  <c r="AP57" i="66"/>
  <c r="AH35" i="66"/>
  <c r="AN24" i="66"/>
  <c r="AN52" i="66"/>
  <c r="AE28" i="66"/>
  <c r="Y39" i="66"/>
  <c r="AO49" i="66"/>
  <c r="AE60" i="66"/>
  <c r="T62" i="66"/>
  <c r="AD29" i="66"/>
  <c r="Z27" i="66"/>
  <c r="R43" i="66"/>
  <c r="AN31" i="66"/>
  <c r="T53" i="66"/>
  <c r="AI26" i="66"/>
  <c r="AC37" i="66"/>
  <c r="S48" i="66"/>
  <c r="AI58" i="66"/>
  <c r="AG26" i="66"/>
  <c r="W37" i="66"/>
  <c r="AM47" i="66"/>
  <c r="AG58" i="66"/>
  <c r="U26" i="66"/>
  <c r="AK36" i="66"/>
  <c r="AA47" i="66"/>
  <c r="U58" i="66"/>
  <c r="AE25" i="66"/>
  <c r="Y36" i="66"/>
  <c r="AO46" i="66"/>
  <c r="AE57" i="66"/>
  <c r="S25" i="66"/>
  <c r="AI35" i="66"/>
  <c r="AC46" i="66"/>
  <c r="S57" i="66"/>
  <c r="AI49" i="66"/>
  <c r="R268" i="66"/>
  <c r="X267" i="66"/>
  <c r="AH267" i="66"/>
  <c r="Z267" i="66"/>
  <c r="S269" i="66"/>
  <c r="AP78" i="66"/>
  <c r="AH78" i="66"/>
  <c r="V92" i="66"/>
  <c r="AG87" i="66"/>
  <c r="Z84" i="66"/>
  <c r="AA78" i="66"/>
  <c r="U93" i="66"/>
  <c r="AF79" i="66"/>
  <c r="AE84" i="66"/>
  <c r="AN80" i="66"/>
  <c r="X81" i="66"/>
  <c r="AI86" i="66"/>
  <c r="Z85" i="66"/>
  <c r="AG80" i="66"/>
  <c r="W91" i="66"/>
  <c r="R91" i="66"/>
  <c r="AK86" i="66"/>
  <c r="AD87" i="66"/>
  <c r="AO80" i="66"/>
  <c r="AE91" i="66"/>
  <c r="T90" i="66"/>
  <c r="AI87" i="66"/>
  <c r="U84" i="66"/>
  <c r="S81" i="66"/>
  <c r="U89" i="66"/>
  <c r="AH25" i="66"/>
  <c r="R56" i="66"/>
  <c r="T44" i="66"/>
  <c r="AP38" i="66"/>
  <c r="T27" i="66"/>
  <c r="R25" i="66"/>
  <c r="AJ24" i="66"/>
  <c r="AJ48" i="66"/>
  <c r="R44" i="66"/>
  <c r="T29" i="66"/>
  <c r="AN51" i="66"/>
  <c r="AD22" i="66"/>
  <c r="Z57" i="66"/>
  <c r="R35" i="66"/>
  <c r="X24" i="66"/>
  <c r="X52" i="66"/>
  <c r="W28" i="66"/>
  <c r="AI128" i="66"/>
  <c r="AC139" i="66"/>
  <c r="R97" i="66"/>
  <c r="T108" i="66"/>
  <c r="V119" i="66"/>
  <c r="AN130" i="66"/>
  <c r="Z141" i="66"/>
  <c r="W95" i="66"/>
  <c r="AM105" i="66"/>
  <c r="AG116" i="66"/>
  <c r="W127" i="66"/>
  <c r="AM137" i="66"/>
  <c r="AJ154" i="66"/>
  <c r="AC150" i="66"/>
  <c r="V97" i="66"/>
  <c r="X108" i="66"/>
  <c r="AP119" i="66"/>
  <c r="R131" i="66"/>
  <c r="AD141" i="66"/>
  <c r="AA95" i="66"/>
  <c r="U106" i="66"/>
  <c r="AK116" i="66"/>
  <c r="AA127" i="66"/>
  <c r="U138" i="66"/>
  <c r="W143" i="66"/>
  <c r="AM153" i="66"/>
  <c r="AH101" i="66"/>
  <c r="Z113" i="66"/>
  <c r="AL123" i="66"/>
  <c r="AN134" i="66"/>
  <c r="AL147" i="66"/>
  <c r="Y100" i="66"/>
  <c r="AO110" i="66"/>
  <c r="AE121" i="66"/>
  <c r="Y132" i="66"/>
  <c r="AF143" i="66"/>
  <c r="AK144" i="66"/>
  <c r="AA155" i="66"/>
  <c r="AL101" i="66"/>
  <c r="AD113" i="66"/>
  <c r="AF124" i="66"/>
  <c r="AH135" i="66"/>
  <c r="R148" i="66"/>
  <c r="AI99" i="66"/>
  <c r="AC110" i="66"/>
  <c r="S121" i="66"/>
  <c r="AI131" i="66"/>
  <c r="AF142" i="66"/>
  <c r="AO146" i="66"/>
  <c r="AE157" i="66"/>
  <c r="W152" i="66"/>
  <c r="AA146" i="66"/>
  <c r="U157" i="66"/>
  <c r="AO151" i="66"/>
  <c r="AI146" i="66"/>
  <c r="AC157" i="66"/>
  <c r="AG158" i="66"/>
  <c r="AD107" i="66"/>
  <c r="AL158" i="66"/>
  <c r="AI133" i="66"/>
  <c r="U143" i="66"/>
  <c r="S154" i="66"/>
  <c r="AJ117" i="66"/>
  <c r="V116" i="66"/>
  <c r="Z114" i="66"/>
  <c r="T109" i="66"/>
  <c r="AJ95" i="66"/>
  <c r="R140" i="66"/>
  <c r="AL124" i="66"/>
  <c r="AH108" i="66"/>
  <c r="R153" i="66"/>
  <c r="AM104" i="66"/>
  <c r="AG115" i="66"/>
  <c r="W126" i="66"/>
  <c r="AM136" i="66"/>
  <c r="AF152" i="66"/>
  <c r="AN127" i="66"/>
  <c r="T111" i="66"/>
  <c r="AL102" i="66"/>
  <c r="X139" i="66"/>
  <c r="U103" i="66"/>
  <c r="AK113" i="66"/>
  <c r="AA124" i="66"/>
  <c r="U135" i="66"/>
  <c r="AN152" i="66"/>
  <c r="AF131" i="66"/>
  <c r="AJ111" i="66"/>
  <c r="AH98" i="66"/>
  <c r="AF135" i="66"/>
  <c r="Y101" i="66"/>
  <c r="AO111" i="66"/>
  <c r="AE122" i="66"/>
  <c r="Y133" i="66"/>
  <c r="T145" i="66"/>
  <c r="Z108" i="66"/>
  <c r="AL98" i="66"/>
  <c r="T139" i="66"/>
  <c r="X119" i="66"/>
  <c r="AC97" i="66"/>
  <c r="S108" i="66"/>
  <c r="AI118" i="66"/>
  <c r="AC129" i="66"/>
  <c r="S140" i="66"/>
  <c r="AH97" i="66"/>
  <c r="AJ108" i="66"/>
  <c r="AL119" i="66"/>
  <c r="AD131" i="66"/>
  <c r="AP141" i="66"/>
  <c r="AM95" i="66"/>
  <c r="AG106" i="66"/>
  <c r="W117" i="66"/>
  <c r="AM127" i="66"/>
  <c r="AG138" i="66"/>
  <c r="T156" i="66"/>
  <c r="S151" i="66"/>
  <c r="AL97" i="66"/>
  <c r="AN108" i="66"/>
  <c r="AF120" i="66"/>
  <c r="AH131" i="66"/>
  <c r="T142" i="66"/>
  <c r="U96" i="66"/>
  <c r="AK106" i="66"/>
  <c r="AA117" i="66"/>
  <c r="U128" i="66"/>
  <c r="AK138" i="66"/>
  <c r="AM143" i="66"/>
  <c r="AG154" i="66"/>
  <c r="X102" i="66"/>
  <c r="AP113" i="66"/>
  <c r="R125" i="66"/>
  <c r="AD135" i="66"/>
  <c r="AP148" i="66"/>
  <c r="AO100" i="66"/>
  <c r="AE111" i="66"/>
  <c r="Y122" i="66"/>
  <c r="AO132" i="66"/>
  <c r="AJ144" i="66"/>
  <c r="AA145" i="66"/>
  <c r="U156" i="66"/>
  <c r="R103" i="66"/>
  <c r="T114" i="66"/>
  <c r="V125" i="66"/>
  <c r="X136" i="66"/>
  <c r="V149" i="66"/>
  <c r="AC100" i="66"/>
  <c r="S111" i="66"/>
  <c r="AI121" i="66"/>
  <c r="AC132" i="66"/>
  <c r="AN143" i="66"/>
  <c r="AE147" i="66"/>
  <c r="Y159" i="66"/>
  <c r="AM152" i="66"/>
  <c r="U147" i="66"/>
  <c r="AK157" i="66"/>
  <c r="AE152" i="66"/>
  <c r="AC147" i="66"/>
  <c r="S159" i="66"/>
  <c r="AP158" i="66"/>
  <c r="AD120" i="66"/>
  <c r="AH158" i="66"/>
  <c r="AN155" i="66"/>
  <c r="U151" i="66"/>
  <c r="Y158" i="66"/>
  <c r="Z130" i="66"/>
  <c r="R134" i="66"/>
  <c r="X129" i="66"/>
  <c r="Z122" i="66"/>
  <c r="R106" i="66"/>
  <c r="AF95" i="66"/>
  <c r="AF137" i="66"/>
  <c r="AN119" i="66"/>
  <c r="AG97" i="66"/>
  <c r="W108" i="66"/>
  <c r="AM118" i="66"/>
  <c r="AG129" i="66"/>
  <c r="W140" i="66"/>
  <c r="X97" i="66"/>
  <c r="AP143" i="66"/>
  <c r="X125" i="66"/>
  <c r="AN113" i="66"/>
  <c r="AK95" i="66"/>
  <c r="AA106" i="66"/>
  <c r="U117" i="66"/>
  <c r="AK127" i="66"/>
  <c r="AA138" i="66"/>
  <c r="AN99" i="66"/>
  <c r="AL144" i="66"/>
  <c r="AJ123" i="66"/>
  <c r="Z110" i="66"/>
  <c r="Z151" i="66"/>
  <c r="AE104" i="66"/>
  <c r="Y115" i="66"/>
  <c r="AO125" i="66"/>
  <c r="AE136" i="66"/>
  <c r="AJ151" i="66"/>
  <c r="AH124" i="66"/>
  <c r="V110" i="66"/>
  <c r="V159" i="66"/>
  <c r="AP132" i="66"/>
  <c r="AI100" i="66"/>
  <c r="AC111" i="66"/>
  <c r="S122" i="66"/>
  <c r="AI132" i="66"/>
  <c r="X144" i="66"/>
  <c r="AJ100" i="66"/>
  <c r="AL111" i="66"/>
  <c r="T124" i="66"/>
  <c r="AF134" i="66"/>
  <c r="V147" i="66"/>
  <c r="W99" i="66"/>
  <c r="AM109" i="66"/>
  <c r="AG120" i="66"/>
  <c r="W131" i="66"/>
  <c r="AM141" i="66"/>
  <c r="AI143" i="66"/>
  <c r="AC154" i="66"/>
  <c r="AD101" i="66"/>
  <c r="AF112" i="66"/>
  <c r="X124" i="66"/>
  <c r="AJ134" i="66"/>
  <c r="AH148" i="66"/>
  <c r="AA99" i="66"/>
  <c r="U110" i="66"/>
  <c r="AK120" i="66"/>
  <c r="AA131" i="66"/>
  <c r="V142" i="66"/>
  <c r="W147" i="66"/>
  <c r="AM157" i="66"/>
  <c r="AP105" i="66"/>
  <c r="AH117" i="66"/>
  <c r="T128" i="66"/>
  <c r="AF138" i="66"/>
  <c r="AL155" i="66"/>
  <c r="Y104" i="66"/>
  <c r="AO114" i="66"/>
  <c r="AE125" i="66"/>
  <c r="Y136" i="66"/>
  <c r="AF151" i="66"/>
  <c r="AK148" i="66"/>
  <c r="R95" i="66"/>
  <c r="AJ106" i="66"/>
  <c r="V117" i="66"/>
  <c r="AN128" i="66"/>
  <c r="Z139" i="66"/>
  <c r="R156" i="66"/>
  <c r="AI103" i="66"/>
  <c r="AC114" i="66"/>
  <c r="S125" i="66"/>
  <c r="AI135" i="66"/>
  <c r="X153" i="66"/>
  <c r="AO150" i="66"/>
  <c r="AG145" i="66"/>
  <c r="W156" i="66"/>
  <c r="AA150" i="66"/>
  <c r="Y145" i="66"/>
  <c r="AO155" i="66"/>
  <c r="AI150" i="66"/>
  <c r="AC158" i="66"/>
  <c r="AD96" i="66"/>
  <c r="AC120" i="66"/>
  <c r="Y146" i="66"/>
  <c r="AA156" i="66"/>
  <c r="AN158" i="66"/>
  <c r="AD151" i="66"/>
  <c r="AD326" i="66"/>
  <c r="Y267" i="66"/>
  <c r="AG267" i="66"/>
  <c r="AH269" i="66"/>
  <c r="Z269" i="66"/>
  <c r="AH81" i="66"/>
  <c r="AJ79" i="66"/>
  <c r="AN91" i="66"/>
  <c r="W84" i="66"/>
  <c r="AM94" i="66"/>
  <c r="AH86" i="66"/>
  <c r="AK89" i="66"/>
  <c r="AP81" i="66"/>
  <c r="Y81" i="66"/>
  <c r="AO91" i="66"/>
  <c r="T85" i="66"/>
  <c r="AC81" i="66"/>
  <c r="X82" i="66"/>
  <c r="AP93" i="66"/>
  <c r="AM87" i="66"/>
  <c r="AJ86" i="66"/>
  <c r="AA81" i="66"/>
  <c r="AF82" i="66"/>
  <c r="AN94" i="66"/>
  <c r="Y88" i="66"/>
  <c r="AL85" i="66"/>
  <c r="AC82" i="66"/>
  <c r="S89" i="66"/>
  <c r="V86" i="66"/>
  <c r="V82" i="66"/>
  <c r="Z23" i="66"/>
  <c r="R50" i="66"/>
  <c r="AF37" i="66"/>
  <c r="AH24" i="66"/>
  <c r="AP54" i="66"/>
  <c r="X47" i="66"/>
  <c r="R54" i="66"/>
  <c r="T42" i="66"/>
  <c r="AL30" i="66"/>
  <c r="AP56" i="66"/>
  <c r="X49" i="66"/>
  <c r="V41" i="66"/>
  <c r="R47" i="66"/>
  <c r="AL63" i="66"/>
  <c r="AL58" i="66"/>
  <c r="AN42" i="66"/>
  <c r="AM24" i="66"/>
  <c r="AG35" i="66"/>
  <c r="W46" i="66"/>
  <c r="AM56" i="66"/>
  <c r="Z40" i="66"/>
  <c r="V46" i="66"/>
  <c r="AL59" i="66"/>
  <c r="R59" i="66"/>
  <c r="AF40" i="66"/>
  <c r="AJ61" i="66"/>
  <c r="U31" i="66"/>
  <c r="AK41" i="66"/>
  <c r="AA52" i="66"/>
  <c r="U63" i="66"/>
  <c r="Z30" i="66"/>
  <c r="V28" i="66"/>
  <c r="AP43" i="66"/>
  <c r="T30" i="66"/>
  <c r="AN60" i="66"/>
  <c r="Y31" i="66"/>
  <c r="AO41" i="66"/>
  <c r="AE52" i="66"/>
  <c r="Y63" i="66"/>
  <c r="AP24" i="66"/>
  <c r="R37" i="66"/>
  <c r="AP32" i="66"/>
  <c r="AH51" i="66"/>
  <c r="T37" i="66"/>
  <c r="AF58" i="66"/>
  <c r="AC29" i="66"/>
  <c r="S40" i="66"/>
  <c r="AI50" i="66"/>
  <c r="AC61" i="66"/>
  <c r="W29" i="66"/>
  <c r="AM39" i="66"/>
  <c r="AG50" i="66"/>
  <c r="W61" i="66"/>
  <c r="AK28" i="66"/>
  <c r="AA39" i="66"/>
  <c r="U50" i="66"/>
  <c r="AK60" i="66"/>
  <c r="Y28" i="66"/>
  <c r="AO38" i="66"/>
  <c r="AE49" i="66"/>
  <c r="Y60" i="66"/>
  <c r="AI27" i="66"/>
  <c r="AC38" i="66"/>
  <c r="S49" i="66"/>
  <c r="AI59" i="66"/>
  <c r="AI57" i="66"/>
  <c r="AK267" i="66"/>
  <c r="S268" i="66"/>
  <c r="AM267" i="66"/>
  <c r="AL269" i="66"/>
  <c r="AD268" i="66"/>
  <c r="AF89" i="66"/>
  <c r="AD86" i="66"/>
  <c r="AG79" i="66"/>
  <c r="W90" i="66"/>
  <c r="AL94" i="66"/>
  <c r="AA82" i="66"/>
  <c r="Z92" i="66"/>
  <c r="X89" i="66"/>
  <c r="Y87" i="66"/>
  <c r="R94" i="66"/>
  <c r="AN89" i="66"/>
  <c r="AI90" i="66"/>
  <c r="AH89" i="66"/>
  <c r="W83" i="66"/>
  <c r="AM93" i="66"/>
  <c r="AD93" i="66"/>
  <c r="AK90" i="66"/>
  <c r="AP89" i="66"/>
  <c r="AE83" i="66"/>
  <c r="Y94" i="66"/>
  <c r="AF92" i="66"/>
  <c r="S91" i="66"/>
  <c r="R80" i="66"/>
  <c r="V89" i="66"/>
  <c r="U85" i="66"/>
  <c r="AH38" i="66"/>
  <c r="AN26" i="66"/>
  <c r="AF49" i="66"/>
  <c r="AP46" i="66"/>
  <c r="AN33" i="66"/>
  <c r="R46" i="66"/>
  <c r="AJ32" i="66"/>
  <c r="AJ58" i="66"/>
  <c r="AH48" i="66"/>
  <c r="AN35" i="66"/>
  <c r="AN59" i="66"/>
  <c r="AL29" i="66"/>
  <c r="AH27" i="66"/>
  <c r="Z43" i="66"/>
  <c r="AF29" i="66"/>
  <c r="X60" i="66"/>
  <c r="AM30" i="66"/>
  <c r="AG41" i="66"/>
  <c r="W52" i="66"/>
  <c r="AM62" i="66"/>
  <c r="AP28" i="66"/>
  <c r="AL26" i="66"/>
  <c r="AH43" i="66"/>
  <c r="X31" i="66"/>
  <c r="AF52" i="66"/>
  <c r="U267" i="66"/>
  <c r="W267" i="66"/>
  <c r="AD269" i="66"/>
  <c r="AF83" i="66"/>
  <c r="AG89" i="66"/>
  <c r="AK81" i="66"/>
  <c r="T87" i="66"/>
  <c r="AP90" i="66"/>
  <c r="AC89" i="66"/>
  <c r="AG82" i="66"/>
  <c r="AN92" i="66"/>
  <c r="Z89" i="66"/>
  <c r="AE93" i="66"/>
  <c r="AC90" i="66"/>
  <c r="R90" i="66"/>
  <c r="V37" i="66"/>
  <c r="T48" i="66"/>
  <c r="T31" i="66"/>
  <c r="X30" i="66"/>
  <c r="AD47" i="66"/>
  <c r="X57" i="66"/>
  <c r="AD26" i="66"/>
  <c r="T28" i="66"/>
  <c r="W30" i="66"/>
  <c r="AG51" i="66"/>
  <c r="AL27" i="66"/>
  <c r="AD42" i="66"/>
  <c r="T51" i="66"/>
  <c r="AA36" i="66"/>
  <c r="AK57" i="66"/>
  <c r="AL48" i="66"/>
  <c r="AD60" i="66"/>
  <c r="AO25" i="66"/>
  <c r="Y47" i="66"/>
  <c r="AJ56" i="66"/>
  <c r="R57" i="66"/>
  <c r="AN23" i="66"/>
  <c r="S24" i="66"/>
  <c r="AC45" i="66"/>
  <c r="AM23" i="66"/>
  <c r="W45" i="66"/>
  <c r="AA23" i="66"/>
  <c r="AK44" i="66"/>
  <c r="AO22" i="66"/>
  <c r="Y44" i="66"/>
  <c r="AC22" i="66"/>
  <c r="AI43" i="66"/>
  <c r="AI41" i="66"/>
  <c r="AO267" i="66"/>
  <c r="AA267" i="66"/>
  <c r="T79" i="66"/>
  <c r="AN78" i="66"/>
  <c r="X91" i="66"/>
  <c r="AA90" i="66"/>
  <c r="AO81" i="66"/>
  <c r="X87" i="66"/>
  <c r="AN82" i="66"/>
  <c r="AG88" i="66"/>
  <c r="AK82" i="66"/>
  <c r="Y78" i="66"/>
  <c r="AH87" i="66"/>
  <c r="S88" i="66"/>
  <c r="R81" i="66"/>
  <c r="V51" i="66"/>
  <c r="AP25" i="66"/>
  <c r="AN49" i="66"/>
  <c r="AF43" i="66"/>
  <c r="AJ23" i="66"/>
  <c r="R58" i="66"/>
  <c r="AP64" i="66"/>
  <c r="X44" i="66"/>
  <c r="W36" i="66"/>
  <c r="AG49" i="66"/>
  <c r="AH23" i="66"/>
  <c r="Z47" i="66"/>
  <c r="Z35" i="66"/>
  <c r="AF36" i="66"/>
  <c r="T63" i="66"/>
  <c r="AK31" i="66"/>
  <c r="AA42" i="66"/>
  <c r="U53" i="66"/>
  <c r="AK63" i="66"/>
  <c r="AD32" i="66"/>
  <c r="AH29" i="66"/>
  <c r="R45" i="66"/>
  <c r="AF31" i="66"/>
  <c r="X62" i="66"/>
  <c r="AO31" i="66"/>
  <c r="AE42" i="66"/>
  <c r="Y53" i="66"/>
  <c r="AO63" i="66"/>
  <c r="R34" i="66"/>
  <c r="AD40" i="66"/>
  <c r="AL41" i="66"/>
  <c r="AD54" i="66"/>
  <c r="AF38" i="66"/>
  <c r="AJ59" i="66"/>
  <c r="S30" i="66"/>
  <c r="AI40" i="66"/>
  <c r="AC51" i="66"/>
  <c r="S62" i="66"/>
  <c r="AM29" i="66"/>
  <c r="AG40" i="66"/>
  <c r="W51" i="66"/>
  <c r="AM61" i="66"/>
  <c r="AA29" i="66"/>
  <c r="U40" i="66"/>
  <c r="AK50" i="66"/>
  <c r="AA61" i="66"/>
  <c r="AO28" i="66"/>
  <c r="AE39" i="66"/>
  <c r="Y50" i="66"/>
  <c r="AO60" i="66"/>
  <c r="AC28" i="66"/>
  <c r="S39" i="66"/>
  <c r="T267" i="66"/>
  <c r="AE268" i="66"/>
  <c r="AM268" i="66"/>
  <c r="U268" i="66"/>
  <c r="S267" i="66"/>
  <c r="AJ81" i="66"/>
  <c r="AN85" i="66"/>
  <c r="T80" i="66"/>
  <c r="AG85" i="66"/>
  <c r="AD79" i="66"/>
  <c r="AH90" i="66"/>
  <c r="U91" i="66"/>
  <c r="AL86" i="66"/>
  <c r="AE82" i="66"/>
  <c r="AO93" i="66"/>
  <c r="AL90" i="66"/>
  <c r="AC83" i="66"/>
  <c r="AD83" i="66"/>
  <c r="AG78" i="66"/>
  <c r="W89" i="66"/>
  <c r="AP87" i="66"/>
  <c r="AA83" i="66"/>
  <c r="AH85" i="66"/>
  <c r="AO78" i="66"/>
  <c r="AE89" i="66"/>
  <c r="X88" i="66"/>
  <c r="AC84" i="66"/>
  <c r="U87" i="66"/>
  <c r="S84" i="66"/>
  <c r="V79" i="66"/>
  <c r="V39" i="66"/>
  <c r="Z52" i="66"/>
  <c r="T40" i="66"/>
  <c r="V35" i="66"/>
  <c r="AL61" i="66"/>
  <c r="X55" i="66"/>
  <c r="AH56" i="66"/>
  <c r="AJ44" i="66"/>
  <c r="AP36" i="66"/>
  <c r="T25" i="66"/>
  <c r="AN53" i="66"/>
  <c r="V59" i="66"/>
  <c r="Z49" i="66"/>
  <c r="AD25" i="66"/>
  <c r="R61" i="66"/>
  <c r="AN46" i="66"/>
  <c r="W26" i="66"/>
  <c r="AM36" i="66"/>
  <c r="AG47" i="66"/>
  <c r="W58" i="66"/>
  <c r="Z58" i="66"/>
  <c r="AD48" i="66"/>
  <c r="AL25" i="66"/>
  <c r="Z61" i="66"/>
  <c r="T43" i="66"/>
  <c r="AF64" i="66"/>
  <c r="AA32" i="66"/>
  <c r="U43" i="66"/>
  <c r="AK53" i="66"/>
  <c r="AA64" i="66"/>
  <c r="AH33" i="66"/>
  <c r="AH31" i="66"/>
  <c r="V50" i="66"/>
  <c r="AN32" i="66"/>
  <c r="AN64" i="66"/>
  <c r="AE32" i="66"/>
  <c r="Y43" i="66"/>
  <c r="AO53" i="66"/>
  <c r="AE64" i="66"/>
  <c r="AD39" i="66"/>
  <c r="AH41" i="66"/>
  <c r="AP42" i="66"/>
  <c r="AH55" i="66"/>
  <c r="AJ39" i="66"/>
  <c r="T61" i="66"/>
  <c r="AI30" i="66"/>
  <c r="AC41" i="66"/>
  <c r="S52" i="66"/>
  <c r="AI62" i="66"/>
  <c r="AG30" i="66"/>
  <c r="W41" i="66"/>
  <c r="AM51" i="66"/>
  <c r="AG62" i="66"/>
  <c r="U30" i="66"/>
  <c r="AK40" i="66"/>
  <c r="AA51" i="66"/>
  <c r="U62" i="66"/>
  <c r="AE29" i="66"/>
  <c r="Y40" i="66"/>
  <c r="AO50" i="66"/>
  <c r="AE61" i="66"/>
  <c r="S29" i="66"/>
  <c r="AI39" i="66"/>
  <c r="AC50" i="66"/>
  <c r="U269" i="66"/>
  <c r="AC269" i="66"/>
  <c r="W269" i="66"/>
  <c r="Y268" i="66"/>
  <c r="AD94" i="66"/>
  <c r="AL80" i="66"/>
  <c r="R92" i="66"/>
  <c r="AM80" i="66"/>
  <c r="AG91" i="66"/>
  <c r="Z88" i="66"/>
  <c r="AA84" i="66"/>
  <c r="AL79" i="66"/>
  <c r="X93" i="66"/>
  <c r="AE88" i="66"/>
  <c r="AH82" i="66"/>
  <c r="AN93" i="66"/>
  <c r="S92" i="66"/>
  <c r="AN90" i="66"/>
  <c r="AG84" i="66"/>
  <c r="AH83" i="66"/>
  <c r="AJ94" i="66"/>
  <c r="U92" i="66"/>
  <c r="V91" i="66"/>
  <c r="AO84" i="66"/>
  <c r="T82" i="66"/>
  <c r="AL93" i="66"/>
  <c r="AC92" i="66"/>
  <c r="S78" i="66"/>
  <c r="R87" i="66"/>
  <c r="R83" i="66"/>
  <c r="Z44" i="66"/>
  <c r="AN30" i="66"/>
  <c r="AJ54" i="66"/>
  <c r="V49" i="66"/>
  <c r="AN37" i="66"/>
  <c r="Z48" i="66"/>
  <c r="AF35" i="66"/>
  <c r="T64" i="66"/>
  <c r="AP50" i="66"/>
  <c r="AN39" i="66"/>
  <c r="AN63" i="66"/>
  <c r="R33" i="66"/>
  <c r="V30" i="66"/>
  <c r="AH45" i="66"/>
  <c r="X32" i="66"/>
  <c r="X64" i="66"/>
  <c r="W32" i="66"/>
  <c r="AM42" i="66"/>
  <c r="AG53" i="66"/>
  <c r="W64" i="66"/>
  <c r="V32" i="66"/>
  <c r="Z29" i="66"/>
  <c r="AP45" i="66"/>
  <c r="AJ33" i="66"/>
  <c r="T55" i="66"/>
  <c r="AK27" i="66"/>
  <c r="AA38" i="66"/>
  <c r="U49" i="66"/>
  <c r="AK59" i="66"/>
  <c r="V61" i="66"/>
  <c r="AL56" i="66"/>
  <c r="AD34" i="66"/>
  <c r="AF23" i="66"/>
  <c r="X50" i="66"/>
  <c r="AO27" i="66"/>
  <c r="AE38" i="66"/>
  <c r="Y49" i="66"/>
  <c r="AO59" i="66"/>
  <c r="AJ60" i="66"/>
  <c r="Z28" i="66"/>
  <c r="V26" i="66"/>
  <c r="V40" i="66"/>
  <c r="X29" i="66"/>
  <c r="AJ51" i="66"/>
  <c r="S26" i="66"/>
  <c r="AI36" i="66"/>
  <c r="AC47" i="66"/>
  <c r="S58" i="66"/>
  <c r="AM25" i="66"/>
  <c r="AG36" i="66"/>
  <c r="W47" i="66"/>
  <c r="AM57" i="66"/>
  <c r="AA25" i="66"/>
  <c r="U36" i="66"/>
  <c r="AK46" i="66"/>
  <c r="AA57" i="66"/>
  <c r="AO24" i="66"/>
  <c r="AE35" i="66"/>
  <c r="Y46" i="66"/>
  <c r="AO56" i="66"/>
  <c r="AC24" i="66"/>
  <c r="S35" i="66"/>
  <c r="AI45" i="66"/>
  <c r="AC56" i="66"/>
  <c r="S47" i="66"/>
  <c r="AI63" i="66"/>
  <c r="AF269" i="66"/>
  <c r="AH94" i="66"/>
  <c r="AP94" i="66"/>
  <c r="T78" i="66"/>
  <c r="AM79" i="66"/>
  <c r="AN86" i="66"/>
  <c r="AC86" i="66"/>
  <c r="Z24" i="66"/>
  <c r="AJ25" i="66"/>
  <c r="AL39" i="66"/>
  <c r="AP53" i="66"/>
  <c r="AG27" i="66"/>
  <c r="AP60" i="66"/>
  <c r="AJ45" i="66"/>
  <c r="U55" i="66"/>
  <c r="V54" i="66"/>
  <c r="AE44" i="66"/>
  <c r="AP47" i="66"/>
  <c r="AJ63" i="66"/>
  <c r="S64" i="66"/>
  <c r="AM63" i="66"/>
  <c r="AE41" i="66"/>
  <c r="S41" i="66"/>
  <c r="AH268" i="66"/>
  <c r="Z86" i="66"/>
  <c r="AM92" i="66"/>
  <c r="Y79" i="66"/>
  <c r="AC93" i="66"/>
  <c r="AA79" i="66"/>
  <c r="AI93" i="66"/>
  <c r="AH46" i="66"/>
  <c r="AN41" i="66"/>
  <c r="AL28" i="66"/>
  <c r="X36" i="66"/>
  <c r="W60" i="66"/>
  <c r="AF24" i="66"/>
  <c r="U29" i="66"/>
  <c r="U61" i="66"/>
  <c r="AL38" i="66"/>
  <c r="Y29" i="66"/>
  <c r="Y61" i="66"/>
  <c r="AD28" i="66"/>
  <c r="AF54" i="66"/>
  <c r="AI48" i="66"/>
  <c r="AM37" i="66"/>
  <c r="AK26" i="66"/>
  <c r="AK58" i="66"/>
  <c r="AO36" i="66"/>
  <c r="AI25" i="66"/>
  <c r="V268" i="66"/>
  <c r="T268" i="66"/>
  <c r="AJ85" i="66"/>
  <c r="AK87" i="66"/>
  <c r="AE90" i="66"/>
  <c r="S94" i="66"/>
  <c r="AD85" i="66"/>
  <c r="AH93" i="66"/>
  <c r="AC80" i="66"/>
  <c r="R84" i="66"/>
  <c r="AJ62" i="66"/>
  <c r="AL51" i="66"/>
  <c r="Z54" i="66"/>
  <c r="AL40" i="66"/>
  <c r="AN38" i="66"/>
  <c r="AM44" i="66"/>
  <c r="AH37" i="66"/>
  <c r="AJ37" i="66"/>
  <c r="AA40" i="66"/>
  <c r="R28" i="66"/>
  <c r="AF27" i="66"/>
  <c r="AE40" i="66"/>
  <c r="AJ64" i="66"/>
  <c r="Z45" i="66"/>
  <c r="S28" i="66"/>
  <c r="S60" i="66"/>
  <c r="W49" i="66"/>
  <c r="U38" i="66"/>
  <c r="AO26" i="66"/>
  <c r="AO58" i="66"/>
  <c r="AI47" i="66"/>
  <c r="AN268" i="66"/>
  <c r="AD267" i="66"/>
  <c r="W78" i="66"/>
  <c r="AA80" i="66"/>
  <c r="X85" i="66"/>
  <c r="AF86" i="66"/>
  <c r="X92" i="66"/>
  <c r="Y82" i="66"/>
  <c r="AI89" i="66"/>
  <c r="R78" i="66"/>
  <c r="AJ22" i="66"/>
  <c r="AJ29" i="66"/>
  <c r="AF53" i="66"/>
  <c r="AN55" i="66"/>
  <c r="Z39" i="66"/>
  <c r="AG29" i="66"/>
  <c r="AG61" i="66"/>
  <c r="AH39" i="66"/>
  <c r="AK35" i="66"/>
  <c r="AH40" i="66"/>
  <c r="Z59" i="66"/>
  <c r="Y25" i="66"/>
  <c r="Y57" i="66"/>
  <c r="AH53" i="66"/>
  <c r="AF46" i="66"/>
  <c r="AI44" i="66"/>
  <c r="AM33" i="66"/>
  <c r="AK22" i="66"/>
  <c r="AK54" i="66"/>
  <c r="AO32" i="66"/>
  <c r="AO64" i="66"/>
  <c r="AI53" i="66"/>
  <c r="AO269" i="66"/>
  <c r="AA269" i="66"/>
  <c r="AF93" i="66"/>
  <c r="T83" i="66"/>
  <c r="AL81" i="66"/>
  <c r="AA92" i="66"/>
  <c r="AO83" i="66"/>
  <c r="AN79" i="66"/>
  <c r="AJ84" i="66"/>
  <c r="AG90" i="66"/>
  <c r="AA85" i="66"/>
  <c r="Y80" i="66"/>
  <c r="AD89" i="66"/>
  <c r="S85" i="66"/>
  <c r="V90" i="66"/>
  <c r="AH54" i="66"/>
  <c r="AD37" i="66"/>
  <c r="X63" i="66"/>
  <c r="AF47" i="66"/>
  <c r="AJ27" i="66"/>
  <c r="AH62" i="66"/>
  <c r="AL31" i="66"/>
  <c r="AN50" i="66"/>
  <c r="W38" i="66"/>
  <c r="AG59" i="66"/>
  <c r="R53" i="66"/>
  <c r="X23" i="66"/>
  <c r="U23" i="66"/>
  <c r="AA44" i="66"/>
  <c r="R24" i="66"/>
  <c r="AD41" i="66"/>
  <c r="AN36" i="66"/>
  <c r="AO33" i="66"/>
  <c r="Y55" i="66"/>
  <c r="AL57" i="66"/>
  <c r="AH64" i="66"/>
  <c r="AF42" i="66"/>
  <c r="S32" i="66"/>
  <c r="AC53" i="66"/>
  <c r="AM31" i="66"/>
  <c r="W53" i="66"/>
  <c r="AA31" i="66"/>
  <c r="AK52" i="66"/>
  <c r="AO30" i="66"/>
  <c r="Y52" i="66"/>
  <c r="AC30" i="66"/>
  <c r="AI51" i="66"/>
  <c r="S53" i="66"/>
  <c r="AJ269" i="66"/>
  <c r="AE269" i="66"/>
  <c r="AF80" i="66"/>
  <c r="W82" i="66"/>
  <c r="X79" i="66"/>
  <c r="AP84" i="66"/>
  <c r="AO89" i="66"/>
  <c r="AC79" i="66"/>
  <c r="T92" i="66"/>
  <c r="AN84" i="66"/>
  <c r="AA93" i="66"/>
  <c r="Y86" i="66"/>
  <c r="AI79" i="66"/>
  <c r="R89" i="66"/>
  <c r="V81" i="66"/>
  <c r="AF33" i="66"/>
  <c r="AD51" i="66"/>
  <c r="AH50" i="66"/>
  <c r="R38" i="66"/>
  <c r="AN43" i="66"/>
  <c r="Z37" i="66"/>
  <c r="AP51" i="66"/>
  <c r="AM22" i="66"/>
  <c r="AM38" i="66"/>
  <c r="AM54" i="66"/>
  <c r="V57" i="66"/>
  <c r="V56" i="66"/>
  <c r="V52" i="66"/>
  <c r="AJ41" i="66"/>
  <c r="AK23" i="66"/>
  <c r="AA34" i="66"/>
  <c r="U45" i="66"/>
  <c r="AK55" i="66"/>
  <c r="AL33" i="66"/>
  <c r="Z41" i="66"/>
  <c r="AH42" i="66"/>
  <c r="Z55" i="66"/>
  <c r="X38" i="66"/>
  <c r="AO23" i="66"/>
  <c r="AE34" i="66"/>
  <c r="Y45" i="66"/>
  <c r="AO55" i="66"/>
  <c r="AJ52" i="66"/>
  <c r="AP58" i="66"/>
  <c r="R49" i="66"/>
  <c r="AL23" i="66"/>
  <c r="AL60" i="66"/>
  <c r="AJ43" i="66"/>
  <c r="S22" i="66"/>
  <c r="AI32" i="66"/>
  <c r="AC43" i="66"/>
  <c r="S54" i="66"/>
  <c r="AI64" i="66"/>
  <c r="AG32" i="66"/>
  <c r="W43" i="66"/>
  <c r="AM53" i="66"/>
  <c r="AG64" i="66"/>
  <c r="U32" i="66"/>
  <c r="AK42" i="66"/>
  <c r="AA53" i="66"/>
  <c r="U64" i="66"/>
  <c r="AE31" i="66"/>
  <c r="Y42" i="66"/>
  <c r="AO52" i="66"/>
  <c r="AE63" i="66"/>
  <c r="S31" i="66"/>
  <c r="AC44" i="66"/>
  <c r="AN269" i="66"/>
  <c r="T269" i="66"/>
  <c r="X268" i="66"/>
  <c r="AP267" i="66"/>
  <c r="AI269" i="66"/>
  <c r="V80" i="66"/>
  <c r="Z80" i="66"/>
  <c r="Z94" i="66"/>
  <c r="W88" i="66"/>
  <c r="AF87" i="66"/>
  <c r="AK79" i="66"/>
  <c r="AK93" i="66"/>
  <c r="AJ80" i="66"/>
  <c r="Y85" i="66"/>
  <c r="AD82" i="66"/>
  <c r="AL82" i="66"/>
  <c r="AC87" i="66"/>
  <c r="AP85" i="66"/>
  <c r="W81" i="66"/>
  <c r="AM91" i="66"/>
  <c r="AH91" i="66"/>
  <c r="AA87" i="66"/>
  <c r="T88" i="66"/>
  <c r="AE81" i="66"/>
  <c r="Y92" i="66"/>
  <c r="AJ90" i="66"/>
  <c r="AC88" i="66"/>
  <c r="V83" i="66"/>
  <c r="R79" i="66"/>
  <c r="U88" i="66"/>
  <c r="R31" i="66"/>
  <c r="AD61" i="66"/>
  <c r="AF45" i="66"/>
  <c r="AD43" i="66"/>
  <c r="AF28" i="66"/>
  <c r="AH36" i="66"/>
  <c r="X26" i="66"/>
  <c r="AJ50" i="66"/>
  <c r="V45" i="66"/>
  <c r="AF30" i="66"/>
  <c r="X53" i="66"/>
  <c r="AD24" i="66"/>
  <c r="AD62" i="66"/>
  <c r="V38" i="66"/>
  <c r="AF25" i="66"/>
  <c r="AN54" i="66"/>
  <c r="AM28" i="66"/>
  <c r="AG39" i="66"/>
  <c r="W50" i="66"/>
  <c r="AM60" i="66"/>
  <c r="AL22" i="66"/>
  <c r="AH57" i="66"/>
  <c r="AD38" i="66"/>
  <c r="AN25" i="66"/>
  <c r="AF48" i="66"/>
  <c r="AA24" i="66"/>
  <c r="U35" i="66"/>
  <c r="AK45" i="66"/>
  <c r="AA56" i="66"/>
  <c r="AP34" i="66"/>
  <c r="AD46" i="66"/>
  <c r="V63" i="66"/>
  <c r="V58" i="66"/>
  <c r="AN40" i="66"/>
  <c r="AE24" i="66"/>
  <c r="Y35" i="66"/>
  <c r="AO45" i="66"/>
  <c r="AE56" i="66"/>
  <c r="T54" i="66"/>
  <c r="Z60" i="66"/>
  <c r="AD52" i="66"/>
  <c r="Z26" i="66"/>
  <c r="AP61" i="66"/>
  <c r="T45" i="66"/>
  <c r="AI22" i="66"/>
  <c r="AC33" i="66"/>
  <c r="S44" i="66"/>
  <c r="AI54" i="66"/>
  <c r="AG22" i="66"/>
  <c r="W33" i="66"/>
  <c r="AM43" i="66"/>
  <c r="AG54" i="66"/>
  <c r="U22" i="66"/>
  <c r="AK32" i="66"/>
  <c r="AA43" i="66"/>
  <c r="U54" i="66"/>
  <c r="AK64" i="66"/>
  <c r="Y32" i="66"/>
  <c r="AO42" i="66"/>
  <c r="AE53" i="66"/>
  <c r="Y64" i="66"/>
  <c r="AI31" i="66"/>
  <c r="AC42" i="66"/>
  <c r="AC58" i="66"/>
  <c r="AP268" i="66"/>
  <c r="AF267" i="66"/>
  <c r="R269" i="66"/>
  <c r="AJ268" i="66"/>
  <c r="AP79" i="66"/>
  <c r="Z90" i="66"/>
  <c r="AN87" i="66"/>
  <c r="AG83" i="66"/>
  <c r="W94" i="66"/>
  <c r="AJ83" i="66"/>
  <c r="AA88" i="66"/>
  <c r="T93" i="66"/>
  <c r="AE80" i="66"/>
  <c r="Y91" i="66"/>
  <c r="AP82" i="66"/>
  <c r="AI80" i="66"/>
  <c r="AI94" i="66"/>
  <c r="Z93" i="66"/>
  <c r="W87" i="66"/>
  <c r="T86" i="66"/>
  <c r="AK80" i="66"/>
  <c r="AK94" i="66"/>
  <c r="X94" i="66"/>
  <c r="AE87" i="66"/>
  <c r="AF84" i="66"/>
  <c r="AI81" i="66"/>
  <c r="U90" i="66"/>
  <c r="S87" i="66"/>
  <c r="S83" i="66"/>
  <c r="U78" i="66"/>
  <c r="AP48" i="66"/>
  <c r="T36" i="66"/>
  <c r="AP22" i="66"/>
  <c r="AL53" i="66"/>
  <c r="AN45" i="66"/>
  <c r="AP52" i="66"/>
  <c r="AJ40" i="66"/>
  <c r="Z25" i="66"/>
  <c r="AL55" i="66"/>
  <c r="AN47" i="66"/>
  <c r="R40" i="66"/>
  <c r="AP41" i="66"/>
  <c r="AD55" i="66"/>
  <c r="AP55" i="66"/>
  <c r="X40" i="66"/>
  <c r="W24" i="66"/>
  <c r="AM34" i="66"/>
  <c r="AG45" i="66"/>
  <c r="W56" i="66"/>
  <c r="AH34" i="66"/>
  <c r="R41" i="66"/>
  <c r="Z42" i="66"/>
  <c r="AD56" i="66"/>
  <c r="T39" i="66"/>
  <c r="AF60" i="66"/>
  <c r="AA30" i="66"/>
  <c r="U41" i="66"/>
  <c r="AK51" i="66"/>
  <c r="AA62" i="66"/>
  <c r="V29" i="66"/>
  <c r="R27" i="66"/>
  <c r="AL42" i="66"/>
  <c r="AJ28" i="66"/>
  <c r="X58" i="66"/>
  <c r="AE30" i="66"/>
  <c r="Y41" i="66"/>
  <c r="AO51" i="66"/>
  <c r="AE62" i="66"/>
  <c r="AH22" i="66"/>
  <c r="AP33" i="66"/>
  <c r="AP31" i="66"/>
  <c r="AD50" i="66"/>
  <c r="AJ35" i="66"/>
  <c r="T57" i="66"/>
  <c r="AI28" i="66"/>
  <c r="AC39" i="66"/>
  <c r="S50" i="66"/>
  <c r="AI60" i="66"/>
  <c r="AG28" i="66"/>
  <c r="W39" i="66"/>
  <c r="AM49" i="66"/>
  <c r="AG60" i="66"/>
  <c r="U28" i="66"/>
  <c r="AK38" i="66"/>
  <c r="AA49" i="66"/>
  <c r="U60" i="66"/>
  <c r="AE27" i="66"/>
  <c r="Y38" i="66"/>
  <c r="AO48" i="66"/>
  <c r="AE59" i="66"/>
  <c r="S27" i="66"/>
  <c r="AI37" i="66"/>
  <c r="AC48" i="66"/>
  <c r="S59" i="66"/>
  <c r="S55" i="66"/>
  <c r="AD92" i="66"/>
  <c r="R267" i="66"/>
  <c r="AM86" i="66"/>
  <c r="X78" i="66"/>
  <c r="AC85" i="66"/>
  <c r="AL89" i="66"/>
  <c r="AO90" i="66"/>
  <c r="R82" i="66"/>
  <c r="AJ42" i="66"/>
  <c r="T22" i="66"/>
  <c r="AN61" i="66"/>
  <c r="AN22" i="66"/>
  <c r="AM48" i="66"/>
  <c r="V34" i="66"/>
  <c r="AK33" i="66"/>
  <c r="AP37" i="66"/>
  <c r="Y23" i="66"/>
  <c r="AF51" i="66"/>
  <c r="AH59" i="66"/>
  <c r="AI42" i="66"/>
  <c r="AG42" i="66"/>
  <c r="U42" i="66"/>
  <c r="AO62" i="66"/>
  <c r="AC62" i="66"/>
  <c r="V267" i="66"/>
  <c r="X83" i="66"/>
  <c r="AA86" i="66"/>
  <c r="AF91" i="66"/>
  <c r="AM85" i="66"/>
  <c r="R93" i="66"/>
  <c r="V85" i="66"/>
  <c r="T60" i="66"/>
  <c r="T38" i="66"/>
  <c r="AD33" i="66"/>
  <c r="AG33" i="66"/>
  <c r="AD36" i="66"/>
  <c r="AJ57" i="66"/>
  <c r="AA50" i="66"/>
  <c r="V25" i="66"/>
  <c r="T26" i="66"/>
  <c r="AO39" i="66"/>
  <c r="AF63" i="66"/>
  <c r="V44" i="66"/>
  <c r="AC27" i="66"/>
  <c r="AC59" i="66"/>
  <c r="AG48" i="66"/>
  <c r="AA37" i="66"/>
  <c r="Y26" i="66"/>
  <c r="Y58" i="66"/>
  <c r="AC36" i="66"/>
  <c r="X269" i="66"/>
  <c r="Z78" i="66"/>
  <c r="AM82" i="66"/>
  <c r="AN81" i="66"/>
  <c r="AO79" i="66"/>
  <c r="S80" i="66"/>
  <c r="AG86" i="66"/>
  <c r="U94" i="66"/>
  <c r="AP83" i="66"/>
  <c r="R88" i="66"/>
  <c r="AL47" i="66"/>
  <c r="X43" i="66"/>
  <c r="AP23" i="66"/>
  <c r="Z34" i="66"/>
  <c r="AL54" i="66"/>
  <c r="W34" i="66"/>
  <c r="V33" i="66"/>
  <c r="R55" i="66"/>
  <c r="AK29" i="66"/>
  <c r="AK61" i="66"/>
  <c r="AP39" i="66"/>
  <c r="AO29" i="66"/>
  <c r="AO61" i="66"/>
  <c r="AP29" i="66"/>
  <c r="AJ55" i="66"/>
  <c r="AM27" i="66"/>
  <c r="AM59" i="66"/>
  <c r="AK48" i="66"/>
  <c r="AE37" i="66"/>
  <c r="AC26" i="66"/>
  <c r="Z268" i="66"/>
  <c r="AF268" i="66"/>
  <c r="AD81" i="66"/>
  <c r="AM88" i="66"/>
  <c r="AA94" i="66"/>
  <c r="AO85" i="66"/>
  <c r="AI88" i="66"/>
  <c r="AG92" i="66"/>
  <c r="AJ88" i="66"/>
  <c r="AO92" i="66"/>
  <c r="S82" i="66"/>
  <c r="R36" i="66"/>
  <c r="AH44" i="66"/>
  <c r="AN28" i="66"/>
  <c r="AJ31" i="66"/>
  <c r="AH63" i="66"/>
  <c r="X56" i="66"/>
  <c r="AM50" i="66"/>
  <c r="AL62" i="66"/>
  <c r="AJ49" i="66"/>
  <c r="AA46" i="66"/>
  <c r="AH47" i="66"/>
  <c r="X42" i="66"/>
  <c r="AE46" i="66"/>
  <c r="Z62" i="66"/>
  <c r="AF22" i="66"/>
  <c r="S34" i="66"/>
  <c r="W23" i="66"/>
  <c r="W55" i="66"/>
  <c r="AA33" i="66"/>
  <c r="Y22" i="66"/>
  <c r="Y54" i="66"/>
  <c r="S43" i="66"/>
  <c r="AI55" i="66"/>
  <c r="AE92" i="66"/>
  <c r="AD328" i="66"/>
  <c r="AC267" i="66"/>
  <c r="V269" i="66"/>
  <c r="X80" i="66"/>
  <c r="AM78" i="66"/>
  <c r="AH92" i="66"/>
  <c r="AD80" i="66"/>
  <c r="AE86" i="66"/>
  <c r="AJ87" i="66"/>
  <c r="AL87" i="66"/>
  <c r="W93" i="66"/>
  <c r="AA89" i="66"/>
  <c r="AO82" i="66"/>
  <c r="AP91" i="66"/>
  <c r="U81" i="66"/>
  <c r="S86" i="66"/>
  <c r="T24" i="66"/>
  <c r="AL45" i="66"/>
  <c r="AP44" i="66"/>
  <c r="T56" i="66"/>
  <c r="X33" i="66"/>
  <c r="AH28" i="66"/>
  <c r="V42" i="66"/>
  <c r="AN58" i="66"/>
  <c r="AM40" i="66"/>
  <c r="W62" i="66"/>
  <c r="AP63" i="66"/>
  <c r="AN29" i="66"/>
  <c r="AK25" i="66"/>
  <c r="U47" i="66"/>
  <c r="AD57" i="66"/>
  <c r="AD23" i="66"/>
  <c r="AN44" i="66"/>
  <c r="AE36" i="66"/>
  <c r="AO57" i="66"/>
  <c r="V22" i="66"/>
  <c r="AL34" i="66"/>
  <c r="AJ47" i="66"/>
  <c r="AI34" i="66"/>
  <c r="S56" i="66"/>
  <c r="AG34" i="66"/>
  <c r="AM55" i="66"/>
  <c r="U34" i="66"/>
  <c r="AA55" i="66"/>
  <c r="AE33" i="66"/>
  <c r="AO54" i="66"/>
  <c r="S33" i="66"/>
  <c r="AC54" i="66"/>
  <c r="S61" i="66"/>
  <c r="W268" i="66"/>
  <c r="AP269" i="66"/>
  <c r="T81" i="66"/>
  <c r="AM84" i="66"/>
  <c r="AL88" i="66"/>
  <c r="AH84" i="66"/>
  <c r="Y93" i="66"/>
  <c r="AI82" i="66"/>
  <c r="AF94" i="66"/>
  <c r="Z87" i="66"/>
  <c r="AL83" i="66"/>
  <c r="AO88" i="66"/>
  <c r="AI83" i="66"/>
  <c r="R85" i="66"/>
  <c r="AD30" i="66"/>
  <c r="AJ38" i="66"/>
  <c r="Z56" i="66"/>
  <c r="V55" i="66"/>
  <c r="AL35" i="66"/>
  <c r="X51" i="66"/>
  <c r="V48" i="66"/>
  <c r="AP59" i="66"/>
  <c r="AG25" i="66"/>
  <c r="W44" i="66"/>
  <c r="AG57" i="66"/>
  <c r="AP62" i="66"/>
  <c r="Z32" i="66"/>
  <c r="V60" i="66"/>
  <c r="T47" i="66"/>
  <c r="AA26" i="66"/>
  <c r="U37" i="66"/>
  <c r="AK47" i="66"/>
  <c r="AA58" i="66"/>
  <c r="AH58" i="66"/>
  <c r="AP49" i="66"/>
  <c r="R26" i="66"/>
  <c r="AH61" i="66"/>
  <c r="X46" i="66"/>
  <c r="AE26" i="66"/>
  <c r="Y37" i="66"/>
  <c r="AO47" i="66"/>
  <c r="AE58" i="66"/>
  <c r="T58" i="66"/>
  <c r="V24" i="66"/>
  <c r="V62" i="66"/>
  <c r="AP35" i="66"/>
  <c r="X25" i="66"/>
  <c r="T49" i="66"/>
  <c r="AI24" i="66"/>
  <c r="AC35" i="66"/>
  <c r="S46" i="66"/>
  <c r="AI56" i="66"/>
  <c r="AG24" i="66"/>
  <c r="W35" i="66"/>
  <c r="AM45" i="66"/>
  <c r="AG56" i="66"/>
  <c r="U24" i="66"/>
  <c r="AK34" i="66"/>
  <c r="AA45" i="66"/>
  <c r="U56" i="66"/>
  <c r="AE23" i="66"/>
  <c r="Y34" i="66"/>
  <c r="AO44" i="66"/>
  <c r="AE55" i="66"/>
  <c r="S23" i="66"/>
  <c r="AI33" i="66"/>
  <c r="AC52" i="66"/>
  <c r="AA268" i="66"/>
  <c r="AI268" i="66"/>
  <c r="AG268" i="66"/>
  <c r="AE267" i="66"/>
  <c r="AH79" i="66"/>
  <c r="Z79" i="66"/>
  <c r="T89" i="66"/>
  <c r="W80" i="66"/>
  <c r="AM90" i="66"/>
  <c r="Z81" i="66"/>
  <c r="AK83" i="66"/>
  <c r="AD78" i="66"/>
  <c r="T91" i="66"/>
  <c r="AO87" i="66"/>
  <c r="AL78" i="66"/>
  <c r="AJ91" i="66"/>
  <c r="AC91" i="66"/>
  <c r="X90" i="66"/>
  <c r="AM83" i="66"/>
  <c r="AG94" i="66"/>
  <c r="T94" i="66"/>
  <c r="AA91" i="66"/>
  <c r="AF90" i="66"/>
  <c r="Y84" i="66"/>
  <c r="AO94" i="66"/>
  <c r="V93" i="66"/>
  <c r="AI91" i="66"/>
  <c r="S79" i="66"/>
  <c r="V88" i="66"/>
  <c r="V84" i="66"/>
  <c r="V43" i="66"/>
  <c r="X28" i="66"/>
  <c r="T52" i="66"/>
  <c r="R48" i="66"/>
  <c r="X35" i="66"/>
  <c r="V47" i="66"/>
  <c r="T34" i="66"/>
  <c r="AF61" i="66"/>
  <c r="AL49" i="66"/>
  <c r="X37" i="66"/>
  <c r="X61" i="66"/>
  <c r="AP30" i="66"/>
  <c r="R29" i="66"/>
  <c r="AD44" i="66"/>
  <c r="AJ30" i="66"/>
  <c r="AN62" i="66"/>
  <c r="AG31" i="66"/>
  <c r="W42" i="66"/>
  <c r="AM52" i="66"/>
  <c r="AG63" i="66"/>
  <c r="R30" i="66"/>
  <c r="AP27" i="66"/>
  <c r="AL44" i="66"/>
  <c r="AF32" i="66"/>
  <c r="AJ53" i="66"/>
  <c r="U27" i="66"/>
  <c r="AK37" i="66"/>
  <c r="AA48" i="66"/>
  <c r="U59" i="66"/>
  <c r="R60" i="66"/>
  <c r="Z53" i="66"/>
  <c r="V31" i="66"/>
  <c r="X22" i="66"/>
  <c r="AN48" i="66"/>
  <c r="Y27" i="66"/>
  <c r="AO37" i="66"/>
  <c r="AE48" i="66"/>
  <c r="Y59" i="66"/>
  <c r="AF59" i="66"/>
  <c r="V27" i="66"/>
  <c r="Z63" i="66"/>
  <c r="R39" i="66"/>
  <c r="AN27" i="66"/>
  <c r="AF50" i="66"/>
  <c r="AC25" i="66"/>
  <c r="S36" i="66"/>
  <c r="AI46" i="66"/>
  <c r="AC57" i="66"/>
  <c r="W25" i="66"/>
  <c r="AM35" i="66"/>
  <c r="AG46" i="66"/>
  <c r="W57" i="66"/>
  <c r="AK24" i="66"/>
  <c r="AA35" i="66"/>
  <c r="U46" i="66"/>
  <c r="AK56" i="66"/>
  <c r="Y24" i="66"/>
  <c r="AO34" i="66"/>
  <c r="AE45" i="66"/>
  <c r="Y56" i="66"/>
  <c r="AI23" i="66"/>
  <c r="AC34" i="66"/>
  <c r="S45" i="66"/>
  <c r="AJ267" i="66"/>
  <c r="Y269" i="66"/>
  <c r="AG269" i="66"/>
  <c r="AK268" i="66"/>
  <c r="AI267" i="66"/>
  <c r="AP86" i="66"/>
  <c r="AD88" i="66"/>
  <c r="AF81" i="66"/>
  <c r="W86" i="66"/>
  <c r="AH80" i="66"/>
  <c r="AL92" i="66"/>
  <c r="AK91" i="66"/>
  <c r="AP88" i="66"/>
  <c r="Y83" i="66"/>
  <c r="AE94" i="66"/>
  <c r="AF78" i="66"/>
  <c r="AI84" i="66"/>
  <c r="T84" i="66"/>
  <c r="W79" i="66"/>
  <c r="AM89" i="66"/>
  <c r="AF88" i="66"/>
  <c r="AK84" i="66"/>
  <c r="X86" i="66"/>
  <c r="AE79" i="66"/>
  <c r="Y90" i="66"/>
  <c r="AN88" i="66"/>
  <c r="AI85" i="66"/>
  <c r="R86" i="66"/>
  <c r="U83" i="66"/>
  <c r="V78" i="66"/>
  <c r="Z22" i="66"/>
  <c r="AD53" i="66"/>
  <c r="AF41" i="66"/>
  <c r="Z36" i="66"/>
  <c r="T23" i="66"/>
  <c r="AN57" i="66"/>
  <c r="R62" i="66"/>
  <c r="T46" i="66"/>
  <c r="Z38" i="66"/>
  <c r="AF26" i="66"/>
  <c r="X59" i="66"/>
  <c r="AH60" i="66"/>
  <c r="AL52" i="66"/>
  <c r="AH26" i="66"/>
  <c r="V64" i="66"/>
  <c r="X48" i="66"/>
  <c r="AM26" i="66"/>
  <c r="AG37" i="66"/>
  <c r="W48" i="66"/>
  <c r="AM58" i="66"/>
  <c r="AD59" i="66"/>
  <c r="AH49" i="66"/>
  <c r="AP26" i="66"/>
  <c r="AL64" i="66"/>
  <c r="AF44" i="66"/>
  <c r="AA22" i="66"/>
  <c r="U33" i="66"/>
  <c r="AK43" i="66"/>
  <c r="AA54" i="66"/>
  <c r="R22" i="66"/>
  <c r="AL36" i="66"/>
  <c r="AH32" i="66"/>
  <c r="Z51" i="66"/>
  <c r="X34" i="66"/>
  <c r="AE22" i="66"/>
  <c r="Y33" i="66"/>
  <c r="AO43" i="66"/>
  <c r="AE54" i="66"/>
  <c r="T50" i="66"/>
  <c r="AP40" i="66"/>
  <c r="AL46" i="66"/>
  <c r="AD63" i="66"/>
  <c r="AD58" i="66"/>
  <c r="T41" i="66"/>
  <c r="AF62" i="66"/>
  <c r="AC31" i="66"/>
  <c r="S42" i="66"/>
  <c r="AI52" i="66"/>
  <c r="AC63" i="66"/>
  <c r="W31" i="66"/>
  <c r="AM41" i="66"/>
  <c r="AG52" i="66"/>
  <c r="W63" i="66"/>
  <c r="AK30" i="66"/>
  <c r="AA41" i="66"/>
  <c r="U52" i="66"/>
  <c r="AK62" i="66"/>
  <c r="Y30" i="66"/>
  <c r="AO40" i="66"/>
  <c r="AE51" i="66"/>
  <c r="Y62" i="66"/>
  <c r="AI29" i="66"/>
  <c r="AC40" i="66"/>
  <c r="S51" i="66"/>
  <c r="AI61" i="66"/>
  <c r="AC60" i="66"/>
  <c r="AC268" i="66"/>
  <c r="AA63" i="66"/>
  <c r="Z83" i="66"/>
  <c r="V53" i="66"/>
  <c r="AM46" i="66"/>
  <c r="R64" i="66"/>
  <c r="AK39" i="66"/>
  <c r="R63" i="66"/>
  <c r="X54" i="66"/>
  <c r="AE50" i="66"/>
  <c r="AH30" i="66"/>
  <c r="T33" i="66"/>
  <c r="S38" i="66"/>
  <c r="W27" i="66"/>
  <c r="W59" i="66"/>
  <c r="U48" i="66"/>
  <c r="AE47" i="66"/>
  <c r="S63" i="66"/>
  <c r="AL267" i="66"/>
  <c r="AL84" i="66"/>
  <c r="AG93" i="66"/>
  <c r="AD90" i="66"/>
  <c r="AJ93" i="66"/>
  <c r="AJ92" i="66"/>
  <c r="U80" i="66"/>
  <c r="AO86" i="66"/>
  <c r="AC94" i="66"/>
  <c r="U79" i="66"/>
  <c r="AJ34" i="66"/>
  <c r="AH52" i="66"/>
  <c r="AF39" i="66"/>
  <c r="X45" i="66"/>
  <c r="R42" i="66"/>
  <c r="AG23" i="66"/>
  <c r="AG55" i="66"/>
  <c r="AL37" i="66"/>
  <c r="T59" i="66"/>
  <c r="U51" i="66"/>
  <c r="AD64" i="66"/>
  <c r="AN56" i="66"/>
  <c r="Y51" i="66"/>
  <c r="AL32" i="66"/>
  <c r="AF34" i="66"/>
  <c r="AI38" i="66"/>
  <c r="AC49" i="66"/>
  <c r="AG38" i="66"/>
  <c r="AA27" i="66"/>
  <c r="AA59" i="66"/>
  <c r="Y48" i="66"/>
  <c r="S37" i="66"/>
  <c r="AL268" i="66"/>
  <c r="Z82" i="66"/>
  <c r="AJ89" i="66"/>
  <c r="AD84" i="66"/>
  <c r="AF85" i="66"/>
  <c r="AM81" i="66"/>
  <c r="AK88" i="66"/>
  <c r="Z91" i="66"/>
  <c r="V87" i="66"/>
  <c r="AJ46" i="66"/>
  <c r="AL43" i="66"/>
  <c r="Z46" i="66"/>
  <c r="AD27" i="66"/>
  <c r="AJ26" i="66"/>
  <c r="W40" i="66"/>
  <c r="AL24" i="66"/>
  <c r="X27" i="66"/>
  <c r="U25" i="66"/>
  <c r="U57" i="66"/>
  <c r="Z64" i="66"/>
  <c r="AO35" i="66"/>
  <c r="AF55" i="66"/>
  <c r="AD31" i="66"/>
  <c r="AC23" i="66"/>
  <c r="AC55" i="66"/>
  <c r="AG44" i="66"/>
  <c r="U44" i="66"/>
  <c r="AE43" i="66"/>
  <c r="AC32" i="66"/>
  <c r="AC64" i="66"/>
  <c r="V139" i="23" l="1"/>
  <c r="W139" i="23"/>
  <c r="X139" i="23"/>
  <c r="S139" i="23"/>
  <c r="O139" i="23"/>
  <c r="T139" i="23"/>
  <c r="Z139" i="23"/>
  <c r="R139" i="23"/>
  <c r="P139" i="23"/>
  <c r="Y139" i="23"/>
  <c r="Q139" i="23"/>
  <c r="U139" i="23"/>
  <c r="N121" i="23"/>
  <c r="X135" i="23"/>
  <c r="Z135" i="23"/>
  <c r="W135" i="23"/>
  <c r="R135" i="23"/>
  <c r="Y135" i="23"/>
  <c r="N19" i="23"/>
  <c r="H16" i="22" s="1"/>
  <c r="Q135" i="23"/>
  <c r="P135" i="23"/>
  <c r="U135" i="23"/>
  <c r="O135" i="23"/>
  <c r="T135" i="23"/>
  <c r="V135" i="23"/>
  <c r="S135" i="23"/>
  <c r="Y132" i="23"/>
  <c r="Q132" i="23"/>
  <c r="W22" i="23"/>
  <c r="L17" i="56" s="1"/>
  <c r="L16" i="56" s="1"/>
  <c r="L9" i="56" s="1"/>
  <c r="W132" i="23"/>
  <c r="T132" i="23"/>
  <c r="N18" i="23"/>
  <c r="H15" i="22" s="1"/>
  <c r="R132" i="23"/>
  <c r="Z132" i="23"/>
  <c r="O132" i="23"/>
  <c r="V132" i="23"/>
  <c r="X132" i="23"/>
  <c r="S22" i="23"/>
  <c r="S132" i="23"/>
  <c r="P132" i="23"/>
  <c r="U132" i="23"/>
  <c r="Y22" i="23"/>
  <c r="N17" i="56" s="1"/>
  <c r="Q22" i="23"/>
  <c r="F17" i="56" s="1"/>
  <c r="F16" i="56" s="1"/>
  <c r="F9" i="56" s="1"/>
  <c r="O22" i="23"/>
  <c r="C17" i="60" s="1"/>
  <c r="C16" i="60" s="1"/>
  <c r="C9" i="60" s="1"/>
  <c r="X22" i="23"/>
  <c r="L17" i="60" s="1"/>
  <c r="L16" i="60" s="1"/>
  <c r="L9" i="60" s="1"/>
  <c r="U22" i="23"/>
  <c r="J17" i="56" s="1"/>
  <c r="P22" i="23"/>
  <c r="E17" i="56" s="1"/>
  <c r="Y131" i="23"/>
  <c r="Z131" i="23"/>
  <c r="Z22" i="23"/>
  <c r="R131" i="23"/>
  <c r="N17" i="23"/>
  <c r="P131" i="23"/>
  <c r="O131" i="23"/>
  <c r="Q131" i="23"/>
  <c r="W131" i="23"/>
  <c r="R22" i="23"/>
  <c r="X131" i="23"/>
  <c r="T22" i="23"/>
  <c r="T131" i="23"/>
  <c r="V131" i="23"/>
  <c r="V22" i="23"/>
  <c r="S131" i="23"/>
  <c r="K17" i="60"/>
  <c r="K16" i="60" s="1"/>
  <c r="K9" i="60" s="1"/>
  <c r="U131" i="23"/>
  <c r="I48" i="56"/>
  <c r="I47" i="56" s="1"/>
  <c r="H48" i="60"/>
  <c r="H47" i="60" s="1"/>
  <c r="J48" i="56"/>
  <c r="I48" i="60"/>
  <c r="I47" i="60" s="1"/>
  <c r="F48" i="60"/>
  <c r="F47" i="60" s="1"/>
  <c r="G48" i="56"/>
  <c r="G47" i="56" s="1"/>
  <c r="H48" i="56"/>
  <c r="G48" i="60"/>
  <c r="G47" i="60" s="1"/>
  <c r="N96" i="19"/>
  <c r="K48" i="60"/>
  <c r="K47" i="60" s="1"/>
  <c r="K46" i="60" s="1"/>
  <c r="L48" i="56"/>
  <c r="O48" i="56"/>
  <c r="O47" i="56" s="1"/>
  <c r="O46" i="56" s="1"/>
  <c r="N48" i="60"/>
  <c r="N47" i="60" s="1"/>
  <c r="N46" i="60" s="1"/>
  <c r="M48" i="60"/>
  <c r="M47" i="60" s="1"/>
  <c r="M46" i="60" s="1"/>
  <c r="N48" i="56"/>
  <c r="M48" i="56"/>
  <c r="V142" i="19"/>
  <c r="Z142" i="19"/>
  <c r="P142" i="19"/>
  <c r="Y142" i="19"/>
  <c r="R142" i="19"/>
  <c r="Q142" i="19"/>
  <c r="T142" i="19"/>
  <c r="X142" i="19"/>
  <c r="U142" i="19"/>
  <c r="O142" i="19"/>
  <c r="N18" i="19"/>
  <c r="Q22" i="19"/>
  <c r="W142" i="19"/>
  <c r="S142" i="19"/>
  <c r="K50" i="56"/>
  <c r="K49" i="56" s="1"/>
  <c r="K46" i="56" s="1"/>
  <c r="J50" i="60"/>
  <c r="J49" i="60" s="1"/>
  <c r="J46" i="60" s="1"/>
  <c r="Y50" i="56"/>
  <c r="Y49" i="56" s="1"/>
  <c r="J50" i="56"/>
  <c r="I50" i="60"/>
  <c r="I49" i="60" s="1"/>
  <c r="I46" i="60" s="1"/>
  <c r="H50" i="60"/>
  <c r="H49" i="60" s="1"/>
  <c r="H46" i="60" s="1"/>
  <c r="I50" i="56"/>
  <c r="Q173" i="20"/>
  <c r="Y173" i="20"/>
  <c r="U173" i="20"/>
  <c r="T173" i="20"/>
  <c r="W173" i="20"/>
  <c r="Z173" i="20"/>
  <c r="V173" i="20"/>
  <c r="O173" i="20"/>
  <c r="S173" i="20"/>
  <c r="X173" i="20"/>
  <c r="P173" i="20"/>
  <c r="R173" i="20"/>
  <c r="Z22" i="46"/>
  <c r="O71" i="46"/>
  <c r="W71" i="46"/>
  <c r="T71" i="46"/>
  <c r="Z71" i="46"/>
  <c r="R22" i="46"/>
  <c r="X71" i="46"/>
  <c r="P71" i="46"/>
  <c r="V71" i="46"/>
  <c r="N52" i="46"/>
  <c r="S71" i="46"/>
  <c r="M22" i="46"/>
  <c r="R71" i="46"/>
  <c r="F29" i="60"/>
  <c r="F25" i="60" s="1"/>
  <c r="G29" i="56"/>
  <c r="N19" i="46"/>
  <c r="H16" i="45" s="1"/>
  <c r="Y72" i="46"/>
  <c r="W72" i="46"/>
  <c r="U72" i="46"/>
  <c r="S72" i="46"/>
  <c r="Q72" i="46"/>
  <c r="O72" i="46"/>
  <c r="Z72" i="46"/>
  <c r="V72" i="46"/>
  <c r="R72" i="46"/>
  <c r="P22" i="46"/>
  <c r="P72" i="46"/>
  <c r="T72" i="46"/>
  <c r="X22" i="46"/>
  <c r="X72" i="46"/>
  <c r="Q22" i="46"/>
  <c r="Q70" i="46"/>
  <c r="T70" i="46"/>
  <c r="R70" i="46"/>
  <c r="O70" i="46"/>
  <c r="X70" i="46"/>
  <c r="V70" i="46"/>
  <c r="O22" i="46"/>
  <c r="N17" i="46"/>
  <c r="P70" i="46"/>
  <c r="Y70" i="46"/>
  <c r="U70" i="46"/>
  <c r="U22" i="46"/>
  <c r="N18" i="46"/>
  <c r="H15" i="45" s="1"/>
  <c r="Q71" i="46"/>
  <c r="U71" i="46"/>
  <c r="Y22" i="46"/>
  <c r="Y71" i="46"/>
  <c r="I29" i="56"/>
  <c r="H29" i="60"/>
  <c r="W70" i="46"/>
  <c r="W22" i="46"/>
  <c r="S22" i="46"/>
  <c r="S70" i="46"/>
  <c r="N29" i="60"/>
  <c r="N25" i="60" s="1"/>
  <c r="O29" i="56"/>
  <c r="O25" i="56" s="1"/>
  <c r="Z70" i="46"/>
  <c r="G22" i="45"/>
  <c r="V22" i="46"/>
  <c r="G25" i="56"/>
  <c r="C35" i="60"/>
  <c r="D35" i="56"/>
  <c r="D35" i="60"/>
  <c r="E35" i="56"/>
  <c r="R35" i="56" s="1"/>
  <c r="I35" i="60"/>
  <c r="I33" i="60" s="1"/>
  <c r="J35" i="56"/>
  <c r="W35" i="56" s="1"/>
  <c r="K35" i="56"/>
  <c r="L35" i="56"/>
  <c r="K33" i="60"/>
  <c r="N18" i="2"/>
  <c r="T182" i="2"/>
  <c r="W182" i="2"/>
  <c r="Q182" i="2"/>
  <c r="S182" i="2"/>
  <c r="V182" i="2"/>
  <c r="Y182" i="2"/>
  <c r="E35" i="60"/>
  <c r="F35" i="56"/>
  <c r="R182" i="2"/>
  <c r="U182" i="2"/>
  <c r="P182" i="2"/>
  <c r="Z182" i="2"/>
  <c r="O182" i="2"/>
  <c r="X182" i="2"/>
  <c r="N36" i="60"/>
  <c r="N33" i="60" s="1"/>
  <c r="Z27" i="2"/>
  <c r="O36" i="56"/>
  <c r="O33" i="56" s="1"/>
  <c r="R27" i="2"/>
  <c r="G36" i="56"/>
  <c r="F36" i="60"/>
  <c r="I36" i="56"/>
  <c r="T27" i="2"/>
  <c r="H36" i="60"/>
  <c r="H33" i="60" s="1"/>
  <c r="V27" i="2"/>
  <c r="J36" i="60"/>
  <c r="J33" i="60" s="1"/>
  <c r="K36" i="56"/>
  <c r="Y36" i="56" s="1"/>
  <c r="L36" i="60"/>
  <c r="L33" i="60" s="1"/>
  <c r="X27" i="2"/>
  <c r="M36" i="56"/>
  <c r="AA36" i="56" s="1"/>
  <c r="AA33" i="56" s="1"/>
  <c r="J36" i="56"/>
  <c r="H36" i="56"/>
  <c r="L33" i="56"/>
  <c r="N33" i="56"/>
  <c r="U27" i="2"/>
  <c r="E36" i="60"/>
  <c r="Q27" i="2"/>
  <c r="F36" i="56"/>
  <c r="V183" i="2"/>
  <c r="T183" i="2"/>
  <c r="D36" i="60"/>
  <c r="D33" i="60" s="1"/>
  <c r="W183" i="2"/>
  <c r="E36" i="56"/>
  <c r="P27" i="2"/>
  <c r="B36" i="17"/>
  <c r="C36" i="17" s="1"/>
  <c r="N27" i="2"/>
  <c r="H16" i="10"/>
  <c r="E36" i="17"/>
  <c r="I36" i="17" s="1"/>
  <c r="Q36" i="56"/>
  <c r="D33" i="56"/>
  <c r="P36" i="56"/>
  <c r="Q183" i="2"/>
  <c r="R183" i="2"/>
  <c r="C36" i="60"/>
  <c r="C33" i="60" s="1"/>
  <c r="O27" i="2"/>
  <c r="X183" i="2"/>
  <c r="Y183" i="2"/>
  <c r="S183" i="2"/>
  <c r="P183" i="2"/>
  <c r="U183" i="2"/>
  <c r="O183" i="2"/>
  <c r="Z183" i="2"/>
  <c r="N120" i="12"/>
  <c r="V198" i="12"/>
  <c r="T198" i="12"/>
  <c r="O198" i="12"/>
  <c r="Y198" i="12"/>
  <c r="Q198" i="12"/>
  <c r="W198" i="12"/>
  <c r="Z198" i="12"/>
  <c r="P198" i="12"/>
  <c r="R27" i="12"/>
  <c r="X198" i="12"/>
  <c r="S198" i="12"/>
  <c r="N17" i="12"/>
  <c r="N27" i="12" s="1"/>
  <c r="R198" i="12"/>
  <c r="U198" i="12"/>
  <c r="S176" i="20"/>
  <c r="W176" i="20"/>
  <c r="Z176" i="20"/>
  <c r="O176" i="20"/>
  <c r="V176" i="20"/>
  <c r="R176" i="20"/>
  <c r="P175" i="20"/>
  <c r="X175" i="20"/>
  <c r="V175" i="20"/>
  <c r="T175" i="20"/>
  <c r="U175" i="20"/>
  <c r="O175" i="20"/>
  <c r="Q175" i="20"/>
  <c r="R175" i="20"/>
  <c r="S175" i="20"/>
  <c r="N151" i="20"/>
  <c r="N23" i="20" s="1"/>
  <c r="H23" i="18" s="1"/>
  <c r="N145" i="20"/>
  <c r="N22" i="20" s="1"/>
  <c r="H22" i="18" s="1"/>
  <c r="S174" i="20"/>
  <c r="O174" i="20"/>
  <c r="P174" i="20"/>
  <c r="V174" i="20"/>
  <c r="R174" i="20"/>
  <c r="Y174" i="20"/>
  <c r="U174" i="20"/>
  <c r="Q174" i="20"/>
  <c r="W174" i="20"/>
  <c r="X174" i="20"/>
  <c r="Z174" i="20"/>
  <c r="T174" i="20"/>
  <c r="R27" i="20"/>
  <c r="F50" i="60" s="1"/>
  <c r="F49" i="60" s="1"/>
  <c r="W172" i="20"/>
  <c r="T172" i="20"/>
  <c r="Z172" i="20"/>
  <c r="V172" i="20"/>
  <c r="O172" i="20"/>
  <c r="U172" i="20"/>
  <c r="S172" i="20"/>
  <c r="Q27" i="20"/>
  <c r="Y172" i="20"/>
  <c r="R172" i="20"/>
  <c r="Q172" i="20"/>
  <c r="X172" i="20"/>
  <c r="P172" i="20"/>
  <c r="O27" i="20"/>
  <c r="C50" i="60" s="1"/>
  <c r="C49" i="60" s="1"/>
  <c r="C46" i="60" s="1"/>
  <c r="V170" i="20"/>
  <c r="W170" i="20"/>
  <c r="O170" i="20"/>
  <c r="P170" i="20"/>
  <c r="Y170" i="20"/>
  <c r="Q170" i="20"/>
  <c r="X170" i="20"/>
  <c r="S170" i="20"/>
  <c r="T170" i="20"/>
  <c r="U170" i="20"/>
  <c r="N18" i="20"/>
  <c r="H18" i="18" s="1"/>
  <c r="R170" i="20"/>
  <c r="Z170" i="20"/>
  <c r="S27" i="20"/>
  <c r="T169" i="20"/>
  <c r="Q169" i="20"/>
  <c r="P27" i="20"/>
  <c r="N17" i="20"/>
  <c r="V169" i="20"/>
  <c r="U169" i="20"/>
  <c r="R169" i="20"/>
  <c r="X169" i="20"/>
  <c r="S169" i="20"/>
  <c r="O169" i="20"/>
  <c r="P169" i="20"/>
  <c r="Z169" i="20"/>
  <c r="Y169" i="20"/>
  <c r="W169" i="20"/>
  <c r="L43" i="66"/>
  <c r="M43" i="66"/>
  <c r="AS31" i="66"/>
  <c r="AT31" i="66"/>
  <c r="M47" i="66"/>
  <c r="L47" i="66"/>
  <c r="M50" i="66"/>
  <c r="L50" i="66"/>
  <c r="L51" i="66"/>
  <c r="M51" i="66"/>
  <c r="L54" i="66"/>
  <c r="M54" i="66"/>
  <c r="L22" i="66"/>
  <c r="M22" i="66"/>
  <c r="L79" i="66"/>
  <c r="M79" i="66"/>
  <c r="M94" i="66"/>
  <c r="L94" i="66"/>
  <c r="L45" i="66"/>
  <c r="M45" i="66"/>
  <c r="M48" i="66"/>
  <c r="L48" i="66"/>
  <c r="AT78" i="66"/>
  <c r="AQ78" i="66"/>
  <c r="AS78" i="66"/>
  <c r="M267" i="66"/>
  <c r="L267" i="66"/>
  <c r="M55" i="66"/>
  <c r="L55" i="66"/>
  <c r="M23" i="66"/>
  <c r="L23" i="66"/>
  <c r="M58" i="66"/>
  <c r="L58" i="66"/>
  <c r="M26" i="66"/>
  <c r="L26" i="66"/>
  <c r="M33" i="66"/>
  <c r="L33" i="66"/>
  <c r="L36" i="66"/>
  <c r="M36" i="66"/>
  <c r="AQ23" i="66"/>
  <c r="AS23" i="66"/>
  <c r="AT23" i="66"/>
  <c r="L86" i="66"/>
  <c r="M86" i="66"/>
  <c r="M92" i="66"/>
  <c r="L92" i="66"/>
  <c r="L46" i="66"/>
  <c r="M46" i="66"/>
  <c r="M37" i="66"/>
  <c r="L37" i="66"/>
  <c r="L59" i="66"/>
  <c r="M59" i="66"/>
  <c r="L27" i="66"/>
  <c r="M27" i="66"/>
  <c r="L62" i="66"/>
  <c r="M62" i="66"/>
  <c r="L30" i="66"/>
  <c r="M30" i="66"/>
  <c r="L87" i="66"/>
  <c r="M87" i="66"/>
  <c r="L80" i="66"/>
  <c r="M80" i="66"/>
  <c r="M53" i="66"/>
  <c r="L53" i="66"/>
  <c r="M56" i="66"/>
  <c r="L56" i="66"/>
  <c r="M24" i="66"/>
  <c r="L24" i="66"/>
  <c r="AS24" i="66"/>
  <c r="AT24" i="66"/>
  <c r="AQ24" i="66"/>
  <c r="M81" i="66"/>
  <c r="L81" i="66"/>
  <c r="AS82" i="66"/>
  <c r="AT82" i="66"/>
  <c r="AQ82" i="66"/>
  <c r="M63" i="66"/>
  <c r="L63" i="66"/>
  <c r="M31" i="66"/>
  <c r="L31" i="66"/>
  <c r="M34" i="66"/>
  <c r="L34" i="66"/>
  <c r="M269" i="66"/>
  <c r="L269" i="66"/>
  <c r="AQ89" i="66"/>
  <c r="AT89" i="66"/>
  <c r="AS89" i="66"/>
  <c r="AS267" i="66"/>
  <c r="AQ267" i="66"/>
  <c r="AT267" i="66"/>
  <c r="L40" i="66"/>
  <c r="M40" i="66"/>
  <c r="M90" i="66"/>
  <c r="L90" i="66"/>
  <c r="L41" i="66"/>
  <c r="M41" i="66"/>
  <c r="L44" i="66"/>
  <c r="M44" i="66"/>
  <c r="L35" i="66"/>
  <c r="M35" i="66"/>
  <c r="L38" i="66"/>
  <c r="M38" i="66"/>
  <c r="M88" i="66"/>
  <c r="L88" i="66"/>
  <c r="M61" i="66"/>
  <c r="L61" i="66"/>
  <c r="M29" i="66"/>
  <c r="L29" i="66"/>
  <c r="L64" i="66"/>
  <c r="M64" i="66"/>
  <c r="M32" i="66"/>
  <c r="L32" i="66"/>
  <c r="L89" i="66"/>
  <c r="M89" i="66"/>
  <c r="AT83" i="66"/>
  <c r="AS83" i="66"/>
  <c r="M82" i="66"/>
  <c r="L82" i="66"/>
  <c r="M268" i="66"/>
  <c r="L268" i="66"/>
  <c r="M39" i="66"/>
  <c r="L39" i="66"/>
  <c r="M42" i="66"/>
  <c r="L42" i="66"/>
  <c r="L93" i="66"/>
  <c r="M93" i="66"/>
  <c r="AQ269" i="66"/>
  <c r="AS269" i="66"/>
  <c r="AT269" i="66"/>
  <c r="M83" i="66"/>
  <c r="L83" i="66"/>
  <c r="AT268" i="66"/>
  <c r="AV268" i="66" s="1"/>
  <c r="AS268" i="66"/>
  <c r="AQ268" i="66"/>
  <c r="L49" i="66"/>
  <c r="M49" i="66"/>
  <c r="M52" i="66"/>
  <c r="L52" i="66"/>
  <c r="L125" i="66"/>
  <c r="M125" i="66"/>
  <c r="M136" i="66"/>
  <c r="L136" i="66"/>
  <c r="M104" i="66"/>
  <c r="L104" i="66"/>
  <c r="M152" i="66"/>
  <c r="L152" i="66"/>
  <c r="L147" i="66"/>
  <c r="M147" i="66"/>
  <c r="M111" i="66"/>
  <c r="L111" i="66"/>
  <c r="M122" i="66"/>
  <c r="L122" i="66"/>
  <c r="AT107" i="66"/>
  <c r="AS107" i="66"/>
  <c r="AQ107" i="66"/>
  <c r="M157" i="66"/>
  <c r="L157" i="66"/>
  <c r="AQ113" i="66"/>
  <c r="AT113" i="66"/>
  <c r="AV113" i="66" s="1"/>
  <c r="AS113" i="66"/>
  <c r="M121" i="66"/>
  <c r="L121" i="66"/>
  <c r="AQ22" i="66"/>
  <c r="AS22" i="66"/>
  <c r="AT22" i="66"/>
  <c r="M91" i="66"/>
  <c r="L91" i="66"/>
  <c r="L84" i="66"/>
  <c r="M84" i="66"/>
  <c r="M57" i="66"/>
  <c r="L57" i="66"/>
  <c r="L25" i="66"/>
  <c r="M25" i="66"/>
  <c r="L60" i="66"/>
  <c r="M60" i="66"/>
  <c r="M28" i="66"/>
  <c r="L28" i="66"/>
  <c r="L85" i="66"/>
  <c r="M85" i="66"/>
  <c r="L78" i="66"/>
  <c r="M78" i="66"/>
  <c r="AT118" i="66"/>
  <c r="AS118" i="66"/>
  <c r="AQ118" i="66"/>
  <c r="L133" i="66"/>
  <c r="M133" i="66"/>
  <c r="L101" i="66"/>
  <c r="M101" i="66"/>
  <c r="M112" i="66"/>
  <c r="L112" i="66"/>
  <c r="AS104" i="66"/>
  <c r="AQ104" i="66"/>
  <c r="AT104" i="66"/>
  <c r="AS103" i="66"/>
  <c r="AQ103" i="66"/>
  <c r="AT103" i="66"/>
  <c r="M155" i="66"/>
  <c r="L155" i="66"/>
  <c r="M119" i="66"/>
  <c r="L119" i="66"/>
  <c r="M130" i="66"/>
  <c r="L130" i="66"/>
  <c r="M98" i="66"/>
  <c r="L98" i="66"/>
  <c r="AS116" i="66"/>
  <c r="AQ116" i="66"/>
  <c r="AT116" i="66"/>
  <c r="AT115" i="66"/>
  <c r="AS115" i="66"/>
  <c r="AQ115" i="66"/>
  <c r="M129" i="66"/>
  <c r="L129" i="66"/>
  <c r="M97" i="66"/>
  <c r="L97" i="66"/>
  <c r="M150" i="66"/>
  <c r="L150" i="66"/>
  <c r="M145" i="66"/>
  <c r="L145" i="66"/>
  <c r="L141" i="66"/>
  <c r="M141" i="66"/>
  <c r="L109" i="66"/>
  <c r="M109" i="66"/>
  <c r="M120" i="66"/>
  <c r="L120" i="66"/>
  <c r="AQ108" i="66"/>
  <c r="AT108" i="66"/>
  <c r="AS108" i="66"/>
  <c r="M156" i="66"/>
  <c r="L156" i="66"/>
  <c r="AT110" i="66"/>
  <c r="AS110" i="66"/>
  <c r="AQ110" i="66"/>
  <c r="M158" i="66"/>
  <c r="L158" i="66"/>
  <c r="M127" i="66"/>
  <c r="L127" i="66"/>
  <c r="M95" i="66"/>
  <c r="L95" i="66"/>
  <c r="AS119" i="66"/>
  <c r="AQ119" i="66"/>
  <c r="AT119" i="66"/>
  <c r="M138" i="66"/>
  <c r="L138" i="66"/>
  <c r="M106" i="66"/>
  <c r="L106" i="66"/>
  <c r="AS114" i="66"/>
  <c r="AQ114" i="66"/>
  <c r="AT114" i="66"/>
  <c r="AV114" i="66" s="1"/>
  <c r="M148" i="66"/>
  <c r="L148" i="66"/>
  <c r="AS105" i="66"/>
  <c r="AQ105" i="66"/>
  <c r="AT105" i="66"/>
  <c r="AT98" i="66"/>
  <c r="AS98" i="66"/>
  <c r="AQ98" i="66"/>
  <c r="M146" i="66"/>
  <c r="L146" i="66"/>
  <c r="M137" i="66"/>
  <c r="L137" i="66"/>
  <c r="M105" i="66"/>
  <c r="L105" i="66"/>
  <c r="AQ112" i="66"/>
  <c r="AT112" i="66"/>
  <c r="AV112" i="66" s="1"/>
  <c r="AS112" i="66"/>
  <c r="M159" i="66"/>
  <c r="L159" i="66"/>
  <c r="L153" i="66"/>
  <c r="M153" i="66"/>
  <c r="L117" i="66"/>
  <c r="M117" i="66"/>
  <c r="M128" i="66"/>
  <c r="L128" i="66"/>
  <c r="M96" i="66"/>
  <c r="L96" i="66"/>
  <c r="M151" i="66"/>
  <c r="L151" i="66"/>
  <c r="AT117" i="66"/>
  <c r="AS117" i="66"/>
  <c r="AQ117" i="66"/>
  <c r="AS106" i="66"/>
  <c r="AQ106" i="66"/>
  <c r="AT106" i="66"/>
  <c r="M144" i="66"/>
  <c r="L144" i="66"/>
  <c r="M135" i="66"/>
  <c r="L135" i="66"/>
  <c r="M103" i="66"/>
  <c r="L103" i="66"/>
  <c r="M114" i="66"/>
  <c r="L114" i="66"/>
  <c r="M143" i="66"/>
  <c r="L143" i="66"/>
  <c r="AS109" i="66"/>
  <c r="AQ109" i="66"/>
  <c r="AT109" i="66"/>
  <c r="AQ111" i="66"/>
  <c r="AT111" i="66"/>
  <c r="AV111" i="66" s="1"/>
  <c r="AS111" i="66"/>
  <c r="M154" i="66"/>
  <c r="L154" i="66"/>
  <c r="M149" i="66"/>
  <c r="L149" i="66"/>
  <c r="M113" i="66"/>
  <c r="L113" i="66"/>
  <c r="L132" i="66"/>
  <c r="M132" i="66"/>
  <c r="L100" i="66"/>
  <c r="M100" i="66"/>
  <c r="M115" i="66"/>
  <c r="L115" i="66"/>
  <c r="M126" i="66"/>
  <c r="L126" i="66"/>
  <c r="L140" i="66"/>
  <c r="M140" i="66"/>
  <c r="L108" i="66"/>
  <c r="M108" i="66"/>
  <c r="M123" i="66"/>
  <c r="L123" i="66"/>
  <c r="M134" i="66"/>
  <c r="L134" i="66"/>
  <c r="M102" i="66"/>
  <c r="L102" i="66"/>
  <c r="L116" i="66"/>
  <c r="M116" i="66"/>
  <c r="M131" i="66"/>
  <c r="L131" i="66"/>
  <c r="M99" i="66"/>
  <c r="L99" i="66"/>
  <c r="M110" i="66"/>
  <c r="L110" i="66"/>
  <c r="L124" i="66"/>
  <c r="M124" i="66"/>
  <c r="M142" i="66"/>
  <c r="L142" i="66"/>
  <c r="M139" i="66"/>
  <c r="L139" i="66"/>
  <c r="M107" i="66"/>
  <c r="L107" i="66"/>
  <c r="M118" i="66"/>
  <c r="L118" i="66"/>
  <c r="M4" i="66"/>
  <c r="L4" i="66"/>
  <c r="M9" i="66"/>
  <c r="L9" i="66"/>
  <c r="L12" i="66"/>
  <c r="M12" i="66"/>
  <c r="AQ75" i="66"/>
  <c r="AS75" i="66"/>
  <c r="AT75" i="66"/>
  <c r="M76" i="66"/>
  <c r="L76" i="66"/>
  <c r="AQ196" i="66"/>
  <c r="AT196" i="66"/>
  <c r="AV196" i="66" s="1"/>
  <c r="AS196" i="66"/>
  <c r="M199" i="66"/>
  <c r="L199" i="66"/>
  <c r="M193" i="66"/>
  <c r="L193" i="66"/>
  <c r="AT250" i="66"/>
  <c r="AV250" i="66" s="1"/>
  <c r="AQ250" i="66"/>
  <c r="AS250" i="66"/>
  <c r="M171" i="66"/>
  <c r="L171" i="66"/>
  <c r="M240" i="66"/>
  <c r="L240" i="66"/>
  <c r="AQ301" i="66"/>
  <c r="AS301" i="66"/>
  <c r="AT301" i="66"/>
  <c r="AV301" i="66" s="1"/>
  <c r="AS163" i="66"/>
  <c r="AT163" i="66"/>
  <c r="AQ163" i="66"/>
  <c r="AS76" i="66"/>
  <c r="AT76" i="66"/>
  <c r="AQ76" i="66"/>
  <c r="M217" i="66"/>
  <c r="L217" i="66"/>
  <c r="M164" i="66"/>
  <c r="L164" i="66"/>
  <c r="L211" i="66"/>
  <c r="M211" i="66"/>
  <c r="L17" i="66"/>
  <c r="M17" i="66"/>
  <c r="L227" i="66"/>
  <c r="M227" i="66"/>
  <c r="L187" i="66"/>
  <c r="M187" i="66"/>
  <c r="M259" i="66"/>
  <c r="L259" i="66"/>
  <c r="M6" i="66"/>
  <c r="L6" i="66"/>
  <c r="AT4" i="66"/>
  <c r="AQ4" i="66"/>
  <c r="AS4" i="66"/>
  <c r="M71" i="66"/>
  <c r="L71" i="66"/>
  <c r="M176" i="66"/>
  <c r="L176" i="66"/>
  <c r="M197" i="66"/>
  <c r="L197" i="66"/>
  <c r="AQ168" i="66"/>
  <c r="AT168" i="66"/>
  <c r="AS168" i="66"/>
  <c r="AQ9" i="66"/>
  <c r="AT9" i="66"/>
  <c r="AS9" i="66"/>
  <c r="AS68" i="66"/>
  <c r="AQ68" i="66"/>
  <c r="AT68" i="66"/>
  <c r="M66" i="66"/>
  <c r="L66" i="66"/>
  <c r="AT73" i="66"/>
  <c r="AS73" i="66"/>
  <c r="AQ73" i="66"/>
  <c r="M77" i="66"/>
  <c r="L77" i="66"/>
  <c r="L182" i="66"/>
  <c r="M182" i="66"/>
  <c r="M186" i="66"/>
  <c r="L186" i="66"/>
  <c r="AT280" i="66"/>
  <c r="AV280" i="66" s="1"/>
  <c r="AS280" i="66"/>
  <c r="M222" i="66"/>
  <c r="L222" i="66"/>
  <c r="M16" i="66"/>
  <c r="L16" i="66"/>
  <c r="L11" i="66"/>
  <c r="M11" i="66"/>
  <c r="M14" i="66"/>
  <c r="L14" i="66"/>
  <c r="M68" i="66"/>
  <c r="L68" i="66"/>
  <c r="AQ7" i="66"/>
  <c r="AT7" i="66"/>
  <c r="AS7" i="66"/>
  <c r="AQ74" i="66"/>
  <c r="AS74" i="66"/>
  <c r="AT74" i="66"/>
  <c r="M8" i="66"/>
  <c r="L8" i="66"/>
  <c r="M201" i="66"/>
  <c r="L201" i="66"/>
  <c r="M15" i="66"/>
  <c r="L15" i="66"/>
  <c r="M69" i="66"/>
  <c r="L69" i="66"/>
  <c r="AS160" i="66"/>
  <c r="AT160" i="66"/>
  <c r="AQ160" i="66"/>
  <c r="M174" i="66"/>
  <c r="L174" i="66"/>
  <c r="AT208" i="66"/>
  <c r="AS208" i="66"/>
  <c r="AQ208" i="66"/>
  <c r="AQ71" i="66"/>
  <c r="AT71" i="66"/>
  <c r="AS71" i="66"/>
  <c r="AS167" i="66"/>
  <c r="AQ167" i="66"/>
  <c r="AT167" i="66"/>
  <c r="AS184" i="66"/>
  <c r="AQ184" i="66"/>
  <c r="AT184" i="66"/>
  <c r="AT204" i="66"/>
  <c r="AV204" i="66" s="1"/>
  <c r="AQ204" i="66"/>
  <c r="AS204" i="66"/>
  <c r="L188" i="66"/>
  <c r="M188" i="66"/>
  <c r="M72" i="66"/>
  <c r="L72" i="66"/>
  <c r="AS207" i="66"/>
  <c r="AT207" i="66"/>
  <c r="M221" i="66"/>
  <c r="L221" i="66"/>
  <c r="M19" i="66"/>
  <c r="L19" i="66"/>
  <c r="L73" i="66"/>
  <c r="M73" i="66"/>
  <c r="M235" i="66"/>
  <c r="L235" i="66"/>
  <c r="M178" i="66"/>
  <c r="L178" i="66"/>
  <c r="L225" i="66"/>
  <c r="M225" i="66"/>
  <c r="M168" i="66"/>
  <c r="L168" i="66"/>
  <c r="AT276" i="66"/>
  <c r="AV276" i="66" s="1"/>
  <c r="AS276" i="66"/>
  <c r="AQ276" i="66"/>
  <c r="M163" i="66"/>
  <c r="L163" i="66"/>
  <c r="AQ242" i="66"/>
  <c r="AS242" i="66"/>
  <c r="AT242" i="66"/>
  <c r="M292" i="66"/>
  <c r="L292" i="66"/>
  <c r="AT222" i="66"/>
  <c r="AS222" i="66"/>
  <c r="AQ222" i="66"/>
  <c r="M185" i="66"/>
  <c r="L185" i="66"/>
  <c r="M389" i="66"/>
  <c r="L389" i="66"/>
  <c r="AS3" i="66"/>
  <c r="AQ3" i="66"/>
  <c r="AT3" i="66"/>
  <c r="L5" i="66"/>
  <c r="M5" i="66"/>
  <c r="AT304" i="66"/>
  <c r="AS304" i="66"/>
  <c r="M3" i="66"/>
  <c r="L3" i="66"/>
  <c r="AT18" i="66"/>
  <c r="AS18" i="66"/>
  <c r="AQ18" i="66"/>
  <c r="M70" i="66"/>
  <c r="L70" i="66"/>
  <c r="L10" i="66"/>
  <c r="M10" i="66"/>
  <c r="AT253" i="66"/>
  <c r="AV253" i="66" s="1"/>
  <c r="AS253" i="66"/>
  <c r="AQ253" i="66"/>
  <c r="M18" i="66"/>
  <c r="L18" i="66"/>
  <c r="AT311" i="66"/>
  <c r="AS311" i="66"/>
  <c r="AQ311" i="66"/>
  <c r="M166" i="66"/>
  <c r="L166" i="66"/>
  <c r="M74" i="66"/>
  <c r="L74" i="66"/>
  <c r="M21" i="66"/>
  <c r="L21" i="66"/>
  <c r="M75" i="66"/>
  <c r="L75" i="66"/>
  <c r="M180" i="66"/>
  <c r="L180" i="66"/>
  <c r="M65" i="66"/>
  <c r="L65" i="66"/>
  <c r="AS171" i="66"/>
  <c r="AQ171" i="66"/>
  <c r="AT171" i="66"/>
  <c r="AV171" i="66" s="1"/>
  <c r="M170" i="66"/>
  <c r="L170" i="66"/>
  <c r="AQ2" i="66"/>
  <c r="AS2" i="66"/>
  <c r="AT2" i="66"/>
  <c r="AQ188" i="66"/>
  <c r="AT188" i="66"/>
  <c r="AS188" i="66"/>
  <c r="M233" i="66"/>
  <c r="L233" i="66"/>
  <c r="M160" i="66"/>
  <c r="L160" i="66"/>
  <c r="AT179" i="66"/>
  <c r="AV179" i="66" s="1"/>
  <c r="AS179" i="66"/>
  <c r="AQ179" i="66"/>
  <c r="M232" i="66"/>
  <c r="L232" i="66"/>
  <c r="AT227" i="66"/>
  <c r="AS227" i="66"/>
  <c r="AQ227" i="66"/>
  <c r="L250" i="66"/>
  <c r="M250" i="66"/>
  <c r="AS240" i="66"/>
  <c r="AT240" i="66"/>
  <c r="AQ240" i="66"/>
  <c r="M274" i="66"/>
  <c r="L274" i="66"/>
  <c r="M276" i="66"/>
  <c r="L276" i="66"/>
  <c r="L316" i="66"/>
  <c r="M316" i="66"/>
  <c r="AS226" i="66"/>
  <c r="AQ226" i="66"/>
  <c r="AT226" i="66"/>
  <c r="M278" i="66"/>
  <c r="L278" i="66"/>
  <c r="AQ6" i="66"/>
  <c r="AS6" i="66"/>
  <c r="AT6" i="66"/>
  <c r="AV6" i="66" s="1"/>
  <c r="AQ14" i="66"/>
  <c r="AS14" i="66"/>
  <c r="AT14" i="66"/>
  <c r="AT69" i="66"/>
  <c r="AS69" i="66"/>
  <c r="AQ69" i="66"/>
  <c r="M2" i="66"/>
  <c r="L2" i="66"/>
  <c r="M20" i="66"/>
  <c r="L20" i="66"/>
  <c r="M7" i="66"/>
  <c r="L7" i="66"/>
  <c r="M219" i="66"/>
  <c r="L219" i="66"/>
  <c r="M209" i="66"/>
  <c r="L209" i="66"/>
  <c r="M190" i="66"/>
  <c r="L190" i="66"/>
  <c r="L215" i="66"/>
  <c r="M215" i="66"/>
  <c r="AQ164" i="66"/>
  <c r="AS164" i="66"/>
  <c r="AT164" i="66"/>
  <c r="AT201" i="66"/>
  <c r="AV201" i="66" s="1"/>
  <c r="AS201" i="66"/>
  <c r="AQ201" i="66"/>
  <c r="AS190" i="66"/>
  <c r="AQ190" i="66"/>
  <c r="AT190" i="66"/>
  <c r="AV190" i="66" s="1"/>
  <c r="M13" i="66"/>
  <c r="L13" i="66"/>
  <c r="L67" i="66"/>
  <c r="M67" i="66"/>
  <c r="M172" i="66"/>
  <c r="L172" i="66"/>
  <c r="AS169" i="66"/>
  <c r="AT169" i="66"/>
  <c r="AS198" i="66"/>
  <c r="AT198" i="66"/>
  <c r="AV198" i="66" s="1"/>
  <c r="M162" i="66"/>
  <c r="L162" i="66"/>
  <c r="AS195" i="66"/>
  <c r="AT195" i="66"/>
  <c r="AV195" i="66" s="1"/>
  <c r="AQ195" i="66"/>
  <c r="AS194" i="66"/>
  <c r="AQ194" i="66"/>
  <c r="AT194" i="66"/>
  <c r="AS77" i="66"/>
  <c r="AQ77" i="66"/>
  <c r="AT77" i="66"/>
  <c r="M205" i="66"/>
  <c r="L205" i="66"/>
  <c r="AT192" i="66"/>
  <c r="AV192" i="66" s="1"/>
  <c r="AQ192" i="66"/>
  <c r="AS192" i="66"/>
  <c r="AT161" i="66"/>
  <c r="AS161" i="66"/>
  <c r="AQ161" i="66"/>
  <c r="M184" i="66"/>
  <c r="L184" i="66"/>
  <c r="AQ245" i="66"/>
  <c r="AT245" i="66"/>
  <c r="AS245" i="66"/>
  <c r="M200" i="66"/>
  <c r="L200" i="66"/>
  <c r="AS206" i="66"/>
  <c r="AT206" i="66"/>
  <c r="M228" i="66"/>
  <c r="L228" i="66"/>
  <c r="M246" i="66"/>
  <c r="L246" i="66"/>
  <c r="L247" i="66"/>
  <c r="M247" i="66"/>
  <c r="M202" i="66"/>
  <c r="L202" i="66"/>
  <c r="M224" i="66"/>
  <c r="L224" i="66"/>
  <c r="AQ219" i="66"/>
  <c r="AT219" i="66"/>
  <c r="AV219" i="66" s="1"/>
  <c r="AS219" i="66"/>
  <c r="M242" i="66"/>
  <c r="L242" i="66"/>
  <c r="AQ236" i="66"/>
  <c r="AT236" i="66"/>
  <c r="AV236" i="66" s="1"/>
  <c r="AS236" i="66"/>
  <c r="M333" i="66"/>
  <c r="L333" i="66"/>
  <c r="L216" i="66"/>
  <c r="M216" i="66"/>
  <c r="AQ214" i="66"/>
  <c r="AT214" i="66"/>
  <c r="AS214" i="66"/>
  <c r="M258" i="66"/>
  <c r="L258" i="66"/>
  <c r="AQ189" i="66"/>
  <c r="AT189" i="66"/>
  <c r="AS189" i="66"/>
  <c r="M264" i="66"/>
  <c r="L264" i="66"/>
  <c r="L223" i="66"/>
  <c r="M223" i="66"/>
  <c r="M255" i="66"/>
  <c r="L255" i="66"/>
  <c r="M310" i="66"/>
  <c r="L310" i="66"/>
  <c r="AS251" i="66"/>
  <c r="AQ251" i="66"/>
  <c r="AT251" i="66"/>
  <c r="AV251" i="66" s="1"/>
  <c r="M207" i="66"/>
  <c r="L207" i="66"/>
  <c r="AS286" i="66"/>
  <c r="AT286" i="66"/>
  <c r="M210" i="66"/>
  <c r="L210" i="66"/>
  <c r="AQ254" i="66"/>
  <c r="AS254" i="66"/>
  <c r="AT254" i="66"/>
  <c r="AV254" i="66" s="1"/>
  <c r="M249" i="66"/>
  <c r="L249" i="66"/>
  <c r="AQ339" i="66"/>
  <c r="AT339" i="66"/>
  <c r="AS339" i="66"/>
  <c r="L192" i="66"/>
  <c r="M192" i="66"/>
  <c r="M229" i="66"/>
  <c r="L229" i="66"/>
  <c r="AS298" i="66"/>
  <c r="AT298" i="66"/>
  <c r="AV298" i="66" s="1"/>
  <c r="M355" i="66"/>
  <c r="L355" i="66"/>
  <c r="AT191" i="66"/>
  <c r="AS191" i="66"/>
  <c r="M266" i="66"/>
  <c r="L266" i="66"/>
  <c r="L263" i="66"/>
  <c r="M263" i="66"/>
  <c r="AT238" i="66"/>
  <c r="AS238" i="66"/>
  <c r="AQ238" i="66"/>
  <c r="AS233" i="66"/>
  <c r="AQ233" i="66"/>
  <c r="AT233" i="66"/>
  <c r="AV233" i="66" s="1"/>
  <c r="AS216" i="66"/>
  <c r="AQ216" i="66"/>
  <c r="AT216" i="66"/>
  <c r="AS258" i="66"/>
  <c r="AQ258" i="66"/>
  <c r="AT258" i="66"/>
  <c r="AT278" i="66"/>
  <c r="AV278" i="66" s="1"/>
  <c r="AS278" i="66"/>
  <c r="AQ221" i="66"/>
  <c r="AT221" i="66"/>
  <c r="AS221" i="66"/>
  <c r="AS215" i="66"/>
  <c r="AQ215" i="66"/>
  <c r="AT215" i="66"/>
  <c r="AT239" i="66"/>
  <c r="AS239" i="66"/>
  <c r="AQ239" i="66"/>
  <c r="M196" i="66"/>
  <c r="L196" i="66"/>
  <c r="AQ183" i="66"/>
  <c r="AT183" i="66"/>
  <c r="AS183" i="66"/>
  <c r="M165" i="66"/>
  <c r="L165" i="66"/>
  <c r="AQ247" i="66"/>
  <c r="AT247" i="66"/>
  <c r="AV247" i="66" s="1"/>
  <c r="AS247" i="66"/>
  <c r="L308" i="66"/>
  <c r="M308" i="66"/>
  <c r="AQ271" i="66"/>
  <c r="AT271" i="66"/>
  <c r="AS271" i="66"/>
  <c r="M303" i="66"/>
  <c r="L303" i="66"/>
  <c r="L275" i="66"/>
  <c r="M275" i="66"/>
  <c r="M317" i="66"/>
  <c r="L317" i="66"/>
  <c r="M203" i="66"/>
  <c r="L203" i="66"/>
  <c r="AS228" i="66"/>
  <c r="AQ228" i="66"/>
  <c r="AT228" i="66"/>
  <c r="AQ235" i="66"/>
  <c r="AT235" i="66"/>
  <c r="AS235" i="66"/>
  <c r="L214" i="66"/>
  <c r="M214" i="66"/>
  <c r="M177" i="66"/>
  <c r="L177" i="66"/>
  <c r="AT270" i="66"/>
  <c r="AS270" i="66"/>
  <c r="AQ270" i="66"/>
  <c r="L220" i="66"/>
  <c r="M220" i="66"/>
  <c r="M183" i="66"/>
  <c r="L183" i="66"/>
  <c r="AT218" i="66"/>
  <c r="AS218" i="66"/>
  <c r="AQ218" i="66"/>
  <c r="M173" i="66"/>
  <c r="L173" i="66"/>
  <c r="AQ292" i="66"/>
  <c r="AT292" i="66"/>
  <c r="AS292" i="66"/>
  <c r="L288" i="66"/>
  <c r="M288" i="66"/>
  <c r="AQ272" i="66"/>
  <c r="AT272" i="66"/>
  <c r="AS272" i="66"/>
  <c r="M296" i="66"/>
  <c r="L296" i="66"/>
  <c r="M294" i="66"/>
  <c r="L294" i="66"/>
  <c r="AQ259" i="66"/>
  <c r="AT259" i="66"/>
  <c r="AS259" i="66"/>
  <c r="M314" i="66"/>
  <c r="L314" i="66"/>
  <c r="M300" i="66"/>
  <c r="L300" i="66"/>
  <c r="AT289" i="66"/>
  <c r="AV289" i="66" s="1"/>
  <c r="AS289" i="66"/>
  <c r="AT356" i="66"/>
  <c r="AQ356" i="66"/>
  <c r="AS356" i="66"/>
  <c r="M390" i="66"/>
  <c r="L390" i="66"/>
  <c r="L257" i="66"/>
  <c r="M257" i="66"/>
  <c r="M286" i="66"/>
  <c r="L286" i="66"/>
  <c r="M328" i="66"/>
  <c r="L328" i="66"/>
  <c r="L208" i="66"/>
  <c r="M208" i="66"/>
  <c r="AT193" i="66"/>
  <c r="AV193" i="66" s="1"/>
  <c r="AS193" i="66"/>
  <c r="AQ193" i="66"/>
  <c r="AS220" i="66"/>
  <c r="AQ220" i="66"/>
  <c r="AT220" i="66"/>
  <c r="AV220" i="66" s="1"/>
  <c r="AS302" i="66"/>
  <c r="AT302" i="66"/>
  <c r="L319" i="66"/>
  <c r="M319" i="66"/>
  <c r="AS232" i="66"/>
  <c r="AQ232" i="66"/>
  <c r="AT232" i="66"/>
  <c r="AV232" i="66" s="1"/>
  <c r="M206" i="66"/>
  <c r="L206" i="66"/>
  <c r="L256" i="66"/>
  <c r="M256" i="66"/>
  <c r="M270" i="66"/>
  <c r="L270" i="66"/>
  <c r="M169" i="66"/>
  <c r="L169" i="66"/>
  <c r="AT237" i="66"/>
  <c r="AQ237" i="66"/>
  <c r="AS237" i="66"/>
  <c r="AQ203" i="66"/>
  <c r="AT203" i="66"/>
  <c r="AS203" i="66"/>
  <c r="AS241" i="66"/>
  <c r="AQ241" i="66"/>
  <c r="AT241" i="66"/>
  <c r="AS231" i="66"/>
  <c r="AQ231" i="66"/>
  <c r="AT231" i="66"/>
  <c r="AV231" i="66" s="1"/>
  <c r="M348" i="66"/>
  <c r="L348" i="66"/>
  <c r="M384" i="66"/>
  <c r="L384" i="66"/>
  <c r="AT200" i="66"/>
  <c r="AV200" i="66" s="1"/>
  <c r="AS200" i="66"/>
  <c r="M191" i="66"/>
  <c r="L191" i="66"/>
  <c r="M212" i="66"/>
  <c r="L212" i="66"/>
  <c r="M262" i="66"/>
  <c r="L262" i="66"/>
  <c r="M175" i="66"/>
  <c r="L175" i="66"/>
  <c r="M293" i="66"/>
  <c r="L293" i="66"/>
  <c r="M234" i="66"/>
  <c r="L234" i="66"/>
  <c r="M252" i="66"/>
  <c r="L252" i="66"/>
  <c r="AQ199" i="66"/>
  <c r="AT199" i="66"/>
  <c r="AS199" i="66"/>
  <c r="AT293" i="66"/>
  <c r="AQ293" i="66"/>
  <c r="AS293" i="66"/>
  <c r="M329" i="66"/>
  <c r="L329" i="66"/>
  <c r="L253" i="66"/>
  <c r="M253" i="66"/>
  <c r="L291" i="66"/>
  <c r="M291" i="66"/>
  <c r="L282" i="66"/>
  <c r="M282" i="66"/>
  <c r="AS317" i="66"/>
  <c r="AQ317" i="66"/>
  <c r="AT317" i="66"/>
  <c r="M306" i="66"/>
  <c r="L306" i="66"/>
  <c r="M273" i="66"/>
  <c r="L273" i="66"/>
  <c r="AQ312" i="66"/>
  <c r="AT312" i="66"/>
  <c r="AS312" i="66"/>
  <c r="M344" i="66"/>
  <c r="L344" i="66"/>
  <c r="AQ374" i="66"/>
  <c r="AT374" i="66"/>
  <c r="AS374" i="66"/>
  <c r="L179" i="66"/>
  <c r="M179" i="66"/>
  <c r="M237" i="66"/>
  <c r="L237" i="66"/>
  <c r="AT173" i="66"/>
  <c r="AS173" i="66"/>
  <c r="AQ173" i="66"/>
  <c r="M195" i="66"/>
  <c r="L195" i="66"/>
  <c r="AS202" i="66"/>
  <c r="AT202" i="66"/>
  <c r="AT224" i="66"/>
  <c r="AS224" i="66"/>
  <c r="AQ224" i="66"/>
  <c r="M198" i="66"/>
  <c r="L198" i="66"/>
  <c r="M230" i="66"/>
  <c r="L230" i="66"/>
  <c r="M248" i="66"/>
  <c r="L248" i="66"/>
  <c r="M161" i="66"/>
  <c r="L161" i="66"/>
  <c r="AT229" i="66"/>
  <c r="AS229" i="66"/>
  <c r="AQ229" i="66"/>
  <c r="AS223" i="66"/>
  <c r="AQ223" i="66"/>
  <c r="AT223" i="66"/>
  <c r="AV223" i="66" s="1"/>
  <c r="L284" i="66"/>
  <c r="M284" i="66"/>
  <c r="AT357" i="66"/>
  <c r="AS357" i="66"/>
  <c r="AQ357" i="66"/>
  <c r="AS252" i="66"/>
  <c r="AT252" i="66"/>
  <c r="AV252" i="66" s="1"/>
  <c r="AQ252" i="66"/>
  <c r="AT296" i="66"/>
  <c r="AV296" i="66" s="1"/>
  <c r="AS296" i="66"/>
  <c r="AQ296" i="66"/>
  <c r="AT243" i="66"/>
  <c r="AS243" i="66"/>
  <c r="AQ243" i="66"/>
  <c r="L204" i="66"/>
  <c r="M204" i="66"/>
  <c r="L236" i="66"/>
  <c r="M236" i="66"/>
  <c r="L254" i="66"/>
  <c r="M254" i="66"/>
  <c r="AT197" i="66"/>
  <c r="AV197" i="66" s="1"/>
  <c r="AS197" i="66"/>
  <c r="M167" i="66"/>
  <c r="L167" i="66"/>
  <c r="AS234" i="66"/>
  <c r="AQ234" i="66"/>
  <c r="AT234" i="66"/>
  <c r="AV234" i="66" s="1"/>
  <c r="L272" i="66"/>
  <c r="M272" i="66"/>
  <c r="AS365" i="66"/>
  <c r="AT365" i="66"/>
  <c r="AV365" i="66" s="1"/>
  <c r="M260" i="66"/>
  <c r="L260" i="66"/>
  <c r="M287" i="66"/>
  <c r="L287" i="66"/>
  <c r="M261" i="66"/>
  <c r="L261" i="66"/>
  <c r="M290" i="66"/>
  <c r="L290" i="66"/>
  <c r="M311" i="66"/>
  <c r="L311" i="66"/>
  <c r="M340" i="66"/>
  <c r="L340" i="66"/>
  <c r="M251" i="66"/>
  <c r="L251" i="66"/>
  <c r="M283" i="66"/>
  <c r="L283" i="66"/>
  <c r="L280" i="66"/>
  <c r="M280" i="66"/>
  <c r="M295" i="66"/>
  <c r="L295" i="66"/>
  <c r="AT310" i="66"/>
  <c r="AS310" i="66"/>
  <c r="AQ310" i="66"/>
  <c r="M309" i="66"/>
  <c r="L309" i="66"/>
  <c r="L338" i="66"/>
  <c r="M338" i="66"/>
  <c r="L299" i="66"/>
  <c r="M299" i="66"/>
  <c r="AT370" i="66"/>
  <c r="AV370" i="66" s="1"/>
  <c r="AS370" i="66"/>
  <c r="AT375" i="66"/>
  <c r="AS375" i="66"/>
  <c r="AQ375" i="66"/>
  <c r="AQ205" i="66"/>
  <c r="AT205" i="66"/>
  <c r="AS205" i="66"/>
  <c r="M337" i="66"/>
  <c r="L337" i="66"/>
  <c r="AS260" i="66"/>
  <c r="AQ260" i="66"/>
  <c r="AT260" i="66"/>
  <c r="M194" i="66"/>
  <c r="L194" i="66"/>
  <c r="M226" i="66"/>
  <c r="L226" i="66"/>
  <c r="AS256" i="66"/>
  <c r="AQ256" i="66"/>
  <c r="AT256" i="66"/>
  <c r="M244" i="66"/>
  <c r="L244" i="66"/>
  <c r="M189" i="66"/>
  <c r="L189" i="66"/>
  <c r="AQ185" i="66"/>
  <c r="AT185" i="66"/>
  <c r="AS185" i="66"/>
  <c r="M239" i="66"/>
  <c r="L239" i="66"/>
  <c r="L285" i="66"/>
  <c r="M285" i="66"/>
  <c r="M245" i="66"/>
  <c r="L245" i="66"/>
  <c r="M312" i="66"/>
  <c r="L312" i="66"/>
  <c r="M277" i="66"/>
  <c r="L277" i="66"/>
  <c r="AT299" i="66"/>
  <c r="AS299" i="66"/>
  <c r="AS281" i="66"/>
  <c r="AQ281" i="66"/>
  <c r="AT281" i="66"/>
  <c r="AV281" i="66" s="1"/>
  <c r="M243" i="66"/>
  <c r="L243" i="66"/>
  <c r="M304" i="66"/>
  <c r="L304" i="66"/>
  <c r="M241" i="66"/>
  <c r="L241" i="66"/>
  <c r="AS275" i="66"/>
  <c r="AQ275" i="66"/>
  <c r="AT275" i="66"/>
  <c r="AV275" i="66" s="1"/>
  <c r="M381" i="66"/>
  <c r="L381" i="66"/>
  <c r="AS373" i="66"/>
  <c r="AQ373" i="66"/>
  <c r="AT373" i="66"/>
  <c r="M323" i="66"/>
  <c r="L323" i="66"/>
  <c r="M307" i="66"/>
  <c r="L307" i="66"/>
  <c r="M342" i="66"/>
  <c r="L342" i="66"/>
  <c r="M297" i="66"/>
  <c r="L297" i="66"/>
  <c r="AT255" i="66"/>
  <c r="AV255" i="66" s="1"/>
  <c r="AS255" i="66"/>
  <c r="AQ255" i="66"/>
  <c r="AQ246" i="66"/>
  <c r="AS246" i="66"/>
  <c r="AT246" i="66"/>
  <c r="AV246" i="66" s="1"/>
  <c r="M271" i="66"/>
  <c r="L271" i="66"/>
  <c r="M213" i="66"/>
  <c r="L213" i="66"/>
  <c r="M231" i="66"/>
  <c r="L231" i="66"/>
  <c r="M218" i="66"/>
  <c r="L218" i="66"/>
  <c r="AT249" i="66"/>
  <c r="AS249" i="66"/>
  <c r="AQ249" i="66"/>
  <c r="M181" i="66"/>
  <c r="L181" i="66"/>
  <c r="AS320" i="66"/>
  <c r="AQ320" i="66"/>
  <c r="AT320" i="66"/>
  <c r="AV320" i="66" s="1"/>
  <c r="L238" i="66"/>
  <c r="M238" i="66"/>
  <c r="AT277" i="66"/>
  <c r="AV277" i="66" s="1"/>
  <c r="AS277" i="66"/>
  <c r="AS303" i="66"/>
  <c r="AT303" i="66"/>
  <c r="AV303" i="66" s="1"/>
  <c r="M279" i="66"/>
  <c r="L279" i="66"/>
  <c r="L320" i="66"/>
  <c r="M320" i="66"/>
  <c r="M321" i="66"/>
  <c r="L321" i="66"/>
  <c r="AS279" i="66"/>
  <c r="AT279" i="66"/>
  <c r="AV279" i="66" s="1"/>
  <c r="AQ273" i="66"/>
  <c r="AT273" i="66"/>
  <c r="AS273" i="66"/>
  <c r="M379" i="66"/>
  <c r="L379" i="66"/>
  <c r="AS257" i="66"/>
  <c r="AQ257" i="66"/>
  <c r="AT257" i="66"/>
  <c r="AV257" i="66" s="1"/>
  <c r="M265" i="66"/>
  <c r="L265" i="66"/>
  <c r="AT297" i="66"/>
  <c r="AS297" i="66"/>
  <c r="AT367" i="66"/>
  <c r="AV367" i="66" s="1"/>
  <c r="AS367" i="66"/>
  <c r="M302" i="66"/>
  <c r="L302" i="66"/>
  <c r="M336" i="66"/>
  <c r="L336" i="66"/>
  <c r="M305" i="66"/>
  <c r="L305" i="66"/>
  <c r="M327" i="66"/>
  <c r="L327" i="66"/>
  <c r="M392" i="66"/>
  <c r="L392" i="66"/>
  <c r="M373" i="66"/>
  <c r="L373" i="66"/>
  <c r="M331" i="66"/>
  <c r="L331" i="66"/>
  <c r="L394" i="66"/>
  <c r="M394" i="66"/>
  <c r="M407" i="66"/>
  <c r="L407" i="66"/>
  <c r="M301" i="66"/>
  <c r="L301" i="66"/>
  <c r="M325" i="66"/>
  <c r="L325" i="66"/>
  <c r="M281" i="66"/>
  <c r="L281" i="66"/>
  <c r="M357" i="66"/>
  <c r="L357" i="66"/>
  <c r="M405" i="66"/>
  <c r="L405" i="66"/>
  <c r="M318" i="66"/>
  <c r="L318" i="66"/>
  <c r="M326" i="66"/>
  <c r="L326" i="66"/>
  <c r="M322" i="66"/>
  <c r="L322" i="66"/>
  <c r="AQ376" i="66"/>
  <c r="AT376" i="66"/>
  <c r="AS376" i="66"/>
  <c r="M375" i="66"/>
  <c r="L375" i="66"/>
  <c r="M387" i="66"/>
  <c r="L387" i="66"/>
  <c r="L420" i="66"/>
  <c r="M420" i="66"/>
  <c r="M289" i="66"/>
  <c r="L289" i="66"/>
  <c r="M377" i="66"/>
  <c r="L377" i="66"/>
  <c r="AT415" i="66"/>
  <c r="AS415" i="66"/>
  <c r="AQ415" i="66"/>
  <c r="L298" i="66"/>
  <c r="M298" i="66"/>
  <c r="L315" i="66"/>
  <c r="M315" i="66"/>
  <c r="M335" i="66"/>
  <c r="L335" i="66"/>
  <c r="AT314" i="66"/>
  <c r="AV314" i="66" s="1"/>
  <c r="AS314" i="66"/>
  <c r="AQ314" i="66"/>
  <c r="M346" i="66"/>
  <c r="L346" i="66"/>
  <c r="L334" i="66"/>
  <c r="M334" i="66"/>
  <c r="M404" i="66"/>
  <c r="L404" i="66"/>
  <c r="M313" i="66"/>
  <c r="L313" i="66"/>
  <c r="M330" i="66"/>
  <c r="L330" i="66"/>
  <c r="L332" i="66"/>
  <c r="M332" i="66"/>
  <c r="M372" i="66"/>
  <c r="L372" i="66"/>
  <c r="AT390" i="66"/>
  <c r="AQ390" i="66"/>
  <c r="AS390" i="66"/>
  <c r="M349" i="66"/>
  <c r="L349" i="66"/>
  <c r="L360" i="66"/>
  <c r="M360" i="66"/>
  <c r="M350" i="66"/>
  <c r="L350" i="66"/>
  <c r="M395" i="66"/>
  <c r="L395" i="66"/>
  <c r="M365" i="66"/>
  <c r="L365" i="66"/>
  <c r="M359" i="66"/>
  <c r="L359" i="66"/>
  <c r="M401" i="66"/>
  <c r="L401" i="66"/>
  <c r="AT344" i="66"/>
  <c r="AV344" i="66" s="1"/>
  <c r="AS344" i="66"/>
  <c r="AQ344" i="66"/>
  <c r="AT377" i="66"/>
  <c r="AQ377" i="66"/>
  <c r="AS377" i="66"/>
  <c r="M351" i="66"/>
  <c r="L351" i="66"/>
  <c r="M341" i="66"/>
  <c r="L341" i="66"/>
  <c r="L364" i="66"/>
  <c r="M364" i="66"/>
  <c r="L363" i="66"/>
  <c r="M363" i="66"/>
  <c r="L402" i="66"/>
  <c r="M402" i="66"/>
  <c r="M367" i="66"/>
  <c r="L367" i="66"/>
  <c r="L412" i="66"/>
  <c r="M412" i="66"/>
  <c r="M356" i="66"/>
  <c r="L356" i="66"/>
  <c r="M354" i="66"/>
  <c r="L354" i="66"/>
  <c r="M399" i="66"/>
  <c r="L399" i="66"/>
  <c r="M368" i="66"/>
  <c r="L368" i="66"/>
  <c r="AS371" i="66"/>
  <c r="AQ371" i="66"/>
  <c r="AT371" i="66"/>
  <c r="AS346" i="66"/>
  <c r="AQ346" i="66"/>
  <c r="AT346" i="66"/>
  <c r="AV346" i="66" s="1"/>
  <c r="AS401" i="66"/>
  <c r="AT401" i="66"/>
  <c r="AS364" i="66"/>
  <c r="AQ364" i="66"/>
  <c r="AT364" i="66"/>
  <c r="AV364" i="66" s="1"/>
  <c r="AS416" i="66"/>
  <c r="AQ416" i="66"/>
  <c r="AT416" i="66"/>
  <c r="AV416" i="66" s="1"/>
  <c r="L386" i="66"/>
  <c r="M386" i="66"/>
  <c r="M416" i="66"/>
  <c r="L416" i="66"/>
  <c r="M391" i="66"/>
  <c r="L391" i="66"/>
  <c r="AS372" i="66"/>
  <c r="AQ372" i="66"/>
  <c r="AT372" i="66"/>
  <c r="M376" i="66"/>
  <c r="L376" i="66"/>
  <c r="M383" i="66"/>
  <c r="L383" i="66"/>
  <c r="AS360" i="66"/>
  <c r="AT360" i="66"/>
  <c r="AV360" i="66" s="1"/>
  <c r="L339" i="66"/>
  <c r="M339" i="66"/>
  <c r="AT369" i="66"/>
  <c r="AS369" i="66"/>
  <c r="AQ369" i="66"/>
  <c r="AS359" i="66"/>
  <c r="AQ359" i="66"/>
  <c r="AT359" i="66"/>
  <c r="AV359" i="66" s="1"/>
  <c r="AQ378" i="66"/>
  <c r="AT378" i="66"/>
  <c r="AS378" i="66"/>
  <c r="AQ363" i="66"/>
  <c r="AT363" i="66"/>
  <c r="AS363" i="66"/>
  <c r="M347" i="66"/>
  <c r="L347" i="66"/>
  <c r="L408" i="66"/>
  <c r="M408" i="66"/>
  <c r="M374" i="66"/>
  <c r="L374" i="66"/>
  <c r="AT417" i="66"/>
  <c r="AS417" i="66"/>
  <c r="AQ417" i="66"/>
  <c r="M370" i="66"/>
  <c r="L370" i="66"/>
  <c r="AT421" i="66"/>
  <c r="AV421" i="66" s="1"/>
  <c r="AS421" i="66"/>
  <c r="AQ421" i="66"/>
  <c r="AS403" i="66"/>
  <c r="AQ403" i="66"/>
  <c r="AT403" i="66"/>
  <c r="AV403" i="66" s="1"/>
  <c r="M345" i="66"/>
  <c r="L345" i="66"/>
  <c r="M352" i="66"/>
  <c r="L352" i="66"/>
  <c r="M353" i="66"/>
  <c r="L353" i="66"/>
  <c r="L371" i="66"/>
  <c r="M371" i="66"/>
  <c r="AT361" i="66"/>
  <c r="AV361" i="66" s="1"/>
  <c r="AS361" i="66"/>
  <c r="M343" i="66"/>
  <c r="L343" i="66"/>
  <c r="AT389" i="66"/>
  <c r="AS389" i="66"/>
  <c r="AQ389" i="66"/>
  <c r="M410" i="66"/>
  <c r="L410" i="66"/>
  <c r="M362" i="66"/>
  <c r="L362" i="66"/>
  <c r="M382" i="66"/>
  <c r="L382" i="66"/>
  <c r="M378" i="66"/>
  <c r="L378" i="66"/>
  <c r="M393" i="66"/>
  <c r="L393" i="66"/>
  <c r="M414" i="66"/>
  <c r="L414" i="66"/>
  <c r="M388" i="66"/>
  <c r="L388" i="66"/>
  <c r="M417" i="66"/>
  <c r="L417" i="66"/>
  <c r="M421" i="66"/>
  <c r="L421" i="66"/>
  <c r="L366" i="66"/>
  <c r="M366" i="66"/>
  <c r="L380" i="66"/>
  <c r="M380" i="66"/>
  <c r="AT419" i="66"/>
  <c r="AS419" i="66"/>
  <c r="AQ419" i="66"/>
  <c r="AT407" i="66"/>
  <c r="AQ407" i="66"/>
  <c r="AS407" i="66"/>
  <c r="M406" i="66"/>
  <c r="L406" i="66"/>
  <c r="AS418" i="66"/>
  <c r="AQ418" i="66"/>
  <c r="AT418" i="66"/>
  <c r="AV418" i="66" s="1"/>
  <c r="M418" i="66"/>
  <c r="L418" i="66"/>
  <c r="M358" i="66"/>
  <c r="L358" i="66"/>
  <c r="L361" i="66"/>
  <c r="M361" i="66"/>
  <c r="M369" i="66"/>
  <c r="L369" i="66"/>
  <c r="M411" i="66"/>
  <c r="L411" i="66"/>
  <c r="L400" i="66"/>
  <c r="M400" i="66"/>
  <c r="M385" i="66"/>
  <c r="L385" i="66"/>
  <c r="M419" i="66"/>
  <c r="L419" i="66"/>
  <c r="M397" i="66"/>
  <c r="L397" i="66"/>
  <c r="AT399" i="66"/>
  <c r="M403" i="66"/>
  <c r="L403" i="66"/>
  <c r="AS402" i="66"/>
  <c r="AT402" i="66"/>
  <c r="L396" i="66"/>
  <c r="M396" i="66"/>
  <c r="M413" i="66"/>
  <c r="L413" i="66"/>
  <c r="AS406" i="66"/>
  <c r="AT406" i="66"/>
  <c r="M409" i="66"/>
  <c r="L409" i="66"/>
  <c r="M422" i="66"/>
  <c r="L422" i="66"/>
  <c r="AQ420" i="66"/>
  <c r="AS420" i="66"/>
  <c r="AT420" i="66"/>
  <c r="AQ400" i="66"/>
  <c r="AT400" i="66"/>
  <c r="AS400" i="66"/>
  <c r="M398" i="66"/>
  <c r="L398" i="66"/>
  <c r="M415" i="66"/>
  <c r="L415" i="66"/>
  <c r="M324" i="66"/>
  <c r="L324" i="66"/>
  <c r="E17" i="60" l="1"/>
  <c r="E16" i="60" s="1"/>
  <c r="E9" i="60" s="1"/>
  <c r="M17" i="56"/>
  <c r="D17" i="60"/>
  <c r="D16" i="60" s="1"/>
  <c r="D9" i="60" s="1"/>
  <c r="D17" i="56"/>
  <c r="Q17" i="56" s="1"/>
  <c r="Q16" i="56" s="1"/>
  <c r="Q9" i="56" s="1"/>
  <c r="I17" i="60"/>
  <c r="I16" i="60" s="1"/>
  <c r="I9" i="60" s="1"/>
  <c r="M17" i="60"/>
  <c r="M16" i="60" s="1"/>
  <c r="M9" i="60" s="1"/>
  <c r="G17" i="60"/>
  <c r="G16" i="60" s="1"/>
  <c r="G9" i="60" s="1"/>
  <c r="H17" i="56"/>
  <c r="H16" i="56" s="1"/>
  <c r="H9" i="56" s="1"/>
  <c r="S141" i="23"/>
  <c r="R17" i="56"/>
  <c r="R16" i="56" s="1"/>
  <c r="R9" i="56" s="1"/>
  <c r="E16" i="56"/>
  <c r="E9" i="56" s="1"/>
  <c r="S17" i="56"/>
  <c r="S16" i="56" s="1"/>
  <c r="S9" i="56" s="1"/>
  <c r="N16" i="56"/>
  <c r="N9" i="56" s="1"/>
  <c r="AA17" i="56"/>
  <c r="AA16" i="56" s="1"/>
  <c r="AA9" i="56" s="1"/>
  <c r="N17" i="60"/>
  <c r="N16" i="60" s="1"/>
  <c r="N9" i="60" s="1"/>
  <c r="N56" i="60" s="1"/>
  <c r="N58" i="60" s="1"/>
  <c r="N75" i="60" s="1"/>
  <c r="Z141" i="23"/>
  <c r="O17" i="56"/>
  <c r="O16" i="56" s="1"/>
  <c r="O9" i="56" s="1"/>
  <c r="O56" i="56" s="1"/>
  <c r="O58" i="56" s="1"/>
  <c r="O75" i="56" s="1"/>
  <c r="G17" i="56"/>
  <c r="Q141" i="23"/>
  <c r="F17" i="60"/>
  <c r="P141" i="23"/>
  <c r="R141" i="23"/>
  <c r="O141" i="23"/>
  <c r="U141" i="23"/>
  <c r="Y141" i="23"/>
  <c r="K17" i="56"/>
  <c r="J17" i="60"/>
  <c r="J16" i="60" s="1"/>
  <c r="J9" i="60" s="1"/>
  <c r="V141" i="23"/>
  <c r="T141" i="23"/>
  <c r="H17" i="60"/>
  <c r="H16" i="60" s="1"/>
  <c r="H9" i="60" s="1"/>
  <c r="I17" i="56"/>
  <c r="W17" i="56" s="1"/>
  <c r="W16" i="56" s="1"/>
  <c r="W9" i="56" s="1"/>
  <c r="M16" i="56"/>
  <c r="M9" i="56" s="1"/>
  <c r="Z17" i="56"/>
  <c r="Z16" i="56" s="1"/>
  <c r="Z9" i="56" s="1"/>
  <c r="H14" i="22"/>
  <c r="H18" i="22" s="1"/>
  <c r="E17" i="17" s="1"/>
  <c r="N22" i="23"/>
  <c r="B17" i="17" s="1"/>
  <c r="W141" i="23"/>
  <c r="J16" i="56"/>
  <c r="J9" i="56" s="1"/>
  <c r="X141" i="23"/>
  <c r="V48" i="56"/>
  <c r="V47" i="56" s="1"/>
  <c r="F46" i="60"/>
  <c r="H47" i="56"/>
  <c r="U48" i="56"/>
  <c r="U47" i="56" s="1"/>
  <c r="J47" i="56"/>
  <c r="X48" i="56"/>
  <c r="X47" i="56" s="1"/>
  <c r="W48" i="56"/>
  <c r="W47" i="56" s="1"/>
  <c r="Z48" i="56"/>
  <c r="Z47" i="56" s="1"/>
  <c r="Z46" i="56" s="1"/>
  <c r="M47" i="56"/>
  <c r="M46" i="56" s="1"/>
  <c r="N47" i="56"/>
  <c r="N46" i="56" s="1"/>
  <c r="AA48" i="56"/>
  <c r="AA47" i="56" s="1"/>
  <c r="AA46" i="56" s="1"/>
  <c r="Y48" i="56"/>
  <c r="Y47" i="56" s="1"/>
  <c r="Y46" i="56" s="1"/>
  <c r="L47" i="56"/>
  <c r="L46" i="56" s="1"/>
  <c r="E48" i="60"/>
  <c r="Y144" i="19"/>
  <c r="Q144" i="19"/>
  <c r="Z144" i="19"/>
  <c r="P144" i="19"/>
  <c r="R144" i="19"/>
  <c r="F48" i="56"/>
  <c r="O144" i="19"/>
  <c r="W144" i="19"/>
  <c r="T144" i="19"/>
  <c r="V144" i="19"/>
  <c r="X144" i="19"/>
  <c r="S144" i="19"/>
  <c r="U144" i="19"/>
  <c r="N22" i="19"/>
  <c r="H15" i="18"/>
  <c r="J49" i="56"/>
  <c r="J46" i="56" s="1"/>
  <c r="X50" i="56"/>
  <c r="X49" i="56" s="1"/>
  <c r="X46" i="56" s="1"/>
  <c r="W50" i="56"/>
  <c r="W49" i="56" s="1"/>
  <c r="W46" i="56" s="1"/>
  <c r="I49" i="56"/>
  <c r="I46" i="56" s="1"/>
  <c r="R75" i="46"/>
  <c r="T75" i="46"/>
  <c r="N29" i="56"/>
  <c r="Y75" i="46"/>
  <c r="M29" i="60"/>
  <c r="M25" i="60" s="1"/>
  <c r="J29" i="56"/>
  <c r="I29" i="60"/>
  <c r="I25" i="60" s="1"/>
  <c r="U75" i="46"/>
  <c r="N22" i="46"/>
  <c r="H14" i="45"/>
  <c r="H22" i="45" s="1"/>
  <c r="E29" i="17" s="1"/>
  <c r="F29" i="56"/>
  <c r="Q75" i="46"/>
  <c r="E29" i="60"/>
  <c r="E25" i="60" s="1"/>
  <c r="V75" i="46"/>
  <c r="J29" i="60"/>
  <c r="J25" i="60" s="1"/>
  <c r="J56" i="60" s="1"/>
  <c r="K29" i="56"/>
  <c r="Z75" i="46"/>
  <c r="G29" i="60"/>
  <c r="G25" i="60" s="1"/>
  <c r="S75" i="46"/>
  <c r="H29" i="56"/>
  <c r="H25" i="60"/>
  <c r="C29" i="60"/>
  <c r="C25" i="60" s="1"/>
  <c r="O75" i="46"/>
  <c r="D29" i="56"/>
  <c r="P75" i="46"/>
  <c r="E29" i="56"/>
  <c r="D29" i="60"/>
  <c r="K29" i="60"/>
  <c r="K25" i="60" s="1"/>
  <c r="K56" i="60" s="1"/>
  <c r="L29" i="56"/>
  <c r="L25" i="56" s="1"/>
  <c r="L56" i="56" s="1"/>
  <c r="W75" i="46"/>
  <c r="I25" i="56"/>
  <c r="V29" i="56"/>
  <c r="V25" i="56" s="1"/>
  <c r="L29" i="60"/>
  <c r="L25" i="60" s="1"/>
  <c r="L56" i="60" s="1"/>
  <c r="M29" i="56"/>
  <c r="X75" i="46"/>
  <c r="P35" i="56"/>
  <c r="P33" i="56" s="1"/>
  <c r="Q35" i="56"/>
  <c r="Q33" i="56" s="1"/>
  <c r="X35" i="56"/>
  <c r="Z35" i="56"/>
  <c r="Y35" i="56"/>
  <c r="Y33" i="56" s="1"/>
  <c r="B35" i="60"/>
  <c r="AO35" i="60"/>
  <c r="S35" i="56"/>
  <c r="T35" i="56"/>
  <c r="B35" i="56"/>
  <c r="E35" i="17"/>
  <c r="I35" i="17" s="1"/>
  <c r="B35" i="17"/>
  <c r="C35" i="17" s="1"/>
  <c r="H15" i="10"/>
  <c r="C56" i="60"/>
  <c r="I33" i="56"/>
  <c r="V36" i="56"/>
  <c r="V33" i="56" s="1"/>
  <c r="B36" i="56"/>
  <c r="H33" i="56"/>
  <c r="U36" i="56"/>
  <c r="J33" i="56"/>
  <c r="W36" i="56"/>
  <c r="W33" i="56" s="1"/>
  <c r="M33" i="56"/>
  <c r="Z36" i="56"/>
  <c r="Z33" i="56" s="1"/>
  <c r="K33" i="56"/>
  <c r="X36" i="56"/>
  <c r="X33" i="56" s="1"/>
  <c r="T36" i="56"/>
  <c r="F33" i="56"/>
  <c r="E33" i="60"/>
  <c r="AO36" i="60"/>
  <c r="B36" i="60"/>
  <c r="R36" i="56"/>
  <c r="R33" i="56" s="1"/>
  <c r="E33" i="56"/>
  <c r="S36" i="56"/>
  <c r="S33" i="56" s="1"/>
  <c r="W191" i="2"/>
  <c r="U191" i="2"/>
  <c r="O191" i="2"/>
  <c r="V191" i="2"/>
  <c r="Z191" i="2"/>
  <c r="P191" i="2"/>
  <c r="S191" i="2"/>
  <c r="X191" i="2"/>
  <c r="Y191" i="2"/>
  <c r="Q191" i="2"/>
  <c r="R191" i="2"/>
  <c r="T191" i="2"/>
  <c r="B40" i="17"/>
  <c r="E40" i="17"/>
  <c r="H18" i="10"/>
  <c r="X208" i="12"/>
  <c r="U208" i="12"/>
  <c r="Z208" i="12"/>
  <c r="T208" i="12"/>
  <c r="V208" i="12"/>
  <c r="Q208" i="12"/>
  <c r="P208" i="12"/>
  <c r="F40" i="60"/>
  <c r="R208" i="12"/>
  <c r="G40" i="56"/>
  <c r="W208" i="12"/>
  <c r="Y208" i="12"/>
  <c r="S208" i="12"/>
  <c r="O208" i="12"/>
  <c r="AB399" i="66"/>
  <c r="AB356" i="66"/>
  <c r="AB367" i="66"/>
  <c r="AQ367" i="66" s="1"/>
  <c r="AB341" i="66"/>
  <c r="AB359" i="66"/>
  <c r="AB395" i="66"/>
  <c r="AB335" i="66"/>
  <c r="AB326" i="66"/>
  <c r="AB405" i="66"/>
  <c r="AB281" i="66"/>
  <c r="AB81" i="66"/>
  <c r="AB43" i="66"/>
  <c r="G50" i="56"/>
  <c r="G49" i="56" s="1"/>
  <c r="G46" i="56" s="1"/>
  <c r="D50" i="56"/>
  <c r="D49" i="56" s="1"/>
  <c r="D46" i="56" s="1"/>
  <c r="AB10" i="66"/>
  <c r="AB288" i="66"/>
  <c r="AB220" i="66"/>
  <c r="F50" i="56"/>
  <c r="E50" i="60"/>
  <c r="E49" i="60" s="1"/>
  <c r="AB421" i="66"/>
  <c r="AB410" i="66"/>
  <c r="AB195" i="66"/>
  <c r="AB344" i="66"/>
  <c r="AB234" i="66"/>
  <c r="AB175" i="66"/>
  <c r="AB212" i="66"/>
  <c r="AB286" i="66"/>
  <c r="AQ286" i="66" s="1"/>
  <c r="AB390" i="66"/>
  <c r="AB26" i="66"/>
  <c r="AB23" i="66"/>
  <c r="AB267" i="66"/>
  <c r="AB403" i="66"/>
  <c r="AB406" i="66"/>
  <c r="AQ406" i="66" s="1"/>
  <c r="AB388" i="66"/>
  <c r="AB382" i="66"/>
  <c r="AB231" i="66"/>
  <c r="AB248" i="66"/>
  <c r="AB198" i="66"/>
  <c r="AQ198" i="66" s="1"/>
  <c r="AB224" i="66"/>
  <c r="AB228" i="66"/>
  <c r="AB200" i="66"/>
  <c r="AQ200" i="66" s="1"/>
  <c r="AB168" i="66"/>
  <c r="AB178" i="66"/>
  <c r="AB221" i="66"/>
  <c r="AB176" i="66"/>
  <c r="AB240" i="66"/>
  <c r="AB105" i="66"/>
  <c r="AB146" i="66"/>
  <c r="AB148" i="66"/>
  <c r="AB95" i="66"/>
  <c r="AB158" i="66"/>
  <c r="AB145" i="66"/>
  <c r="AB97" i="66"/>
  <c r="AB130" i="66"/>
  <c r="AB155" i="66"/>
  <c r="AB112" i="66"/>
  <c r="AB121" i="66"/>
  <c r="AB111" i="66"/>
  <c r="AB152" i="66"/>
  <c r="AB90" i="66"/>
  <c r="AB393" i="66"/>
  <c r="AB376" i="66"/>
  <c r="AB157" i="66"/>
  <c r="AB35" i="66"/>
  <c r="AB41" i="66"/>
  <c r="AB40" i="66"/>
  <c r="AB87" i="66"/>
  <c r="AB62" i="66"/>
  <c r="AB59" i="66"/>
  <c r="AB46" i="66"/>
  <c r="AB86" i="66"/>
  <c r="AB45" i="66"/>
  <c r="AB417" i="66"/>
  <c r="AB414" i="66"/>
  <c r="AB378" i="66"/>
  <c r="AB383" i="66"/>
  <c r="AB368" i="66"/>
  <c r="AB354" i="66"/>
  <c r="AB351" i="66"/>
  <c r="AB401" i="66"/>
  <c r="AQ401" i="66" s="1"/>
  <c r="AB365" i="66"/>
  <c r="AQ365" i="66" s="1"/>
  <c r="AB350" i="66"/>
  <c r="AB322" i="66"/>
  <c r="AB381" i="66"/>
  <c r="AB277" i="66"/>
  <c r="AQ277" i="66" s="1"/>
  <c r="AB251" i="66"/>
  <c r="AB311" i="66"/>
  <c r="AB300" i="66"/>
  <c r="AB183" i="66"/>
  <c r="AB255" i="66"/>
  <c r="AB264" i="66"/>
  <c r="AB333" i="66"/>
  <c r="AB202" i="66"/>
  <c r="AQ202" i="66" s="1"/>
  <c r="AB246" i="66"/>
  <c r="AB233" i="66"/>
  <c r="AB18" i="66"/>
  <c r="AB3" i="66"/>
  <c r="AB292" i="66"/>
  <c r="AB235" i="66"/>
  <c r="AB19" i="66"/>
  <c r="AB140" i="66"/>
  <c r="AB132" i="66"/>
  <c r="AB117" i="66"/>
  <c r="AB50" i="66"/>
  <c r="H50" i="56"/>
  <c r="G50" i="60"/>
  <c r="AB400" i="66"/>
  <c r="AB386" i="66"/>
  <c r="AB332" i="66"/>
  <c r="AB334" i="66"/>
  <c r="AB420" i="66"/>
  <c r="AB338" i="66"/>
  <c r="AB319" i="66"/>
  <c r="AB257" i="66"/>
  <c r="AB192" i="66"/>
  <c r="AB227" i="66"/>
  <c r="AB211" i="66"/>
  <c r="AB124" i="66"/>
  <c r="AB116" i="66"/>
  <c r="AB108" i="66"/>
  <c r="AB100" i="66"/>
  <c r="AB153" i="66"/>
  <c r="AB78" i="66"/>
  <c r="AB25" i="66"/>
  <c r="AB265" i="66"/>
  <c r="AB321" i="66"/>
  <c r="AB279" i="66"/>
  <c r="AQ279" i="66" s="1"/>
  <c r="AB181" i="66"/>
  <c r="AB295" i="66"/>
  <c r="AB136" i="66"/>
  <c r="AB39" i="66"/>
  <c r="AB379" i="66"/>
  <c r="AB361" i="66"/>
  <c r="AQ361" i="66" s="1"/>
  <c r="AB299" i="66"/>
  <c r="AQ299" i="66" s="1"/>
  <c r="AB261" i="66"/>
  <c r="AB214" i="66"/>
  <c r="AB275" i="66"/>
  <c r="C58" i="60"/>
  <c r="C75" i="60" s="1"/>
  <c r="C69" i="60"/>
  <c r="AB186" i="66"/>
  <c r="AB77" i="66"/>
  <c r="AB197" i="66"/>
  <c r="AQ197" i="66" s="1"/>
  <c r="AB137" i="66"/>
  <c r="AB127" i="66"/>
  <c r="AB362" i="66"/>
  <c r="AB349" i="66"/>
  <c r="AB318" i="66"/>
  <c r="AB357" i="66"/>
  <c r="AB325" i="66"/>
  <c r="AB407" i="66"/>
  <c r="AB331" i="66"/>
  <c r="AB392" i="66"/>
  <c r="AB305" i="66"/>
  <c r="AB302" i="66"/>
  <c r="AQ302" i="66" s="1"/>
  <c r="AB320" i="66"/>
  <c r="AB272" i="66"/>
  <c r="AB236" i="66"/>
  <c r="AB291" i="66"/>
  <c r="AB196" i="66"/>
  <c r="AB310" i="66"/>
  <c r="AB84" i="66"/>
  <c r="AB82" i="66"/>
  <c r="AB61" i="66"/>
  <c r="AB324" i="66"/>
  <c r="AB398" i="66"/>
  <c r="AB422" i="66"/>
  <c r="AB396" i="66"/>
  <c r="AB353" i="66"/>
  <c r="AB345" i="66"/>
  <c r="AB370" i="66"/>
  <c r="AQ370" i="66" s="1"/>
  <c r="AB372" i="66"/>
  <c r="AB330" i="66"/>
  <c r="AB266" i="66"/>
  <c r="AB355" i="66"/>
  <c r="AB229" i="66"/>
  <c r="AB210" i="66"/>
  <c r="AB67" i="66"/>
  <c r="AB190" i="66"/>
  <c r="AB174" i="66"/>
  <c r="H17" i="18"/>
  <c r="N27" i="20"/>
  <c r="AB301" i="66"/>
  <c r="AB373" i="66"/>
  <c r="AB327" i="66"/>
  <c r="AB336" i="66"/>
  <c r="AB244" i="66"/>
  <c r="AB337" i="66"/>
  <c r="AB284" i="66"/>
  <c r="AB237" i="66"/>
  <c r="AB273" i="66"/>
  <c r="AB348" i="66"/>
  <c r="AB270" i="66"/>
  <c r="AB206" i="66"/>
  <c r="AQ206" i="66" s="1"/>
  <c r="AB52" i="66"/>
  <c r="AB34" i="66"/>
  <c r="AB63" i="66"/>
  <c r="AB56" i="66"/>
  <c r="AB37" i="66"/>
  <c r="AB92" i="66"/>
  <c r="AB48" i="66"/>
  <c r="AB94" i="66"/>
  <c r="AB47" i="66"/>
  <c r="W179" i="20"/>
  <c r="R179" i="20"/>
  <c r="D50" i="60"/>
  <c r="Z179" i="20"/>
  <c r="Y179" i="20"/>
  <c r="P179" i="20"/>
  <c r="E50" i="56"/>
  <c r="S179" i="20"/>
  <c r="V179" i="20"/>
  <c r="T179" i="20"/>
  <c r="U179" i="20"/>
  <c r="Q179" i="20"/>
  <c r="O179" i="20"/>
  <c r="X179" i="20"/>
  <c r="AB415" i="66"/>
  <c r="AB409" i="66"/>
  <c r="AB352" i="66"/>
  <c r="AB408" i="66"/>
  <c r="AB339" i="66"/>
  <c r="AB260" i="66"/>
  <c r="AB179" i="66"/>
  <c r="AB256" i="66"/>
  <c r="AB294" i="66"/>
  <c r="AB173" i="66"/>
  <c r="AB177" i="66"/>
  <c r="AB317" i="66"/>
  <c r="AB303" i="66"/>
  <c r="AQ303" i="66" s="1"/>
  <c r="AB184" i="66"/>
  <c r="AB209" i="66"/>
  <c r="AB7" i="66"/>
  <c r="AB2" i="66"/>
  <c r="AB274" i="66"/>
  <c r="AB180" i="66"/>
  <c r="AB21" i="66"/>
  <c r="AB166" i="66"/>
  <c r="AB70" i="66"/>
  <c r="AB5" i="66"/>
  <c r="AB188" i="66"/>
  <c r="AB11" i="66"/>
  <c r="AB271" i="66"/>
  <c r="AB297" i="66"/>
  <c r="AQ297" i="66" s="1"/>
  <c r="AB307" i="66"/>
  <c r="AB241" i="66"/>
  <c r="AB243" i="66"/>
  <c r="AB285" i="66"/>
  <c r="AB189" i="66"/>
  <c r="AB71" i="66"/>
  <c r="AB187" i="66"/>
  <c r="AB17" i="66"/>
  <c r="AB12" i="66"/>
  <c r="AB120" i="66"/>
  <c r="AB150" i="66"/>
  <c r="AB129" i="66"/>
  <c r="AB98" i="66"/>
  <c r="AB119" i="66"/>
  <c r="AB85" i="66"/>
  <c r="AB60" i="66"/>
  <c r="AB122" i="66"/>
  <c r="AB104" i="66"/>
  <c r="AB42" i="66"/>
  <c r="AB268" i="66"/>
  <c r="AB413" i="66"/>
  <c r="AB419" i="66"/>
  <c r="AB369" i="66"/>
  <c r="AB358" i="66"/>
  <c r="AB366" i="66"/>
  <c r="AB343" i="66"/>
  <c r="AB371" i="66"/>
  <c r="AB374" i="66"/>
  <c r="AB347" i="66"/>
  <c r="AB416" i="66"/>
  <c r="AB363" i="66"/>
  <c r="AB360" i="66"/>
  <c r="AQ360" i="66" s="1"/>
  <c r="AB404" i="66"/>
  <c r="AB346" i="66"/>
  <c r="AB298" i="66"/>
  <c r="AQ298" i="66" s="1"/>
  <c r="AB289" i="66"/>
  <c r="AQ289" i="66" s="1"/>
  <c r="AB387" i="66"/>
  <c r="AB394" i="66"/>
  <c r="AB245" i="66"/>
  <c r="AB239" i="66"/>
  <c r="AB226" i="66"/>
  <c r="AB280" i="66"/>
  <c r="AQ280" i="66" s="1"/>
  <c r="AB208" i="66"/>
  <c r="AB308" i="66"/>
  <c r="AB263" i="66"/>
  <c r="AB249" i="66"/>
  <c r="AB162" i="66"/>
  <c r="AB172" i="66"/>
  <c r="AB13" i="66"/>
  <c r="AB170" i="66"/>
  <c r="AB185" i="66"/>
  <c r="AB225" i="66"/>
  <c r="AB72" i="66"/>
  <c r="AB69" i="66"/>
  <c r="AB201" i="66"/>
  <c r="AB14" i="66"/>
  <c r="AB16" i="66"/>
  <c r="AB182" i="66"/>
  <c r="AB66" i="66"/>
  <c r="AB6" i="66"/>
  <c r="AB164" i="66"/>
  <c r="AB193" i="66"/>
  <c r="AB4" i="66"/>
  <c r="AB107" i="66"/>
  <c r="AB142" i="66"/>
  <c r="AB110" i="66"/>
  <c r="AB131" i="66"/>
  <c r="AB102" i="66"/>
  <c r="AB123" i="66"/>
  <c r="AB115" i="66"/>
  <c r="AB149" i="66"/>
  <c r="AB114" i="66"/>
  <c r="AB135" i="66"/>
  <c r="AB96" i="66"/>
  <c r="AB159" i="66"/>
  <c r="AB138" i="66"/>
  <c r="AB109" i="66"/>
  <c r="AB133" i="66"/>
  <c r="AB57" i="66"/>
  <c r="AB91" i="66"/>
  <c r="AB83" i="66"/>
  <c r="AQ83" i="66" s="1"/>
  <c r="AB93" i="66"/>
  <c r="AB32" i="66"/>
  <c r="AB29" i="66"/>
  <c r="AB88" i="66"/>
  <c r="AB269" i="66"/>
  <c r="AB31" i="66"/>
  <c r="AQ31" i="66" s="1"/>
  <c r="AB24" i="66"/>
  <c r="AB53" i="66"/>
  <c r="AB36" i="66"/>
  <c r="AB205" i="66"/>
  <c r="AB219" i="66"/>
  <c r="AB20" i="66"/>
  <c r="AB276" i="66"/>
  <c r="AB232" i="66"/>
  <c r="AB65" i="66"/>
  <c r="AB75" i="66"/>
  <c r="AB74" i="66"/>
  <c r="AB89" i="66"/>
  <c r="AB64" i="66"/>
  <c r="AB38" i="66"/>
  <c r="AB44" i="66"/>
  <c r="AB80" i="66"/>
  <c r="AB30" i="66"/>
  <c r="AB27" i="66"/>
  <c r="AB22" i="66"/>
  <c r="AB51" i="66"/>
  <c r="AB397" i="66"/>
  <c r="AB385" i="66"/>
  <c r="AB411" i="66"/>
  <c r="AB418" i="66"/>
  <c r="AB380" i="66"/>
  <c r="AB391" i="66"/>
  <c r="AB412" i="66"/>
  <c r="AB402" i="66"/>
  <c r="AQ402" i="66" s="1"/>
  <c r="AB364" i="66"/>
  <c r="AB313" i="66"/>
  <c r="AB315" i="66"/>
  <c r="AB377" i="66"/>
  <c r="AB375" i="66"/>
  <c r="AB218" i="66"/>
  <c r="AB213" i="66"/>
  <c r="AB342" i="66"/>
  <c r="AB323" i="66"/>
  <c r="AB304" i="66"/>
  <c r="AQ304" i="66" s="1"/>
  <c r="AB312" i="66"/>
  <c r="AB194" i="66"/>
  <c r="AB309" i="66"/>
  <c r="AB161" i="66"/>
  <c r="AB230" i="66"/>
  <c r="AB329" i="66"/>
  <c r="AB252" i="66"/>
  <c r="AB293" i="66"/>
  <c r="AB262" i="66"/>
  <c r="AB191" i="66"/>
  <c r="AQ191" i="66" s="1"/>
  <c r="AB296" i="66"/>
  <c r="AB203" i="66"/>
  <c r="AB165" i="66"/>
  <c r="AB207" i="66"/>
  <c r="AQ207" i="66" s="1"/>
  <c r="AB223" i="66"/>
  <c r="AB258" i="66"/>
  <c r="AB216" i="66"/>
  <c r="AB242" i="66"/>
  <c r="AB247" i="66"/>
  <c r="AB215" i="66"/>
  <c r="AB278" i="66"/>
  <c r="AQ278" i="66" s="1"/>
  <c r="AB316" i="66"/>
  <c r="AB160" i="66"/>
  <c r="AB389" i="66"/>
  <c r="AB163" i="66"/>
  <c r="AB73" i="66"/>
  <c r="AB15" i="66"/>
  <c r="AB8" i="66"/>
  <c r="AB68" i="66"/>
  <c r="AB222" i="66"/>
  <c r="AB259" i="66"/>
  <c r="AB217" i="66"/>
  <c r="AB199" i="66"/>
  <c r="AB9" i="66"/>
  <c r="AB118" i="66"/>
  <c r="AB139" i="66"/>
  <c r="AB99" i="66"/>
  <c r="AB134" i="66"/>
  <c r="AB126" i="66"/>
  <c r="AB113" i="66"/>
  <c r="AB154" i="66"/>
  <c r="AB143" i="66"/>
  <c r="AB103" i="66"/>
  <c r="AB144" i="66"/>
  <c r="AB151" i="66"/>
  <c r="AB128" i="66"/>
  <c r="AB106" i="66"/>
  <c r="AB156" i="66"/>
  <c r="AB141" i="66"/>
  <c r="AB101" i="66"/>
  <c r="AB28" i="66"/>
  <c r="AB147" i="66"/>
  <c r="AB125" i="66"/>
  <c r="AB49" i="66"/>
  <c r="AB238" i="66"/>
  <c r="AB283" i="66"/>
  <c r="AB340" i="66"/>
  <c r="AB290" i="66"/>
  <c r="AB287" i="66"/>
  <c r="AB167" i="66"/>
  <c r="AB254" i="66"/>
  <c r="AB204" i="66"/>
  <c r="AB306" i="66"/>
  <c r="AB282" i="66"/>
  <c r="AB253" i="66"/>
  <c r="AB384" i="66"/>
  <c r="AB169" i="66"/>
  <c r="AQ169" i="66" s="1"/>
  <c r="AB328" i="66"/>
  <c r="AB314" i="66"/>
  <c r="AB250" i="66"/>
  <c r="AB171" i="66"/>
  <c r="AB76" i="66"/>
  <c r="AB33" i="66"/>
  <c r="AB58" i="66"/>
  <c r="AB55" i="66"/>
  <c r="AB79" i="66"/>
  <c r="AB54" i="66"/>
  <c r="D16" i="56" l="1"/>
  <c r="D9" i="56" s="1"/>
  <c r="P17" i="56"/>
  <c r="P16" i="56" s="1"/>
  <c r="P9" i="56" s="1"/>
  <c r="H56" i="60"/>
  <c r="H69" i="60" s="1"/>
  <c r="I56" i="60"/>
  <c r="M56" i="60"/>
  <c r="N69" i="60"/>
  <c r="O69" i="56"/>
  <c r="B16" i="17"/>
  <c r="B9" i="17" s="1"/>
  <c r="C17" i="17"/>
  <c r="C16" i="17" s="1"/>
  <c r="C9" i="17" s="1"/>
  <c r="I16" i="56"/>
  <c r="I9" i="56" s="1"/>
  <c r="I56" i="56" s="1"/>
  <c r="I58" i="56" s="1"/>
  <c r="I75" i="56" s="1"/>
  <c r="V17" i="56"/>
  <c r="V16" i="56" s="1"/>
  <c r="V9" i="56" s="1"/>
  <c r="F17" i="17"/>
  <c r="E16" i="17"/>
  <c r="E9" i="17" s="1"/>
  <c r="X17" i="56"/>
  <c r="X16" i="56" s="1"/>
  <c r="X9" i="56" s="1"/>
  <c r="K16" i="56"/>
  <c r="K9" i="56" s="1"/>
  <c r="Y17" i="56"/>
  <c r="Y16" i="56" s="1"/>
  <c r="Y9" i="56" s="1"/>
  <c r="Y56" i="56" s="1"/>
  <c r="T17" i="56"/>
  <c r="B17" i="56"/>
  <c r="B16" i="56" s="1"/>
  <c r="B9" i="56" s="1"/>
  <c r="G16" i="56"/>
  <c r="G9" i="56" s="1"/>
  <c r="U17" i="56"/>
  <c r="U16" i="56" s="1"/>
  <c r="U9" i="56" s="1"/>
  <c r="H58" i="60"/>
  <c r="H75" i="60" s="1"/>
  <c r="F16" i="60"/>
  <c r="AO17" i="60"/>
  <c r="B17" i="60"/>
  <c r="B16" i="60" s="1"/>
  <c r="B9" i="60" s="1"/>
  <c r="H32" i="18"/>
  <c r="E48" i="17"/>
  <c r="B48" i="17"/>
  <c r="B48" i="56"/>
  <c r="B47" i="56" s="1"/>
  <c r="F47" i="56"/>
  <c r="T48" i="56"/>
  <c r="T47" i="56" s="1"/>
  <c r="S48" i="56"/>
  <c r="AO48" i="60"/>
  <c r="E47" i="60"/>
  <c r="AO47" i="60" s="1"/>
  <c r="B48" i="60"/>
  <c r="B47" i="60" s="1"/>
  <c r="L58" i="60"/>
  <c r="L75" i="60" s="1"/>
  <c r="L69" i="60"/>
  <c r="L58" i="56"/>
  <c r="L75" i="56" s="1"/>
  <c r="L69" i="56"/>
  <c r="K58" i="60"/>
  <c r="K75" i="60" s="1"/>
  <c r="K69" i="60"/>
  <c r="J58" i="60"/>
  <c r="J75" i="60" s="1"/>
  <c r="J69" i="60"/>
  <c r="I58" i="60"/>
  <c r="I75" i="60" s="1"/>
  <c r="I69" i="60"/>
  <c r="B29" i="60"/>
  <c r="B25" i="60" s="1"/>
  <c r="D25" i="60"/>
  <c r="H25" i="56"/>
  <c r="U29" i="56"/>
  <c r="U25" i="56" s="1"/>
  <c r="Y29" i="56"/>
  <c r="Y25" i="56" s="1"/>
  <c r="X29" i="56"/>
  <c r="X25" i="56" s="1"/>
  <c r="K25" i="56"/>
  <c r="M58" i="60"/>
  <c r="M75" i="60" s="1"/>
  <c r="M69" i="60"/>
  <c r="AO25" i="60"/>
  <c r="E25" i="56"/>
  <c r="R29" i="56"/>
  <c r="R25" i="56" s="1"/>
  <c r="X56" i="56"/>
  <c r="L70" i="56" s="1"/>
  <c r="F25" i="56"/>
  <c r="S29" i="56"/>
  <c r="S25" i="56" s="1"/>
  <c r="T29" i="56"/>
  <c r="T25" i="56" s="1"/>
  <c r="N25" i="56"/>
  <c r="N56" i="56" s="1"/>
  <c r="AA29" i="56"/>
  <c r="AA25" i="56" s="1"/>
  <c r="AA56" i="56" s="1"/>
  <c r="K56" i="56"/>
  <c r="K69" i="56" s="1"/>
  <c r="Z29" i="56"/>
  <c r="Z25" i="56" s="1"/>
  <c r="Z56" i="56" s="1"/>
  <c r="M25" i="56"/>
  <c r="M56" i="56" s="1"/>
  <c r="B29" i="56"/>
  <c r="B25" i="56" s="1"/>
  <c r="P29" i="56"/>
  <c r="D25" i="56"/>
  <c r="D56" i="56" s="1"/>
  <c r="Q29" i="56"/>
  <c r="Q25" i="56" s="1"/>
  <c r="AO29" i="60"/>
  <c r="E25" i="17"/>
  <c r="V25" i="17" s="1"/>
  <c r="B16" i="55"/>
  <c r="B31" i="55" s="1"/>
  <c r="W29" i="56"/>
  <c r="W25" i="56" s="1"/>
  <c r="W56" i="56" s="1"/>
  <c r="J25" i="56"/>
  <c r="J56" i="56" s="1"/>
  <c r="H34" i="10"/>
  <c r="C35" i="56"/>
  <c r="C36" i="56"/>
  <c r="F39" i="60"/>
  <c r="AO40" i="60"/>
  <c r="B40" i="60"/>
  <c r="B39" i="60" s="1"/>
  <c r="B33" i="60" s="1"/>
  <c r="B40" i="56"/>
  <c r="B39" i="56" s="1"/>
  <c r="B33" i="56" s="1"/>
  <c r="T40" i="56"/>
  <c r="G39" i="56"/>
  <c r="G33" i="56" s="1"/>
  <c r="G56" i="56" s="1"/>
  <c r="U40" i="56"/>
  <c r="U39" i="56" s="1"/>
  <c r="U33" i="56" s="1"/>
  <c r="I40" i="17"/>
  <c r="I39" i="17" s="1"/>
  <c r="I33" i="17" s="1"/>
  <c r="B11" i="55"/>
  <c r="B26" i="55" s="1"/>
  <c r="E39" i="17"/>
  <c r="E33" i="17" s="1"/>
  <c r="V33" i="17" s="1"/>
  <c r="B39" i="17"/>
  <c r="B33" i="17" s="1"/>
  <c r="C40" i="17"/>
  <c r="C39" i="17" s="1"/>
  <c r="C33" i="17" s="1"/>
  <c r="Q50" i="56"/>
  <c r="Q49" i="56" s="1"/>
  <c r="Q46" i="56" s="1"/>
  <c r="Q56" i="56" s="1"/>
  <c r="Q58" i="56" s="1"/>
  <c r="E76" i="56" s="1"/>
  <c r="P50" i="56"/>
  <c r="P49" i="56" s="1"/>
  <c r="P46" i="56" s="1"/>
  <c r="T50" i="56"/>
  <c r="T49" i="56" s="1"/>
  <c r="T46" i="56" s="1"/>
  <c r="F49" i="56"/>
  <c r="F46" i="56" s="1"/>
  <c r="F56" i="56" s="1"/>
  <c r="G49" i="60"/>
  <c r="AO50" i="60"/>
  <c r="U50" i="56"/>
  <c r="U49" i="56" s="1"/>
  <c r="U46" i="56" s="1"/>
  <c r="U56" i="56" s="1"/>
  <c r="H49" i="56"/>
  <c r="H46" i="56" s="1"/>
  <c r="H56" i="56" s="1"/>
  <c r="V50" i="56"/>
  <c r="V49" i="56" s="1"/>
  <c r="V46" i="56" s="1"/>
  <c r="V56" i="56" s="1"/>
  <c r="E49" i="56"/>
  <c r="E46" i="56" s="1"/>
  <c r="E56" i="56" s="1"/>
  <c r="R50" i="56"/>
  <c r="S50" i="56"/>
  <c r="S49" i="56" s="1"/>
  <c r="B50" i="56"/>
  <c r="B49" i="56" s="1"/>
  <c r="B46" i="56" s="1"/>
  <c r="B50" i="60"/>
  <c r="B49" i="60" s="1"/>
  <c r="B46" i="60" s="1"/>
  <c r="D49" i="60"/>
  <c r="D46" i="60" s="1"/>
  <c r="D56" i="60" s="1"/>
  <c r="E50" i="17"/>
  <c r="B50" i="17"/>
  <c r="B56" i="56" l="1"/>
  <c r="B58" i="56" s="1"/>
  <c r="M70" i="56"/>
  <c r="Y58" i="56"/>
  <c r="M76" i="56" s="1"/>
  <c r="K58" i="56"/>
  <c r="K75" i="56" s="1"/>
  <c r="B56" i="60"/>
  <c r="B58" i="60" s="1"/>
  <c r="AO16" i="60"/>
  <c r="F9" i="60"/>
  <c r="AO9" i="60" s="1"/>
  <c r="C17" i="56"/>
  <c r="C16" i="56" s="1"/>
  <c r="T16" i="56"/>
  <c r="T9" i="56" s="1"/>
  <c r="V9" i="17"/>
  <c r="V56" i="17" s="1"/>
  <c r="V58" i="17" s="1"/>
  <c r="B8" i="55"/>
  <c r="B25" i="55" s="1"/>
  <c r="P7" i="17"/>
  <c r="AA7" i="17" s="1"/>
  <c r="F16" i="17"/>
  <c r="F9" i="17" s="1"/>
  <c r="G17" i="17"/>
  <c r="G16" i="17" s="1"/>
  <c r="G9" i="17" s="1"/>
  <c r="E46" i="60"/>
  <c r="E56" i="60" s="1"/>
  <c r="S47" i="56"/>
  <c r="S46" i="56" s="1"/>
  <c r="S56" i="56" s="1"/>
  <c r="C48" i="56"/>
  <c r="C47" i="56" s="1"/>
  <c r="C48" i="17"/>
  <c r="C47" i="17" s="1"/>
  <c r="B47" i="17"/>
  <c r="E47" i="17"/>
  <c r="I48" i="17"/>
  <c r="I47" i="17" s="1"/>
  <c r="X58" i="56"/>
  <c r="L76" i="56" s="1"/>
  <c r="I69" i="56"/>
  <c r="W58" i="56"/>
  <c r="K76" i="56" s="1"/>
  <c r="K70" i="56"/>
  <c r="M69" i="56"/>
  <c r="M58" i="56"/>
  <c r="M75" i="56" s="1"/>
  <c r="Z58" i="56"/>
  <c r="N76" i="56" s="1"/>
  <c r="N70" i="56"/>
  <c r="D58" i="56"/>
  <c r="D75" i="56" s="1"/>
  <c r="D69" i="56"/>
  <c r="J69" i="56"/>
  <c r="J58" i="56"/>
  <c r="J75" i="56" s="1"/>
  <c r="AA58" i="56"/>
  <c r="O76" i="56" s="1"/>
  <c r="O70" i="56"/>
  <c r="P25" i="56"/>
  <c r="C29" i="56"/>
  <c r="C25" i="56" s="1"/>
  <c r="N58" i="56"/>
  <c r="N75" i="56" s="1"/>
  <c r="N69" i="56"/>
  <c r="P56" i="56"/>
  <c r="D70" i="56" s="1"/>
  <c r="G58" i="56"/>
  <c r="G75" i="56" s="1"/>
  <c r="G69" i="56"/>
  <c r="T39" i="56"/>
  <c r="T33" i="56" s="1"/>
  <c r="C40" i="56"/>
  <c r="C39" i="56" s="1"/>
  <c r="C33" i="56" s="1"/>
  <c r="AO39" i="60"/>
  <c r="F33" i="60"/>
  <c r="E70" i="56"/>
  <c r="F69" i="56"/>
  <c r="F58" i="56"/>
  <c r="F75" i="56" s="1"/>
  <c r="H58" i="56"/>
  <c r="H75" i="56" s="1"/>
  <c r="H69" i="56"/>
  <c r="I70" i="56"/>
  <c r="U58" i="56"/>
  <c r="I76" i="56" s="1"/>
  <c r="J70" i="56"/>
  <c r="V58" i="56"/>
  <c r="J76" i="56" s="1"/>
  <c r="G46" i="60"/>
  <c r="AO49" i="60"/>
  <c r="B49" i="17"/>
  <c r="B46" i="17" s="1"/>
  <c r="B56" i="17" s="1"/>
  <c r="B58" i="17" s="1"/>
  <c r="C50" i="17"/>
  <c r="C49" i="17" s="1"/>
  <c r="C46" i="17" s="1"/>
  <c r="C56" i="17" s="1"/>
  <c r="E49" i="17"/>
  <c r="E46" i="17" s="1"/>
  <c r="I50" i="17"/>
  <c r="I49" i="17" s="1"/>
  <c r="I46" i="17" s="1"/>
  <c r="I56" i="17" s="1"/>
  <c r="D58" i="60"/>
  <c r="D75" i="60" s="1"/>
  <c r="D69" i="60"/>
  <c r="R49" i="56"/>
  <c r="R46" i="56" s="1"/>
  <c r="R56" i="56" s="1"/>
  <c r="C50" i="56"/>
  <c r="C49" i="56" s="1"/>
  <c r="C46" i="56" s="1"/>
  <c r="C56" i="56" s="1"/>
  <c r="C58" i="56" s="1"/>
  <c r="E58" i="56"/>
  <c r="E75" i="56" s="1"/>
  <c r="E69" i="56"/>
  <c r="P58" i="56" l="1"/>
  <c r="D76" i="56" s="1"/>
  <c r="T56" i="56"/>
  <c r="H70" i="56" s="1"/>
  <c r="R7" i="17"/>
  <c r="G56" i="17"/>
  <c r="G58" i="17" s="1"/>
  <c r="G61" i="17" s="1"/>
  <c r="G63" i="17" s="1"/>
  <c r="D8" i="55"/>
  <c r="Q7" i="17"/>
  <c r="C8" i="55"/>
  <c r="F56" i="17"/>
  <c r="F58" i="17" s="1"/>
  <c r="E69" i="60"/>
  <c r="E58" i="60"/>
  <c r="E75" i="60" s="1"/>
  <c r="G70" i="56"/>
  <c r="S58" i="56"/>
  <c r="G76" i="56" s="1"/>
  <c r="AO33" i="60"/>
  <c r="F56" i="60"/>
  <c r="P75" i="56"/>
  <c r="AO46" i="60"/>
  <c r="G56" i="60"/>
  <c r="B27" i="55"/>
  <c r="E56" i="17"/>
  <c r="E58" i="17" s="1"/>
  <c r="B12" i="55"/>
  <c r="B18" i="55" s="1"/>
  <c r="B33" i="55" s="1"/>
  <c r="F70" i="56"/>
  <c r="R58" i="56"/>
  <c r="F76" i="56" s="1"/>
  <c r="T58" i="56" l="1"/>
  <c r="H76" i="56" s="1"/>
  <c r="D18" i="55"/>
  <c r="D33" i="55" s="1"/>
  <c r="D25" i="55"/>
  <c r="F61" i="17"/>
  <c r="F63" i="17" s="1"/>
  <c r="F62" i="17"/>
  <c r="F64" i="17" s="1"/>
  <c r="C25" i="55"/>
  <c r="C18" i="55"/>
  <c r="C33" i="55" s="1"/>
  <c r="P76" i="56"/>
  <c r="F58" i="60"/>
  <c r="F75" i="60" s="1"/>
  <c r="F69" i="60"/>
  <c r="G58" i="60"/>
  <c r="AO56" i="60"/>
  <c r="AC70" i="60" s="1"/>
  <c r="G69" i="60"/>
  <c r="E61" i="17"/>
  <c r="E62" i="17"/>
  <c r="E63" i="17"/>
  <c r="E64" i="17"/>
  <c r="G75" i="60" l="1"/>
  <c r="AO58" i="60"/>
  <c r="AC76" i="60" s="1"/>
</calcChain>
</file>

<file path=xl/comments1.xml><?xml version="1.0" encoding="utf-8"?>
<comments xmlns="http://schemas.openxmlformats.org/spreadsheetml/2006/main">
  <authors>
    <author>Antonio Marambio</author>
  </authors>
  <commentList>
    <comment ref="B86" authorId="0" shapeId="0">
      <text>
        <r>
          <rPr>
            <b/>
            <sz val="9"/>
            <color indexed="81"/>
            <rFont val="Tahoma"/>
            <family val="2"/>
          </rPr>
          <t>Antonio Marambio:</t>
        </r>
        <r>
          <rPr>
            <sz val="9"/>
            <color indexed="81"/>
            <rFont val="Tahoma"/>
            <family val="2"/>
          </rPr>
          <t xml:space="preserve">
llevarlo a J pottie</t>
        </r>
      </text>
    </comment>
    <comment ref="B88" authorId="0" shapeId="0">
      <text>
        <r>
          <rPr>
            <b/>
            <sz val="9"/>
            <color indexed="81"/>
            <rFont val="Tahoma"/>
            <family val="2"/>
          </rPr>
          <t>Analisis especial para ubicar la mejor ubicación para los chancados</t>
        </r>
      </text>
    </comment>
    <comment ref="N92" authorId="0" shapeId="0">
      <text>
        <r>
          <rPr>
            <b/>
            <sz val="9"/>
            <color indexed="81"/>
            <rFont val="Tahoma"/>
            <family val="2"/>
          </rPr>
          <t>Antonio Marambio:</t>
        </r>
        <r>
          <rPr>
            <sz val="9"/>
            <color indexed="81"/>
            <rFont val="Tahoma"/>
            <family val="2"/>
          </rPr>
          <t xml:space="preserve">
150 usd /HH x 1200 HH 6 meses </t>
        </r>
      </text>
    </comment>
    <comment ref="N93" authorId="0" shapeId="0">
      <text>
        <r>
          <rPr>
            <b/>
            <sz val="9"/>
            <color indexed="81"/>
            <rFont val="Tahoma"/>
            <family val="2"/>
          </rPr>
          <t xml:space="preserve">mas detalle que lo que hizo Bain
</t>
        </r>
      </text>
    </comment>
  </commentList>
</comments>
</file>

<file path=xl/comments2.xml><?xml version="1.0" encoding="utf-8"?>
<comments xmlns="http://schemas.openxmlformats.org/spreadsheetml/2006/main">
  <authors>
    <author>Heppe Klaus    VANM</author>
  </authors>
  <commentList>
    <comment ref="O65" authorId="0" shapeId="0">
      <text>
        <r>
          <rPr>
            <b/>
            <sz val="9"/>
            <color indexed="81"/>
            <rFont val="Tahoma"/>
            <family val="2"/>
          </rPr>
          <t>Heppe Klaus    VANM:</t>
        </r>
        <r>
          <rPr>
            <sz val="9"/>
            <color indexed="81"/>
            <rFont val="Tahoma"/>
            <family val="2"/>
          </rPr>
          <t xml:space="preserve">
Acquire License change and Maintanence cheaper in received quote</t>
        </r>
      </text>
    </comment>
    <comment ref="B76" authorId="0" shapeId="0">
      <text>
        <r>
          <rPr>
            <b/>
            <sz val="9"/>
            <color indexed="81"/>
            <rFont val="Tahoma"/>
            <family val="2"/>
          </rPr>
          <t>Heppe Klaus    VANM:</t>
        </r>
        <r>
          <rPr>
            <sz val="9"/>
            <color indexed="81"/>
            <rFont val="Tahoma"/>
            <family val="2"/>
          </rPr>
          <t xml:space="preserve">
added Geology Warehouses</t>
        </r>
      </text>
    </comment>
    <comment ref="O84" authorId="0" shapeId="0">
      <text>
        <r>
          <rPr>
            <b/>
            <sz val="9"/>
            <color indexed="81"/>
            <rFont val="Tahoma"/>
            <family val="2"/>
          </rPr>
          <t>Heppe Klaus    VANM:</t>
        </r>
        <r>
          <rPr>
            <sz val="9"/>
            <color indexed="81"/>
            <rFont val="Tahoma"/>
            <family val="2"/>
          </rPr>
          <t xml:space="preserve">
corrected a  mistake here from previous version</t>
        </r>
      </text>
    </comment>
  </commentList>
</comments>
</file>

<file path=xl/sharedStrings.xml><?xml version="1.0" encoding="utf-8"?>
<sst xmlns="http://schemas.openxmlformats.org/spreadsheetml/2006/main" count="24974" uniqueCount="2476">
  <si>
    <t>NuevaUnión Scope of Approval Document</t>
  </si>
  <si>
    <t>1002-40303-PS-SOA-0001</t>
  </si>
  <si>
    <t>FOR USE</t>
  </si>
  <si>
    <t>INTERNAL</t>
  </si>
  <si>
    <t>SCOPE APPROVAL DOCUMENT - SUMMARY</t>
  </si>
  <si>
    <t xml:space="preserve"> </t>
  </si>
  <si>
    <t>SCOPE DESCRIPTION:</t>
  </si>
  <si>
    <t>START:</t>
  </si>
  <si>
    <t>PREPARED BY:</t>
  </si>
  <si>
    <t>REQUESTED BY:</t>
  </si>
  <si>
    <t>DATE OF REQUEST:</t>
  </si>
  <si>
    <t>FINISH:</t>
  </si>
  <si>
    <t>OBJECTIVES</t>
  </si>
  <si>
    <t>Item</t>
  </si>
  <si>
    <t>Title</t>
  </si>
  <si>
    <t>Details</t>
  </si>
  <si>
    <t>CC / Account</t>
  </si>
  <si>
    <t>Duration (months)</t>
  </si>
  <si>
    <t>Mhs</t>
  </si>
  <si>
    <t>KUSD</t>
  </si>
  <si>
    <t>Total</t>
  </si>
  <si>
    <t>Datedate</t>
  </si>
  <si>
    <t>Mike Hubbard</t>
  </si>
  <si>
    <t>Plan Date</t>
  </si>
  <si>
    <t>Date</t>
  </si>
  <si>
    <t>SCOPE APPROVAL DOCUMENT - PLANNING &amp; DETAILED BACKUP</t>
  </si>
  <si>
    <t>5.9 Camp</t>
  </si>
  <si>
    <t>Objective 1</t>
  </si>
  <si>
    <t>685 / 51-11-3314</t>
  </si>
  <si>
    <t>Objective 2</t>
  </si>
  <si>
    <t>Objective 3</t>
  </si>
  <si>
    <t>Objective 4</t>
  </si>
  <si>
    <t>Objective 5</t>
  </si>
  <si>
    <t>SPECIAL NEED BY OTHER AREA</t>
  </si>
  <si>
    <t>Special Need 1</t>
  </si>
  <si>
    <t>Environmental Studies</t>
  </si>
  <si>
    <t>Special Need 2</t>
  </si>
  <si>
    <t>BUDGET &amp; CASH FLOW</t>
  </si>
  <si>
    <t>Contract N° /
Bid Process Type</t>
  </si>
  <si>
    <t>Bidders</t>
  </si>
  <si>
    <t>RESOURCES</t>
  </si>
  <si>
    <t>N/A</t>
  </si>
  <si>
    <t>Ene</t>
  </si>
  <si>
    <t>Feb</t>
  </si>
  <si>
    <t>Mar</t>
  </si>
  <si>
    <t>Abr</t>
  </si>
  <si>
    <t>685 / 51-11-3350</t>
  </si>
  <si>
    <t>Jun</t>
  </si>
  <si>
    <t>Jul</t>
  </si>
  <si>
    <t>Ago</t>
  </si>
  <si>
    <t>Sept</t>
  </si>
  <si>
    <t>685 / 51-11-3351</t>
  </si>
  <si>
    <t>Start</t>
  </si>
  <si>
    <t>Finish</t>
  </si>
  <si>
    <t>Duration</t>
  </si>
  <si>
    <t>Dic</t>
  </si>
  <si>
    <t>Detalle</t>
  </si>
  <si>
    <t>CC</t>
  </si>
  <si>
    <t>Cuenta</t>
  </si>
  <si>
    <t>Correlativo</t>
  </si>
  <si>
    <t xml:space="preserve">681 Project Team </t>
  </si>
  <si>
    <t xml:space="preserve">Project Team </t>
  </si>
  <si>
    <t>51-11-3301</t>
  </si>
  <si>
    <t>1.1</t>
  </si>
  <si>
    <t>General Expenses</t>
  </si>
  <si>
    <t>51-11-3302</t>
  </si>
  <si>
    <t>682 Administration</t>
  </si>
  <si>
    <t>Travel International</t>
  </si>
  <si>
    <t>51-11-3303</t>
  </si>
  <si>
    <t>2.1</t>
  </si>
  <si>
    <t>Travel Domestic</t>
  </si>
  <si>
    <t>51-11-3304</t>
  </si>
  <si>
    <t>2.2</t>
  </si>
  <si>
    <t>Santiago Office</t>
  </si>
  <si>
    <t>51-11-3306</t>
  </si>
  <si>
    <t>2.3</t>
  </si>
  <si>
    <t xml:space="preserve">IT Licensing, Services </t>
  </si>
  <si>
    <t>51-11-3305</t>
  </si>
  <si>
    <t>2.4</t>
  </si>
  <si>
    <t>Corporate Charges</t>
  </si>
  <si>
    <t>51-11-3309</t>
  </si>
  <si>
    <t>IT</t>
  </si>
  <si>
    <t>Office Vallenar</t>
  </si>
  <si>
    <t>51-11-3315</t>
  </si>
  <si>
    <t>2.5</t>
  </si>
  <si>
    <t>Re Mine Property</t>
  </si>
  <si>
    <t>51-11-3337</t>
  </si>
  <si>
    <t>Finance</t>
  </si>
  <si>
    <t>EM Mine Property</t>
  </si>
  <si>
    <t>51-11-3338</t>
  </si>
  <si>
    <t>2.6</t>
  </si>
  <si>
    <t>Legal/Consulting/Easments</t>
  </si>
  <si>
    <t>51-11-3339</t>
  </si>
  <si>
    <t>Vallenar</t>
  </si>
  <si>
    <t>Permits Licences</t>
  </si>
  <si>
    <t>51-11-3340</t>
  </si>
  <si>
    <t>2.7</t>
  </si>
  <si>
    <t>Communications and Government Relations</t>
  </si>
  <si>
    <t>51-11-3341</t>
  </si>
  <si>
    <t>683 Legal</t>
  </si>
  <si>
    <t>Resettlement</t>
  </si>
  <si>
    <t>51-11-3360</t>
  </si>
  <si>
    <t>3.1</t>
  </si>
  <si>
    <t>Community Development</t>
  </si>
  <si>
    <t>51-11-3342</t>
  </si>
  <si>
    <t>3.2</t>
  </si>
  <si>
    <t>Community Engagement</t>
  </si>
  <si>
    <t>51-11-3343</t>
  </si>
  <si>
    <t>3.3</t>
  </si>
  <si>
    <t>51-11-3344</t>
  </si>
  <si>
    <t>3.4</t>
  </si>
  <si>
    <t>Environmental Monitoring</t>
  </si>
  <si>
    <t>51-11-3345</t>
  </si>
  <si>
    <t>684 SERA</t>
  </si>
  <si>
    <t>Environmental Permiting</t>
  </si>
  <si>
    <t>51-11-3346</t>
  </si>
  <si>
    <t>Comunications</t>
  </si>
  <si>
    <t>PFS Fluor (On shore/off shore)</t>
  </si>
  <si>
    <t>51-11-3354</t>
  </si>
  <si>
    <t>4.1</t>
  </si>
  <si>
    <t>PFS support and General Expenses</t>
  </si>
  <si>
    <t>51-11-3355</t>
  </si>
  <si>
    <t>Third Parties</t>
  </si>
  <si>
    <t>51-11-3356</t>
  </si>
  <si>
    <t>4.2</t>
  </si>
  <si>
    <t>FS</t>
  </si>
  <si>
    <t>51-11-3357</t>
  </si>
  <si>
    <t>CSR</t>
  </si>
  <si>
    <t xml:space="preserve">Health and Safety  </t>
  </si>
  <si>
    <t>51-11-3358</t>
  </si>
  <si>
    <t>4.3</t>
  </si>
  <si>
    <t>Metallurgy</t>
  </si>
  <si>
    <t>51-11-3324</t>
  </si>
  <si>
    <t>4.4</t>
  </si>
  <si>
    <t>Drilling Campaign Relincho</t>
  </si>
  <si>
    <t>51-11-3350</t>
  </si>
  <si>
    <t>EIA</t>
  </si>
  <si>
    <t>Drilling Campaign La Fortuna</t>
  </si>
  <si>
    <t>51-11-3351</t>
  </si>
  <si>
    <t>4.5</t>
  </si>
  <si>
    <t>Camp</t>
  </si>
  <si>
    <t>51-11-3314</t>
  </si>
  <si>
    <t>4.6</t>
  </si>
  <si>
    <t>Mine planning external support</t>
  </si>
  <si>
    <t>51-11-3331</t>
  </si>
  <si>
    <t>4.7</t>
  </si>
  <si>
    <t>Geology</t>
  </si>
  <si>
    <t>51-11-3052</t>
  </si>
  <si>
    <t>685 Engineering</t>
  </si>
  <si>
    <t>Geotechnical</t>
  </si>
  <si>
    <t>51-11-3363</t>
  </si>
  <si>
    <t>Engineering</t>
  </si>
  <si>
    <t>General Management</t>
  </si>
  <si>
    <t>51-11-3352</t>
  </si>
  <si>
    <t>5.1</t>
  </si>
  <si>
    <t>Service management</t>
  </si>
  <si>
    <t>51-11-3353</t>
  </si>
  <si>
    <t>5.2</t>
  </si>
  <si>
    <t>5.3</t>
  </si>
  <si>
    <t>5.4</t>
  </si>
  <si>
    <t>5.5</t>
  </si>
  <si>
    <t>5.6</t>
  </si>
  <si>
    <t>Drilling</t>
  </si>
  <si>
    <t>5.7</t>
  </si>
  <si>
    <t>5.8</t>
  </si>
  <si>
    <t>Site</t>
  </si>
  <si>
    <t>5.9</t>
  </si>
  <si>
    <t>687 Operations and technical Services</t>
  </si>
  <si>
    <t>Mine</t>
  </si>
  <si>
    <t>6.1</t>
  </si>
  <si>
    <t>6.2</t>
  </si>
  <si>
    <t>6.3</t>
  </si>
  <si>
    <t>688 Management</t>
  </si>
  <si>
    <t>7.1</t>
  </si>
  <si>
    <t>7.2</t>
  </si>
  <si>
    <t>CC / Cuenta</t>
  </si>
  <si>
    <t>Month</t>
  </si>
  <si>
    <t>Departments</t>
  </si>
  <si>
    <t>Areas</t>
  </si>
  <si>
    <t>Responsibles</t>
  </si>
  <si>
    <t>681 / 51-11-3301</t>
  </si>
  <si>
    <t xml:space="preserve">1.1 Project Team </t>
  </si>
  <si>
    <t>682 / 51-11-3302</t>
  </si>
  <si>
    <t>2.1 General Expenses</t>
  </si>
  <si>
    <t>Julio Retamal</t>
  </si>
  <si>
    <t>682 / 51-11-3303</t>
  </si>
  <si>
    <t>2.2 Travel International</t>
  </si>
  <si>
    <t>Ariel Scharfstein</t>
  </si>
  <si>
    <t>682 / 51-11-3304</t>
  </si>
  <si>
    <t>2.3 Travel Domestic</t>
  </si>
  <si>
    <t>Petri Sopera</t>
  </si>
  <si>
    <t>682 / 51-11-3306</t>
  </si>
  <si>
    <t>2.4 Santiago Office</t>
  </si>
  <si>
    <t>Walter Droppelmann</t>
  </si>
  <si>
    <t>682 / 51-11-3305</t>
  </si>
  <si>
    <t>May</t>
  </si>
  <si>
    <t xml:space="preserve">2.5 IT Licensing, Services </t>
  </si>
  <si>
    <t>687 Operations and Technical Services</t>
  </si>
  <si>
    <t>Fernando Saavedra</t>
  </si>
  <si>
    <t>682 / 51-11-3309</t>
  </si>
  <si>
    <t>682 / 51-11-3315</t>
  </si>
  <si>
    <t>2.7 Office Vallenar</t>
  </si>
  <si>
    <t>683 / 51-11-3337</t>
  </si>
  <si>
    <t>3.1 Re Mine Property</t>
  </si>
  <si>
    <t>683 / 51-11-3338</t>
  </si>
  <si>
    <t>3.2 EM Mine Property</t>
  </si>
  <si>
    <t>683 / 51-11-3339</t>
  </si>
  <si>
    <t>Oct</t>
  </si>
  <si>
    <t>3.3 Legal/Consulting/Easments</t>
  </si>
  <si>
    <t>683 / 51-11-3340</t>
  </si>
  <si>
    <t>Nov</t>
  </si>
  <si>
    <t>3.4 Permits Licences</t>
  </si>
  <si>
    <t>684 / 51-11-3341</t>
  </si>
  <si>
    <t>4.1 Communications and Government Relations</t>
  </si>
  <si>
    <t>684 / 51-11-3360</t>
  </si>
  <si>
    <t>4.2 Resettlement</t>
  </si>
  <si>
    <t>684 / 51-11-3342</t>
  </si>
  <si>
    <t>4.3 Community Development</t>
  </si>
  <si>
    <t>684 / 51-11-3343</t>
  </si>
  <si>
    <t>4.4 Community Engagement</t>
  </si>
  <si>
    <t>684 / 51-11-3344</t>
  </si>
  <si>
    <t>4.5 Environmental Studies</t>
  </si>
  <si>
    <t>684 / 51-11-3345</t>
  </si>
  <si>
    <t>4.6 Environmental Monitoring</t>
  </si>
  <si>
    <t>684 / 51-11-3346</t>
  </si>
  <si>
    <t>4.7 Environmental Permiting</t>
  </si>
  <si>
    <t>685 / 51-11-3354</t>
  </si>
  <si>
    <t>5.1 PFS Fluor (On shore/off shore)</t>
  </si>
  <si>
    <t>685 / 51-11-3355</t>
  </si>
  <si>
    <t>5.2 PFS support and General Expenses</t>
  </si>
  <si>
    <t>685 / 51-11-3356</t>
  </si>
  <si>
    <t>5.3 Third Parties</t>
  </si>
  <si>
    <t>685 / 51-11-3357</t>
  </si>
  <si>
    <t>5.4 FS</t>
  </si>
  <si>
    <t>685 / 51-11-3358</t>
  </si>
  <si>
    <t xml:space="preserve">5.5 Health and Safety  </t>
  </si>
  <si>
    <t>685 / 51-11-3324</t>
  </si>
  <si>
    <t>5.6 Metallurgy</t>
  </si>
  <si>
    <t>5.7 Drilling Campaign Relincho</t>
  </si>
  <si>
    <t>5.8 Drilling Campaign La Fortuna</t>
  </si>
  <si>
    <t>687 / 51-11-3331</t>
  </si>
  <si>
    <t>6.1 Mine planning external support</t>
  </si>
  <si>
    <t>687 / 51-11-3052</t>
  </si>
  <si>
    <t>6.2 Geology</t>
  </si>
  <si>
    <t>687 / 51-11-3363</t>
  </si>
  <si>
    <t>6.3 Geotechnical</t>
  </si>
  <si>
    <t>688 / 51-11-3352</t>
  </si>
  <si>
    <t>7.1 General Management</t>
  </si>
  <si>
    <t>688 / 51-11-3353</t>
  </si>
  <si>
    <t>7.2 Service management</t>
  </si>
  <si>
    <t>7.2.1.01</t>
  </si>
  <si>
    <t>Risk and Opportunities implementation</t>
  </si>
  <si>
    <t xml:space="preserve">NU Project needs to ensure all risks and opportunities are adressed from early phases to comply with the company standards and achieve porject goals </t>
  </si>
  <si>
    <t>7.2.2.02</t>
  </si>
  <si>
    <t>Dashboard and other internal reports</t>
  </si>
  <si>
    <t>Information needed to track all the action item activities, progress, budget  and schedule for NU project</t>
  </si>
  <si>
    <t>Objective 6</t>
  </si>
  <si>
    <t>Objective 7</t>
  </si>
  <si>
    <t>Objective 8</t>
  </si>
  <si>
    <t>Objective 9</t>
  </si>
  <si>
    <t>Objective 10</t>
  </si>
  <si>
    <t>Code (*)</t>
  </si>
  <si>
    <t>Notes:</t>
  </si>
  <si>
    <t>7.2.1.02</t>
  </si>
  <si>
    <t>7.2.2.01</t>
  </si>
  <si>
    <t>7.2.3.01</t>
  </si>
  <si>
    <t>7.2.3.02</t>
  </si>
  <si>
    <t>7.2.4.01</t>
  </si>
  <si>
    <t>7.2.4.02</t>
  </si>
  <si>
    <t>7.2.5.01</t>
  </si>
  <si>
    <t>7.2.5.02</t>
  </si>
  <si>
    <t>7.2.6.01</t>
  </si>
  <si>
    <t>7.2.6.02</t>
  </si>
  <si>
    <t>7.2.7.01</t>
  </si>
  <si>
    <t>7.2.7.02</t>
  </si>
  <si>
    <t>7.2.8.01</t>
  </si>
  <si>
    <t>7.2.8.02</t>
  </si>
  <si>
    <t>7.2.9.01</t>
  </si>
  <si>
    <t>7.2.9.02</t>
  </si>
  <si>
    <t>7.2.10.01</t>
  </si>
  <si>
    <t>7.2.10.02</t>
  </si>
  <si>
    <t>7.2.1.03</t>
  </si>
  <si>
    <t>7.2.1.10</t>
  </si>
  <si>
    <t>7.2.3.03</t>
  </si>
  <si>
    <t>7.2.3.04</t>
  </si>
  <si>
    <t>7.2.3.05</t>
  </si>
  <si>
    <t>Details, Quantities &amp; Rates References</t>
  </si>
  <si>
    <t>Area</t>
  </si>
  <si>
    <t>Bidding/Licitación</t>
  </si>
  <si>
    <t>Purchase Order (PO)/Orden de Compra</t>
  </si>
  <si>
    <t>Open PO/Orden de Compra Abierta</t>
  </si>
  <si>
    <t>Sole Source/Adjudicación Directa</t>
  </si>
  <si>
    <t>Agreement/Convenio</t>
  </si>
  <si>
    <t>Current Contract/Contrato Activo</t>
  </si>
  <si>
    <t>Contract Renewal/Renovación de Contrato</t>
  </si>
  <si>
    <t>Contract N° /
Bid Process Type (**)</t>
  </si>
  <si>
    <t>Contract Renewal / Renovación de Contrato</t>
  </si>
  <si>
    <t>Tech Spec
Issue Date (***)</t>
  </si>
  <si>
    <t>Bid Process Start (****)</t>
  </si>
  <si>
    <t>LOA
Issue Date
(*****)</t>
  </si>
  <si>
    <t>Service Start
(******)</t>
  </si>
  <si>
    <t>(***)</t>
  </si>
  <si>
    <r>
      <rPr>
        <b/>
        <sz val="14"/>
        <color theme="1"/>
        <rFont val="Arial"/>
        <family val="2"/>
      </rPr>
      <t>(*)</t>
    </r>
    <r>
      <rPr>
        <sz val="14"/>
        <color theme="1"/>
        <rFont val="Arial"/>
        <family val="2"/>
      </rPr>
      <t xml:space="preserve"> This Code must be manually written in consideration with the Scope Description </t>
    </r>
  </si>
  <si>
    <t>(****)</t>
  </si>
  <si>
    <t>(*****)</t>
  </si>
  <si>
    <r>
      <rPr>
        <b/>
        <sz val="14"/>
        <color theme="1"/>
        <rFont val="Arial"/>
        <family val="2"/>
      </rPr>
      <t>Tech Spec Issue Date</t>
    </r>
    <r>
      <rPr>
        <sz val="14"/>
        <color theme="1"/>
        <rFont val="Arial"/>
        <family val="2"/>
      </rPr>
      <t xml:space="preserve">: Fecha entrega de las Bases Técnicas para el proceso de Licitación </t>
    </r>
  </si>
  <si>
    <r>
      <rPr>
        <b/>
        <sz val="14"/>
        <color theme="1"/>
        <rFont val="Arial"/>
        <family val="2"/>
      </rPr>
      <t>Bid Process Start</t>
    </r>
    <r>
      <rPr>
        <sz val="14"/>
        <color theme="1"/>
        <rFont val="Arial"/>
        <family val="2"/>
      </rPr>
      <t>: Fecha inicio del proceso de Licitación</t>
    </r>
  </si>
  <si>
    <r>
      <rPr>
        <b/>
        <sz val="14"/>
        <color theme="1"/>
        <rFont val="Arial"/>
        <family val="2"/>
      </rPr>
      <t>LOA Issue Date</t>
    </r>
    <r>
      <rPr>
        <sz val="11"/>
        <color theme="1"/>
        <rFont val="Arial"/>
        <family val="2"/>
      </rPr>
      <t xml:space="preserve">: </t>
    </r>
    <r>
      <rPr>
        <sz val="14"/>
        <color theme="1"/>
        <rFont val="Arial"/>
        <family val="2"/>
      </rPr>
      <t>Fecha de la Carta de Adjudicación de los servicios contratados</t>
    </r>
  </si>
  <si>
    <t>(******)</t>
  </si>
  <si>
    <r>
      <rPr>
        <b/>
        <sz val="14"/>
        <color theme="1"/>
        <rFont val="Arial"/>
        <family val="2"/>
      </rPr>
      <t>Service Start</t>
    </r>
    <r>
      <rPr>
        <sz val="14"/>
        <color theme="1"/>
        <rFont val="Arial"/>
        <family val="2"/>
      </rPr>
      <t>: Fecha Real de Inicio de los servicios</t>
    </r>
  </si>
  <si>
    <t>b.</t>
  </si>
  <si>
    <t>c.</t>
  </si>
  <si>
    <t>d.</t>
  </si>
  <si>
    <t>e.</t>
  </si>
  <si>
    <t>f.</t>
  </si>
  <si>
    <t>g.</t>
  </si>
  <si>
    <r>
      <rPr>
        <b/>
        <sz val="14"/>
        <color theme="1"/>
        <rFont val="Arial"/>
        <family val="2"/>
      </rPr>
      <t>(**)</t>
    </r>
    <r>
      <rPr>
        <sz val="14"/>
        <color theme="1"/>
        <rFont val="Arial"/>
        <family val="2"/>
      </rPr>
      <t xml:space="preserve">      a.</t>
    </r>
  </si>
  <si>
    <t>Contrato que ouede tener un horizonte de tiempo &gt; 1 año</t>
  </si>
  <si>
    <t>Contrato que llegada su fecha de término, este se renueva por un plazo adicional</t>
  </si>
  <si>
    <t>Contrato / Servicio con un monto establecido para operar (eje. Ferretería)</t>
  </si>
  <si>
    <t>Proceso de Licitación</t>
  </si>
  <si>
    <t>Abrir / Colocar una O.C</t>
  </si>
  <si>
    <t>Contrato / Servicio adjudicado sin pre-elección o competencia</t>
  </si>
  <si>
    <t>Este código se inserta (escribe) en forma manual en referencia a la Descripción del Alcance</t>
  </si>
  <si>
    <t>SCHEDULE LEVEL 1</t>
  </si>
  <si>
    <t>Revision Date: 08-09-2017</t>
  </si>
  <si>
    <t>Revision: C</t>
  </si>
  <si>
    <t>Acuerdo de colaboración con una entidad gubernamental o privada sin fines de lucro</t>
  </si>
  <si>
    <t>Jeff LaFoy</t>
  </si>
  <si>
    <t>Sergio Molina</t>
  </si>
  <si>
    <t>Antonio Marambio</t>
  </si>
  <si>
    <t>Project Team</t>
  </si>
  <si>
    <t>Legal</t>
  </si>
  <si>
    <t>Community</t>
  </si>
  <si>
    <t>Environmental</t>
  </si>
  <si>
    <t>Administration</t>
  </si>
  <si>
    <t>FS Engineering</t>
  </si>
  <si>
    <t>FS ON-Shore &amp; Off Shore contracts</t>
  </si>
  <si>
    <t>EIA Deliverables support for EIA submission</t>
  </si>
  <si>
    <t>Fluor EIA Deliverables special coordinator</t>
  </si>
  <si>
    <t>3rd Party, RopeCon</t>
  </si>
  <si>
    <t>3rd Party, Concentrate pipeline system</t>
  </si>
  <si>
    <t>3rd Party,Water pipeline system</t>
  </si>
  <si>
    <t>3rd Partry, Transmission lines</t>
  </si>
  <si>
    <t>3rd Partry, Harmonic Filters Study</t>
  </si>
  <si>
    <t>3rd Partry, Off site roads</t>
  </si>
  <si>
    <t>3rd Partry, TMF Design</t>
  </si>
  <si>
    <t>3rd Partry, Geotechnical support (Corridors)</t>
  </si>
  <si>
    <t>3rd Party, Waste Management design</t>
  </si>
  <si>
    <t>3rd Party, HPGR/HRC Vendor design</t>
  </si>
  <si>
    <t>Corridors/Plant Geotechnical survey</t>
  </si>
  <si>
    <t>3rd Party, Conveyor design review</t>
  </si>
  <si>
    <t>Port Technical consultant</t>
  </si>
  <si>
    <t>Desalination plant consultant</t>
  </si>
  <si>
    <t>Value assurance</t>
  </si>
  <si>
    <t>FS Planning session</t>
  </si>
  <si>
    <t>Other worshops</t>
  </si>
  <si>
    <t>Risk Assesment Consultant</t>
  </si>
  <si>
    <t>HPGR/HRC Consultant</t>
  </si>
  <si>
    <t>TMF Design review Consultant</t>
  </si>
  <si>
    <t>HPGR/HRC Fluor PFS</t>
  </si>
  <si>
    <t>Other consultants</t>
  </si>
  <si>
    <t>Freeport Join effort</t>
  </si>
  <si>
    <t>FS Support and general expenses</t>
  </si>
  <si>
    <t>Heath and Satety</t>
  </si>
  <si>
    <t>Main Engineering company</t>
  </si>
  <si>
    <t>Continue with Fluor (Transision process)</t>
  </si>
  <si>
    <t>Similar to Carlos Esguerra (Part time)</t>
  </si>
  <si>
    <t>Doppelmayr</t>
  </si>
  <si>
    <t>BRASS</t>
  </si>
  <si>
    <t>TRACTEBEL</t>
  </si>
  <si>
    <t>Contractor</t>
  </si>
  <si>
    <t>LEN</t>
  </si>
  <si>
    <t>Arcadis</t>
  </si>
  <si>
    <t>SGS</t>
  </si>
  <si>
    <t>TYSEN / Metso</t>
  </si>
  <si>
    <t>TNT</t>
  </si>
  <si>
    <t>COWI</t>
  </si>
  <si>
    <t>B &amp; V</t>
  </si>
  <si>
    <t>Group</t>
  </si>
  <si>
    <t>Project services</t>
  </si>
  <si>
    <t>Consultant</t>
  </si>
  <si>
    <t>Fluor</t>
  </si>
  <si>
    <t>&gt;12</t>
  </si>
  <si>
    <t>HPGR/HRC Testwork</t>
  </si>
  <si>
    <t>Met Testworks</t>
  </si>
  <si>
    <t>Process consultant</t>
  </si>
  <si>
    <t>(From Staffing)</t>
  </si>
  <si>
    <t xml:space="preserve">Monitoreo GPS de camionetas </t>
  </si>
  <si>
    <t>EPP Ingeniería y Construcción</t>
  </si>
  <si>
    <t>Desarrollo documentos protección industrial</t>
  </si>
  <si>
    <t>Campañas de Salud y Seguridad</t>
  </si>
  <si>
    <t>Cursos de capacitación</t>
  </si>
  <si>
    <t>Difusión no campañas</t>
  </si>
  <si>
    <t>Elementos de apoyo en emergencias</t>
  </si>
  <si>
    <t>Elementos de protección Personal compañía</t>
  </si>
  <si>
    <t xml:space="preserve">no budget/ cada área debe tener dinero para elementos de protección personal de sus integrantes </t>
  </si>
  <si>
    <t>Operations and maintenance camp</t>
  </si>
  <si>
    <t>Alimentación</t>
  </si>
  <si>
    <t>Arriendo grupo generador</t>
  </si>
  <si>
    <t>Servicio de mantención generador propio</t>
  </si>
  <si>
    <t xml:space="preserve">Servicio apoyo personal </t>
  </si>
  <si>
    <t>Retiro de Respel</t>
  </si>
  <si>
    <t>Limpieza fosa séptica y lavado de cámaras de inspección</t>
  </si>
  <si>
    <t>Suministro y Traslado de agua potable</t>
  </si>
  <si>
    <t>Agua envasada</t>
  </si>
  <si>
    <t>Gas licuado</t>
  </si>
  <si>
    <t>Petróleo (generación + camioneta)</t>
  </si>
  <si>
    <t>Flete por transporte de petróleo</t>
  </si>
  <si>
    <t>Televisión satelital</t>
  </si>
  <si>
    <t>Control de plagas</t>
  </si>
  <si>
    <t>Mantenciones menores</t>
  </si>
  <si>
    <t>Elemento Protección Personal</t>
  </si>
  <si>
    <t>Aerorescate</t>
  </si>
  <si>
    <t>Lavado de ropa</t>
  </si>
  <si>
    <t>Útiles de escritorio</t>
  </si>
  <si>
    <t>Arriendo Bodegas Vallenar</t>
  </si>
  <si>
    <t>Arriendo camionetas ( 2 )</t>
  </si>
  <si>
    <t>Petróleo Cupón Electrónico camionetas</t>
  </si>
  <si>
    <t>Alimentación para 4 ó 5 personas</t>
  </si>
  <si>
    <t>Generador 24/7, precio incluye mantención</t>
  </si>
  <si>
    <t>Mantención para generador de respaldo</t>
  </si>
  <si>
    <t xml:space="preserve">Personal para reemplazo por vacaciones </t>
  </si>
  <si>
    <t>Retiro de residuos peligrosos cada 6 meses</t>
  </si>
  <si>
    <t>Limpieza de fosa y retiro de sólidos una vez al año</t>
  </si>
  <si>
    <t>Consumo diario: 80 lt para la generación y 10 litros para camioneta de servicio</t>
  </si>
  <si>
    <t>Transporte de petróleo cada 2 meses</t>
  </si>
  <si>
    <t>2 planes de TV satelital</t>
  </si>
  <si>
    <t>Servicio con dos visitas mensuales</t>
  </si>
  <si>
    <t>Recarga de extintores, gasfiteria, electricidad, reponer cercos y otros</t>
  </si>
  <si>
    <t>Se considera $ 200,000 por personas dos veces al año en verano e invierno, solo para el personal del Camp</t>
  </si>
  <si>
    <t xml:space="preserve">Servicio de aerorescate médico </t>
  </si>
  <si>
    <t>Lavado de ropa de cama y ropa del personal del campamento</t>
  </si>
  <si>
    <t>Papel, lapices, pilas y otros</t>
  </si>
  <si>
    <t>Arriendo de 5 bodegas en Vallenar. En estas bodegas estan almacenado los sondajes de el morro</t>
  </si>
  <si>
    <t>Una camioneta de servicio en campamento y otra para traslados entre Vallenar, Relincho, El Pingo y El Morro</t>
  </si>
  <si>
    <t>Petróleo parala camioneta que tendrá como base Vallenar</t>
  </si>
  <si>
    <t>Active Ct</t>
  </si>
  <si>
    <t>Santa Isabel</t>
  </si>
  <si>
    <t>Bid Ct</t>
  </si>
  <si>
    <t>Serviterra</t>
  </si>
  <si>
    <t>Bid OC</t>
  </si>
  <si>
    <t>no se ha contratado</t>
  </si>
  <si>
    <t>Workmate</t>
  </si>
  <si>
    <t>bioseptic</t>
  </si>
  <si>
    <t>Agua Chañar</t>
  </si>
  <si>
    <t>Carlos Vergara</t>
  </si>
  <si>
    <t>Sole Source OC</t>
  </si>
  <si>
    <t>PDN OC</t>
  </si>
  <si>
    <t>PDN OS</t>
  </si>
  <si>
    <t xml:space="preserve">Servicio de resguardo y mantención </t>
  </si>
  <si>
    <t>Control de plaga</t>
  </si>
  <si>
    <t xml:space="preserve">Limpieza fosa séptica </t>
  </si>
  <si>
    <t>El servicio incluye personal, alimentación, generación, camioneta, petróleo y TV Satelital</t>
  </si>
  <si>
    <t>Limpieza de fosa y retiro de sólidos cada dos meses</t>
  </si>
  <si>
    <t>El servicio incluye personal, alimentación, generación, camioneta y TV Satelital</t>
  </si>
  <si>
    <t xml:space="preserve">other </t>
  </si>
  <si>
    <t>The drilling contractor needs the camp and catering services for the GeoMet drills</t>
  </si>
  <si>
    <t>The EIA contractor needs the camp and catering services for the Baseline Campaigns</t>
  </si>
  <si>
    <t>Drillings Campaign @ Relincho</t>
  </si>
  <si>
    <t>The drilling contractor needs the camp and catering services for the GeoMet / GeoTech / HydroGeo drills</t>
  </si>
  <si>
    <t>Todos</t>
  </si>
  <si>
    <t xml:space="preserve"> Camp Relincho</t>
  </si>
  <si>
    <t>Camp El Pingo</t>
  </si>
  <si>
    <t>Camp La Fortuna</t>
  </si>
  <si>
    <t>Muestras 1</t>
  </si>
  <si>
    <t>ALS</t>
  </si>
  <si>
    <t>IMG</t>
  </si>
  <si>
    <t>Arriendo casa geologos</t>
  </si>
  <si>
    <t>Muestras 2</t>
  </si>
  <si>
    <t xml:space="preserve">Griffith Drilling </t>
  </si>
  <si>
    <t>Extensión campaña de Sondaje</t>
  </si>
  <si>
    <t>NuevaUnión</t>
  </si>
  <si>
    <t>NUEVAUNIÓN</t>
  </si>
  <si>
    <t>Original 
Budget</t>
  </si>
  <si>
    <t>TOTAL</t>
  </si>
  <si>
    <t xml:space="preserve">Cost </t>
  </si>
  <si>
    <t>2018</t>
  </si>
  <si>
    <t>FS Fluor (On shore/off shore)</t>
  </si>
  <si>
    <t>FS support and General Expenses</t>
  </si>
  <si>
    <t xml:space="preserve">Drilling Campaign </t>
  </si>
  <si>
    <t>6.1.1</t>
  </si>
  <si>
    <t>Softwares and Training</t>
  </si>
  <si>
    <t>NuevaUnion</t>
  </si>
  <si>
    <t>Operations and Technical Services</t>
  </si>
  <si>
    <t xml:space="preserve">Softwares and licences </t>
  </si>
  <si>
    <t>6.1.2</t>
  </si>
  <si>
    <t>Consulting and Studies</t>
  </si>
  <si>
    <t>Future contracts - Consultant to be determined</t>
  </si>
  <si>
    <t>6.1.3</t>
  </si>
  <si>
    <t>Administration and Visits</t>
  </si>
  <si>
    <t>Miscellaneous field visits</t>
  </si>
  <si>
    <t>Vulcan Software</t>
  </si>
  <si>
    <t>TBD</t>
  </si>
  <si>
    <t>Training Vulcan</t>
  </si>
  <si>
    <t>Whittle Software</t>
  </si>
  <si>
    <t>Training Whittle</t>
  </si>
  <si>
    <t>Comet Model Support</t>
  </si>
  <si>
    <t>Mine Engineering Support</t>
  </si>
  <si>
    <t>Geotechnical design review</t>
  </si>
  <si>
    <t>Block Cave Study - Trade-offs</t>
  </si>
  <si>
    <t>Primary Crusher and Mine Infrastructure Siting Optimization</t>
  </si>
  <si>
    <t>Mine Equipment Study</t>
  </si>
  <si>
    <t>IPCC Study for Relincho</t>
  </si>
  <si>
    <t>Maintenance Strategy</t>
  </si>
  <si>
    <t>Operations Strategy</t>
  </si>
  <si>
    <t xml:space="preserve">Operational readiness consulting               </t>
  </si>
  <si>
    <t>Visits to operations, good practices</t>
  </si>
  <si>
    <t>Administration, meals, miscelaneous</t>
  </si>
  <si>
    <t>6.2.1</t>
  </si>
  <si>
    <t>General &amp; Administrative</t>
  </si>
  <si>
    <t>6.2.2</t>
  </si>
  <si>
    <t>Warehouses</t>
  </si>
  <si>
    <t>6.2.3</t>
  </si>
  <si>
    <t>Geoscience</t>
  </si>
  <si>
    <t>6.2.4</t>
  </si>
  <si>
    <t>Brownfield Exploration</t>
  </si>
  <si>
    <t>6.2.5</t>
  </si>
  <si>
    <t xml:space="preserve">Mine Geology </t>
  </si>
  <si>
    <t>6.2.6</t>
  </si>
  <si>
    <t>Drill Campaign</t>
  </si>
  <si>
    <t>6.2.7</t>
  </si>
  <si>
    <t>Mine Resource Modelling</t>
  </si>
  <si>
    <t>6.2.8</t>
  </si>
  <si>
    <t>Feasability Resource Updates</t>
  </si>
  <si>
    <t>6.2.9</t>
  </si>
  <si>
    <t>Classification Harmonization</t>
  </si>
  <si>
    <t>6.2.10</t>
  </si>
  <si>
    <t>FS Reporting</t>
  </si>
  <si>
    <t>Vallenar Office</t>
  </si>
  <si>
    <t>Geology Staff</t>
  </si>
  <si>
    <t>Detail in sheet Geology G&amp;A</t>
  </si>
  <si>
    <t>IT (Computer, Software, Licenses)</t>
  </si>
  <si>
    <t>Technical Equipment</t>
  </si>
  <si>
    <t>Training</t>
  </si>
  <si>
    <t>Safety &amp; Field Gear</t>
  </si>
  <si>
    <t>Communication</t>
  </si>
  <si>
    <t>Mobility (Trucks, incl. Fuel) &amp; Travel</t>
  </si>
  <si>
    <t>La Fortuna - Reorganization (Ready to Move)</t>
  </si>
  <si>
    <t>Geology Staff &amp; Helpers</t>
  </si>
  <si>
    <t xml:space="preserve">Detail in sheet </t>
  </si>
  <si>
    <t>Relincho - Standardization (contunuation from 2013)</t>
  </si>
  <si>
    <t>Petrology (50 units)</t>
  </si>
  <si>
    <t>External Consultants</t>
  </si>
  <si>
    <t>External Consultants (50)</t>
  </si>
  <si>
    <t>Geochronology (10 units)</t>
  </si>
  <si>
    <t>External Consultants (10)</t>
  </si>
  <si>
    <t>Fluid Inclusions - La Fortuna (15 units)</t>
  </si>
  <si>
    <t>External Consultants (15)</t>
  </si>
  <si>
    <t>Sulfur Isotopes - La Fortuna (30 units)</t>
  </si>
  <si>
    <t>External Consultants (30)</t>
  </si>
  <si>
    <t>Certification of NU CRMs</t>
  </si>
  <si>
    <t>NU and Teck Vancouver (Iain Dalrymple)</t>
  </si>
  <si>
    <t>NU and Teck Vancouver (Iain Dalrymple) (1)</t>
  </si>
  <si>
    <t>Mapping or Relogging</t>
  </si>
  <si>
    <t>Nauches (14 days, 80 USD @ day)</t>
  </si>
  <si>
    <t>Geology Staff (3)</t>
  </si>
  <si>
    <t>Cerro Colorado (14 days, 80 USD @ day)</t>
  </si>
  <si>
    <t>Cantarito (14 days, 80 USD @ day)</t>
  </si>
  <si>
    <t>El Morro Compilation (7 days, 80 USD @ day)</t>
  </si>
  <si>
    <t>Geophysics</t>
  </si>
  <si>
    <t>LAF IP Infill (2,500 USD L/km, 4,000 USD Mob-Demob)</t>
  </si>
  <si>
    <t>Contractor Crew</t>
  </si>
  <si>
    <t>LAF Mag Infill (130 USD L/km)</t>
  </si>
  <si>
    <t>LAF Aeromag Rad Survey BASE (64.6 USD L/km, Mob: 30k)</t>
  </si>
  <si>
    <t>LAF Aeromag Rad Survey CORE (414,370 USD)</t>
  </si>
  <si>
    <t>Geophysicist</t>
  </si>
  <si>
    <t>Geraldine Estay, Teck Santiago</t>
  </si>
  <si>
    <t>Geochemistry</t>
  </si>
  <si>
    <t>Cerro Colorado (14 day, 375 samples, 55 USD)</t>
  </si>
  <si>
    <t>Cantarito (14 days, 375 samples)</t>
  </si>
  <si>
    <t>El Morro Compilation (14 day, 375 samples)</t>
  </si>
  <si>
    <t>Geochemist Data Compilation and Review</t>
  </si>
  <si>
    <t>Geochemist, Teck Santiago or Vancouver</t>
  </si>
  <si>
    <t>District Target Review and Evaluations</t>
  </si>
  <si>
    <t>2 Submittals (Field Visit, incl sampling)</t>
  </si>
  <si>
    <t>Geology Staff (2)</t>
  </si>
  <si>
    <t xml:space="preserve">Target Field Review </t>
  </si>
  <si>
    <t>Hyperspectral Core Scanning</t>
  </si>
  <si>
    <t>CoreScan - Phase 1  - La Fortuna
20% of LAF, or 16,750m @ 28.50 USD per meter (150m per day)</t>
  </si>
  <si>
    <t>CoreScan,  Geology Staff &amp; Helper (4 people, 5 months)</t>
  </si>
  <si>
    <t>La Fortuna Deep</t>
  </si>
  <si>
    <t>Blockcave Study Support (t.b.d.)</t>
  </si>
  <si>
    <t>Road and Platform Preparation</t>
  </si>
  <si>
    <t>Bulldozer (230 USD per hour)</t>
  </si>
  <si>
    <t>Contractor - Serviterra</t>
  </si>
  <si>
    <t>Excavator (72 USD per hour)</t>
  </si>
  <si>
    <t>Mob - Demob</t>
  </si>
  <si>
    <t>Drilling (RE: $300@m, LAF: $320@m)</t>
  </si>
  <si>
    <t>Geotech Relincho (4,200m, HQ)</t>
  </si>
  <si>
    <t>Contractor - Drill Company</t>
  </si>
  <si>
    <t>La Fortuna Deep, 3,875m (all steep GEOMET to 1,000m, +7 DDH)</t>
  </si>
  <si>
    <t>Los Andes Central (3,000m HQ)</t>
  </si>
  <si>
    <t>Topography and Downhole Surveys per hole</t>
  </si>
  <si>
    <t>Topography (280 USD per hole)</t>
  </si>
  <si>
    <t>Topography - Geotech (1,900 USD per hole)</t>
  </si>
  <si>
    <t>Simple Gyroscope (10,800 USD per month, incl. 2,000m)</t>
  </si>
  <si>
    <t>Gyroscope incl. ATV/OTV (36,700 USD per month, incl 2,700m Gyroscopio, 1250m ATV/OTV)</t>
  </si>
  <si>
    <t>Drill Control and Core Processing 12,275m, 8 holes, 20 USD por meter (+30%)</t>
  </si>
  <si>
    <t>Contractor, IMG</t>
  </si>
  <si>
    <t>Assays</t>
  </si>
  <si>
    <t xml:space="preserve">Relincho (32 USD per m, incl QAQC) </t>
  </si>
  <si>
    <t>Contractor, ALS</t>
  </si>
  <si>
    <t>La Fortuna (42 USD per m, incl. QAQC)</t>
  </si>
  <si>
    <t>Drill Support Staff (6-month campaign assumed, incl. OOB)
(6-month campaign assumed, incl. OOB)</t>
  </si>
  <si>
    <t>Senior Geologist (120)</t>
  </si>
  <si>
    <t>LAF - 3D Model Update and Estimation</t>
  </si>
  <si>
    <t xml:space="preserve">Principal Geologist </t>
  </si>
  <si>
    <t>New Alt Model, Blockcave, …</t>
  </si>
  <si>
    <t>Band 9 Geo (Resource Modeler)</t>
  </si>
  <si>
    <t>LAF FS Model Update</t>
  </si>
  <si>
    <t>Principal Geologist</t>
  </si>
  <si>
    <t>Principal Geologist (e.g. Ross Gordon)</t>
  </si>
  <si>
    <t>Band 9 Geo (DB Specialist)</t>
  </si>
  <si>
    <t xml:space="preserve">Band 10 Geo (Sen. Geochemist) </t>
  </si>
  <si>
    <t>6.3.1</t>
  </si>
  <si>
    <t>Open Pit and Waste Dump Feasibility Study</t>
  </si>
  <si>
    <t>La Fortuna</t>
  </si>
  <si>
    <t>6.3.2</t>
  </si>
  <si>
    <t>Open Pit FS Optimization</t>
  </si>
  <si>
    <t>Relincho</t>
  </si>
  <si>
    <t>6.3.3</t>
  </si>
  <si>
    <t>Geotechnical Review Panel</t>
  </si>
  <si>
    <t>6.3.4</t>
  </si>
  <si>
    <t>Miscellaneous Geotechnical Expenses</t>
  </si>
  <si>
    <t>Geotechnical Services</t>
  </si>
  <si>
    <t>Complete current contract for Piteau - Scope includes open pit and waste dumps, and water management.
Actual proposal and contract for 2017, delayed until 2018</t>
  </si>
  <si>
    <t>Piteau</t>
  </si>
  <si>
    <t>Drilling Campaign @ Relincho</t>
  </si>
  <si>
    <t>Drilling 2018 open pit to fill in data gaps and respond to the GRP comments.
Assume 4200 m - or 6 holes at 700 m each.  Drilling to start in July.  One drill rig working at 30 m / day = 140 day.  Use current drill rates. $300/m (CHECK)</t>
  </si>
  <si>
    <t>Griffith</t>
  </si>
  <si>
    <t>Laboratory Testing</t>
  </si>
  <si>
    <t>Laboratory testing @ Relincho</t>
  </si>
  <si>
    <t>Laboratory testing of rock samples to respond to GRP comments.
Assume $60,000 for laboratory testing of rockfill samples</t>
  </si>
  <si>
    <t>Consulting services @ Rellincho</t>
  </si>
  <si>
    <t>Piteau, SRK, Golder</t>
  </si>
  <si>
    <t>Geological Modelling</t>
  </si>
  <si>
    <t>Structural Geological Model</t>
  </si>
  <si>
    <t>Consulting services for preparation of Structural Geological Model for Open Pit - Needs to done as part of the optimization work
Project needs to update the structural geotechnical model for the Relincho Pit.  Assumes this will be done by a consultant with NuevaUnion help, including mapping data, and old drill data, and new drill data. Assume $30,000/month for 6 months final product.</t>
  </si>
  <si>
    <t>Lodging for Drillers and Supervision</t>
  </si>
  <si>
    <t>Costs for camp all included during drilling for Drillers, Supervision, and ATV-OTV
Confirm daily costs for 14 people - Drill Crew of 10, 2 supervision, 2 ATV-OTV for 140 days.  Assume $25/day/person</t>
  </si>
  <si>
    <t>Optical Televiewers</t>
  </si>
  <si>
    <t>Structural core orientation</t>
  </si>
  <si>
    <t>Consulting services for core orientations using ATV-OTV methods, caliper, other information during drilling
Use current rates per meter for La Fortuna project for 4200 m - $30/m all included</t>
  </si>
  <si>
    <t>Comprobe</t>
  </si>
  <si>
    <t>Consulting Services</t>
  </si>
  <si>
    <t>Continuation of existing four contracts for Geotechnical Review Panel members (GRP)
Based on Actual proposal and Existing Contracts</t>
  </si>
  <si>
    <t>DVZ,HmC,MR,GB</t>
  </si>
  <si>
    <t>Airline Costs - Travel to Vallenar</t>
  </si>
  <si>
    <t>Transport</t>
  </si>
  <si>
    <t>Purchase of 8 Airline tickets for GRP and accompanying NU staff to visit the site once per year.
Estimate of costs for purcahse of 8 airline tickets there and back</t>
  </si>
  <si>
    <t>LATAM</t>
  </si>
  <si>
    <t>Hotel Costs</t>
  </si>
  <si>
    <t>Hotel</t>
  </si>
  <si>
    <t>Purchase of 8 hotel reservations for GRP and accompanying NU staff to visit the site once per year.
Estimate of costs for hotels for 3 days in Santiago, and 2 days in Vallenar</t>
  </si>
  <si>
    <t>Taxi Costs</t>
  </si>
  <si>
    <t>Taxi Costs for Site Visit. Estimate</t>
  </si>
  <si>
    <t>Taxi Apoquindo</t>
  </si>
  <si>
    <t>Principal Geotech (John Pottie)</t>
  </si>
  <si>
    <t>Teck Support</t>
  </si>
  <si>
    <t>Senior Geotech (TBD)</t>
  </si>
  <si>
    <t>2.6.1</t>
  </si>
  <si>
    <t>2.6.2</t>
  </si>
  <si>
    <t>2.6.5</t>
  </si>
  <si>
    <t>2.6.9</t>
  </si>
  <si>
    <t>NO Budget for this subject</t>
  </si>
  <si>
    <t>Goldcorp provides implementation team free of charge, excluding training</t>
  </si>
  <si>
    <t>External Audit &amp; IRS</t>
  </si>
  <si>
    <t>Accounting and Finance support ($24k per month) Teck support for Q1</t>
  </si>
  <si>
    <t>Payroll</t>
  </si>
  <si>
    <t>Iconstruye Support</t>
  </si>
  <si>
    <t>Banks cost</t>
  </si>
  <si>
    <t>External Consultant (Tax, etc.)</t>
  </si>
  <si>
    <t>Accounting and Finance support ($24k per month) ERP finance support &amp; training</t>
  </si>
  <si>
    <t>External Consultant (Tax, legal etc.)</t>
  </si>
  <si>
    <t>Travel Expenses incluido en presupuesto de viajes de Julio Retamal, 6 nacional, 10 internacional</t>
  </si>
  <si>
    <t>Operational and organizational design , process and procedures</t>
  </si>
  <si>
    <t>Market analisys for sales</t>
  </si>
  <si>
    <t>Tax filing (KPMG)</t>
  </si>
  <si>
    <t>KPMG finance services 8 months</t>
  </si>
  <si>
    <t>Financial analisys, desal plant, port, power</t>
  </si>
  <si>
    <t>References</t>
  </si>
  <si>
    <t># usuarios</t>
  </si>
  <si>
    <t>Managers</t>
  </si>
  <si>
    <t>UF</t>
  </si>
  <si>
    <t>Engineers&amp;Geologist</t>
  </si>
  <si>
    <t>US$</t>
  </si>
  <si>
    <t>Administratives &amp;Special Services</t>
  </si>
  <si>
    <t>Mariana Castillo</t>
  </si>
  <si>
    <t>La Fortuna Drilling Campaign</t>
  </si>
  <si>
    <t>Infrastructures improvements</t>
  </si>
  <si>
    <t>Printers- Satellital TV - Zoom</t>
  </si>
  <si>
    <t>communication &amp; connectivity</t>
  </si>
  <si>
    <t>Hardware &amp; Software</t>
  </si>
  <si>
    <t>Parents companies services &amp; Travel</t>
  </si>
  <si>
    <t>5.9.1.01</t>
  </si>
  <si>
    <t>Arriendo sistema comunicación Radial camino Vallenar- El Morro</t>
  </si>
  <si>
    <t>5.9.1.02</t>
  </si>
  <si>
    <t>Special Need 3</t>
  </si>
  <si>
    <t>Enlaces satelital sondaje fortuna  (telefonía e internet)</t>
  </si>
  <si>
    <t>5.9.1.03</t>
  </si>
  <si>
    <t>CATV Campamento Fortuna - TV satelital con cables a cada punto</t>
  </si>
  <si>
    <t>5.9.2.01</t>
  </si>
  <si>
    <t>Alto del Carmen: Access point</t>
  </si>
  <si>
    <t>5.9.2.02</t>
  </si>
  <si>
    <t xml:space="preserve">Alto del Carmen: Dar seguridad y rápida restauración a PCs cibercafe </t>
  </si>
  <si>
    <t>5.9.2.03</t>
  </si>
  <si>
    <t>Technical equipment to support security for 15 trucks</t>
  </si>
  <si>
    <t>5.9.2.04</t>
  </si>
  <si>
    <t>Special Need 4</t>
  </si>
  <si>
    <t>Asegurar continuidad servicios comunicaciones</t>
  </si>
  <si>
    <t>5.9.2.05</t>
  </si>
  <si>
    <t>Special Need 5</t>
  </si>
  <si>
    <t>Office remodel</t>
  </si>
  <si>
    <t>5.9.3.01</t>
  </si>
  <si>
    <t>5.9.3.02</t>
  </si>
  <si>
    <t>Suministros impresoras Ricoh y desktops</t>
  </si>
  <si>
    <t>5.9.3.03</t>
  </si>
  <si>
    <t>Suministros 5 impresoras gtes</t>
  </si>
  <si>
    <t>5.9.3.04</t>
  </si>
  <si>
    <t xml:space="preserve"> Servicios de video conf Zoom</t>
  </si>
  <si>
    <t>5.9.3.05</t>
  </si>
  <si>
    <t>Servicio TV satelital - Relincho</t>
  </si>
  <si>
    <t>TV cable Casa huespedes Vallenar</t>
  </si>
  <si>
    <t>5.9.4.01</t>
  </si>
  <si>
    <t>Cell phones - Entel PCS</t>
  </si>
  <si>
    <t>5.9.4.02</t>
  </si>
  <si>
    <t>Telefonía fija  oficinas Vallenar-Alto  del Carmen</t>
  </si>
  <si>
    <t>5.9.4.03</t>
  </si>
  <si>
    <t>Consumo Telefonía fija  IP- E1:  of. Apoquindo 1 línea y vallenar</t>
  </si>
  <si>
    <t>5.9.4.04</t>
  </si>
  <si>
    <t>Satellital link - communities office at Alto Del Carmen (CyberCaffe)</t>
  </si>
  <si>
    <t>5.9.4.05</t>
  </si>
  <si>
    <t>Telefonía satelital IRIDIUM - todos los sitios</t>
  </si>
  <si>
    <t>5.9.4.06</t>
  </si>
  <si>
    <t>Special Need 6</t>
  </si>
  <si>
    <t>Servicios telefonía e internet satelital Campamento El Pingo</t>
  </si>
  <si>
    <t>5.9.4.07</t>
  </si>
  <si>
    <t>Special Need 7</t>
  </si>
  <si>
    <t>MPLS- internet Vallenar - Apoquindo - CDLVC</t>
  </si>
  <si>
    <t>5.9.4.08</t>
  </si>
  <si>
    <t>Special Need 8</t>
  </si>
  <si>
    <t>Link Relincho (datos y telefonía) 2 mg</t>
  </si>
  <si>
    <t>5.9.4.09</t>
  </si>
  <si>
    <t>Special Need 9</t>
  </si>
  <si>
    <t>Acceso MPLS</t>
  </si>
  <si>
    <t>5.9.4.10</t>
  </si>
  <si>
    <t>Special Need 10</t>
  </si>
  <si>
    <t>Uso CDLV</t>
  </si>
  <si>
    <t>5.9.4.11</t>
  </si>
  <si>
    <t>Special Need 11</t>
  </si>
  <si>
    <t>Internet backup Apoquindo y Vallenar</t>
  </si>
  <si>
    <t>5.9.4.12</t>
  </si>
  <si>
    <t>Special Need 12</t>
  </si>
  <si>
    <t>Internet  domestica Vallenar IMG</t>
  </si>
  <si>
    <t>5.9.5.01</t>
  </si>
  <si>
    <t>Workstations: PC, Screen, Docking station, keyboard, mouse, Backpack</t>
  </si>
  <si>
    <t>5.9.5.02</t>
  </si>
  <si>
    <t>Replace old Equipment Employees</t>
  </si>
  <si>
    <t>5.9.5.03</t>
  </si>
  <si>
    <t xml:space="preserve">Other perifical equipments: </t>
  </si>
  <si>
    <t>5.9.5.04</t>
  </si>
  <si>
    <t>Entel PCS</t>
  </si>
  <si>
    <t>5.9.5.05</t>
  </si>
  <si>
    <t>Cisco equipment renovation: SmartNet</t>
  </si>
  <si>
    <t>5.9.5.06</t>
  </si>
  <si>
    <t>Specific Desktop Softwares</t>
  </si>
  <si>
    <t>5.9.5.07</t>
  </si>
  <si>
    <t>Special applications</t>
  </si>
  <si>
    <t>5.9.5.08</t>
  </si>
  <si>
    <t>Arriendo Lomas La Peineta</t>
  </si>
  <si>
    <t>5.9.5.09</t>
  </si>
  <si>
    <t>Cierre perimetral Antena Los Monteros</t>
  </si>
  <si>
    <t>ZetaEco</t>
  </si>
  <si>
    <t>5.9.6.01</t>
  </si>
  <si>
    <t>Local travel</t>
  </si>
  <si>
    <t>5.9.6.02</t>
  </si>
  <si>
    <t>International travels</t>
  </si>
  <si>
    <t>5.9.6.03</t>
  </si>
  <si>
    <t>Goldcorp IS Services</t>
  </si>
  <si>
    <t>5.9.6.04</t>
  </si>
  <si>
    <t>Teck IS Services</t>
  </si>
  <si>
    <t>Quantities &amp; Rates References</t>
  </si>
  <si>
    <t>Tech Spec
Issue Date</t>
  </si>
  <si>
    <t>Bid Process Start</t>
  </si>
  <si>
    <t>LOA
Issue Date</t>
  </si>
  <si>
    <t>Service Start</t>
  </si>
  <si>
    <t>Costo mensual 2 enlaces (2 megasc/u) y 4 líneas telefónicas. Al cerrar la campaña de sondaje se mantendrá la mitad del servicio por un año : 1 antena - 2 líneas.</t>
  </si>
  <si>
    <t>Claro</t>
  </si>
  <si>
    <t>Rates References</t>
  </si>
  <si>
    <t>comdiel</t>
  </si>
  <si>
    <t>pcfactory</t>
  </si>
  <si>
    <t>wificentro</t>
  </si>
  <si>
    <t>Cisco</t>
  </si>
  <si>
    <t>SERVICIOS TECNOLOGICOS SPA</t>
  </si>
  <si>
    <t>Suministros impresoras 9 Ricoh y desktops</t>
  </si>
  <si>
    <t>dimacofiequipos</t>
  </si>
  <si>
    <t>686 / 51-11-3314</t>
  </si>
  <si>
    <t>zoom</t>
  </si>
  <si>
    <t>687 / 51-11-3314</t>
  </si>
  <si>
    <t>direcTV</t>
  </si>
  <si>
    <t>688 / 51-11-3314</t>
  </si>
  <si>
    <t>Movistar/Telefónica</t>
  </si>
  <si>
    <t>Telefonía fija oficinas Vallenar-Alto del Carmen</t>
  </si>
  <si>
    <t>Telefonica</t>
  </si>
  <si>
    <t>Satellital link ) to communities office at Alto Del Carmen</t>
  </si>
  <si>
    <t>IRIDIUM</t>
  </si>
  <si>
    <t>Axexat</t>
  </si>
  <si>
    <t>MPLS- internet Vallenar -  Apoquindo - CDLVC</t>
  </si>
  <si>
    <t>Entel</t>
  </si>
  <si>
    <t>689 / 51-11-3314</t>
  </si>
  <si>
    <t>Empresas Vallenar y CIA</t>
  </si>
  <si>
    <t>Workstations: PC, Screen, Docking station, keyboard, mouse, Backpack, Cisco phones</t>
  </si>
  <si>
    <t>Sole Source Ct</t>
  </si>
  <si>
    <t>Dell</t>
  </si>
  <si>
    <t xml:space="preserve">Other perifical equipment: </t>
  </si>
  <si>
    <t>Cell phones - Entel PCS - for  new employees &amp; replacement of old equipments</t>
  </si>
  <si>
    <t>AlbaNetwork</t>
  </si>
  <si>
    <t>Adobe, MS, others</t>
  </si>
  <si>
    <t>Active OS</t>
  </si>
  <si>
    <t>Teck Canada IS Services</t>
  </si>
  <si>
    <t>Teck Chile IS Services</t>
  </si>
  <si>
    <t>SCHEDUE LEVEL 1</t>
  </si>
  <si>
    <t>Description 4</t>
  </si>
  <si>
    <t>Description 5</t>
  </si>
  <si>
    <t>USD</t>
  </si>
  <si>
    <t>RE Mine Property</t>
  </si>
  <si>
    <t>Tramitación, Mantención y Resguardo de la Propiedad Minera Relincho</t>
  </si>
  <si>
    <t>Tramitación, Mantención y Resguardo de la Propiedad Minera El Morro</t>
  </si>
  <si>
    <t>Costo Consultores, Servidumbres y gastos varios área legal</t>
  </si>
  <si>
    <t>Pago de Contribuciones predios superficiales de propiedad del proyecto</t>
  </si>
  <si>
    <t>3.3.1</t>
  </si>
  <si>
    <t xml:space="preserve">Compra de Agua </t>
  </si>
  <si>
    <t>Compra de Agua para Construcción</t>
  </si>
  <si>
    <t>Indicar centro de costo correspondiente a la compra de agua para la construcción, además definir si corresponde dicho costo realizarlo el 2018.</t>
  </si>
  <si>
    <t>3.3.2</t>
  </si>
  <si>
    <t>Campamentos</t>
  </si>
  <si>
    <t>Campamentos las Losas / Intermedios</t>
  </si>
  <si>
    <t>Indicar centro de costo correspondiente, superficie, costos, y además definir si corresponde dicho costo realizarlo el 2018.</t>
  </si>
  <si>
    <t>3.3.3</t>
  </si>
  <si>
    <t>Oficina Vallenar</t>
  </si>
  <si>
    <t>3.3.4</t>
  </si>
  <si>
    <t>Planta de filtrado</t>
  </si>
  <si>
    <t>Derechos para instalación para planta en sector El Huasco</t>
  </si>
  <si>
    <t>3.3.5</t>
  </si>
  <si>
    <t>Apoyo legal negociaciones desaladora-puerto</t>
  </si>
  <si>
    <t>Asesoría legal negociacion y evaluacion de alternativas de planta desaladora y puerto</t>
  </si>
  <si>
    <t>Business services</t>
  </si>
  <si>
    <t>3.3.6</t>
  </si>
  <si>
    <t>Apoyo legal EIA y comunidades</t>
  </si>
  <si>
    <t>Asesoría legal en EIA y comunidades</t>
  </si>
  <si>
    <t>3.1.1</t>
  </si>
  <si>
    <t>Patentes Mineras RE</t>
  </si>
  <si>
    <t>Pago de patentes mineras anuales concesiones mineras de NuevaUnión SpA</t>
  </si>
  <si>
    <t>3.1.2</t>
  </si>
  <si>
    <t>Tramitación Propiedad Minera</t>
  </si>
  <si>
    <t>Tramitación Propiedad Minera RE</t>
  </si>
  <si>
    <t>Tramitación Minera (Publicaciones, Incripc., Impuestos,Diario Oficial, etc.)</t>
  </si>
  <si>
    <t>3.1.3</t>
  </si>
  <si>
    <t>Asesoría y Consultoría</t>
  </si>
  <si>
    <t>Asesoría y Consultoría RE</t>
  </si>
  <si>
    <t>Apoyo tramitación de Propiedad Minera</t>
  </si>
  <si>
    <t>3.1.4</t>
  </si>
  <si>
    <t>Consultoría</t>
  </si>
  <si>
    <t>Resguardo y Vigilancia Propiedad Minera</t>
  </si>
  <si>
    <t>Apoyo en la vigilancia y resguardo de Propiedad Minera</t>
  </si>
  <si>
    <t>Propiedad Minera Chile Ltda</t>
  </si>
  <si>
    <t>3.2.1</t>
  </si>
  <si>
    <t>Patentes Mineras EM</t>
  </si>
  <si>
    <t>Pago de patentes mineras anuales concesiones mineras de SCM El Morro</t>
  </si>
  <si>
    <t>3.2.2</t>
  </si>
  <si>
    <t>Tramitación Propiedad Minera EM</t>
  </si>
  <si>
    <t>3.2.3</t>
  </si>
  <si>
    <t>Asesoría y Consultoría EM</t>
  </si>
  <si>
    <t>3.2.4</t>
  </si>
  <si>
    <t>Flexicadastre</t>
  </si>
  <si>
    <t>Software Propiedad Minera</t>
  </si>
  <si>
    <t>Licencia de Goldcorp - Manteción anual y actualizaciones</t>
  </si>
  <si>
    <t>Convenio Goldcorp</t>
  </si>
  <si>
    <t>Ferrada Neheme</t>
  </si>
  <si>
    <t>Environmental law &amp; admininstrative permiting</t>
  </si>
  <si>
    <t>VGC (Vergara y Galindo)</t>
  </si>
  <si>
    <t>Environmental law &amp; Mining</t>
  </si>
  <si>
    <t>VGC</t>
  </si>
  <si>
    <t>Concesiones y Servidumbres Electricas</t>
  </si>
  <si>
    <t>Geodesarrollo</t>
  </si>
  <si>
    <t>Consulting Contract - Easement Fisco</t>
  </si>
  <si>
    <t xml:space="preserve">Geodesarrollo </t>
  </si>
  <si>
    <t>Easements Delano</t>
  </si>
  <si>
    <t>Lizama y Cia</t>
  </si>
  <si>
    <t>Labor</t>
  </si>
  <si>
    <t>3.3.7</t>
  </si>
  <si>
    <t>Cariola</t>
  </si>
  <si>
    <t>Corporate/commercial - Easement Lot B</t>
  </si>
  <si>
    <t>3.3.8</t>
  </si>
  <si>
    <t>Carolina Verdejo</t>
  </si>
  <si>
    <t>Tasación Predios</t>
  </si>
  <si>
    <t>3.3.9</t>
  </si>
  <si>
    <t>Consultor por Definir</t>
  </si>
  <si>
    <t xml:space="preserve">Easement Ventanas </t>
  </si>
  <si>
    <t>Pendiente</t>
  </si>
  <si>
    <t>3.3.10</t>
  </si>
  <si>
    <t>Easements  Cruce Rio Huasco</t>
  </si>
  <si>
    <t>3.3.11</t>
  </si>
  <si>
    <t>Easements  Agrosuper Cuesta La Arenas</t>
  </si>
  <si>
    <t>3.3.12</t>
  </si>
  <si>
    <t>Easements Puerto</t>
  </si>
  <si>
    <t>3.3.13</t>
  </si>
  <si>
    <t>Bertrand-Galindo(Milenko Bertrand)</t>
  </si>
  <si>
    <t>Asesoria DDHH y Contratos</t>
  </si>
  <si>
    <t>Bertrand-Galindo</t>
  </si>
  <si>
    <t>3.3.14</t>
  </si>
  <si>
    <t>FyC Abogados Ltda (Manuel Cacho)</t>
  </si>
  <si>
    <t>Derecho Administrativo</t>
  </si>
  <si>
    <t xml:space="preserve">FyC AbogadosLtda </t>
  </si>
  <si>
    <t>3.3.15</t>
  </si>
  <si>
    <t>Francisco Galeb</t>
  </si>
  <si>
    <t xml:space="preserve">Abogado Apoyo Vallenar </t>
  </si>
  <si>
    <t>Francisca Galeb</t>
  </si>
  <si>
    <t>3.3.16</t>
  </si>
  <si>
    <t>Contingencia</t>
  </si>
  <si>
    <t>Contingencia Consultorias (10%)</t>
  </si>
  <si>
    <t>Unexpected litigation, consultants, study water, etc.</t>
  </si>
  <si>
    <t>3.3.17</t>
  </si>
  <si>
    <t>Gastos Varios Legal</t>
  </si>
  <si>
    <t>Notaria, Legalizaciones, Inscripciones</t>
  </si>
  <si>
    <t>3.3.18</t>
  </si>
  <si>
    <t>Capacitación</t>
  </si>
  <si>
    <t>3.3.19</t>
  </si>
  <si>
    <t>Implementos IT, códigos, monografías</t>
  </si>
  <si>
    <t>Specialized books and legal codes, Compliance,Vilex</t>
  </si>
  <si>
    <t>3.3.20</t>
  </si>
  <si>
    <t>Contingencia  (10%)</t>
  </si>
  <si>
    <t>Unexpected costs</t>
  </si>
  <si>
    <t>3.3.21</t>
  </si>
  <si>
    <t xml:space="preserve">Mining Rights Purchases </t>
  </si>
  <si>
    <t>Nauches 1/4 (20 Ha)</t>
  </si>
  <si>
    <t>Negociacion - Valor Estimado</t>
  </si>
  <si>
    <t>3.3.22</t>
  </si>
  <si>
    <t>Clementina 1/4 (20 Ha)</t>
  </si>
  <si>
    <t>3.3.23</t>
  </si>
  <si>
    <t>Aconcagua Minerals /CruceHuasco</t>
  </si>
  <si>
    <t>3.3.24</t>
  </si>
  <si>
    <t>Cortadera 1/45 (90 Ha)</t>
  </si>
  <si>
    <t>Valor Contrato de Opción</t>
  </si>
  <si>
    <t>3.3.25</t>
  </si>
  <si>
    <t>Nicolas 1/7 (28 Ha)</t>
  </si>
  <si>
    <t>3.3.26</t>
  </si>
  <si>
    <t>Despreciada 1/10 (44 Ha)</t>
  </si>
  <si>
    <t>3.3.27</t>
  </si>
  <si>
    <t>Diego 1/1 ( 1 Ha)</t>
  </si>
  <si>
    <t>3.3.28</t>
  </si>
  <si>
    <t xml:space="preserve">NSR Purchases </t>
  </si>
  <si>
    <t>NSR Cantarito - Tronquito</t>
  </si>
  <si>
    <t>3.3.29</t>
  </si>
  <si>
    <t>Land Purchases</t>
  </si>
  <si>
    <t>Promesa Cayo - Predios y Ds Aguas</t>
  </si>
  <si>
    <t>Firm commitment</t>
  </si>
  <si>
    <t>3.3.30</t>
  </si>
  <si>
    <t>Easement &amp; Right of Way</t>
  </si>
  <si>
    <t>Estancia Huascoaltinos</t>
  </si>
  <si>
    <t>Annual payment - Firm commitment</t>
  </si>
  <si>
    <t>3.3.31</t>
  </si>
  <si>
    <t>Hacienda Manflas - Montosa Access</t>
  </si>
  <si>
    <t xml:space="preserve">Nueva Negociacion junio 2018 (Pay regular transit) </t>
  </si>
  <si>
    <t>3.3.32</t>
  </si>
  <si>
    <t>Resto ExHacienda Pulido - Montosa Access</t>
  </si>
  <si>
    <t xml:space="preserve">Nueva Negociacion Abril 2018 (Pay regular transit) </t>
  </si>
  <si>
    <t>3.3.33</t>
  </si>
  <si>
    <t>Tramitacion Servidumbres</t>
  </si>
  <si>
    <t>Gastos Tramitación Demandas</t>
  </si>
  <si>
    <t>3.3.34</t>
  </si>
  <si>
    <t>Indemnizacion  Servidumbres LMinera</t>
  </si>
  <si>
    <t xml:space="preserve">Estimate - Single payment </t>
  </si>
  <si>
    <t>3.3.35</t>
  </si>
  <si>
    <t xml:space="preserve">Tramitacion Servidumbres Electrica </t>
  </si>
  <si>
    <t>3.3.36</t>
  </si>
  <si>
    <t>Indemnizacion  Serv. Electrica</t>
  </si>
  <si>
    <t>Estimate</t>
  </si>
  <si>
    <t>?</t>
  </si>
  <si>
    <t>3.3.37</t>
  </si>
  <si>
    <t>Contingency Easements</t>
  </si>
  <si>
    <t>Contingencia (20%)</t>
  </si>
  <si>
    <t>3.4.1</t>
  </si>
  <si>
    <t>Contribuciones</t>
  </si>
  <si>
    <t>Predios NuevaUnión</t>
  </si>
  <si>
    <t>Contribuciones Predios SCM El Morro - Lote A Jarilla</t>
  </si>
  <si>
    <t>Objetive 1</t>
  </si>
  <si>
    <t>Objetive 2</t>
  </si>
  <si>
    <t>Objetive 3</t>
  </si>
  <si>
    <t>Objetive 4</t>
  </si>
  <si>
    <t>Objetive 5</t>
  </si>
  <si>
    <t>Objetive 6</t>
  </si>
  <si>
    <t>Objetive 7</t>
  </si>
  <si>
    <t>Objetive 8</t>
  </si>
  <si>
    <t>Objetive 9</t>
  </si>
  <si>
    <t>Objetive 10</t>
  </si>
  <si>
    <t>Objetive 11</t>
  </si>
  <si>
    <t>Objetive 12</t>
  </si>
  <si>
    <t>Objetive 13</t>
  </si>
  <si>
    <t>Objetive 14</t>
  </si>
  <si>
    <t>Objetive 15</t>
  </si>
  <si>
    <t>Objetive 16</t>
  </si>
  <si>
    <t>Objetive 17</t>
  </si>
  <si>
    <t>Budget -Legal</t>
  </si>
  <si>
    <t>ref 2017</t>
  </si>
  <si>
    <t>Phase II B</t>
  </si>
  <si>
    <t xml:space="preserve">Finish Phase II B Resettlement </t>
  </si>
  <si>
    <t>consultants rePlan and RC Consultores</t>
  </si>
  <si>
    <t>Phase II C</t>
  </si>
  <si>
    <t>Post agreements stage</t>
  </si>
  <si>
    <t>Phase III</t>
  </si>
  <si>
    <t>Phase III consultants during ESIA tramiting period</t>
  </si>
  <si>
    <t>Administrative expenses</t>
  </si>
  <si>
    <t>administrative expenses during resetttlement process</t>
  </si>
  <si>
    <t>Community Relations</t>
  </si>
  <si>
    <t xml:space="preserve">Support of Community relations team </t>
  </si>
  <si>
    <t>Suport of Community Development team in the implementation of community development projects with resettlement candidates</t>
  </si>
  <si>
    <t>Legal Advise</t>
  </si>
  <si>
    <t>Support with legal advise regarding resettlement issues</t>
  </si>
  <si>
    <t>Camp team assistance</t>
  </si>
  <si>
    <t>Support of camp teams to field actitivities</t>
  </si>
  <si>
    <t>Support of community development team in the implementation of community development projects with resettlement candidates</t>
  </si>
  <si>
    <t>Administrative Support</t>
  </si>
  <si>
    <t>Administrative Support Vallenar office</t>
  </si>
  <si>
    <t>RC Consultores</t>
  </si>
  <si>
    <t>Phase IIB</t>
  </si>
  <si>
    <t>monthly fee</t>
  </si>
  <si>
    <t>rePlan</t>
  </si>
  <si>
    <t xml:space="preserve">monthly fee - </t>
  </si>
  <si>
    <t>reimbursable expenses</t>
  </si>
  <si>
    <t>Phase IIC</t>
  </si>
  <si>
    <t>post agreements advise - monthly fee</t>
  </si>
  <si>
    <t>post agreements advise - reimbursable expenses</t>
  </si>
  <si>
    <t xml:space="preserve">expenses NuevaUnión </t>
  </si>
  <si>
    <t>truck rental, legal expenses, meeting organization, etc</t>
  </si>
  <si>
    <t>Tavelli</t>
  </si>
  <si>
    <t>Lunch meetings</t>
  </si>
  <si>
    <t xml:space="preserve">Posible OCA </t>
  </si>
  <si>
    <t>Legal/Consulting</t>
  </si>
  <si>
    <t>Education and Human Capital</t>
  </si>
  <si>
    <t>Invest in education and training in order to fulfill one of our basic needs as mining project and future operation, i.e. have access to skilled labor and hopefully be able to hire good part of it locally during different stages of NuevaUnión</t>
  </si>
  <si>
    <t>Productive Development</t>
  </si>
  <si>
    <t xml:space="preserve">Connecting local micro, small and medium scale businesses gradually to our project and future operation </t>
  </si>
  <si>
    <t>Promote Healty Life Style</t>
  </si>
  <si>
    <t>Strengthening civil sociaty organizations and networking in order to promote a better quality of life and social participation.</t>
  </si>
  <si>
    <t>Indigenous Community Development</t>
  </si>
  <si>
    <t xml:space="preserve">Strengthening cooperation and alliances between NuevaUnión and the local indigenous communities related to biodiversity, local cultural heritage and organizational development </t>
  </si>
  <si>
    <t>Emerging and Sustainable Province</t>
  </si>
  <si>
    <t>Diagnosis apllied for gap and opportunities for sustainable development agenda for Huasco's province.</t>
  </si>
  <si>
    <t>Diagnosis applied for sustainable development agenda for Huasco's province.</t>
  </si>
  <si>
    <t>Training and Human Capital</t>
  </si>
  <si>
    <t>Developing professional skills in labor force in order to strengthen local employment</t>
  </si>
  <si>
    <t>Professional Development for Teachers</t>
  </si>
  <si>
    <t xml:space="preserve">Training program for pedagogical leaders vocational education </t>
  </si>
  <si>
    <t>Vocational Educations (new career)</t>
  </si>
  <si>
    <t>Implementation of new career in high school education</t>
  </si>
  <si>
    <t>Adult Education in Alto del Carmen</t>
  </si>
  <si>
    <t>Soft skills for mining.</t>
  </si>
  <si>
    <t>Culture Programe Arte Río</t>
  </si>
  <si>
    <t>Cultural festival to foster traditional practice, handcraf and local identity</t>
  </si>
  <si>
    <t>Local suppliers development</t>
  </si>
  <si>
    <t>Entrepreneurship</t>
  </si>
  <si>
    <t>Public Networking with local municipalities</t>
  </si>
  <si>
    <t>Prevent risk behavior (drugs and alcohol)</t>
  </si>
  <si>
    <t>Promote sport practice</t>
  </si>
  <si>
    <t>Inclusiveness and Healthy Life</t>
  </si>
  <si>
    <t>Strengthening civil society organizations</t>
  </si>
  <si>
    <t xml:space="preserve">Promote local culture </t>
  </si>
  <si>
    <t>Traditional food and medicine</t>
  </si>
  <si>
    <t xml:space="preserve">Sustainable Tourism </t>
  </si>
  <si>
    <t>No</t>
  </si>
  <si>
    <t>FCH</t>
  </si>
  <si>
    <t>OTEC Alto del Carmen / Instituto Portales</t>
  </si>
  <si>
    <t>Culture and local identity</t>
  </si>
  <si>
    <t>no</t>
  </si>
  <si>
    <t xml:space="preserve">Objective 5 Sustainable Province </t>
  </si>
  <si>
    <t>Sustainable Province</t>
  </si>
  <si>
    <t>External Communications</t>
  </si>
  <si>
    <t>Internal Communications</t>
  </si>
  <si>
    <t>Memberships</t>
  </si>
  <si>
    <t>Sponsorships and special events</t>
  </si>
  <si>
    <t xml:space="preserve">Suport of Community Development team </t>
  </si>
  <si>
    <t>Support with legal advise on different issues</t>
  </si>
  <si>
    <t xml:space="preserve">Support of community development team </t>
  </si>
  <si>
    <t>Graphic design</t>
  </si>
  <si>
    <t>Graphic design consultant</t>
  </si>
  <si>
    <t>advise on design and production of multimedia materials for communication</t>
  </si>
  <si>
    <t>AB Marketing</t>
  </si>
  <si>
    <t>Strategic communication</t>
  </si>
  <si>
    <t>Strategic communication consultant</t>
  </si>
  <si>
    <t xml:space="preserve">advise on corporate communications </t>
  </si>
  <si>
    <t>The Bridge Communications</t>
  </si>
  <si>
    <t>media plan</t>
  </si>
  <si>
    <t>implementation of media plan</t>
  </si>
  <si>
    <t>activities regarding media and press to enhance communication</t>
  </si>
  <si>
    <t>to be defined</t>
  </si>
  <si>
    <t>media monitoring</t>
  </si>
  <si>
    <t>monitoring of local and regional media</t>
  </si>
  <si>
    <t>Carlos Opazo</t>
  </si>
  <si>
    <t>social media monitoring</t>
  </si>
  <si>
    <t>monitoring of social media</t>
  </si>
  <si>
    <t>Mi Voz</t>
  </si>
  <si>
    <t>media training</t>
  </si>
  <si>
    <t>training to face media</t>
  </si>
  <si>
    <t>training to NuevaUnión executives</t>
  </si>
  <si>
    <t>multimedia material production</t>
  </si>
  <si>
    <t>production of audiovisual material</t>
  </si>
  <si>
    <t>production of multimedia material for corporate communications</t>
  </si>
  <si>
    <t>image archive</t>
  </si>
  <si>
    <t>image archive of project development</t>
  </si>
  <si>
    <t>Cristóbal Correa</t>
  </si>
  <si>
    <t>website maintenance</t>
  </si>
  <si>
    <t>website monthly maintenance</t>
  </si>
  <si>
    <t>Colabra</t>
  </si>
  <si>
    <t xml:space="preserve">internal newsletter </t>
  </si>
  <si>
    <t>production of internal newsletter</t>
  </si>
  <si>
    <t>multimedia material</t>
  </si>
  <si>
    <t>development and maintenance of intranet</t>
  </si>
  <si>
    <t>NuevaUnión intranet</t>
  </si>
  <si>
    <t>development and monthly fee maintenance of intranet</t>
  </si>
  <si>
    <t>production of graphic material NuestraRuta and SyS group</t>
  </si>
  <si>
    <t>NuestraRuta and SyS multimedia material</t>
  </si>
  <si>
    <t>production of multimedia material for NuestraRuta and SyS committee</t>
  </si>
  <si>
    <t>Sonami</t>
  </si>
  <si>
    <t>membership Sonami</t>
  </si>
  <si>
    <t>annual membership</t>
  </si>
  <si>
    <t xml:space="preserve">Chilean - Canadian Chamber of Commerce </t>
  </si>
  <si>
    <t>membership CHCC</t>
  </si>
  <si>
    <t>Chilean - Canadian Chamber of Commerce</t>
  </si>
  <si>
    <t>Corproa</t>
  </si>
  <si>
    <t>membership Corproa</t>
  </si>
  <si>
    <t>Chilean Chamber of Construction - Copiapó Branch</t>
  </si>
  <si>
    <t>CCHC</t>
  </si>
  <si>
    <t>Chilean Chamber of Construction - Copiapó branch</t>
  </si>
  <si>
    <t>CCIRA - Atacama</t>
  </si>
  <si>
    <t>CCIRA</t>
  </si>
  <si>
    <t>CCIRA -Atacama</t>
  </si>
  <si>
    <t>Expomin</t>
  </si>
  <si>
    <t>Expomin Fair</t>
  </si>
  <si>
    <t>presentation of NuevaUnión at Expomin</t>
  </si>
  <si>
    <t>Cesco Dinner</t>
  </si>
  <si>
    <t>Attendance of NuevaUnión executives to Cesco Dinner</t>
  </si>
  <si>
    <t>Cesco</t>
  </si>
  <si>
    <t>Sonami Dinner</t>
  </si>
  <si>
    <t>Attendance of NuevaUnión executives to Sonami Dinner</t>
  </si>
  <si>
    <t>Forede Copiapó</t>
  </si>
  <si>
    <t>Forede fair in Copiapó</t>
  </si>
  <si>
    <t>participation of NuevaUnión in Forede Fair in Copiapó</t>
  </si>
  <si>
    <t>Community development program</t>
  </si>
  <si>
    <t>Desierto Vivo</t>
  </si>
  <si>
    <t>DSS</t>
  </si>
  <si>
    <r>
      <t xml:space="preserve">BUDGET SUMMARY </t>
    </r>
    <r>
      <rPr>
        <b/>
        <u/>
        <sz val="11"/>
        <color rgb="FF0070C0"/>
        <rFont val="Calibri"/>
        <family val="2"/>
        <scheme val="minor"/>
      </rPr>
      <t>BY PHASE</t>
    </r>
    <r>
      <rPr>
        <b/>
        <u/>
        <sz val="11"/>
        <color theme="1"/>
        <rFont val="Calibri"/>
        <family val="2"/>
        <scheme val="minor"/>
      </rPr>
      <t xml:space="preserve"> - KUSD</t>
    </r>
  </si>
  <si>
    <t>PROJECT NAME:</t>
  </si>
  <si>
    <t xml:space="preserve">Project Corridor </t>
  </si>
  <si>
    <t>PROJECT STAGE:</t>
  </si>
  <si>
    <t>Budget 2015, 2016, Look ahead 2017 and 2018 up to RCA</t>
  </si>
  <si>
    <t>RCA</t>
  </si>
  <si>
    <t>Project Corridor</t>
  </si>
  <si>
    <t>J</t>
  </si>
  <si>
    <t>A</t>
  </si>
  <si>
    <t>S</t>
  </si>
  <si>
    <t>O</t>
  </si>
  <si>
    <t>N</t>
  </si>
  <si>
    <t>D</t>
  </si>
  <si>
    <t>F</t>
  </si>
  <si>
    <t>M</t>
  </si>
  <si>
    <t>SERA</t>
  </si>
  <si>
    <t>LEGAL</t>
  </si>
  <si>
    <t>PFS</t>
  </si>
  <si>
    <t>PRE-PFS</t>
  </si>
  <si>
    <t xml:space="preserve">PFS </t>
  </si>
  <si>
    <t>Project Corridor
TOTAL</t>
  </si>
  <si>
    <t>TOTAL 
2015@17</t>
  </si>
  <si>
    <t>Comments</t>
  </si>
  <si>
    <t>TOS</t>
  </si>
  <si>
    <t xml:space="preserve">Actual </t>
  </si>
  <si>
    <t>Commitment</t>
  </si>
  <si>
    <t>Feasibility Comet Support</t>
  </si>
  <si>
    <t>Peer reviewed 43-101 PFS</t>
  </si>
  <si>
    <t>Labor Relations</t>
  </si>
  <si>
    <t xml:space="preserve">Travel Domestic </t>
  </si>
  <si>
    <t>Office Rent - Common expenses, parking - utilities - commercial permit</t>
  </si>
  <si>
    <t>Cleaning</t>
  </si>
  <si>
    <t>Maintenance</t>
  </si>
  <si>
    <t>office supplies  ( Cafeteria - office supplies - water - food - caja chica  )</t>
  </si>
  <si>
    <t>Translations</t>
  </si>
  <si>
    <t>Recruitment - psicological exams - medical exams</t>
  </si>
  <si>
    <t>Certification and Labor Audits for Contract companies</t>
  </si>
  <si>
    <t>Miner's Day - Chilean National Celebration - Christmas</t>
  </si>
  <si>
    <t>Relocation</t>
  </si>
  <si>
    <t>Training - Vallenar and Santiago offices</t>
  </si>
  <si>
    <t>Recruiting Plan Consulting - Training Plan (FS)</t>
  </si>
  <si>
    <t>Payroll KPMG</t>
  </si>
  <si>
    <t>Executive Medical Controls</t>
  </si>
  <si>
    <t>Health Program for Santiago Office</t>
  </si>
  <si>
    <t>Culture Development</t>
  </si>
  <si>
    <t>International Travel</t>
  </si>
  <si>
    <t>Domestic Travel</t>
  </si>
  <si>
    <r>
      <rPr>
        <b/>
        <sz val="12"/>
        <color theme="1"/>
        <rFont val="Arial"/>
        <family val="2"/>
      </rPr>
      <t>(*)</t>
    </r>
    <r>
      <rPr>
        <sz val="12"/>
        <color theme="1"/>
        <rFont val="Arial"/>
        <family val="2"/>
      </rPr>
      <t xml:space="preserve"> This Code must be manually written in consideration with the Scope Description </t>
    </r>
  </si>
  <si>
    <r>
      <rPr>
        <b/>
        <sz val="12"/>
        <color theme="1"/>
        <rFont val="Arial"/>
        <family val="2"/>
      </rPr>
      <t>(**)</t>
    </r>
    <r>
      <rPr>
        <sz val="12"/>
        <color theme="1"/>
        <rFont val="Arial"/>
        <family val="2"/>
      </rPr>
      <t xml:space="preserve">      a.</t>
    </r>
  </si>
  <si>
    <r>
      <rPr>
        <b/>
        <sz val="12"/>
        <color theme="1"/>
        <rFont val="Arial"/>
        <family val="2"/>
      </rPr>
      <t>Tech Spec Issue Date</t>
    </r>
    <r>
      <rPr>
        <sz val="12"/>
        <color theme="1"/>
        <rFont val="Arial"/>
        <family val="2"/>
      </rPr>
      <t xml:space="preserve">: Fecha entrega de las Bases Técnicas para el proceso de Licitación </t>
    </r>
  </si>
  <si>
    <r>
      <rPr>
        <b/>
        <sz val="12"/>
        <color theme="1"/>
        <rFont val="Arial"/>
        <family val="2"/>
      </rPr>
      <t>Bid Process Start</t>
    </r>
    <r>
      <rPr>
        <sz val="12"/>
        <color theme="1"/>
        <rFont val="Arial"/>
        <family val="2"/>
      </rPr>
      <t>: Fecha inicio del proceso de Licitación</t>
    </r>
  </si>
  <si>
    <r>
      <rPr>
        <b/>
        <sz val="12"/>
        <color theme="1"/>
        <rFont val="Arial"/>
        <family val="2"/>
      </rPr>
      <t>LOA Issue Date</t>
    </r>
    <r>
      <rPr>
        <sz val="12"/>
        <color theme="1"/>
        <rFont val="Arial"/>
        <family val="2"/>
      </rPr>
      <t>: Fecha de la Carta de Adjudicación de los servicios contratados</t>
    </r>
  </si>
  <si>
    <r>
      <rPr>
        <b/>
        <sz val="12"/>
        <color theme="1"/>
        <rFont val="Arial"/>
        <family val="2"/>
      </rPr>
      <t>Service Start</t>
    </r>
    <r>
      <rPr>
        <sz val="12"/>
        <color theme="1"/>
        <rFont val="Arial"/>
        <family val="2"/>
      </rPr>
      <t>: Fecha Real de Inicio de los servicios</t>
    </r>
  </si>
  <si>
    <t>Perception Survey 2018</t>
  </si>
  <si>
    <t>Perception Surver 2018</t>
  </si>
  <si>
    <t>survey to determine perception and status of reputation of proyect in Atacama</t>
  </si>
  <si>
    <t>support of internal communication</t>
  </si>
  <si>
    <t>Communication Coordinator</t>
  </si>
  <si>
    <t>coordination to support and assist with internal communication, intranet maintenance, multimedia content, graphic material</t>
  </si>
  <si>
    <t>Compartiendo nuestra cultura</t>
  </si>
  <si>
    <t>Implementation of  Diversity and inclusion Policy</t>
  </si>
  <si>
    <t>3 UPS de recambio: 2 of Santiago, 1 Vallenar y 1 Alto del Carmen</t>
  </si>
  <si>
    <t>Arriendo Espectro radial</t>
  </si>
  <si>
    <t>Mantención anual de equipos, sala de servidores, aires acondicionados y salas de reuniones</t>
  </si>
  <si>
    <t>Petri Salopera</t>
  </si>
  <si>
    <t>Office and backup services</t>
  </si>
  <si>
    <t>Vallenar locations to operate</t>
  </si>
  <si>
    <t>682/51-11-3315</t>
  </si>
  <si>
    <t>Pick up truck and fuel</t>
  </si>
  <si>
    <t>Car rental &amp; fuel</t>
  </si>
  <si>
    <t>Catering and celebrations</t>
  </si>
  <si>
    <t xml:space="preserve">Catering services </t>
  </si>
  <si>
    <t>Petty cash &amp; other</t>
  </si>
  <si>
    <t>Minor expenses</t>
  </si>
  <si>
    <t>Office &amp; guesthouse rent</t>
  </si>
  <si>
    <t>Vallenar and Alto del Carmen Offices</t>
  </si>
  <si>
    <t>1.2</t>
  </si>
  <si>
    <t>General expenses</t>
  </si>
  <si>
    <t>Need to operate offices</t>
  </si>
  <si>
    <t>1.3</t>
  </si>
  <si>
    <t>Cable TV and internet</t>
  </si>
  <si>
    <t>Cable &amp; internet services</t>
  </si>
  <si>
    <t>1.4</t>
  </si>
  <si>
    <t>Office materials and coffe pot</t>
  </si>
  <si>
    <t xml:space="preserve">Several stuff for offices </t>
  </si>
  <si>
    <t>1.5</t>
  </si>
  <si>
    <t>Cleaning service</t>
  </si>
  <si>
    <t>Cleaning for Offices&amp; guesthouses</t>
  </si>
  <si>
    <t>1.6</t>
  </si>
  <si>
    <t xml:space="preserve">Plague control </t>
  </si>
  <si>
    <t>Bugs control services</t>
  </si>
  <si>
    <t>Offices and guesthouses</t>
  </si>
  <si>
    <t>1.7</t>
  </si>
  <si>
    <t>Gas for guesthouses</t>
  </si>
  <si>
    <t>Input for water heating and cooking</t>
  </si>
  <si>
    <t>1.8</t>
  </si>
  <si>
    <t xml:space="preserve">Minor maintenance </t>
  </si>
  <si>
    <t>1.9</t>
  </si>
  <si>
    <t>Gardener</t>
  </si>
  <si>
    <t>1.10</t>
  </si>
  <si>
    <t>Parking service</t>
  </si>
  <si>
    <t>For 6 pickup trucks</t>
  </si>
  <si>
    <t>1.11</t>
  </si>
  <si>
    <t>Desktop utilities</t>
  </si>
  <si>
    <t>Office inputs</t>
  </si>
  <si>
    <t>Pick up truck rent</t>
  </si>
  <si>
    <t>4 pick up trucks for Vallenar office</t>
  </si>
  <si>
    <t>Pick up truck fuel</t>
  </si>
  <si>
    <t>Electronic ticket for fuel supply</t>
  </si>
  <si>
    <t>Lounges rent</t>
  </si>
  <si>
    <t>Used for office special services</t>
  </si>
  <si>
    <t>Catering services</t>
  </si>
  <si>
    <t>Needed for special services</t>
  </si>
  <si>
    <t>Petty cash</t>
  </si>
  <si>
    <t>To pay minor expenses</t>
  </si>
  <si>
    <t>Huasco river irrigation share</t>
  </si>
  <si>
    <t>Share payment</t>
  </si>
  <si>
    <t>Bid OS</t>
  </si>
  <si>
    <t>Active OC</t>
  </si>
  <si>
    <t>Meetings with communities</t>
  </si>
  <si>
    <t>Several Professional advisories</t>
  </si>
  <si>
    <t>Professionals advisory services</t>
  </si>
  <si>
    <t>Minor compensations to communities</t>
  </si>
  <si>
    <t>In the frame of possible affectations</t>
  </si>
  <si>
    <t>As a part of engagement work</t>
  </si>
  <si>
    <t>Senior engagement consultant 1</t>
  </si>
  <si>
    <t>Advisory to increase engagement effectiveness</t>
  </si>
  <si>
    <t>Senior engagement consultant 2</t>
  </si>
  <si>
    <t>Senior Human Rights consultant</t>
  </si>
  <si>
    <t>Advisory to support Human Rights implementation</t>
  </si>
  <si>
    <t>Direct payment for animals accidents</t>
  </si>
  <si>
    <t>Direct payment to involved people</t>
  </si>
  <si>
    <t>Direct payment for other accidents</t>
  </si>
  <si>
    <t>Direct payment to involved people or other</t>
  </si>
  <si>
    <t>Infrastructure investment to avoid risk</t>
  </si>
  <si>
    <t xml:space="preserve">Direct investment </t>
  </si>
  <si>
    <t>Meetings with indiguenous communities</t>
  </si>
  <si>
    <t>Catering services and site for meetings</t>
  </si>
  <si>
    <t>Meetings with other communities</t>
  </si>
  <si>
    <t>Geology Warehouses (Rent, Maintenance)</t>
  </si>
  <si>
    <t>Patricio Berrios, Marcelo Castro</t>
  </si>
  <si>
    <t>Detail in sheet</t>
  </si>
  <si>
    <t>Pulo-re-assay Porgram for S (Relincho)</t>
  </si>
  <si>
    <t>Improvement fo S model for NAG/PAG</t>
  </si>
  <si>
    <t>ALS labwork, helpers for sampling and dispatch</t>
  </si>
  <si>
    <t>Objective 3.1</t>
  </si>
  <si>
    <t>Easments Firm commitment</t>
  </si>
  <si>
    <t xml:space="preserve">Costo Servidumbres y/o contratos vigentes </t>
  </si>
  <si>
    <t>Objective 3.2</t>
  </si>
  <si>
    <t>Objective 3.3</t>
  </si>
  <si>
    <t>Costo adquisicion concesiones mineras de terceros</t>
  </si>
  <si>
    <t>Objective 3.4</t>
  </si>
  <si>
    <t>Land Access (Ingreso Enero 2018)</t>
  </si>
  <si>
    <t>Tramitación e indemnizacion Servidumbres Fiscales/Arriendos Delano/Conveyor Lote B</t>
  </si>
  <si>
    <t>Objective 3.5</t>
  </si>
  <si>
    <t>Land Access (Ingreso EIA)</t>
  </si>
  <si>
    <t xml:space="preserve">Tramitación e indemnizacion Servidumbres </t>
  </si>
  <si>
    <t xml:space="preserve">Transporte Agua </t>
  </si>
  <si>
    <t>Transporte Agua para Construcción</t>
  </si>
  <si>
    <t>Considerar en presupuesto de ingenieria el trasporte del agua para la construccin,  además definir si corresponde dicho costo realizarlo el 2018.</t>
  </si>
  <si>
    <t xml:space="preserve">Campamentos las Losas / de Construccion </t>
  </si>
  <si>
    <t>3.4.2</t>
  </si>
  <si>
    <t>3.4.3</t>
  </si>
  <si>
    <t>3.4.4</t>
  </si>
  <si>
    <t>Servidumbre Pit (Triangulo B)</t>
  </si>
  <si>
    <t>Sector PIT La Fortuna sin Servidumbre</t>
  </si>
  <si>
    <t>Indicar superficie a demandar conforme el plan minero actual</t>
  </si>
  <si>
    <t>Centro Logistico</t>
  </si>
  <si>
    <t>Indicar ubicación y superficie, y además definir si corresponde dicho costo realizarlo el 2018.</t>
  </si>
  <si>
    <t>Atravieos</t>
  </si>
  <si>
    <t>Cruce de Ferronor / Sacyr / Canales / Etc</t>
  </si>
  <si>
    <t>Indicar ubicación, superficie, costos de referencia, y además definir si corresponde dicho costo realizarlo el 2018.</t>
  </si>
  <si>
    <t xml:space="preserve">Apoyo Área Servicios </t>
  </si>
  <si>
    <t>Apoyo legal contratos de suministros</t>
  </si>
  <si>
    <t>Apoyo Área Medio Ambiente</t>
  </si>
  <si>
    <t>Apoyo legal negociaciones area de compensacion ambiental</t>
  </si>
  <si>
    <t>Unexpected costs gastos y consultoria</t>
  </si>
  <si>
    <t>3.3.1.1</t>
  </si>
  <si>
    <t>3.3.1.2</t>
  </si>
  <si>
    <t>3.3.1.4</t>
  </si>
  <si>
    <t>3.3.1.5</t>
  </si>
  <si>
    <t>3.3.2.1</t>
  </si>
  <si>
    <t>3.3.3.1</t>
  </si>
  <si>
    <t>3.3.3.2</t>
  </si>
  <si>
    <t>3.3.3.3</t>
  </si>
  <si>
    <t>Aconcagua Minerals / CruceHuasco</t>
  </si>
  <si>
    <t>3.3.3.4</t>
  </si>
  <si>
    <t>3.3.3.5</t>
  </si>
  <si>
    <t>3.3.3.6</t>
  </si>
  <si>
    <t>3.3.3.7</t>
  </si>
  <si>
    <t>3.3.4.1</t>
  </si>
  <si>
    <t>Tramitacion Servidumbres / Arriendos</t>
  </si>
  <si>
    <t>3.3.4.2</t>
  </si>
  <si>
    <t>3.3.4.3</t>
  </si>
  <si>
    <t>Contingency Easements Enero 2018</t>
  </si>
  <si>
    <t>3.3.5.1</t>
  </si>
  <si>
    <t>3.3.5.2</t>
  </si>
  <si>
    <t>3.3.5.3</t>
  </si>
  <si>
    <t>3.3.5.4</t>
  </si>
  <si>
    <t>3.3.5.5</t>
  </si>
  <si>
    <t>Contingency Easements Sep 2018</t>
  </si>
  <si>
    <t>Predios NuevaUnión - SCM El Morro</t>
  </si>
  <si>
    <t>Michael Leyton</t>
  </si>
  <si>
    <t>Base Datos Proveedores</t>
  </si>
  <si>
    <t>Creación de Base de Datos y Sistema de autoingreso de información para Proveedores que permita la clasificación de proveedores</t>
  </si>
  <si>
    <t>Desarrollo Procedimientos</t>
  </si>
  <si>
    <t>Desarrollo de los Procedimientos de Administración de Contratos y configuración de Herramientas en línea para su aplicación</t>
  </si>
  <si>
    <t>Auditorías Contratistas y Auditorías Internas</t>
  </si>
  <si>
    <t>Auditorías y Medición de desempeño a Contratistas y Auditorías internas.</t>
  </si>
  <si>
    <t>Desarrollo Contrato EPCM</t>
  </si>
  <si>
    <t>Formación de Contrato para EPCM</t>
  </si>
  <si>
    <t>Portal de Proveedores (EDP, Licitaciones, Otros)</t>
  </si>
  <si>
    <t>Creación de Portal de Proveedores que permita realizar procesos en línea, Gestión de Aprobación de Estados de Pago, Procesos de cotización y licitación.</t>
  </si>
  <si>
    <t>Reportabilidad Contratos en línea (medición de desempeño)</t>
  </si>
  <si>
    <t>Creación de Reportabilidad en línea sobre estatus de Contratos y medición de desempeños, ( Power BI)</t>
  </si>
  <si>
    <t>Gestion de Proveedores y Contratistas Locales (capacitación)</t>
  </si>
  <si>
    <t>Capacitación de Proveedores locales en temas Administrativos-Comerciales por medio de desarrollo de talleres y cursos</t>
  </si>
  <si>
    <t>Servicio de Desarrollo Base Datos Proveedores</t>
  </si>
  <si>
    <t>Servicio de Desarrollo  de Procedimientos Cttos</t>
  </si>
  <si>
    <t>01/2/208</t>
  </si>
  <si>
    <t>Servicio de Auditorías (contratistas e interna)</t>
  </si>
  <si>
    <t>Servicio Apoyo desarrollo Contrato EPCM</t>
  </si>
  <si>
    <t>Servicio de desarrollo web</t>
  </si>
  <si>
    <t>Visualmente</t>
  </si>
  <si>
    <t>Metrics Arts</t>
  </si>
  <si>
    <t>Servicio de Capacitación</t>
  </si>
  <si>
    <t>Business service</t>
  </si>
  <si>
    <t xml:space="preserve">Environmental Monitoring </t>
  </si>
  <si>
    <t>Environmental EIA</t>
  </si>
  <si>
    <t>Permits Pre-construcción</t>
  </si>
  <si>
    <r>
      <t xml:space="preserve">Coordinadores en Terreno y Prevencionistas _ </t>
    </r>
    <r>
      <rPr>
        <sz val="11"/>
        <color rgb="FFFF0000"/>
        <rFont val="Arial"/>
        <family val="2"/>
      </rPr>
      <t>Gineva Favor indicar Centro de Costo de Recursos Humanos</t>
    </r>
  </si>
  <si>
    <t>Water Monitoring</t>
  </si>
  <si>
    <t>Air Quaity &amp; Meteorology Monitoring</t>
  </si>
  <si>
    <t>Support  Monitoring Cost (Campamento/ Mantención)</t>
  </si>
  <si>
    <t>EIS - Phase I (Strategy)</t>
  </si>
  <si>
    <t>EIS - Phase II (EIS Preparation)</t>
  </si>
  <si>
    <t>EIS - Phase II (Technical  &amp; Legal Support)</t>
  </si>
  <si>
    <t>EIS - Phase III (Permitting)</t>
  </si>
  <si>
    <t>Other Environmental Studies &amp; Activities</t>
  </si>
  <si>
    <t xml:space="preserve">Environmental Commitment </t>
  </si>
  <si>
    <t>Strategic Permits</t>
  </si>
  <si>
    <t>Negociación de la servidumbre (Pagado anualmente 3 x actual)</t>
  </si>
  <si>
    <t xml:space="preserve">Predios Compensación </t>
  </si>
  <si>
    <t>Predios Compensación Ambiental</t>
  </si>
  <si>
    <t xml:space="preserve">Fs previews </t>
  </si>
  <si>
    <t>General management</t>
  </si>
  <si>
    <r>
      <rPr>
        <b/>
        <sz val="14"/>
        <color theme="1"/>
        <rFont val="Calibri"/>
        <family val="2"/>
        <scheme val="minor"/>
      </rPr>
      <t>(*)</t>
    </r>
    <r>
      <rPr>
        <sz val="14"/>
        <color theme="1"/>
        <rFont val="Calibri"/>
        <family val="2"/>
        <scheme val="minor"/>
      </rPr>
      <t xml:space="preserve"> This Code must be manually written in consideration with the Scope Description </t>
    </r>
  </si>
  <si>
    <r>
      <rPr>
        <b/>
        <sz val="14"/>
        <color theme="1"/>
        <rFont val="Calibri"/>
        <family val="2"/>
        <scheme val="minor"/>
      </rPr>
      <t>(**)</t>
    </r>
    <r>
      <rPr>
        <sz val="14"/>
        <color theme="1"/>
        <rFont val="Calibri"/>
        <family val="2"/>
        <scheme val="minor"/>
      </rPr>
      <t xml:space="preserve">      a.</t>
    </r>
  </si>
  <si>
    <r>
      <rPr>
        <b/>
        <sz val="14"/>
        <color theme="1"/>
        <rFont val="Calibri"/>
        <family val="2"/>
        <scheme val="minor"/>
      </rPr>
      <t>Tech Spec Issue Date</t>
    </r>
    <r>
      <rPr>
        <sz val="14"/>
        <color theme="1"/>
        <rFont val="Calibri"/>
        <family val="2"/>
        <scheme val="minor"/>
      </rPr>
      <t xml:space="preserve">: Fecha entrega de las Bases Técnicas para el proceso de Licitación </t>
    </r>
  </si>
  <si>
    <r>
      <rPr>
        <b/>
        <sz val="14"/>
        <color theme="1"/>
        <rFont val="Calibri"/>
        <family val="2"/>
        <scheme val="minor"/>
      </rPr>
      <t>Bid Process Start</t>
    </r>
    <r>
      <rPr>
        <sz val="14"/>
        <color theme="1"/>
        <rFont val="Calibri"/>
        <family val="2"/>
        <scheme val="minor"/>
      </rPr>
      <t>: Fecha inicio del proceso de Licitación</t>
    </r>
  </si>
  <si>
    <r>
      <rPr>
        <b/>
        <sz val="14"/>
        <color theme="1"/>
        <rFont val="Calibri"/>
        <family val="2"/>
        <scheme val="minor"/>
      </rPr>
      <t>LOA Issue Date</t>
    </r>
    <r>
      <rPr>
        <sz val="11"/>
        <color theme="1"/>
        <rFont val="Calibri"/>
        <family val="2"/>
        <scheme val="minor"/>
      </rPr>
      <t xml:space="preserve">: </t>
    </r>
    <r>
      <rPr>
        <sz val="14"/>
        <color theme="1"/>
        <rFont val="Calibri"/>
        <family val="2"/>
        <scheme val="minor"/>
      </rPr>
      <t>Fecha de la Carta de Adjudicación de los servicios contratados</t>
    </r>
  </si>
  <si>
    <r>
      <rPr>
        <b/>
        <sz val="14"/>
        <color theme="1"/>
        <rFont val="Calibri"/>
        <family val="2"/>
        <scheme val="minor"/>
      </rPr>
      <t>Service Start</t>
    </r>
    <r>
      <rPr>
        <sz val="14"/>
        <color theme="1"/>
        <rFont val="Calibri"/>
        <family val="2"/>
        <scheme val="minor"/>
      </rPr>
      <t>: Fecha Real de Inicio de los servicios</t>
    </r>
  </si>
  <si>
    <r>
      <rPr>
        <b/>
        <sz val="11"/>
        <color theme="1"/>
        <rFont val="Calibri"/>
        <family val="2"/>
        <scheme val="minor"/>
      </rPr>
      <t>(*)</t>
    </r>
    <r>
      <rPr>
        <sz val="11"/>
        <color theme="1"/>
        <rFont val="Calibri"/>
        <family val="2"/>
        <scheme val="minor"/>
      </rPr>
      <t xml:space="preserve"> This Code must be manually written in consideration with the Scope Description </t>
    </r>
  </si>
  <si>
    <r>
      <rPr>
        <b/>
        <sz val="11"/>
        <color theme="1"/>
        <rFont val="Calibri"/>
        <family val="2"/>
        <scheme val="minor"/>
      </rPr>
      <t>(**)</t>
    </r>
    <r>
      <rPr>
        <sz val="11"/>
        <color theme="1"/>
        <rFont val="Calibri"/>
        <family val="2"/>
        <scheme val="minor"/>
      </rPr>
      <t xml:space="preserve">      a.</t>
    </r>
  </si>
  <si>
    <r>
      <rPr>
        <b/>
        <sz val="11"/>
        <color theme="1"/>
        <rFont val="Calibri"/>
        <family val="2"/>
        <scheme val="minor"/>
      </rPr>
      <t>Tech Spec Issue Date</t>
    </r>
    <r>
      <rPr>
        <sz val="11"/>
        <color theme="1"/>
        <rFont val="Calibri"/>
        <family val="2"/>
        <scheme val="minor"/>
      </rPr>
      <t xml:space="preserve">: Fecha entrega de las Bases Técnicas para el proceso de Licitación </t>
    </r>
  </si>
  <si>
    <r>
      <rPr>
        <b/>
        <sz val="11"/>
        <color theme="1"/>
        <rFont val="Calibri"/>
        <family val="2"/>
        <scheme val="minor"/>
      </rPr>
      <t>Bid Process Start</t>
    </r>
    <r>
      <rPr>
        <sz val="11"/>
        <color theme="1"/>
        <rFont val="Calibri"/>
        <family val="2"/>
        <scheme val="minor"/>
      </rPr>
      <t>: Fecha inicio del proceso de Licitación</t>
    </r>
  </si>
  <si>
    <r>
      <rPr>
        <b/>
        <sz val="11"/>
        <color theme="1"/>
        <rFont val="Calibri"/>
        <family val="2"/>
        <scheme val="minor"/>
      </rPr>
      <t>LOA Issue Date</t>
    </r>
    <r>
      <rPr>
        <sz val="11"/>
        <color theme="1"/>
        <rFont val="Calibri"/>
        <family val="2"/>
        <scheme val="minor"/>
      </rPr>
      <t>: Fecha de la Carta de Adjudicación de los servicios contratados</t>
    </r>
  </si>
  <si>
    <r>
      <rPr>
        <b/>
        <sz val="11"/>
        <color theme="1"/>
        <rFont val="Calibri"/>
        <family val="2"/>
        <scheme val="minor"/>
      </rPr>
      <t>Service Start</t>
    </r>
    <r>
      <rPr>
        <sz val="11"/>
        <color theme="1"/>
        <rFont val="Calibri"/>
        <family val="2"/>
        <scheme val="minor"/>
      </rPr>
      <t>: Fecha Real de Inicio de los servicios</t>
    </r>
  </si>
  <si>
    <r>
      <t xml:space="preserve">Mantenciónequipos multifucionales( impresoras) Ricoh  </t>
    </r>
    <r>
      <rPr>
        <sz val="11"/>
        <color rgb="FFFF0000"/>
        <rFont val="Calibri"/>
        <family val="2"/>
        <scheme val="minor"/>
      </rPr>
      <t>(SC252)</t>
    </r>
  </si>
  <si>
    <t xml:space="preserve">2.6 Business Service </t>
  </si>
  <si>
    <t>Budget 2018</t>
  </si>
  <si>
    <t>Budget 2019</t>
  </si>
  <si>
    <t>Budget 2020</t>
  </si>
  <si>
    <t>Land &amp; Easments</t>
  </si>
  <si>
    <t>685 Engineering &amp; Construction</t>
  </si>
  <si>
    <r>
      <t>•</t>
    </r>
    <r>
      <rPr>
        <sz val="14"/>
        <color rgb="FF000000"/>
        <rFont val="Calibri"/>
        <family val="2"/>
      </rPr>
      <t>Staff &amp; gen exp</t>
    </r>
  </si>
  <si>
    <r>
      <t>•</t>
    </r>
    <r>
      <rPr>
        <sz val="14"/>
        <color rgb="FF000000"/>
        <rFont val="Calibri"/>
        <family val="2"/>
      </rPr>
      <t>EWS</t>
    </r>
  </si>
  <si>
    <r>
      <t>•</t>
    </r>
    <r>
      <rPr>
        <sz val="14"/>
        <color rgb="FF000000"/>
        <rFont val="Calibri"/>
        <family val="2"/>
      </rPr>
      <t>FS</t>
    </r>
  </si>
  <si>
    <r>
      <t>•</t>
    </r>
    <r>
      <rPr>
        <sz val="14"/>
        <color rgb="FF000000"/>
        <rFont val="Calibri"/>
        <family val="2"/>
      </rPr>
      <t>Drilling</t>
    </r>
  </si>
  <si>
    <r>
      <t>•</t>
    </r>
    <r>
      <rPr>
        <sz val="14"/>
        <color rgb="FF000000"/>
        <rFont val="Calibri"/>
        <family val="2"/>
      </rPr>
      <t xml:space="preserve">Land </t>
    </r>
  </si>
  <si>
    <r>
      <t>•</t>
    </r>
    <r>
      <rPr>
        <sz val="14"/>
        <color rgb="FF000000"/>
        <rFont val="Calibri"/>
        <family val="2"/>
      </rPr>
      <t>Community Dev</t>
    </r>
  </si>
  <si>
    <r>
      <t>•</t>
    </r>
    <r>
      <rPr>
        <sz val="14"/>
        <color rgb="FF000000"/>
        <rFont val="Calibri"/>
        <family val="2"/>
      </rPr>
      <t>EIA</t>
    </r>
  </si>
  <si>
    <t>Communication and Resettlement</t>
  </si>
  <si>
    <t>Engineering &amp; Construction</t>
  </si>
  <si>
    <t>•Staff &amp; gen exp</t>
  </si>
  <si>
    <t>•Drilling</t>
  </si>
  <si>
    <t xml:space="preserve">•Land </t>
  </si>
  <si>
    <t>•EIA</t>
  </si>
  <si>
    <t xml:space="preserve">•Community </t>
  </si>
  <si>
    <t>AREA:</t>
  </si>
  <si>
    <t>SCOPE APPROVAL DOCUMENT -ADMINISTRATION</t>
  </si>
  <si>
    <t>SCOPE APPROVAL DOCUMENT - OFFICE VALLENAR</t>
  </si>
  <si>
    <t>SCOPE APPROVAL DOCUMENT - IT</t>
  </si>
  <si>
    <t>SCOPE APPROVAL DOCUMENT - BUSINESS SERVICE</t>
  </si>
  <si>
    <t>SCOPE APPROVAL DOCUMENT - LEGAL</t>
  </si>
  <si>
    <t>SCOPE APPROVAL DOCUMENT - ENVIRONMENTAL</t>
  </si>
  <si>
    <t>SCOPE APPROVAL DOCUMENT - COMMUNICATIONS AND GOVERNMENT RELATIONS</t>
  </si>
  <si>
    <t>SCOPE APPROVAL DOCUMENT - RESETTLEMENT</t>
  </si>
  <si>
    <t>SCOPE APPROVAL DOCUMENT - COMMUNITY</t>
  </si>
  <si>
    <t>SCOPE APPROVAL DOCUMENT - COMMUNITY DEVELOPMENT</t>
  </si>
  <si>
    <t>PETRI SALOPERA</t>
  </si>
  <si>
    <t>685/51-11-3351</t>
  </si>
  <si>
    <t>SCOPE APPROVAL DOCUMENT - ENGINEERING</t>
  </si>
  <si>
    <t>SCOPE APPROVAL DOCUMENT - OPERATIONS AND TECHNICAL SERVICES</t>
  </si>
  <si>
    <t>SCOPE APPROVAL DOCUMENT - GENERAL MANAGEMENT</t>
  </si>
  <si>
    <t>Total +Land &amp; Easments</t>
  </si>
  <si>
    <t>Operation</t>
  </si>
  <si>
    <t xml:space="preserve">Operations </t>
  </si>
  <si>
    <t>Contingency 7%</t>
  </si>
  <si>
    <t>Case A: Full Project Execution after RCA</t>
  </si>
  <si>
    <t>Case B: After RCA only engineering w/o construction</t>
  </si>
  <si>
    <t>Case C: Case A with  block cave</t>
  </si>
  <si>
    <t xml:space="preserve">Case D: After RCA Project on hold </t>
  </si>
  <si>
    <t>Jan</t>
  </si>
  <si>
    <t>Apr</t>
  </si>
  <si>
    <t>Dec</t>
  </si>
  <si>
    <t>Cash 2018</t>
  </si>
  <si>
    <t>Total Cash 2018</t>
  </si>
  <si>
    <t>Total Accruals 2018</t>
  </si>
  <si>
    <t>Accruals 2018</t>
  </si>
  <si>
    <t>Geotech La Fortuna Deep</t>
  </si>
  <si>
    <t>Geotech Logging (La Fortuna Deep)</t>
  </si>
  <si>
    <t>Hydraulic Testing / Lab Testing</t>
  </si>
  <si>
    <t>Geologist 1 (140)</t>
  </si>
  <si>
    <t>Geologist 2 (140)</t>
  </si>
  <si>
    <t>Geologist 3 (140)</t>
  </si>
  <si>
    <t>Controller 1 (140)</t>
  </si>
  <si>
    <t>Controller 2 (140)</t>
  </si>
  <si>
    <t>Controller 3 (140)</t>
  </si>
  <si>
    <t>Controller 4 (140)</t>
  </si>
  <si>
    <t>Prevencionista 1 (140)</t>
  </si>
  <si>
    <t>Prevencionista 2 (140)</t>
  </si>
  <si>
    <t>acQuire Specialist (Oscar Gutierrez) (5)</t>
  </si>
  <si>
    <t>Geochemist (Iain Dalrymple) (5)</t>
  </si>
  <si>
    <t>HSEC Support (Jose Pasten)</t>
  </si>
  <si>
    <t>&gt;13</t>
  </si>
  <si>
    <t>QA/QC  GIS Support (Rosy Navarro) (5)</t>
  </si>
  <si>
    <t>Relincho (costs per month, 2 rigs and crew - all in)</t>
  </si>
  <si>
    <t>La Fortuna (cost per months, 3 rigs and crew - all in)</t>
  </si>
  <si>
    <r>
      <rPr>
        <b/>
        <sz val="14"/>
        <color theme="1"/>
        <rFont val="Calibri"/>
        <family val="2"/>
        <scheme val="minor"/>
      </rPr>
      <t>LOA Issue Date</t>
    </r>
    <r>
      <rPr>
        <sz val="11"/>
        <color theme="1"/>
        <rFont val="Calibri"/>
        <family val="2"/>
        <scheme val="minor"/>
      </rPr>
      <t xml:space="preserve">: </t>
    </r>
    <r>
      <rPr>
        <sz val="14"/>
        <color theme="1"/>
        <rFont val="Calibri"/>
        <family val="2"/>
        <scheme val="minor"/>
      </rPr>
      <t>Fecha de la Carta de Adjudicación de los servicios contratados</t>
    </r>
  </si>
  <si>
    <t xml:space="preserve">Consulting services for Geotechnical Evaluation and hydrogeology - Looking to optimize the design of the oepn pit and steepen up pit walls.
Consulting services to optimize the geotechnical design for the open pit.  Will supervise the drilling and then work to update the geotechnical model.  Will extend into 2019. Drill supervision begins in </t>
  </si>
  <si>
    <t xml:space="preserve">Cash and Accruals </t>
  </si>
  <si>
    <t>Total without Land &amp; Easments</t>
  </si>
  <si>
    <t>Total with Land &amp; Easments</t>
  </si>
  <si>
    <t>Aug</t>
  </si>
  <si>
    <t>Prism Setup support of cost &amp; contract Module and Prism of new users</t>
  </si>
  <si>
    <t>Prism cost Module Setup Support</t>
  </si>
  <si>
    <t>Prism contract Modelu setup support</t>
  </si>
  <si>
    <t>Training New Users</t>
  </si>
  <si>
    <t>Ongoing Prism Support for Sept-Dec 2017 (This May flow into 2018 and is not estimated here)</t>
  </si>
  <si>
    <t>Objective 3.6</t>
  </si>
  <si>
    <t xml:space="preserve">Otros Predios </t>
  </si>
  <si>
    <t xml:space="preserve">Adquisición de otros predios </t>
  </si>
  <si>
    <t>Agua Construcción</t>
  </si>
  <si>
    <t>Adquisición de agua para construcción</t>
  </si>
  <si>
    <t>3.5</t>
  </si>
  <si>
    <t>3.5.1</t>
  </si>
  <si>
    <t>3.5.2</t>
  </si>
  <si>
    <t>3.5.3</t>
  </si>
  <si>
    <t>3.5.4</t>
  </si>
  <si>
    <t>3.5.5</t>
  </si>
  <si>
    <t>3.6.1</t>
  </si>
  <si>
    <t>3.6.2</t>
  </si>
  <si>
    <t>Predios compensacion Ambiental</t>
  </si>
  <si>
    <t>Compensación Ambiental</t>
  </si>
  <si>
    <t>3.6.3</t>
  </si>
  <si>
    <t>Predios reasentamiento</t>
  </si>
  <si>
    <t>Reasentamiento</t>
  </si>
  <si>
    <t>3.6.4</t>
  </si>
  <si>
    <t>Plan de Cierre</t>
  </si>
  <si>
    <t>Indicar centro de costo correspondiente, plazos, superficie, etc.(Prorroga de Servidumbres)</t>
  </si>
  <si>
    <r>
      <t xml:space="preserve">Agua para la construcción valores considerados según estimación de </t>
    </r>
    <r>
      <rPr>
        <b/>
        <sz val="11"/>
        <color theme="1"/>
        <rFont val="Arial"/>
        <family val="2"/>
      </rPr>
      <t>Fluor 22-ago-2017</t>
    </r>
  </si>
  <si>
    <t>Estancia Jarillas Lote B</t>
  </si>
  <si>
    <t>Pago Periodo 2018-2019-2020 -Enero 2019</t>
  </si>
  <si>
    <t>3.3.1.6</t>
  </si>
  <si>
    <t>Gastos Tramitación Demandas Fiscales / Arriendos Delano</t>
  </si>
  <si>
    <t>Indemnizacion  Servidumbres Legales Minera</t>
  </si>
  <si>
    <t>Tramitacion Servidumbres CORRALES</t>
  </si>
  <si>
    <t>Indemnizacion  Serv. CORRALES</t>
  </si>
  <si>
    <t>Gastos Tramitación Servidumbres electricas</t>
  </si>
  <si>
    <t>3.3.6.1</t>
  </si>
  <si>
    <t>Pagos Contrato de Promesa Predio Compensación (1era cuota)</t>
  </si>
  <si>
    <t>3.3.6.2</t>
  </si>
  <si>
    <t>Predios Reasentamiento</t>
  </si>
  <si>
    <t>Pagos Predio Reasentamiento</t>
  </si>
  <si>
    <t>3.3.6.3</t>
  </si>
  <si>
    <t>Plan de Cierre Proyecto  (Prorroga Servidumbres)</t>
  </si>
  <si>
    <t>3.3.6.4</t>
  </si>
  <si>
    <t>Predio Oficina Vallenar</t>
  </si>
  <si>
    <t>Pagos Contrato de Promesa de Compra (1era cuota 10%),  pago final DIC 2019</t>
  </si>
  <si>
    <t>3.3.6.5</t>
  </si>
  <si>
    <t>Servidumbres construcción</t>
  </si>
  <si>
    <t xml:space="preserve">Servidumbres para Construccion </t>
  </si>
  <si>
    <t>Otras areas además de trazados (Botaderos, emprestitos, campamento Poniete Ruta 5, Pipeline Agua Construcción y otros) Enero 2019</t>
  </si>
  <si>
    <t>3.3.6.6</t>
  </si>
  <si>
    <t>Contingency</t>
  </si>
  <si>
    <t xml:space="preserve">Contingency </t>
  </si>
  <si>
    <t>Compra Agua para Construcción</t>
  </si>
  <si>
    <t>Reserva Aguas Chañar - agua industrial (Enero 2019)</t>
  </si>
  <si>
    <t>Inicio Consumo estimado Q1 2020 - No considera trasporte (costo estimad Fluor 22-ago-2017)</t>
  </si>
  <si>
    <t>Agua Potable Operación</t>
  </si>
  <si>
    <t>Compra Agua Potable</t>
  </si>
  <si>
    <t>Valores consumo con desaladora operando ????</t>
  </si>
  <si>
    <t>Office Rent-Contingence</t>
  </si>
  <si>
    <t>Commercial Support and other consulting</t>
  </si>
  <si>
    <t>External accounting Support</t>
  </si>
  <si>
    <t>Audit, Tax Support and misc changes i.e.bank</t>
  </si>
  <si>
    <t>Ref 2017 
(Forecast Oct*)</t>
  </si>
  <si>
    <t>Accruals 2019</t>
  </si>
  <si>
    <t>FS START</t>
  </si>
  <si>
    <t>IE START</t>
  </si>
  <si>
    <t xml:space="preserve">Construction </t>
  </si>
  <si>
    <t>Accruals 2020</t>
  </si>
  <si>
    <t>EI START</t>
  </si>
  <si>
    <t>CONSTRUCTION START</t>
  </si>
  <si>
    <t>Objective 3.01</t>
  </si>
  <si>
    <t xml:space="preserve">Legal/Consulting </t>
  </si>
  <si>
    <t>Costo Consultores y gastos varios área legal and suport othres areas</t>
  </si>
  <si>
    <t>Objective 3.02</t>
  </si>
  <si>
    <t>Legal/Consulting Land Access</t>
  </si>
  <si>
    <t xml:space="preserve">Costo Consultores y gastos varios área legal Land Access </t>
  </si>
  <si>
    <t>PREMIO</t>
  </si>
  <si>
    <t xml:space="preserve">Tramitación, Mantención y Resguardo de la Propiedad Minera Relincho </t>
  </si>
  <si>
    <t>Objective 1 RE Mine Property</t>
  </si>
  <si>
    <t>Objective 2 EM Mine Property</t>
  </si>
  <si>
    <t xml:space="preserve">Objective 3.2 NSR Purchases </t>
  </si>
  <si>
    <t xml:space="preserve">Objective 3.3 Mining Rights Purchases </t>
  </si>
  <si>
    <t>Objective 3.4 Land Access (Ingreso Enero 2018)</t>
  </si>
  <si>
    <t>Objective 3.5 Land Access (Ingreso EIA)</t>
  </si>
  <si>
    <t xml:space="preserve">Objective 3.6 Otros Predios </t>
  </si>
  <si>
    <t>Objective 4 Agua Construcción</t>
  </si>
  <si>
    <t>Objective 5 Permits Licences</t>
  </si>
  <si>
    <t>Easements Delano (Tramitacion terminada oct 2018)</t>
  </si>
  <si>
    <t>Tasación Predios - Terminado para demandas sep 2018</t>
  </si>
  <si>
    <t>Nueva Negociacion junio 2018 (Pay regular transit) - Eventual renov. Pago 2018</t>
  </si>
  <si>
    <t>Nueva Negociacion Abril 2018 (Pay regular transit) - Eventual renov. Pago 2018</t>
  </si>
  <si>
    <t>Negociacion - Valor Estimado (Negociado en 2018)</t>
  </si>
  <si>
    <t>Negociacion - Valor Estimado cuota 2019</t>
  </si>
  <si>
    <t>Negociacion - Valor Estimado USD 100.000 en abril 2018</t>
  </si>
  <si>
    <t xml:space="preserve">Indemnizacion  Servidumbres </t>
  </si>
  <si>
    <t>Estimate - Indemnización Servidumbre / Arriendos 1° pago anual en 2020 - DELANO</t>
  </si>
  <si>
    <t>PLANTA FILTRO HUASCO</t>
  </si>
  <si>
    <t>CAMPAMENTO HUASCO</t>
  </si>
  <si>
    <t>LOTE B CHEHUEQUE</t>
  </si>
  <si>
    <t>Huasco</t>
  </si>
  <si>
    <t>Huasco - Maitencillo</t>
  </si>
  <si>
    <t>Maitencillo - Varilla</t>
  </si>
  <si>
    <t>Interferencias</t>
  </si>
  <si>
    <t>Predios Fiscales Chehueque</t>
  </si>
  <si>
    <t>PIT Manflas</t>
  </si>
  <si>
    <t>CADHA CONVEYOR  without Easement - CALCULAR SIN CONTINGENCIA</t>
  </si>
  <si>
    <t>CADHA PIT  without Easement - CALCULAR SIN CONTINGENCIA</t>
  </si>
  <si>
    <t>CADHA mejora pago actual (areas difeneciadas) - CALCULAR SIN CONTINGENCIA</t>
  </si>
  <si>
    <t>Lote B Conveyor  - CALCULAR SIN CONTINGENCIA</t>
  </si>
  <si>
    <t>Pagos Contrato de Promesa de Compra (1era cuota 10%),  pago final dic 2019</t>
  </si>
  <si>
    <t>Reserva Aguas Chañar (Agua industrial 30% consumo 2019-2025) Enero 2019</t>
  </si>
  <si>
    <t>Inicio Consumo estimado Q1 2020 - No considera trasporte</t>
  </si>
  <si>
    <t xml:space="preserve">Consulting Contract </t>
  </si>
  <si>
    <t xml:space="preserve"> Easement Ventanas (Tramitacion terminada JUL 2019)</t>
  </si>
  <si>
    <t>Easements  Cruce Rio Huasco (Tramitacion terminada JUL 2019)</t>
  </si>
  <si>
    <t>Easements  Agrosuper Cuesta La Arenas (Tramitacion terminada JUL 2019)</t>
  </si>
  <si>
    <t>Easements Puerto (Tramitacion terminada JUL 2019)</t>
  </si>
  <si>
    <t>Negociacion - Valor Estimado cuota 2020</t>
  </si>
  <si>
    <r>
      <t xml:space="preserve">Agua para la construcción valores considerados según estimación de </t>
    </r>
    <r>
      <rPr>
        <b/>
        <sz val="11"/>
        <rFont val="Arial"/>
        <family val="2"/>
      </rPr>
      <t>Fluor 22-ago-2017</t>
    </r>
  </si>
  <si>
    <r>
      <rPr>
        <b/>
        <sz val="14"/>
        <rFont val="Arial"/>
        <family val="2"/>
      </rPr>
      <t>(*)</t>
    </r>
    <r>
      <rPr>
        <sz val="14"/>
        <rFont val="Arial"/>
        <family val="2"/>
      </rPr>
      <t xml:space="preserve"> This Code must be manually written in consideration with the Scope Description </t>
    </r>
  </si>
  <si>
    <r>
      <rPr>
        <b/>
        <sz val="14"/>
        <rFont val="Arial"/>
        <family val="2"/>
      </rPr>
      <t>(**)</t>
    </r>
    <r>
      <rPr>
        <sz val="14"/>
        <rFont val="Arial"/>
        <family val="2"/>
      </rPr>
      <t xml:space="preserve">      a.</t>
    </r>
  </si>
  <si>
    <r>
      <rPr>
        <b/>
        <sz val="14"/>
        <rFont val="Arial"/>
        <family val="2"/>
      </rPr>
      <t>Tech Spec Issue Date</t>
    </r>
    <r>
      <rPr>
        <sz val="14"/>
        <rFont val="Arial"/>
        <family val="2"/>
      </rPr>
      <t xml:space="preserve">: Fecha entrega de las Bases Técnicas para el proceso de Licitación </t>
    </r>
  </si>
  <si>
    <r>
      <rPr>
        <b/>
        <sz val="14"/>
        <rFont val="Arial"/>
        <family val="2"/>
      </rPr>
      <t>Bid Process Start</t>
    </r>
    <r>
      <rPr>
        <sz val="14"/>
        <rFont val="Arial"/>
        <family val="2"/>
      </rPr>
      <t>: Fecha inicio del proceso de Licitación</t>
    </r>
  </si>
  <si>
    <r>
      <rPr>
        <b/>
        <sz val="14"/>
        <rFont val="Arial"/>
        <family val="2"/>
      </rPr>
      <t>LOA Issue Date</t>
    </r>
    <r>
      <rPr>
        <sz val="11"/>
        <rFont val="Arial"/>
        <family val="2"/>
      </rPr>
      <t xml:space="preserve">: </t>
    </r>
    <r>
      <rPr>
        <sz val="14"/>
        <rFont val="Arial"/>
        <family val="2"/>
      </rPr>
      <t>Fecha de la Carta de Adjudicación de los servicios contratados</t>
    </r>
  </si>
  <si>
    <r>
      <rPr>
        <b/>
        <sz val="14"/>
        <rFont val="Arial"/>
        <family val="2"/>
      </rPr>
      <t>Service Start</t>
    </r>
    <r>
      <rPr>
        <sz val="14"/>
        <rFont val="Arial"/>
        <family val="2"/>
      </rPr>
      <t>: Fecha Real de Inicio de los servicios</t>
    </r>
  </si>
  <si>
    <r>
      <t>Estimate - Indemnización Servidumbre / Arriendos 1° pago anual</t>
    </r>
    <r>
      <rPr>
        <b/>
        <sz val="11"/>
        <rFont val="Arial"/>
        <family val="2"/>
      </rPr>
      <t xml:space="preserve">  DELANO</t>
    </r>
  </si>
  <si>
    <t>Planning Consulting</t>
  </si>
  <si>
    <t>consider mine-to-mill (blasting simulation), haulage simulation to test areas of congestion, winter operation simulation, and other planning simulations, recommended by D. Tutton</t>
  </si>
  <si>
    <t xml:space="preserve">Geology and Resource Model </t>
  </si>
  <si>
    <t>Ceco</t>
  </si>
  <si>
    <t>Carpeta</t>
  </si>
  <si>
    <t>Codigo Ctto</t>
  </si>
  <si>
    <t>Estatus Asignación</t>
  </si>
  <si>
    <t>Tipo Doc</t>
  </si>
  <si>
    <t>Nombre</t>
  </si>
  <si>
    <t>Descripción</t>
  </si>
  <si>
    <t>Categoría</t>
  </si>
  <si>
    <t>Modalidad</t>
  </si>
  <si>
    <t xml:space="preserve">Fecha Inicio </t>
  </si>
  <si>
    <t>Fecha de Término</t>
  </si>
  <si>
    <t>Asignación</t>
  </si>
  <si>
    <t>Origen Empresa</t>
  </si>
  <si>
    <t>Mano Obra Local</t>
  </si>
  <si>
    <t>Terreno</t>
  </si>
  <si>
    <t>Details Quantities &amp; Rates References</t>
  </si>
  <si>
    <t>Bid Process Type</t>
  </si>
  <si>
    <t>Tech Spec Issue Date</t>
  </si>
  <si>
    <t>LOA Issue Date</t>
  </si>
  <si>
    <t>USD_Total</t>
  </si>
  <si>
    <t>Sep</t>
  </si>
  <si>
    <t>Tipo Contrato</t>
  </si>
  <si>
    <t>Coord Tecnico</t>
  </si>
  <si>
    <t>Requiere Sole Surce</t>
  </si>
  <si>
    <t>Tipo Asignación</t>
  </si>
  <si>
    <t>Categoria Servicio</t>
  </si>
  <si>
    <t>Actividad Principal</t>
  </si>
  <si>
    <t>Importancia</t>
  </si>
  <si>
    <t>Aux1</t>
  </si>
  <si>
    <t>682-3306-18001</t>
  </si>
  <si>
    <t>682 Administración</t>
  </si>
  <si>
    <t>Contrato/Orden de Servicio</t>
  </si>
  <si>
    <t>Arriendo Oficina Santiago</t>
  </si>
  <si>
    <t>Office Rent - Common expenses parking - utilities - commercial permit</t>
  </si>
  <si>
    <t>CS</t>
  </si>
  <si>
    <t>PU</t>
  </si>
  <si>
    <t>Renovación de Contrato</t>
  </si>
  <si>
    <t>Nacional</t>
  </si>
  <si>
    <t>Arriendo Inmueble</t>
  </si>
  <si>
    <t>Etapa de Factibilidad</t>
  </si>
  <si>
    <t>Operativo</t>
  </si>
  <si>
    <t>682-3306-18002</t>
  </si>
  <si>
    <t>Servicio de Limpieza Oficina Santiago</t>
  </si>
  <si>
    <t>Limpieza Oficina Santiago</t>
  </si>
  <si>
    <t>Servicio Limpieza/Mantención</t>
  </si>
  <si>
    <t>682-3306-18003</t>
  </si>
  <si>
    <t>Servicio Mantenimiento Oficina Santiago</t>
  </si>
  <si>
    <t>Mantenimiento Oficina Santiago</t>
  </si>
  <si>
    <t>682-3306-18004</t>
  </si>
  <si>
    <t>Otros Costos</t>
  </si>
  <si>
    <t>682-3306-18005</t>
  </si>
  <si>
    <t>Servicio de traducción</t>
  </si>
  <si>
    <t>Licitación/Cotización</t>
  </si>
  <si>
    <t>Servicio Complementario</t>
  </si>
  <si>
    <t>682-3306-18006</t>
  </si>
  <si>
    <t>682-3302-18001</t>
  </si>
  <si>
    <t>682-3302-18002</t>
  </si>
  <si>
    <t>SC-307</t>
  </si>
  <si>
    <t>Parcial</t>
  </si>
  <si>
    <t>Servicio de Acreditación y Control Laboral</t>
  </si>
  <si>
    <t>Si</t>
  </si>
  <si>
    <t>682-3302-18003</t>
  </si>
  <si>
    <t>682-3302-18004</t>
  </si>
  <si>
    <t>682-3302-18005</t>
  </si>
  <si>
    <t>682-3302-18006</t>
  </si>
  <si>
    <t>682-3302-18007</t>
  </si>
  <si>
    <t>Servicio Payroll</t>
  </si>
  <si>
    <t>Adjudicación Directa</t>
  </si>
  <si>
    <t>682-3302-18008</t>
  </si>
  <si>
    <t>682-3302-18009</t>
  </si>
  <si>
    <t>682-3302-18010</t>
  </si>
  <si>
    <t>682-3302-18011</t>
  </si>
  <si>
    <t>Servicio Desarrollo de la cultura</t>
  </si>
  <si>
    <t>SA</t>
  </si>
  <si>
    <t>Consultoria</t>
  </si>
  <si>
    <t>682-3302-18012</t>
  </si>
  <si>
    <t>682-3303-18001</t>
  </si>
  <si>
    <t>Viajes Internacionales</t>
  </si>
  <si>
    <t>682-3304-18001</t>
  </si>
  <si>
    <t>Viajes Nacionales</t>
  </si>
  <si>
    <t>682-3305-18001</t>
  </si>
  <si>
    <t>OS2017-093</t>
  </si>
  <si>
    <t>Comprometido</t>
  </si>
  <si>
    <t>Servicio Comunicación Radial EM</t>
  </si>
  <si>
    <t>Comunicación Radial EM</t>
  </si>
  <si>
    <t>Servicio Comunicaciones</t>
  </si>
  <si>
    <t>Sondaje en La Fortuna</t>
  </si>
  <si>
    <t>682-3305-18002</t>
  </si>
  <si>
    <t>682-3305-18003</t>
  </si>
  <si>
    <t>HEAD END ANALOGO 48  CANALES PARA 60 PUNTOS a 12 meses inciando en Oct 2017</t>
  </si>
  <si>
    <t>682-3305-18004</t>
  </si>
  <si>
    <t>Orden de Compra</t>
  </si>
  <si>
    <t>682-3305-18005</t>
  </si>
  <si>
    <t>682-3305-18006</t>
  </si>
  <si>
    <t>682-3305-18007</t>
  </si>
  <si>
    <t>682-3305-18008</t>
  </si>
  <si>
    <t>682-3305-18009</t>
  </si>
  <si>
    <t>682-3305-18010</t>
  </si>
  <si>
    <t>Servicio Mantención de Impresoras</t>
  </si>
  <si>
    <t>Mantenimiento de Impresoras Oficinas UN</t>
  </si>
  <si>
    <t>682-3305-18011</t>
  </si>
  <si>
    <t>682-3305-18012</t>
  </si>
  <si>
    <t>682-3305-18013</t>
  </si>
  <si>
    <t>682-3305-18014</t>
  </si>
  <si>
    <t>682-3305-18015</t>
  </si>
  <si>
    <t>682-3305-18016</t>
  </si>
  <si>
    <t>682-3305-18017</t>
  </si>
  <si>
    <t>682-3305-18018</t>
  </si>
  <si>
    <t>682-3305-18019</t>
  </si>
  <si>
    <t>682-3305-18020</t>
  </si>
  <si>
    <t>682-3305-18021</t>
  </si>
  <si>
    <t>682-3305-18022</t>
  </si>
  <si>
    <t>682-3305-18023</t>
  </si>
  <si>
    <t>682-3305-18024</t>
  </si>
  <si>
    <t>682-3305-18025</t>
  </si>
  <si>
    <t>682-3305-18026</t>
  </si>
  <si>
    <t>682-3305-18027</t>
  </si>
  <si>
    <t>682-3305-18028</t>
  </si>
  <si>
    <t>682-3305-18029</t>
  </si>
  <si>
    <t>682-3305-18030</t>
  </si>
  <si>
    <t>682-3305-18031</t>
  </si>
  <si>
    <t>682-3305-18032</t>
  </si>
  <si>
    <t>682-3305-18033</t>
  </si>
  <si>
    <t>682-3305-18034</t>
  </si>
  <si>
    <t>682-3305-18035</t>
  </si>
  <si>
    <t>682-3305-18036</t>
  </si>
  <si>
    <t>682-3305-18037</t>
  </si>
  <si>
    <t>Servicio Arriendo Lomas la Peineta</t>
  </si>
  <si>
    <t>Arriendo terreno para antena repetidora</t>
  </si>
  <si>
    <t>682-3305-18038</t>
  </si>
  <si>
    <t>Servicio Ejecución Cierre perimetral Antena los Morteros</t>
  </si>
  <si>
    <t>682-3305-18039</t>
  </si>
  <si>
    <t>682-3305-18040</t>
  </si>
  <si>
    <t>682-3305-18041</t>
  </si>
  <si>
    <t>Servicio Goldcorp</t>
  </si>
  <si>
    <t>682-3305-18042</t>
  </si>
  <si>
    <t>Servicios Teck</t>
  </si>
  <si>
    <t>682-3305-18043</t>
  </si>
  <si>
    <t>682-3309-18001</t>
  </si>
  <si>
    <t>Business Service</t>
  </si>
  <si>
    <t>Business_Service</t>
  </si>
  <si>
    <t>Servicio Auditoría</t>
  </si>
  <si>
    <t>682-3309-18002</t>
  </si>
  <si>
    <t>682-3309-18003</t>
  </si>
  <si>
    <t>682-3309-18004</t>
  </si>
  <si>
    <t>Servicio de Tax filing (KPMG)</t>
  </si>
  <si>
    <t>682-3309-18005</t>
  </si>
  <si>
    <t>Servicio de Finanzas KPMG</t>
  </si>
  <si>
    <t>682-3309-18006</t>
  </si>
  <si>
    <t>682-3309-18007</t>
  </si>
  <si>
    <t>Sevicio Payroll</t>
  </si>
  <si>
    <t>682-3309-18008</t>
  </si>
  <si>
    <t>682-3309-18009</t>
  </si>
  <si>
    <t>Servicio de Contabilidad y Apoyo a Finanzas</t>
  </si>
  <si>
    <t>682-3309-18010</t>
  </si>
  <si>
    <t>Servicio Consultoria TAX</t>
  </si>
  <si>
    <t>External Consultant (Tax etc.)</t>
  </si>
  <si>
    <t>CO</t>
  </si>
  <si>
    <t>TH</t>
  </si>
  <si>
    <t>682-3309-18011</t>
  </si>
  <si>
    <t>External Consultant (Tax legal etc.)</t>
  </si>
  <si>
    <t>682-3309-18012</t>
  </si>
  <si>
    <t>Servicio Analisis financiero</t>
  </si>
  <si>
    <t>Financial analisys desal plant port power</t>
  </si>
  <si>
    <t>682-3309-18013</t>
  </si>
  <si>
    <t>Serevicio Operational and organizational design  process and procedures</t>
  </si>
  <si>
    <t>Operational and organizational design  process and procedures</t>
  </si>
  <si>
    <t>682-3315-18001</t>
  </si>
  <si>
    <t>Office_Vallenar</t>
  </si>
  <si>
    <t>CA</t>
  </si>
  <si>
    <t>Local</t>
  </si>
  <si>
    <t>682-3315-18002</t>
  </si>
  <si>
    <t>682-3315-18003</t>
  </si>
  <si>
    <t>682-3315-18004</t>
  </si>
  <si>
    <t>682-3315-18005</t>
  </si>
  <si>
    <t>682-3315-18006</t>
  </si>
  <si>
    <t>682-3315-18007</t>
  </si>
  <si>
    <t>682-3315-18008</t>
  </si>
  <si>
    <t>682-3315-18009</t>
  </si>
  <si>
    <t>682-3315-18010</t>
  </si>
  <si>
    <t>682-3315-18011</t>
  </si>
  <si>
    <t>682-3315-18012</t>
  </si>
  <si>
    <t>Arriendo Equipo/Maquinaria</t>
  </si>
  <si>
    <t>682-3315-18013</t>
  </si>
  <si>
    <t>682-3315-18014</t>
  </si>
  <si>
    <t>682-3315-18015</t>
  </si>
  <si>
    <t>682-3315-18016</t>
  </si>
  <si>
    <t>682-3315-18017</t>
  </si>
  <si>
    <t>683-3337-18001</t>
  </si>
  <si>
    <t>Legal_1</t>
  </si>
  <si>
    <t>Patentes Mineras</t>
  </si>
  <si>
    <t>683-3337-18002</t>
  </si>
  <si>
    <t>683-3337-18003</t>
  </si>
  <si>
    <t>683-3337-18004</t>
  </si>
  <si>
    <t>Servicio de Resguardo y Vigilancia Propiedad Minera</t>
  </si>
  <si>
    <t>683-3338-18001</t>
  </si>
  <si>
    <t>683-3338-18002</t>
  </si>
  <si>
    <t>683-3338-18003</t>
  </si>
  <si>
    <t>683-3338-18004</t>
  </si>
  <si>
    <t>683-3339-18001</t>
  </si>
  <si>
    <t>Servicio Consultoría Ferrada Neheme</t>
  </si>
  <si>
    <t>683-3339-18002</t>
  </si>
  <si>
    <t>Servicio Consultoría VGC (Vergara y Galindo)</t>
  </si>
  <si>
    <t>683-3339-18003</t>
  </si>
  <si>
    <t>683-3339-18004</t>
  </si>
  <si>
    <t>Servicio Consultoría Geodesarrollo</t>
  </si>
  <si>
    <t>683-3339-18005</t>
  </si>
  <si>
    <t>SC-350</t>
  </si>
  <si>
    <t>683-3339-18006</t>
  </si>
  <si>
    <t>Servicio Consultoría Lizama y Cia</t>
  </si>
  <si>
    <t>683-3339-18007</t>
  </si>
  <si>
    <t>Servicio Consultoría Cariola</t>
  </si>
  <si>
    <t>683-3339-18008</t>
  </si>
  <si>
    <t>Servicio Consultoría Carolina Verdejo</t>
  </si>
  <si>
    <t>683-3339-18009</t>
  </si>
  <si>
    <t>Servicio Consultoría Consultor por definir</t>
  </si>
  <si>
    <t>683-3339-18010</t>
  </si>
  <si>
    <t>683-3339-18011</t>
  </si>
  <si>
    <t>683-3339-18012</t>
  </si>
  <si>
    <t>683-3339-18013</t>
  </si>
  <si>
    <t>Servicio Consultoría Bertrand-Galindo(Milenko Bertrand)</t>
  </si>
  <si>
    <t>Asesoría DDHH y Contratos</t>
  </si>
  <si>
    <t>683-3339-18014</t>
  </si>
  <si>
    <t>Servicio Consultoría FyC Abogados Ltda (Manuel Cacho)</t>
  </si>
  <si>
    <t>683-3339-18015</t>
  </si>
  <si>
    <t>Servicio Consultoría Francisco Galeb</t>
  </si>
  <si>
    <t>683-3339-18016</t>
  </si>
  <si>
    <t>Servicio Apoyo legal Contratos de Suministro</t>
  </si>
  <si>
    <t>683-3339-18017</t>
  </si>
  <si>
    <t>Servicio Apoyo legal Compensación Ambiental</t>
  </si>
  <si>
    <t>Apoyo legal negociaciones área de compensacion ambiental</t>
  </si>
  <si>
    <t>683-3339-18018</t>
  </si>
  <si>
    <t>683-3339-18019</t>
  </si>
  <si>
    <t>683-3339-18020</t>
  </si>
  <si>
    <t>683-3339-18021</t>
  </si>
  <si>
    <t>683-3339-18022</t>
  </si>
  <si>
    <t>Compra Terreno</t>
  </si>
  <si>
    <t>683-3339-18023</t>
  </si>
  <si>
    <t>Servidumbre/Derechos de Paso</t>
  </si>
  <si>
    <t>683-3339-18024</t>
  </si>
  <si>
    <t>683-3339-18025</t>
  </si>
  <si>
    <t>683-3339-18026</t>
  </si>
  <si>
    <t>683-3339-18027</t>
  </si>
  <si>
    <t>683-3339-18028</t>
  </si>
  <si>
    <t>683-3339-18029</t>
  </si>
  <si>
    <t>Derechos Mineros</t>
  </si>
  <si>
    <t>683-3339-18030</t>
  </si>
  <si>
    <t>683-3339-18031</t>
  </si>
  <si>
    <t>683-3339-18032</t>
  </si>
  <si>
    <t>683-3339-18033</t>
  </si>
  <si>
    <t>683-3339-18034</t>
  </si>
  <si>
    <t>683-3339-18035</t>
  </si>
  <si>
    <t>683-3339-18036</t>
  </si>
  <si>
    <t>683-3339-18037</t>
  </si>
  <si>
    <t>683-3339-18038</t>
  </si>
  <si>
    <t>683-3339-18039</t>
  </si>
  <si>
    <t>683-3339-18040</t>
  </si>
  <si>
    <t>683-3339-18041</t>
  </si>
  <si>
    <t>683-3339-18042</t>
  </si>
  <si>
    <t>683-3339-18043</t>
  </si>
  <si>
    <t>683-3339-18044</t>
  </si>
  <si>
    <t>683-3339-18045</t>
  </si>
  <si>
    <t>683-3339-18046</t>
  </si>
  <si>
    <t>683-3339-18047</t>
  </si>
  <si>
    <t>683-3339-18048</t>
  </si>
  <si>
    <t>683-3339-18049</t>
  </si>
  <si>
    <t>683-3339-18050</t>
  </si>
  <si>
    <t>683-3339-18051</t>
  </si>
  <si>
    <t>683-3339-18052</t>
  </si>
  <si>
    <t>683-3339-18053</t>
  </si>
  <si>
    <t>683-3339-18054</t>
  </si>
  <si>
    <t>683-3339-18055</t>
  </si>
  <si>
    <t>683-3340-18001</t>
  </si>
  <si>
    <t>684-3341-18001</t>
  </si>
  <si>
    <t>Comunicactions and Goverment Relations</t>
  </si>
  <si>
    <t>Servicio de Diseño Gráfico para NU</t>
  </si>
  <si>
    <t>684-3341-18002</t>
  </si>
  <si>
    <t>Servicio apoyo Comunicación corporativa</t>
  </si>
  <si>
    <t>684-3341-18003</t>
  </si>
  <si>
    <t>684-3341-18004</t>
  </si>
  <si>
    <t>Servicio Monitoreo Redes Sociales</t>
  </si>
  <si>
    <t>Estudios</t>
  </si>
  <si>
    <t>684-3341-18005</t>
  </si>
  <si>
    <t>684-3341-18006</t>
  </si>
  <si>
    <t>684-3341-18007</t>
  </si>
  <si>
    <t>684-3341-18008</t>
  </si>
  <si>
    <t>Servicio de fotografía y Archivo de imágenes</t>
  </si>
  <si>
    <t>684-3341-18009</t>
  </si>
  <si>
    <t>Servicio Manentención sio Web</t>
  </si>
  <si>
    <t>684-3341-18010</t>
  </si>
  <si>
    <t>Servicio de Encuesta de Percepción</t>
  </si>
  <si>
    <t>684-3341-18011</t>
  </si>
  <si>
    <t>684-3341-18012</t>
  </si>
  <si>
    <t>Servicio de intranet</t>
  </si>
  <si>
    <t>684-3341-18013</t>
  </si>
  <si>
    <t>684-3341-18014</t>
  </si>
  <si>
    <t>coordination to support and assist with internal communication intranet maintenance multimedia content graphic material</t>
  </si>
  <si>
    <t>684-3341-18015</t>
  </si>
  <si>
    <t>684-3341-18016</t>
  </si>
  <si>
    <t>684-3341-18017</t>
  </si>
  <si>
    <t>684-3341-18018</t>
  </si>
  <si>
    <t>684-3341-18019</t>
  </si>
  <si>
    <t>684-3341-18020</t>
  </si>
  <si>
    <t>Servicio Presentación de NU. En expomin</t>
  </si>
  <si>
    <t>Menor</t>
  </si>
  <si>
    <t>684-3341-18021</t>
  </si>
  <si>
    <t>684-3341-18022</t>
  </si>
  <si>
    <t>684-3341-18023</t>
  </si>
  <si>
    <t>684-3360-18001</t>
  </si>
  <si>
    <t>SC-323</t>
  </si>
  <si>
    <t>Asesoría Plan de Reasenamiento Comunidades Humanas</t>
  </si>
  <si>
    <t>SC</t>
  </si>
  <si>
    <t>Contrato Activo</t>
  </si>
  <si>
    <t>Desarrollo EIA</t>
  </si>
  <si>
    <t>684-3360-18002</t>
  </si>
  <si>
    <t>SC-259</t>
  </si>
  <si>
    <t>Estrategia de Reasentamiento NU.</t>
  </si>
  <si>
    <t>684-3360-18003</t>
  </si>
  <si>
    <t>Estrategia de Reasentamiento NU.-Reembolsables</t>
  </si>
  <si>
    <t>684-3360-18004</t>
  </si>
  <si>
    <t>684-3360-18005</t>
  </si>
  <si>
    <t>684-3342-18001</t>
  </si>
  <si>
    <t>Development</t>
  </si>
  <si>
    <t>SC-328</t>
  </si>
  <si>
    <t>Servicio de Estudio de Estrategia de Desarrollo Capital Humano</t>
  </si>
  <si>
    <t>Relacionamiento Comunitario</t>
  </si>
  <si>
    <t>684-3342-18002</t>
  </si>
  <si>
    <t>Convenio Desarrollo capacidad Educacional</t>
  </si>
  <si>
    <t>CV</t>
  </si>
  <si>
    <t>Convenio</t>
  </si>
  <si>
    <t>684-3342-18003</t>
  </si>
  <si>
    <t>Desarrollo nueva carrera en liceo Freirina</t>
  </si>
  <si>
    <t>684-3342-18004</t>
  </si>
  <si>
    <t>Educación a adultos</t>
  </si>
  <si>
    <t>684-3342-18005</t>
  </si>
  <si>
    <t>Desarrollo de habilidades blandas para Minería</t>
  </si>
  <si>
    <t>684-3342-18006</t>
  </si>
  <si>
    <t>Estudio de la cultura e identidad local</t>
  </si>
  <si>
    <t>684-3342-18007</t>
  </si>
  <si>
    <t>Convenio desarrollo local</t>
  </si>
  <si>
    <t>684-3342-18008</t>
  </si>
  <si>
    <t>Apoyo al emprendimiento local</t>
  </si>
  <si>
    <t>684-3342-18009</t>
  </si>
  <si>
    <t>Servicio de apoyo a desarrollo productivo</t>
  </si>
  <si>
    <t>684-3342-18010</t>
  </si>
  <si>
    <t>Servicio de red local Publica</t>
  </si>
  <si>
    <t>684-3342-18011</t>
  </si>
  <si>
    <t>Prevención de uso de drogas</t>
  </si>
  <si>
    <t>684-3342-18012</t>
  </si>
  <si>
    <t>Convenio paractica deporiva</t>
  </si>
  <si>
    <t>684-3342-18013</t>
  </si>
  <si>
    <t>Servicio de desarrollo promotor de la salud</t>
  </si>
  <si>
    <t>684-3342-18014</t>
  </si>
  <si>
    <t>Fortalecimiento de las organizaciones de la sociedad civil</t>
  </si>
  <si>
    <t>684-3342-18015</t>
  </si>
  <si>
    <t>Convenio desarrollo cultura local</t>
  </si>
  <si>
    <t>684-3342-18016</t>
  </si>
  <si>
    <t>Convenio desarrollo de comida y medicina local</t>
  </si>
  <si>
    <t>684-3342-18017</t>
  </si>
  <si>
    <t>Turismo sustentable</t>
  </si>
  <si>
    <t>684-3342-18018</t>
  </si>
  <si>
    <t>Provincia sustenable</t>
  </si>
  <si>
    <t>684-3343-18001</t>
  </si>
  <si>
    <t>Engagement</t>
  </si>
  <si>
    <t>Contract with senior advisor / Senior advisor for engagement social dialogue and development programs with wide experience on minning and other companies in Chile and outside</t>
  </si>
  <si>
    <t>684-3343-18002</t>
  </si>
  <si>
    <t>684-3343-18003</t>
  </si>
  <si>
    <t>Contract with senior international institution  / Senior advisor that supports during different project stages</t>
  </si>
  <si>
    <t>Internacional</t>
  </si>
  <si>
    <t>684-3343-18004</t>
  </si>
  <si>
    <t>684-3343-18005</t>
  </si>
  <si>
    <t>684-3343-18006</t>
  </si>
  <si>
    <t>684-3343-18007</t>
  </si>
  <si>
    <t>684-3343-18008</t>
  </si>
  <si>
    <t>684-3344-18001</t>
  </si>
  <si>
    <t>SC-235</t>
  </si>
  <si>
    <t>Servicio EIA</t>
  </si>
  <si>
    <t>EIS - Phase II (EIS Preparation) - Servicio EIA Knigth Piesold</t>
  </si>
  <si>
    <t>Estratégico</t>
  </si>
  <si>
    <t>684-3344-18002</t>
  </si>
  <si>
    <t>SC-265</t>
  </si>
  <si>
    <t>Servicio Permisos PAS</t>
  </si>
  <si>
    <t>EIS - Phase II (EIS Preparation) - Servicio Geobiota</t>
  </si>
  <si>
    <t>684-3344-18003</t>
  </si>
  <si>
    <t>Servicio Estudio de Glaciales</t>
  </si>
  <si>
    <t>EIS - Phase II (EIS Preparation) - Servicio Sergio Iriarte Glaciales</t>
  </si>
  <si>
    <t>684-3344-18004</t>
  </si>
  <si>
    <t>684-3344-18005</t>
  </si>
  <si>
    <t>SC-333</t>
  </si>
  <si>
    <t>Servicio Asesoría Independiente para marco del Proceso de Participación Ciudadana</t>
  </si>
  <si>
    <t>EIS - Phase II (Technical  &amp; Legal Support) - Servicio UCN</t>
  </si>
  <si>
    <t>684-3344-18006</t>
  </si>
  <si>
    <t>Servicio Asesoría Independiente para marco del Proceso de Participación Ciudadana-Junta Vigilancia Riod Huasco</t>
  </si>
  <si>
    <t>EIS - Phase II (Technical  &amp; Legal Support) - Asesoría Independiente Junta Vigilancia</t>
  </si>
  <si>
    <t>684-3344-18007</t>
  </si>
  <si>
    <t>Servicio Asesoría Independiente para marco del Proceso de Participación Ciudadana-Huasco Altino</t>
  </si>
  <si>
    <t>EIS - Phase II (Technical  &amp; Legal Support) - Asesoría Independiente Huasco Altino</t>
  </si>
  <si>
    <t>684-3344-18008</t>
  </si>
  <si>
    <t>OS2017-094</t>
  </si>
  <si>
    <t>Contrapartes Técnicas</t>
  </si>
  <si>
    <t>EIS - Phase II (Technical  &amp; Legal Support) - Contrapartes Técnicas</t>
  </si>
  <si>
    <t>684-3344-18009</t>
  </si>
  <si>
    <t>Desarrollo de Permisos EIA-Fase III</t>
  </si>
  <si>
    <t>684-3344-18010</t>
  </si>
  <si>
    <t>Alamcenamiento Material Arqueológico</t>
  </si>
  <si>
    <t>Other Environmental Studies &amp; Activities - Almacenamiento de material Arqueológico</t>
  </si>
  <si>
    <t>684-3344-18011</t>
  </si>
  <si>
    <t>OS2017-044</t>
  </si>
  <si>
    <t>Apoyo Personal para desarrolllo de EIA</t>
  </si>
  <si>
    <t>Other Environmental Studies &amp; Activities - Profesionales Soporte EIA (Alejandro/Elizabeth)</t>
  </si>
  <si>
    <t>Apoyo Personal</t>
  </si>
  <si>
    <t>684-3344-18012</t>
  </si>
  <si>
    <t>684-3344-18013</t>
  </si>
  <si>
    <t>OS2017-082,OS2017-083</t>
  </si>
  <si>
    <t>Apoyo GIS</t>
  </si>
  <si>
    <t>Other Environmental Studies &amp; Activities - Apoyo GIS</t>
  </si>
  <si>
    <t>684-3344-18014</t>
  </si>
  <si>
    <t>Servicio Plan de Correción El Morro</t>
  </si>
  <si>
    <t>Environmental Commitment - Plan corrección de El Morro</t>
  </si>
  <si>
    <t>684-3345-18001</t>
  </si>
  <si>
    <t>SC-326</t>
  </si>
  <si>
    <t>Monitoreo de Agua</t>
  </si>
  <si>
    <t>684-3345-18002</t>
  </si>
  <si>
    <t>SC-314</t>
  </si>
  <si>
    <t>Monitoreo de Aire y Meterología</t>
  </si>
  <si>
    <t>684-3345-18003</t>
  </si>
  <si>
    <t>684-3346-18001</t>
  </si>
  <si>
    <t>Permisos Estratégicos Plan de Cierre</t>
  </si>
  <si>
    <t>Strategic Permits - Plan de Cierre</t>
  </si>
  <si>
    <t>684-3346-18002</t>
  </si>
  <si>
    <t>Permisos Estratégicos Concesiones Maritimas</t>
  </si>
  <si>
    <t>Strategic Permits - Concesiones Maritimas</t>
  </si>
  <si>
    <t>684-3346-18003</t>
  </si>
  <si>
    <t>Permisos Estratégicos Plan Maestro de Permisos</t>
  </si>
  <si>
    <t>Strategic Permits - Plan Maestro de Permisos</t>
  </si>
  <si>
    <t>685-3357-18001</t>
  </si>
  <si>
    <t>En Proceso</t>
  </si>
  <si>
    <t>Ingeniería</t>
  </si>
  <si>
    <t>685-3357-18002</t>
  </si>
  <si>
    <t>685-3357-18003</t>
  </si>
  <si>
    <t>685-3357-18004</t>
  </si>
  <si>
    <t>685-3355-18001</t>
  </si>
  <si>
    <t>685-3355-18002</t>
  </si>
  <si>
    <t>685-3355-18003</t>
  </si>
  <si>
    <t>Sondaje</t>
  </si>
  <si>
    <t>685-3355-18004</t>
  </si>
  <si>
    <t>685-3355-18005</t>
  </si>
  <si>
    <t>685-3355-18006</t>
  </si>
  <si>
    <t>685-3355-18007</t>
  </si>
  <si>
    <t>685-3355-18008</t>
  </si>
  <si>
    <t>685-3355-18009</t>
  </si>
  <si>
    <t>685-3355-18010</t>
  </si>
  <si>
    <t>685-3355-18011</t>
  </si>
  <si>
    <t>685-3356-18001</t>
  </si>
  <si>
    <t>3rd Party RopeCon</t>
  </si>
  <si>
    <t>685-3356-18002</t>
  </si>
  <si>
    <t>3rd Party Concentrate pipeline system</t>
  </si>
  <si>
    <t>685-3356-18003</t>
  </si>
  <si>
    <t>3rd PartyWater pipeline system</t>
  </si>
  <si>
    <t>685-3356-18004</t>
  </si>
  <si>
    <t>3rd Partry Transmission lines</t>
  </si>
  <si>
    <t>685-3356-18005</t>
  </si>
  <si>
    <t>3rd Partry Harmonic Filters Study</t>
  </si>
  <si>
    <t>685-3356-18006</t>
  </si>
  <si>
    <t>3rd Partry Off site roads</t>
  </si>
  <si>
    <t>685-3356-18007</t>
  </si>
  <si>
    <t>3rd Partry TMF Design</t>
  </si>
  <si>
    <t>685-3356-18008</t>
  </si>
  <si>
    <t>3rd Partry Geotechnical support (Corridors)</t>
  </si>
  <si>
    <t>685-3356-18009</t>
  </si>
  <si>
    <t>3rd Party Waste Management design</t>
  </si>
  <si>
    <t>685-3356-18010</t>
  </si>
  <si>
    <t>3rd Party HPGR/HRC Vendor design</t>
  </si>
  <si>
    <t>685-3356-18011</t>
  </si>
  <si>
    <t>3rd Party Conveyor design review</t>
  </si>
  <si>
    <t>685-3358-18001</t>
  </si>
  <si>
    <t>Healt_and_saffety</t>
  </si>
  <si>
    <t>685-3358-18002</t>
  </si>
  <si>
    <t>685-3358-18003</t>
  </si>
  <si>
    <t>685-3358-18004</t>
  </si>
  <si>
    <t>685-3358-18005</t>
  </si>
  <si>
    <t>685-3358-18006</t>
  </si>
  <si>
    <t>685-3358-18007</t>
  </si>
  <si>
    <t>685-3324-18001</t>
  </si>
  <si>
    <t>Laboratorio</t>
  </si>
  <si>
    <t>685-3324-18002</t>
  </si>
  <si>
    <t>685-3324-18003</t>
  </si>
  <si>
    <t>685-3351-18001</t>
  </si>
  <si>
    <t>685-3351-18002</t>
  </si>
  <si>
    <t>685-3351-18003</t>
  </si>
  <si>
    <t>685-3351-18004</t>
  </si>
  <si>
    <t>685-3314-18001</t>
  </si>
  <si>
    <t>Camp Relincho</t>
  </si>
  <si>
    <t>685-3314-18002</t>
  </si>
  <si>
    <t>Generador 24/7 precio incluye mantención</t>
  </si>
  <si>
    <t>685-3314-18003</t>
  </si>
  <si>
    <t>Servicio Campamento</t>
  </si>
  <si>
    <t>685-3314-18004</t>
  </si>
  <si>
    <t>685-3314-18005</t>
  </si>
  <si>
    <t>685-3314-18006</t>
  </si>
  <si>
    <t>685-3314-18007</t>
  </si>
  <si>
    <t>685-3314-18008</t>
  </si>
  <si>
    <t>685-3314-18009</t>
  </si>
  <si>
    <t>685-3314-18010</t>
  </si>
  <si>
    <t>685-3314-18011</t>
  </si>
  <si>
    <t>685-3314-18012</t>
  </si>
  <si>
    <t>685-3314-18013</t>
  </si>
  <si>
    <t>685-3314-18014</t>
  </si>
  <si>
    <t>685-3314-18015</t>
  </si>
  <si>
    <t>685-3314-18016</t>
  </si>
  <si>
    <t>685-3314-18017</t>
  </si>
  <si>
    <t>685-3314-18018</t>
  </si>
  <si>
    <t>685-3314-18019</t>
  </si>
  <si>
    <t>685-3314-18020</t>
  </si>
  <si>
    <t>Una camioneta de servicio en campamento y otra para traslados entre Vallenar Relincho El Pingo y El Morro</t>
  </si>
  <si>
    <t>685-3314-18021</t>
  </si>
  <si>
    <t>685-3314-18022</t>
  </si>
  <si>
    <t>685-3314-18023</t>
  </si>
  <si>
    <t>El servicio incluye personal alimentación generación camioneta petróleo y TV Satelital</t>
  </si>
  <si>
    <t>685-3314-18024</t>
  </si>
  <si>
    <t>685-3314-18025</t>
  </si>
  <si>
    <t>685-3314-18026</t>
  </si>
  <si>
    <t>685-3314-18027</t>
  </si>
  <si>
    <t>685-3314-18028</t>
  </si>
  <si>
    <t>El servicio incluye personal alimentación generación camioneta y TV Satelital</t>
  </si>
  <si>
    <t>685-3314-18029</t>
  </si>
  <si>
    <t>685-3314-18030</t>
  </si>
  <si>
    <t>685-3314-18031</t>
  </si>
  <si>
    <t>685-3314-18032</t>
  </si>
  <si>
    <t>687-3331-18001</t>
  </si>
  <si>
    <t>687-3331-18002</t>
  </si>
  <si>
    <t>687-3331-18003</t>
  </si>
  <si>
    <t>687-3331-18004</t>
  </si>
  <si>
    <t>687-3331-18005</t>
  </si>
  <si>
    <t>687-3331-18006</t>
  </si>
  <si>
    <t>687-3331-18007</t>
  </si>
  <si>
    <t>687-3331-18008</t>
  </si>
  <si>
    <t>687-3331-18009</t>
  </si>
  <si>
    <t>687-3331-18010</t>
  </si>
  <si>
    <t>687-3331-18011</t>
  </si>
  <si>
    <t>687-3331-18012</t>
  </si>
  <si>
    <t>687-3331-18013</t>
  </si>
  <si>
    <t>687-3331-18014</t>
  </si>
  <si>
    <t>687-3331-18015</t>
  </si>
  <si>
    <t>687-3331-18016</t>
  </si>
  <si>
    <t>687-3331-18017</t>
  </si>
  <si>
    <t xml:space="preserve">Simulación de Operación Voladura y Transporte y Otras simulaciones de Planificación </t>
  </si>
  <si>
    <t>Nuevo Item Budget</t>
  </si>
  <si>
    <t>687-3331-18018</t>
  </si>
  <si>
    <t>687-3331-18019</t>
  </si>
  <si>
    <t>687-3052-18001</t>
  </si>
  <si>
    <t>687-3052-18002</t>
  </si>
  <si>
    <t>687-3052-18003</t>
  </si>
  <si>
    <t>687-3052-18004</t>
  </si>
  <si>
    <t>687-3052-18005</t>
  </si>
  <si>
    <t>687-3052-18006</t>
  </si>
  <si>
    <t>687-3052-18007</t>
  </si>
  <si>
    <t>687-3052-18008</t>
  </si>
  <si>
    <t>687-3052-18009</t>
  </si>
  <si>
    <t>687-3052-18010</t>
  </si>
  <si>
    <t>687-3052-18011</t>
  </si>
  <si>
    <t>687-3052-18012</t>
  </si>
  <si>
    <t>687-3052-18013</t>
  </si>
  <si>
    <t>687-3052-18014</t>
  </si>
  <si>
    <t>687-3052-18015</t>
  </si>
  <si>
    <t>687-3052-18016</t>
  </si>
  <si>
    <t>687-3052-18017</t>
  </si>
  <si>
    <t>687-3052-18018</t>
  </si>
  <si>
    <t>687-3052-18019</t>
  </si>
  <si>
    <t>687-3052-18020</t>
  </si>
  <si>
    <t>687-3052-18021</t>
  </si>
  <si>
    <t>687-3052-18022</t>
  </si>
  <si>
    <t>687-3052-18023</t>
  </si>
  <si>
    <t>687-3052-18024</t>
  </si>
  <si>
    <t>687-3052-18025</t>
  </si>
  <si>
    <t>687-3052-18026</t>
  </si>
  <si>
    <t>687-3052-18027</t>
  </si>
  <si>
    <t>687-3052-18028</t>
  </si>
  <si>
    <t>687-3052-18029</t>
  </si>
  <si>
    <t>687-3052-18030</t>
  </si>
  <si>
    <t>687-3052-18031</t>
  </si>
  <si>
    <t>687-3052-18032</t>
  </si>
  <si>
    <t>CoreScan  Geology Staff &amp; Helper (4 people 5 months)</t>
  </si>
  <si>
    <t>687-3052-18033</t>
  </si>
  <si>
    <t>Nulo</t>
  </si>
  <si>
    <t>ALS labwork helpers for sampling and dispatch</t>
  </si>
  <si>
    <t>Sondaje en Relincho</t>
  </si>
  <si>
    <t>687-3052-18034</t>
  </si>
  <si>
    <t>687-3052-18035</t>
  </si>
  <si>
    <t>687-3052-18036</t>
  </si>
  <si>
    <t>687-3052-18037</t>
  </si>
  <si>
    <t>687-3052-18038</t>
  </si>
  <si>
    <t>687-3052-18039</t>
  </si>
  <si>
    <t>Drilling La Fortuna Deep, Drilling (RE: $300@m, LAF: $320@m)</t>
  </si>
  <si>
    <t>687-3052-18040</t>
  </si>
  <si>
    <t>Drilling Relincho, Drilling (RE: $300@m, LAF: $320@m)</t>
  </si>
  <si>
    <t>687-3052-18041</t>
  </si>
  <si>
    <t>687-3052-18042</t>
  </si>
  <si>
    <t>687-3052-18043</t>
  </si>
  <si>
    <t>Simple Gyroscope (10800 USD per month incl. 2000m)</t>
  </si>
  <si>
    <t>687-3052-18044</t>
  </si>
  <si>
    <t>687-3052-18045</t>
  </si>
  <si>
    <t>687-3052-18046</t>
  </si>
  <si>
    <t>687-3052-18047</t>
  </si>
  <si>
    <t>Gyroscope incl. ATV/OTV (36700 USD per month incl 2700m Gyroscopio 1250m ATV/OTV)</t>
  </si>
  <si>
    <t>687-3052-18048</t>
  </si>
  <si>
    <t>Drill Control and Core Processing 12275m 8 holes 20 USD por meter (+30%)</t>
  </si>
  <si>
    <t>687-3052-18049</t>
  </si>
  <si>
    <t>687-3052-18050</t>
  </si>
  <si>
    <t>SC-318</t>
  </si>
  <si>
    <t>687-3052-18051</t>
  </si>
  <si>
    <t>Drill Support Staff (6-month campaign assumed incl. OOB) (6-month campaign assumed incl. OOB)</t>
  </si>
  <si>
    <t>Drill Support Staff (6-month campaign assumed incl. OOB)(6-month campaign assumed incl. OOB)</t>
  </si>
  <si>
    <t>687-3052-18052</t>
  </si>
  <si>
    <t>687-3052-18053</t>
  </si>
  <si>
    <t>687-3052-18054</t>
  </si>
  <si>
    <t>687-3052-18055</t>
  </si>
  <si>
    <t>687-3052-18056</t>
  </si>
  <si>
    <t>687-3052-18057</t>
  </si>
  <si>
    <t>687-3052-18058</t>
  </si>
  <si>
    <t>687-3052-18059</t>
  </si>
  <si>
    <t>687-3052-18060</t>
  </si>
  <si>
    <t>687-3052-18061</t>
  </si>
  <si>
    <t>687-3052-18062</t>
  </si>
  <si>
    <t>687-3052-18063</t>
  </si>
  <si>
    <t>687-3052-18064</t>
  </si>
  <si>
    <t>687-3052-18065</t>
  </si>
  <si>
    <t>Relincho (costs per month 2 rigs and crew - all in)</t>
  </si>
  <si>
    <t>687-3052-18066</t>
  </si>
  <si>
    <t>La Fortuna (cost per months 3 rigs and crew - all in)</t>
  </si>
  <si>
    <t>687-3052-18067</t>
  </si>
  <si>
    <t>687-3052-18068</t>
  </si>
  <si>
    <t>687-3052-18069</t>
  </si>
  <si>
    <t>687-3052-18070</t>
  </si>
  <si>
    <t>687-3052-18071</t>
  </si>
  <si>
    <t>687-3052-18072</t>
  </si>
  <si>
    <t>687-3052-18073</t>
  </si>
  <si>
    <t>687-3052-18074</t>
  </si>
  <si>
    <t>687-3052-18075</t>
  </si>
  <si>
    <t>687-3363-18001</t>
  </si>
  <si>
    <t>SC-282</t>
  </si>
  <si>
    <t>Complete current contract for Piteau - Scope includes open pit and waste dumps and water management. Actual proposal and contract for 2017 delayed until 2018</t>
  </si>
  <si>
    <t>687-3363-18002</t>
  </si>
  <si>
    <t>Drilling 2018 open pit to fill in data gaps and respond to the GRP comments. Assume 4200 m - or 6 holes at 700 m each.  Drilling to start in July.  One drill rig working at 30 m / day = 140 day.  Use current drill rates. $300/m (CHECK)</t>
  </si>
  <si>
    <t>687-3363-18003</t>
  </si>
  <si>
    <t xml:space="preserve">Consulting services for Geotechnical Evaluation and hydrogeology - Looking to optimize the design of the oepn pit and steepen up pit walls. Consulting services to optimize the geotechnical design for the open pit.  Will supervise the drilling and then work to update the geotechnical model.  Will extend into 2019. Drill supervision begins in </t>
  </si>
  <si>
    <t>687-3363-18004</t>
  </si>
  <si>
    <t>687-3363-18005</t>
  </si>
  <si>
    <t>687-3363-18006</t>
  </si>
  <si>
    <t>687-3363-18007</t>
  </si>
  <si>
    <t>Continuation of existing four contracts for Geotechnical Review Panel members (GRP) Based on Actual proposal and Existing Contracts</t>
  </si>
  <si>
    <t>687-3363-18008</t>
  </si>
  <si>
    <t>SC-313,SC-311,SC-338</t>
  </si>
  <si>
    <t>687-3363-18009</t>
  </si>
  <si>
    <t>687-3363-18010</t>
  </si>
  <si>
    <t>687-3363-18011</t>
  </si>
  <si>
    <t>687-3363-18012</t>
  </si>
  <si>
    <t>687-3363-18013</t>
  </si>
  <si>
    <t>687-3363-18014</t>
  </si>
  <si>
    <t>688-3352-18001</t>
  </si>
  <si>
    <t>General_Management</t>
  </si>
  <si>
    <t>688-3353-18001</t>
  </si>
  <si>
    <t>Service Management</t>
  </si>
  <si>
    <t>Contract</t>
  </si>
  <si>
    <t>688-3353-18002</t>
  </si>
  <si>
    <t>688-3353-18003</t>
  </si>
  <si>
    <t>688-3353-18004</t>
  </si>
  <si>
    <t>688-3353-18005</t>
  </si>
  <si>
    <t>Creación de Portal de Proveedores que permita realizar procesos en línea Gestión de Aprobación de Estados de Pago Procesos de cotización y licitación.</t>
  </si>
  <si>
    <t>688-3353-18006</t>
  </si>
  <si>
    <t>Creación de Reportabilidad en línea sobre estatus de Contratos y medición de desempeños ( Power BI)</t>
  </si>
  <si>
    <t>688-3353-18007</t>
  </si>
  <si>
    <t>688-3353-18008</t>
  </si>
  <si>
    <t>SGS Chile</t>
  </si>
  <si>
    <t>Cesmec</t>
  </si>
  <si>
    <t>Knigth Piesold</t>
  </si>
  <si>
    <t>Geobiota</t>
  </si>
  <si>
    <t xml:space="preserve">Son los más adecuados en el proyecto existe una continuidad y conocen las areas a impactar en el proyecto. </t>
  </si>
  <si>
    <t>Sectores de compensación</t>
  </si>
  <si>
    <t>Sergio Iriarte</t>
  </si>
  <si>
    <t>Dic-17</t>
  </si>
  <si>
    <t>M otra empresa.edio amabiente e ingeniería,</t>
  </si>
  <si>
    <t>EIS - Phase II (EIS Preparation) - Servicio Apoyo Campamento</t>
  </si>
  <si>
    <t>Universidad Catolica del Norte</t>
  </si>
  <si>
    <t>proceso  con  junata de vigilancia</t>
  </si>
  <si>
    <t>no quieren hablar</t>
  </si>
  <si>
    <t>BS Consultores/SIGA/MEC/CEDREM/Sergio Días/Geobiota</t>
  </si>
  <si>
    <t>Knight Piesold</t>
  </si>
  <si>
    <t>Knight Piesold, paca fromal,  con especialistasd</t>
  </si>
  <si>
    <t>Alejandro M/Elizabeth F</t>
  </si>
  <si>
    <t>Other Environmental Studies &amp; Activities - Sistema Gestion Ambiental</t>
  </si>
  <si>
    <t>Miguel Sasmay/Diana Lecaros</t>
  </si>
  <si>
    <t>Mayco Consulores</t>
  </si>
  <si>
    <t>685 / 51-11-3346</t>
  </si>
  <si>
    <t>Otras Actividades Servicios</t>
  </si>
  <si>
    <t>683-3339-18056</t>
  </si>
  <si>
    <t>Details / References</t>
  </si>
  <si>
    <t>La Fortuna Drilling Campaign / Current contracts</t>
  </si>
  <si>
    <t>Improve some infrastructure equipment + technical support for security + backup equipments / Quotations</t>
  </si>
  <si>
    <t>general services and maintenance / Current contracts</t>
  </si>
  <si>
    <t>Monthly costs of usage of phones-cell phones- links / Current contracts</t>
  </si>
  <si>
    <t>Laptops, phones, cellphones, devices, software &amp; applications / current contracts &amp; costs</t>
  </si>
  <si>
    <t>GoldCorp&amp; Teck services + Local and international trips from IS employees and contractors / current contracts &amp; costs + parents companies quotations</t>
  </si>
  <si>
    <t>Details / Quantities &amp; Rates References</t>
  </si>
  <si>
    <t xml:space="preserve">Mantención y costo mensual para la campaña de sondaje y mantener el servicio el resto del año / </t>
  </si>
  <si>
    <t xml:space="preserve">Costo mensual 2 enlaces (2 megasc/u) y 4 líneas telefónicas. Al cerrar la campaña de sondaje se mantendrá la mitad del servicio por un año : 1 antena - 2 líneas. / </t>
  </si>
  <si>
    <t xml:space="preserve">HEAD END ANALOGO 48  CANALES PARA 60 PUNTOS, a 12 meses inciando en Oct 2017 / </t>
  </si>
  <si>
    <t>Details / Rates References</t>
  </si>
  <si>
    <t>Mejorar red inalámbrica de Alto del Carmen / quotation</t>
  </si>
  <si>
    <t>10 discos PC, migrar a imagen NU: 10 discos  / quotation</t>
  </si>
  <si>
    <t>15  Sensores de retroseso - dash cam+ instalación / quotation</t>
  </si>
  <si>
    <t>Equipos back up de comunicaciones: 2 switsh y 1 router / quotation</t>
  </si>
  <si>
    <t xml:space="preserve">Quotation APC 
Considera comprar # 3 UPS para recambio de 2 de Stgo, 1 Vallenar y 1Alto del carmen, usando una de las 2 que hay hoy de resguardo. / </t>
  </si>
  <si>
    <t>Adapt the connections, wifi, etc for new or additional desktops at Apoquindo's or Vallenar's offices . This considers one small changes to current office of apoquindo and another small change to the Vallenar office, this does not include new offices or big changes to the current ones) / Apoquindo's office remodel 2017</t>
  </si>
  <si>
    <t>Mantención y reparación 9 impresoras en Stgo, Vallenar, La Fortuna,  Relincho, Alto del Carmen / proposal 2018- Ricoh- Servicios -Carlos Alfredo Lagos- SERVICIOS TECNOLOGICOS SPA</t>
  </si>
  <si>
    <t>tonels, cartuchos tintas, repuestos, etc / proposal 2018: reponer toner 4  stgo printers c/3 meses y las 5 restantes c/4meses</t>
  </si>
  <si>
    <t>tonels, cartuchos tintas, repuestos, etc, 2 reposiciones al año / proposal 2017: reponer cartuchos 5 printers c/6 meses</t>
  </si>
  <si>
    <t>5 standard Pro monthly $14,99 + 5 room connector monthly US$ 49+ audio conferencing US$ 200 / current contract</t>
  </si>
  <si>
    <t>2 planes Nexus con 7 decodificadores C/U / current contract</t>
  </si>
  <si>
    <t xml:space="preserve">(esto lo paga adm Vallenar…debe  ser de IS? ) / </t>
  </si>
  <si>
    <t>Entel PCS contract (Teck) for 120 cell phones cl$ 20000 + SMS others CL$ 5000+5 roaming mes 50 MB CL$ 80.000 - min ilimitados + 3 g+ roaming + g ilimitados gtes / current contract Entel PCS</t>
  </si>
  <si>
    <t>Contrato Teléfonica (El Morro) / current contract  Telefónica</t>
  </si>
  <si>
    <t>Contrato Claro ( El Morro) / current contract Claro</t>
  </si>
  <si>
    <t>Contrato Claro Vsat (El Morro) / current contract Claro</t>
  </si>
  <si>
    <t>14  permanent phones - Contrato IRIDIUM / current contract Iridium</t>
  </si>
  <si>
    <t>1 Enlace Internet - Tradicional 1024-512 - 24 meses + 2 líneas telefónicas y router mickotik Wifi / current contract Axexat</t>
  </si>
  <si>
    <t>costo mensual / current contract Entel</t>
  </si>
  <si>
    <t xml:space="preserve">  1% del total facturado a Teck Chile, facturado directamente a NU / current contract Entel</t>
  </si>
  <si>
    <t>Cobro por % de uso de sala de servidores y comunicaciones CDLV / current contract Entel</t>
  </si>
  <si>
    <t>Apoquindo BW 100/30 Mbps;  Vallenar BW 10/2 Mbps ; Enlace E1 a costo cero, se cobra tráfico mensual / current contract Claro</t>
  </si>
  <si>
    <t>Internet domestica para geologos en IMG- contrato 12 meses / current contract Empresas Vallenar y CIA</t>
  </si>
  <si>
    <t xml:space="preserve">Arriendo a subtel - Tesorería general de la republica de espectro radial (radio frecuencia) / </t>
  </si>
  <si>
    <t>Equipments for new employees, special services. Assumption:
1.Managers: notebooks Ultrabook: Executive Ultrabook LAT7370 CL$1402017
2. Engineers &amp; geologist:  notebooks Workstation: Extreme Ultrabook Precission 5520 CL$ 1686689
3. Administratives :  standard notebook : Standard wFull KBLAT 5580: CL$1104412
Dell Docking station-WD 15 130 W  CL$ 136993
Monitors Standard 23" P2317H CL$ 106929 -  CL$ 140000
Dell Professional Back Pack 15.6 CL$ 27743
KM714 Wireless keyboard and mouse combo $42813
CISCO CP-7942 TELÉFONO IP: US$ 455.71
 / Dell quotation</t>
  </si>
  <si>
    <t xml:space="preserve"> # 10 Administratives :  standard notebook : Standard wFull KBLAT 5580: CL$1104412
#  10 Monitors Standard 23" P2317H CL$ 106929 -  CL$ 140000
# 15 Mouse+keyboard CL$ 40000
# 5 Dell Docking station-USB 3.0, US  CL$ 82536 / Dell quotation</t>
  </si>
  <si>
    <t xml:space="preserve">wires, headphones, chains, etc / </t>
  </si>
  <si>
    <t>Cell phones for new employees + replacement old equipments: iPhone 6 32gb  CL$ 130.993
All New managers, engineers and half of the administratives + 20 equipment replacements (the replacement equipements cost more then the new ones CL$ 500.000) /  Current contract Entel PCS</t>
  </si>
  <si>
    <t>7 smartnet para los WS-C3560V + switch y router repuesto / Qoutation from 2017 -AlbaNetwork</t>
  </si>
  <si>
    <t>- MS Visio Pro # 5 US$ 600
-MS Project Office 365 # 5 US$ 789
- Adobe Acrobat #  9  US$ 739 
-Think cell   # 5  US$ 1200
- MS Access # 3 US$110
- Autocad # 2 U$ 1500 (estimación)
 (this does not includes the applications provided by Teck or GoldCorp) / Actual costs 2017: Adobe, MS, others</t>
  </si>
  <si>
    <t>1.- Azure: US$ 15000
2.- ESRI: US$ 18000
3.- PRISM: US$ 25000
4. acQuire + Citrix licences: 2230
5. ArGIS: 5000 (TBC)
6.- Fire Eye Helix  US$ 93000 (cybersecurity) / quotation 2017</t>
  </si>
  <si>
    <t xml:space="preserve">It is considered to extend Teck maintenance costs to NU to have lower prices and same service level / </t>
  </si>
  <si>
    <t>Arriendo sitio antena enlace microondas - Relincho / Current contract</t>
  </si>
  <si>
    <t>Cierre perimetral sitio Los Morteros, de antena de comunicación radial actualmente desprotegida / ZetaEco</t>
  </si>
  <si>
    <t>Travel to Vallenar and sites: Contractors +employees:
1. Printer maintenance: C/2 meses: tickets CL$ 400000+ taxi CL$ 200000+ Hotel 400000: CL$ 1500000 *6
2. Service desk Vallenar 1 vez por mes : 12* taxi CL$ 200000+ Hotel 400000: CL$ 1000000*12
3. Equipo Stgo + contractors: 6* CL$ 1500000
 / current costs</t>
  </si>
  <si>
    <t>Travel to Canada IS employees: ERP - Coordinate- Agree IS services- New technology research- other companies remote center controls visits, etc / quotation</t>
  </si>
  <si>
    <t>GC Chargeback to NU: licenses, support, cyber security, infrastructure / Service agreement letter</t>
  </si>
  <si>
    <t>Teck Chargeback to NU: licenses, support, cyber security, infrastructure:
Licences: MS, Fire Eye Helix 
Service desk Canada + other IS Laobour costs
International Link GC-NU + Teck NU / services quotation</t>
  </si>
  <si>
    <t>Teck Chargeback to NU: support, cyber security, infrastructure:
Service desk Chile + Insfrastructure support Is Manager
 / services quotation</t>
  </si>
  <si>
    <t>Several items as detailed below / Operate though existing contracts</t>
  </si>
  <si>
    <t>Pick up rental and fuel supply / Operate though existing contracts</t>
  </si>
  <si>
    <t>Several office activities and special celebratios / Operate though existing contracts and specific purchase orders</t>
  </si>
  <si>
    <t>Several expenses related to office operations / Operate though refund of expenses</t>
  </si>
  <si>
    <t>Consider offices rent and guesthouses in Vallenar / Vallenar and Alto del Carmen office rent. 3 guesthouse rental on Tuna 300 street</t>
  </si>
  <si>
    <t>Electric power supply, water, alarms / Electric supply, water, alarms on different locations</t>
  </si>
  <si>
    <t>Services for Vallenar guesthouses  / Existing contract with Zeta eco and Movistar providers</t>
  </si>
  <si>
    <t>Several office products and consupmtion materials / Open purchase orders with local supermarket and office material provider</t>
  </si>
  <si>
    <t>Services for Vallenar and Alto del Carmen offices, and 3 guesthouses  / Current contract with Sodexo should be bid</t>
  </si>
  <si>
    <t>Offices and guesthouses / Existing contract with Trully Nollen</t>
  </si>
  <si>
    <t>Lipigas provider / Requested when is needed</t>
  </si>
  <si>
    <t>Plumbing and electric repair services / Requested when is needed</t>
  </si>
  <si>
    <t>Grass cuting / Requested when is needed</t>
  </si>
  <si>
    <t>Near to Vallenar office / On process contract</t>
  </si>
  <si>
    <t>Used for Vallenar office employees / Open purchase order with local office material provider</t>
  </si>
  <si>
    <t>Used for land working / Existing West contract</t>
  </si>
  <si>
    <t>Pick up truck input / Existing Copec contract</t>
  </si>
  <si>
    <t>Several office activities / Special purchase order with local hotel or restaurant</t>
  </si>
  <si>
    <t>Several office activities / Opened purchase order with local hotel or restaurant</t>
  </si>
  <si>
    <t>Refund each two weeks / Paid directly and refund request</t>
  </si>
  <si>
    <t>Montly payment for Huasco River Irrigation organization / Paid monthly</t>
  </si>
  <si>
    <t>Services for Vallenar guesthouses  / Current contact with Zeta eco and Movistar providers</t>
  </si>
  <si>
    <t>SC-368</t>
  </si>
  <si>
    <t>PROGRAM DE PRUEBAS PLATA PILOTO Y TEST DE DUREZA PARA MUESTRAS RELINCHO</t>
  </si>
  <si>
    <t>NO</t>
  </si>
  <si>
    <t>PDN Modificacion plazo y monto para La Fortuna</t>
  </si>
  <si>
    <t>SC-369</t>
  </si>
  <si>
    <t>PROGRAMA DE PRUEBAS PLANTA PILOTO HRTCM Y TEST DE DUREZA PARA MUESTRAS RELINCHO</t>
  </si>
  <si>
    <t>SC-xxx</t>
  </si>
  <si>
    <t>TEST PROGRAM (OPTION 2) en Thyssenkrupp (Alemania) para Relincho</t>
  </si>
  <si>
    <t>TEST PROGRAM (OPTION 2) en Thyssenkrupp (Alemania) para La Fortuna</t>
  </si>
  <si>
    <t>685-3324-18001_001</t>
  </si>
  <si>
    <t>685-3324-18001_002</t>
  </si>
  <si>
    <t>685-3324-18001_003</t>
  </si>
  <si>
    <t>685-3324-18001_004</t>
  </si>
  <si>
    <t>685-3324-18001_005</t>
  </si>
  <si>
    <t>685-3324-18001_006</t>
  </si>
  <si>
    <t>SC-346</t>
  </si>
  <si>
    <t>PRUEBAS METALURGICAS PROGRAMA 2017-2018 (Laboratorio en Santiago)</t>
  </si>
  <si>
    <t>SI</t>
  </si>
  <si>
    <t>PRUEBAS METALURGICAS PROGRAMA 2017-2018 (New Scope Workshop Vancouver Dic17)</t>
  </si>
  <si>
    <t>SC-371</t>
  </si>
  <si>
    <t>PRUEBAS METALURGICAS PROGRAMA 2017-2018 (Laboratorio en Canadá)</t>
  </si>
  <si>
    <t>SC-370</t>
  </si>
  <si>
    <t>PROGRAMA DE PRUEBAS  FLOTACIÓN SFR PARA NUEVAUNIÓN</t>
  </si>
  <si>
    <t>Apoyo en Movimiento de muestras y Traslado en camión a Santiago</t>
  </si>
  <si>
    <t>Gastos Claudia en ALS Kamloops (Supervisión programa Testwork)</t>
  </si>
  <si>
    <t>CoreScan - Apoyo</t>
  </si>
  <si>
    <t>Estudiante en práctica (movilizacion + alimentación 2 meses)</t>
  </si>
  <si>
    <t>Apoyo personal IMG en Vallenar para preparacion de Muestras La Fortuna</t>
  </si>
  <si>
    <t>OS2017-042</t>
  </si>
  <si>
    <t>Promet101: Metallurgical Testwork</t>
  </si>
  <si>
    <t>TBC</t>
  </si>
  <si>
    <t>685-3324-18002_001</t>
  </si>
  <si>
    <t>685-3324-18002_002</t>
  </si>
  <si>
    <t>685-3324-18002_003</t>
  </si>
  <si>
    <t>685-3324-18002_004</t>
  </si>
  <si>
    <t>685-3324-18002_005</t>
  </si>
  <si>
    <t>685-3324-18002_006</t>
  </si>
  <si>
    <t>685-3324-18003_001</t>
  </si>
  <si>
    <t>685-3324-18003_002</t>
  </si>
  <si>
    <t>685-3324-18003_003</t>
  </si>
  <si>
    <t>Definir</t>
  </si>
  <si>
    <t>Concesiones y Servidumbres Electricas otros Sectores y posteriores Etapas</t>
  </si>
  <si>
    <t>Concesiones y Servidumbres Electricas Sector  Relincho - Fortuna Etapa 1</t>
  </si>
  <si>
    <t>Tractebel</t>
  </si>
  <si>
    <t>683-3339-18003_001</t>
  </si>
  <si>
    <t>683-3339-18003_002</t>
  </si>
  <si>
    <t>683-3339-18003_003</t>
  </si>
  <si>
    <t>685-3324-18002_007</t>
  </si>
  <si>
    <t>685-3324-18002_008</t>
  </si>
  <si>
    <t>OS2017-095/OS2017-102</t>
  </si>
  <si>
    <t>SC-303-ODC 02</t>
  </si>
  <si>
    <t>684-3345-18001_001</t>
  </si>
  <si>
    <t>684-3345-18001_002</t>
  </si>
  <si>
    <t>Hidromas</t>
  </si>
  <si>
    <t>684-3344-18001_001</t>
  </si>
  <si>
    <t>684-3344-18001_002</t>
  </si>
  <si>
    <t>Amawta</t>
  </si>
  <si>
    <t>684-3344-18008_001</t>
  </si>
  <si>
    <t>BS Consultores</t>
  </si>
  <si>
    <t>684-3344-18008_002</t>
  </si>
  <si>
    <t>SIGA</t>
  </si>
  <si>
    <t>684-3344-18008_003</t>
  </si>
  <si>
    <t>MEC</t>
  </si>
  <si>
    <t>684-3344-18008_004</t>
  </si>
  <si>
    <t>CEDREM</t>
  </si>
  <si>
    <t>684-3344-18008_005</t>
  </si>
  <si>
    <t>684-3344-18008_006</t>
  </si>
  <si>
    <t>684-3344-18008_007</t>
  </si>
  <si>
    <t>Humberto Diaz</t>
  </si>
  <si>
    <t>684-3344-18008_008</t>
  </si>
  <si>
    <t>Javiera Luco</t>
  </si>
  <si>
    <t>684-3344-18008_009</t>
  </si>
  <si>
    <t>VGC (CTTO AS Legal)</t>
  </si>
  <si>
    <t>Details/References</t>
  </si>
  <si>
    <t>Contract with senior advisor/Senior advisor for engagement, social dialogue and development programs with wide experience on minning and other companies in Chile and outside</t>
  </si>
  <si>
    <t>Contract with senior international institution /Senior advisor that supports during different project stages</t>
  </si>
  <si>
    <t>Market price for the animal affected/Item related to direct payment to affected animal owners in case of possible damage of NuevaUnión employees or contractors</t>
  </si>
  <si>
    <t>Market price paid for repairs/Item related to direct payment to affected infrastructure in case of possible damage of NuevaUnión employees or contractors</t>
  </si>
  <si>
    <t>Special contractors for each work defined/Item related to contractors payment improve infrastructure coditions to avoid risk situations</t>
  </si>
  <si>
    <t>Room rental, catering and other services/Payment to catering, room and other services providers to have different meetings with indigenous community members as a part of engagement work</t>
  </si>
  <si>
    <t>Room rental, catering and other services/Payment to catering, room and other services providers to have different meetings with other community members as a part of engagement work</t>
  </si>
  <si>
    <t>Human Rights, dialogue, engagement and social agreements/Operate through opened service contracts</t>
  </si>
  <si>
    <t>Payments for possible afectation con goats, dogs and others close to locations/Operate through direct payment to affected people</t>
  </si>
  <si>
    <t>General activities with communities/Operate through purchase orders and expense refund</t>
  </si>
  <si>
    <t>Contract with senior advisor/Contract with senior advisor/Senior advisor for engagement, social dialogue and development programs with wide experience on minning and other companies in Chile and outside</t>
  </si>
  <si>
    <t>Contract with senior international institution /Contract with senior international institution /Senior advisor that supports during different project stages</t>
  </si>
  <si>
    <t>Market price for the animal affected/Estimated monthly payment</t>
  </si>
  <si>
    <t>Market price paid for repairs/Estimated monthly payment</t>
  </si>
  <si>
    <t>Special contractors for each work defined/Estimated monthly payment</t>
  </si>
  <si>
    <t>Room rental, catering and other services/Market price for existing services</t>
  </si>
  <si>
    <t>Javier Miranda (TECK)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</si>
</sst>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_(* #,##0.00_);_(* \(#,##0.00\);_(* &quot;-&quot;??_);_(@_)"/>
    <numFmt numFmtId="165" formatCode="_-* #,##0.00\ _€_-;\-* #,##0.00\ _€_-;_-* &quot;-&quot;??\ _€_-;_-@_-"/>
    <numFmt numFmtId="166" formatCode="mmm"/>
    <numFmt numFmtId="167" formatCode="_-* #,##0\ _€_-;\-* #,##0\ _€_-;_-* &quot;-&quot;??\ _€_-;_-@_-"/>
    <numFmt numFmtId="168" formatCode="_(* #,##0_);_(* \(#,##0\);_(* &quot;-&quot;??_);_(@_)"/>
    <numFmt numFmtId="169" formatCode="0.00000"/>
    <numFmt numFmtId="170" formatCode="_-* #,##0_-;\-* #,##0_-;_-* &quot;-&quot;??_-;_-@_-"/>
    <numFmt numFmtId="171" formatCode="_-* #,##0.0_-;\-* #,##0.0_-;_-* &quot;-&quot;??_-;_-@_-"/>
    <numFmt numFmtId="172" formatCode="_ * #,##0_ ;_ * \-#,##0_ ;_ * &quot;-&quot;??_ ;_ @_ "/>
    <numFmt numFmtId="173" formatCode="0.000"/>
    <numFmt numFmtId="174" formatCode="_ * #,##0.0_ ;_ * \-#,##0.0_ ;_ * &quot;-&quot;_ ;_ @_ "/>
    <numFmt numFmtId="175" formatCode="#,##0_ ;\-#,##0\ "/>
  </numFmts>
  <fonts count="89" x14ac:knownFonts="1">
    <font>
      <sz val="11"/>
      <color theme="1"/>
      <name val="Calibri"/>
      <family val="2"/>
      <scheme val="minor"/>
    </font>
    <font>
      <sz val="11"/>
      <color theme="1"/>
      <name val="Arial"/>
      <family val="2"/>
    </font>
    <font>
      <sz val="14"/>
      <color theme="1"/>
      <name val="Arial"/>
      <family val="2"/>
    </font>
    <font>
      <sz val="11"/>
      <color theme="1"/>
      <name val="Calibri"/>
      <family val="2"/>
      <scheme val="minor"/>
    </font>
    <font>
      <b/>
      <sz val="11"/>
      <color theme="1"/>
      <name val="Calibri"/>
      <family val="2"/>
      <scheme val="minor"/>
    </font>
    <font>
      <sz val="10"/>
      <name val="Arial"/>
      <family val="2"/>
    </font>
    <font>
      <sz val="10"/>
      <name val="Tahoma"/>
      <family val="2"/>
    </font>
    <font>
      <b/>
      <sz val="10"/>
      <name val="Tahoma"/>
      <family val="2"/>
    </font>
    <font>
      <b/>
      <sz val="14"/>
      <color theme="4" tint="-0.499984740745262"/>
      <name val="Tahoma"/>
      <family val="2"/>
    </font>
    <font>
      <b/>
      <sz val="11"/>
      <color theme="1"/>
      <name val="Arial"/>
      <family val="2"/>
    </font>
    <font>
      <sz val="18"/>
      <color theme="1"/>
      <name val="Arial"/>
      <family val="2"/>
    </font>
    <font>
      <b/>
      <sz val="18"/>
      <color theme="1"/>
      <name val="Arial"/>
      <family val="2"/>
    </font>
    <font>
      <b/>
      <sz val="18"/>
      <color theme="0"/>
      <name val="Arial"/>
      <family val="2"/>
    </font>
    <font>
      <b/>
      <sz val="14"/>
      <color theme="0"/>
      <name val="Arial"/>
      <family val="2"/>
    </font>
    <font>
      <b/>
      <sz val="11"/>
      <color theme="0"/>
      <name val="Arial"/>
      <family val="2"/>
    </font>
    <font>
      <b/>
      <sz val="10"/>
      <name val="Arial"/>
      <family val="2"/>
    </font>
    <font>
      <b/>
      <sz val="16"/>
      <color theme="1"/>
      <name val="Arial"/>
      <family val="2"/>
    </font>
    <font>
      <sz val="16"/>
      <color theme="1"/>
      <name val="Arial"/>
      <family val="2"/>
    </font>
    <font>
      <b/>
      <sz val="10"/>
      <color theme="1"/>
      <name val="Arial"/>
      <family val="2"/>
    </font>
    <font>
      <b/>
      <sz val="14"/>
      <color rgb="FFFF0000"/>
      <name val="Calibri"/>
      <family val="2"/>
      <scheme val="minor"/>
    </font>
    <font>
      <b/>
      <sz val="12"/>
      <color theme="1"/>
      <name val="Calibri"/>
      <family val="2"/>
      <scheme val="minor"/>
    </font>
    <font>
      <b/>
      <sz val="12"/>
      <name val="Calibri"/>
      <family val="2"/>
      <scheme val="minor"/>
    </font>
    <font>
      <b/>
      <sz val="14"/>
      <name val="Tahoma"/>
      <family val="2"/>
    </font>
    <font>
      <sz val="14"/>
      <name val="Tahoma"/>
      <family val="2"/>
    </font>
    <font>
      <b/>
      <sz val="12"/>
      <color theme="1"/>
      <name val="Arial"/>
      <family val="2"/>
    </font>
    <font>
      <sz val="12"/>
      <color theme="1"/>
      <name val="Arial"/>
      <family val="2"/>
    </font>
    <font>
      <b/>
      <sz val="12"/>
      <name val="Arial"/>
      <family val="2"/>
    </font>
    <font>
      <b/>
      <sz val="20"/>
      <color theme="1"/>
      <name val="Arial"/>
      <family val="2"/>
    </font>
    <font>
      <b/>
      <sz val="14"/>
      <color theme="1"/>
      <name val="Arial"/>
      <family val="2"/>
    </font>
    <font>
      <b/>
      <sz val="14"/>
      <color theme="8"/>
      <name val="Arial"/>
      <family val="2"/>
    </font>
    <font>
      <sz val="8"/>
      <color theme="1"/>
      <name val="Arial"/>
      <family val="2"/>
    </font>
    <font>
      <sz val="12"/>
      <color theme="1"/>
      <name val="Calibri"/>
      <family val="2"/>
      <scheme val="minor"/>
    </font>
    <font>
      <sz val="9"/>
      <color theme="1"/>
      <name val="Arial"/>
      <family val="2"/>
    </font>
    <font>
      <sz val="10"/>
      <color theme="1"/>
      <name val="Arial"/>
      <family val="2"/>
    </font>
    <font>
      <sz val="11"/>
      <color rgb="FFFF0000"/>
      <name val="Arial"/>
      <family val="2"/>
    </font>
    <font>
      <sz val="11"/>
      <color rgb="FFFF0000"/>
      <name val="Calibri"/>
      <family val="2"/>
      <scheme val="minor"/>
    </font>
    <font>
      <b/>
      <u/>
      <sz val="11"/>
      <color theme="1"/>
      <name val="Calibri"/>
      <family val="2"/>
      <scheme val="minor"/>
    </font>
    <font>
      <b/>
      <u/>
      <sz val="11"/>
      <color rgb="FF0070C0"/>
      <name val="Calibri"/>
      <family val="2"/>
      <scheme val="minor"/>
    </font>
    <font>
      <sz val="11"/>
      <color theme="6" tint="0.79998168889431442"/>
      <name val="Calibri"/>
      <family val="2"/>
      <scheme val="minor"/>
    </font>
    <font>
      <b/>
      <sz val="11"/>
      <name val="Calibri"/>
      <family val="2"/>
      <scheme val="minor"/>
    </font>
    <font>
      <sz val="11"/>
      <name val="Calibri"/>
      <family val="2"/>
      <scheme val="minor"/>
    </font>
    <font>
      <sz val="11"/>
      <color theme="2" tint="-9.9978637043366805E-2"/>
      <name val="Calibri"/>
      <family val="2"/>
      <scheme val="minor"/>
    </font>
    <font>
      <sz val="36"/>
      <color theme="1"/>
      <name val="Calibri"/>
      <family val="2"/>
      <scheme val="minor"/>
    </font>
    <font>
      <sz val="9"/>
      <color indexed="81"/>
      <name val="Tahoma"/>
      <family val="2"/>
    </font>
    <font>
      <b/>
      <sz val="9"/>
      <color indexed="81"/>
      <name val="Tahoma"/>
      <family val="2"/>
    </font>
    <font>
      <sz val="12"/>
      <name val="Arial"/>
      <family val="2"/>
    </font>
    <font>
      <b/>
      <sz val="12"/>
      <color theme="0"/>
      <name val="Arial"/>
      <family val="2"/>
    </font>
    <font>
      <b/>
      <sz val="12"/>
      <color theme="8"/>
      <name val="Arial"/>
      <family val="2"/>
    </font>
    <font>
      <b/>
      <sz val="12"/>
      <color theme="4" tint="-0.499984740745262"/>
      <name val="Arial"/>
      <family val="2"/>
    </font>
    <font>
      <b/>
      <sz val="11"/>
      <color theme="0"/>
      <name val="Calibri"/>
      <family val="2"/>
      <scheme val="minor"/>
    </font>
    <font>
      <sz val="10"/>
      <name val="Calibri"/>
      <family val="2"/>
      <scheme val="minor"/>
    </font>
    <font>
      <b/>
      <sz val="14"/>
      <color theme="4" tint="-0.499984740745262"/>
      <name val="Calibri"/>
      <family val="2"/>
      <scheme val="minor"/>
    </font>
    <font>
      <b/>
      <sz val="18"/>
      <color theme="0"/>
      <name val="Calibri"/>
      <family val="2"/>
      <scheme val="minor"/>
    </font>
    <font>
      <b/>
      <sz val="18"/>
      <color theme="1"/>
      <name val="Calibri"/>
      <family val="2"/>
      <scheme val="minor"/>
    </font>
    <font>
      <sz val="18"/>
      <color theme="1"/>
      <name val="Calibri"/>
      <family val="2"/>
      <scheme val="minor"/>
    </font>
    <font>
      <b/>
      <sz val="14"/>
      <name val="Calibri"/>
      <family val="2"/>
      <scheme val="minor"/>
    </font>
    <font>
      <b/>
      <sz val="10"/>
      <name val="Calibri"/>
      <family val="2"/>
      <scheme val="minor"/>
    </font>
    <font>
      <sz val="14"/>
      <name val="Calibri"/>
      <family val="2"/>
      <scheme val="minor"/>
    </font>
    <font>
      <b/>
      <sz val="14"/>
      <color theme="0"/>
      <name val="Calibri"/>
      <family val="2"/>
      <scheme val="minor"/>
    </font>
    <font>
      <b/>
      <sz val="10"/>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8"/>
      <name val="Calibri"/>
      <family val="2"/>
      <scheme val="minor"/>
    </font>
    <font>
      <b/>
      <sz val="14"/>
      <color theme="1"/>
      <name val="Calibri"/>
      <family val="2"/>
      <scheme val="minor"/>
    </font>
    <font>
      <b/>
      <sz val="11"/>
      <color theme="4" tint="-0.499984740745262"/>
      <name val="Calibri"/>
      <family val="2"/>
      <scheme val="minor"/>
    </font>
    <font>
      <b/>
      <sz val="11"/>
      <color theme="8"/>
      <name val="Calibri"/>
      <family val="2"/>
      <scheme val="minor"/>
    </font>
    <font>
      <sz val="11"/>
      <color rgb="FF44546A"/>
      <name val="Calibri"/>
      <family val="2"/>
      <scheme val="minor"/>
    </font>
    <font>
      <sz val="18"/>
      <color rgb="FF000000"/>
      <name val="Arial"/>
      <family val="2"/>
    </font>
    <font>
      <b/>
      <sz val="18"/>
      <color rgb="FF000000"/>
      <name val="Calibri"/>
      <family val="2"/>
    </font>
    <font>
      <sz val="14"/>
      <name val="Arial"/>
      <family val="2"/>
    </font>
    <font>
      <sz val="14"/>
      <color rgb="FF000000"/>
      <name val="Calibri"/>
      <family val="2"/>
    </font>
    <font>
      <b/>
      <i/>
      <sz val="18"/>
      <color rgb="FF000000"/>
      <name val="Calibri"/>
      <family val="2"/>
    </font>
    <font>
      <sz val="14"/>
      <name val="Arial"/>
      <family val="2"/>
    </font>
    <font>
      <sz val="11"/>
      <color theme="0"/>
      <name val="Arial"/>
      <family val="2"/>
    </font>
    <font>
      <sz val="12"/>
      <name val="Tahoma"/>
      <family val="2"/>
    </font>
    <font>
      <sz val="12"/>
      <color rgb="FFFF0000"/>
      <name val="Arial"/>
      <family val="2"/>
    </font>
    <font>
      <sz val="9"/>
      <name val="Arial"/>
      <family val="2"/>
    </font>
    <font>
      <sz val="11"/>
      <name val="Arial"/>
      <family val="2"/>
    </font>
    <font>
      <b/>
      <sz val="11"/>
      <color rgb="FFFF0000"/>
      <name val="Arial"/>
      <family val="2"/>
    </font>
    <font>
      <b/>
      <sz val="18"/>
      <name val="Arial"/>
      <family val="2"/>
    </font>
    <font>
      <sz val="18"/>
      <name val="Arial"/>
      <family val="2"/>
    </font>
    <font>
      <b/>
      <sz val="11"/>
      <name val="Arial"/>
      <family val="2"/>
    </font>
    <font>
      <b/>
      <sz val="14"/>
      <name val="Arial"/>
      <family val="2"/>
    </font>
    <font>
      <sz val="8"/>
      <name val="Arial"/>
      <family val="2"/>
    </font>
    <font>
      <b/>
      <sz val="16"/>
      <name val="Arial"/>
      <family val="2"/>
    </font>
    <font>
      <sz val="16"/>
      <name val="Arial"/>
      <family val="2"/>
    </font>
    <font>
      <sz val="11"/>
      <color rgb="FF000000"/>
      <name val="Calibri"/>
      <family val="2"/>
      <scheme val="minor"/>
    </font>
    <font>
      <sz val="11"/>
      <color rgb="FF000000"/>
      <name val="Arial"/>
      <family val="2"/>
    </font>
  </fonts>
  <fills count="37">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E9EDF4"/>
        <bgColor indexed="64"/>
      </patternFill>
    </fill>
    <fill>
      <patternFill patternType="solid">
        <fgColor theme="4" tint="-0.249977111117893"/>
        <bgColor indexed="64"/>
      </patternFill>
    </fill>
    <fill>
      <patternFill patternType="solid">
        <fgColor theme="8"/>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bgColor indexed="64"/>
      </patternFill>
    </fill>
    <fill>
      <patternFill patternType="solid">
        <fgColor theme="9" tint="0.79998168889431442"/>
        <bgColor indexed="64"/>
      </patternFill>
    </fill>
    <fill>
      <patternFill patternType="solid">
        <fgColor theme="6"/>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3300"/>
        <bgColor indexed="64"/>
      </patternFill>
    </fill>
  </fills>
  <borders count="116">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ck">
        <color rgb="FFF79646"/>
      </top>
      <bottom/>
      <diagonal/>
    </border>
    <border>
      <left/>
      <right/>
      <top/>
      <bottom style="thick">
        <color rgb="FFF79646"/>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auto="1"/>
      </bottom>
      <diagonal/>
    </border>
    <border>
      <left style="thin">
        <color indexed="64"/>
      </left>
      <right style="thin">
        <color indexed="64"/>
      </right>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top/>
      <bottom style="hair">
        <color indexed="64"/>
      </bottom>
      <diagonal/>
    </border>
    <border>
      <left/>
      <right/>
      <top style="double">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auto="1"/>
      </left>
      <right/>
      <top/>
      <bottom/>
      <diagonal/>
    </border>
    <border>
      <left style="medium">
        <color indexed="64"/>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hair">
        <color auto="1"/>
      </left>
      <right style="hair">
        <color auto="1"/>
      </right>
      <top style="hair">
        <color auto="1"/>
      </top>
      <bottom/>
      <diagonal/>
    </border>
    <border>
      <left style="medium">
        <color rgb="FFFFFFFF"/>
      </left>
      <right style="medium">
        <color rgb="FF000000"/>
      </right>
      <top style="medium">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auto="1"/>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top style="medium">
        <color indexed="64"/>
      </top>
      <bottom style="medium">
        <color indexed="64"/>
      </bottom>
      <diagonal/>
    </border>
    <border>
      <left/>
      <right/>
      <top/>
      <bottom style="medium">
        <color indexed="64"/>
      </bottom>
      <diagonal/>
    </border>
    <border>
      <left style="thick">
        <color indexed="64"/>
      </left>
      <right/>
      <top/>
      <bottom style="thin">
        <color auto="1"/>
      </bottom>
      <diagonal/>
    </border>
    <border>
      <left style="thick">
        <color indexed="64"/>
      </left>
      <right/>
      <top/>
      <bottom/>
      <diagonal/>
    </border>
    <border>
      <left style="thick">
        <color indexed="64"/>
      </left>
      <right/>
      <top style="thin">
        <color indexed="64"/>
      </top>
      <bottom style="thin">
        <color indexed="64"/>
      </bottom>
      <diagonal/>
    </border>
    <border>
      <left style="thick">
        <color indexed="64"/>
      </left>
      <right/>
      <top style="thin">
        <color indexed="64"/>
      </top>
      <bottom style="medium">
        <color indexed="64"/>
      </bottom>
      <diagonal/>
    </border>
    <border>
      <left style="thick">
        <color indexed="64"/>
      </left>
      <right/>
      <top style="thin">
        <color indexed="64"/>
      </top>
      <bottom style="thick">
        <color indexed="64"/>
      </bottom>
      <diagonal/>
    </border>
    <border>
      <left style="thick">
        <color indexed="64"/>
      </left>
      <right/>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auto="1"/>
      </bottom>
      <diagonal/>
    </border>
    <border>
      <left style="thin">
        <color auto="1"/>
      </left>
      <right style="medium">
        <color indexed="64"/>
      </right>
      <top style="medium">
        <color indexed="64"/>
      </top>
      <bottom style="thin">
        <color auto="1"/>
      </bottom>
      <diagonal/>
    </border>
    <border>
      <left style="hair">
        <color indexed="64"/>
      </left>
      <right style="hair">
        <color indexed="64"/>
      </right>
      <top/>
      <bottom/>
      <diagonal/>
    </border>
  </borders>
  <cellStyleXfs count="8">
    <xf numFmtId="0" fontId="0" fillId="0" borderId="0"/>
    <xf numFmtId="9" fontId="3" fillId="0" borderId="0" applyFont="0" applyFill="0" applyBorder="0" applyAlignment="0" applyProtection="0"/>
    <xf numFmtId="0" fontId="5" fillId="0" borderId="0"/>
    <xf numFmtId="165" fontId="3" fillId="0" borderId="0" applyFont="0" applyFill="0" applyBorder="0" applyAlignment="0" applyProtection="0"/>
    <xf numFmtId="0" fontId="3" fillId="0" borderId="0"/>
    <xf numFmtId="41"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cellStyleXfs>
  <cellXfs count="1021">
    <xf numFmtId="0" fontId="0" fillId="0" borderId="0" xfId="0"/>
    <xf numFmtId="0" fontId="6" fillId="0" borderId="0" xfId="2" applyFont="1"/>
    <xf numFmtId="0" fontId="6" fillId="0" borderId="0" xfId="2" applyFont="1" applyAlignment="1">
      <alignment horizontal="center"/>
    </xf>
    <xf numFmtId="0" fontId="8" fillId="0" borderId="0" xfId="2" applyFont="1" applyAlignment="1">
      <alignment horizontal="left"/>
    </xf>
    <xf numFmtId="0" fontId="4" fillId="0" borderId="9" xfId="0" applyFont="1" applyBorder="1"/>
    <xf numFmtId="0" fontId="4" fillId="0" borderId="8" xfId="0" applyFont="1" applyBorder="1"/>
    <xf numFmtId="0" fontId="9" fillId="0" borderId="1" xfId="0" applyFont="1" applyBorder="1" applyAlignment="1">
      <alignment horizontal="left" vertical="center" wrapText="1"/>
    </xf>
    <xf numFmtId="0" fontId="1" fillId="0" borderId="1" xfId="0" applyFont="1" applyBorder="1" applyAlignment="1">
      <alignment horizontal="left" vertical="center" wrapText="1"/>
    </xf>
    <xf numFmtId="0" fontId="9" fillId="0" borderId="2" xfId="0" applyFont="1" applyBorder="1" applyAlignment="1">
      <alignment vertical="center" wrapText="1"/>
    </xf>
    <xf numFmtId="0" fontId="1" fillId="0" borderId="0" xfId="0" applyFont="1" applyAlignment="1">
      <alignment vertical="center" wrapText="1"/>
    </xf>
    <xf numFmtId="0" fontId="1" fillId="0" borderId="2" xfId="0" applyFont="1" applyBorder="1" applyAlignment="1">
      <alignment vertical="center" wrapText="1"/>
    </xf>
    <xf numFmtId="3" fontId="1" fillId="0" borderId="1" xfId="0" applyNumberFormat="1" applyFont="1" applyBorder="1" applyAlignment="1">
      <alignment horizontal="center" vertical="center" wrapText="1"/>
    </xf>
    <xf numFmtId="0" fontId="9" fillId="0" borderId="4" xfId="0" applyFont="1" applyBorder="1" applyAlignment="1">
      <alignment horizontal="centerContinuous" vertical="center" wrapText="1"/>
    </xf>
    <xf numFmtId="0" fontId="6" fillId="2" borderId="0" xfId="0" applyFont="1" applyFill="1" applyBorder="1"/>
    <xf numFmtId="0" fontId="7" fillId="2" borderId="0" xfId="0" applyFont="1" applyFill="1" applyBorder="1"/>
    <xf numFmtId="0" fontId="7" fillId="2" borderId="0" xfId="0" applyFont="1" applyFill="1" applyBorder="1" applyAlignment="1">
      <alignment horizontal="left"/>
    </xf>
    <xf numFmtId="0" fontId="7" fillId="2" borderId="11" xfId="0" applyFont="1" applyFill="1" applyBorder="1"/>
    <xf numFmtId="0" fontId="6" fillId="2" borderId="10" xfId="0" applyFont="1" applyFill="1" applyBorder="1" applyAlignment="1">
      <alignment horizontal="center"/>
    </xf>
    <xf numFmtId="0" fontId="7" fillId="2" borderId="12" xfId="0" applyFont="1" applyFill="1" applyBorder="1"/>
    <xf numFmtId="0" fontId="6" fillId="2" borderId="13" xfId="0" applyFont="1" applyFill="1" applyBorder="1" applyAlignment="1">
      <alignment horizontal="center"/>
    </xf>
    <xf numFmtId="0" fontId="7" fillId="2" borderId="13" xfId="0" applyFont="1" applyFill="1" applyBorder="1" applyAlignment="1">
      <alignment horizontal="center"/>
    </xf>
    <xf numFmtId="0" fontId="7" fillId="2" borderId="15" xfId="0" applyFont="1" applyFill="1" applyBorder="1" applyAlignment="1">
      <alignment horizontal="center"/>
    </xf>
    <xf numFmtId="0" fontId="6" fillId="2" borderId="16" xfId="0" applyFont="1" applyFill="1" applyBorder="1"/>
    <xf numFmtId="0" fontId="6" fillId="2" borderId="17" xfId="0" applyFont="1" applyFill="1" applyBorder="1"/>
    <xf numFmtId="0" fontId="7" fillId="2" borderId="14" xfId="0" applyFont="1" applyFill="1" applyBorder="1" applyAlignment="1">
      <alignment horizontal="center" vertical="center"/>
    </xf>
    <xf numFmtId="0" fontId="6" fillId="2" borderId="14" xfId="0" applyFont="1" applyFill="1" applyBorder="1"/>
    <xf numFmtId="0" fontId="7" fillId="2" borderId="14" xfId="0" applyFont="1" applyFill="1" applyBorder="1"/>
    <xf numFmtId="0" fontId="15" fillId="2" borderId="5" xfId="0" applyFont="1" applyFill="1" applyBorder="1" applyAlignment="1">
      <alignment horizontal="right" vertical="center"/>
    </xf>
    <xf numFmtId="15" fontId="15" fillId="2" borderId="5" xfId="0" applyNumberFormat="1" applyFont="1" applyFill="1" applyBorder="1" applyAlignment="1">
      <alignment horizontal="left" vertical="center"/>
    </xf>
    <xf numFmtId="0" fontId="1" fillId="2" borderId="1" xfId="0" applyFont="1" applyFill="1" applyBorder="1" applyAlignment="1">
      <alignment horizontal="centerContinuous" vertical="center" wrapText="1"/>
    </xf>
    <xf numFmtId="0" fontId="2" fillId="2" borderId="2" xfId="0" applyFont="1" applyFill="1" applyBorder="1" applyAlignment="1">
      <alignment horizontal="centerContinuous" vertical="center" wrapText="1"/>
    </xf>
    <xf numFmtId="0" fontId="2" fillId="2" borderId="3" xfId="0" applyFont="1" applyFill="1" applyBorder="1" applyAlignment="1">
      <alignment horizontal="centerContinuous" vertical="center" wrapText="1"/>
    </xf>
    <xf numFmtId="3" fontId="9" fillId="0" borderId="1" xfId="0" applyNumberFormat="1" applyFont="1" applyBorder="1" applyAlignment="1">
      <alignment horizontal="center" vertical="center" wrapText="1"/>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7" fillId="0" borderId="0" xfId="0" applyFont="1" applyAlignment="1">
      <alignment vertical="center" wrapText="1"/>
    </xf>
    <xf numFmtId="0" fontId="11" fillId="3" borderId="10" xfId="0" applyFont="1" applyFill="1" applyBorder="1" applyAlignment="1">
      <alignment horizontal="centerContinuous" vertical="center" wrapText="1"/>
    </xf>
    <xf numFmtId="0" fontId="10" fillId="3" borderId="11" xfId="0" applyFont="1" applyFill="1" applyBorder="1" applyAlignment="1">
      <alignment horizontal="centerContinuous" vertical="center" wrapText="1"/>
    </xf>
    <xf numFmtId="0" fontId="1" fillId="3" borderId="11" xfId="0" applyFont="1" applyFill="1" applyBorder="1" applyAlignment="1">
      <alignment horizontal="centerContinuous" vertical="center" wrapText="1"/>
    </xf>
    <xf numFmtId="0" fontId="1" fillId="3" borderId="12" xfId="0" applyFont="1" applyFill="1" applyBorder="1" applyAlignment="1">
      <alignment horizontal="centerContinuous" vertical="center" wrapText="1"/>
    </xf>
    <xf numFmtId="0" fontId="12" fillId="3" borderId="10" xfId="0" applyFont="1" applyFill="1" applyBorder="1" applyAlignment="1">
      <alignment horizontal="centerContinuous" vertical="center" wrapText="1"/>
    </xf>
    <xf numFmtId="0" fontId="13" fillId="3" borderId="13" xfId="0" applyFont="1" applyFill="1" applyBorder="1" applyAlignment="1">
      <alignment horizontal="centerContinuous" vertical="center" wrapText="1"/>
    </xf>
    <xf numFmtId="0" fontId="13" fillId="3" borderId="0" xfId="0" applyFont="1" applyFill="1" applyBorder="1" applyAlignment="1">
      <alignment horizontal="centerContinuous" vertical="center" wrapText="1"/>
    </xf>
    <xf numFmtId="0" fontId="14" fillId="3" borderId="0" xfId="0" applyFont="1" applyFill="1" applyBorder="1" applyAlignment="1">
      <alignment horizontal="centerContinuous" vertical="center" wrapText="1"/>
    </xf>
    <xf numFmtId="0" fontId="14" fillId="3" borderId="14" xfId="0" applyFont="1" applyFill="1" applyBorder="1" applyAlignment="1">
      <alignment horizontal="centerContinuous" vertical="center" wrapText="1"/>
    </xf>
    <xf numFmtId="0" fontId="16" fillId="0" borderId="3" xfId="0" applyFont="1" applyBorder="1" applyAlignment="1">
      <alignment horizontal="centerContinuous" vertical="center" wrapText="1"/>
    </xf>
    <xf numFmtId="0" fontId="14" fillId="3" borderId="13" xfId="0" applyFont="1" applyFill="1" applyBorder="1" applyAlignment="1">
      <alignment horizontal="centerContinuous" vertical="center" wrapText="1"/>
    </xf>
    <xf numFmtId="0" fontId="9" fillId="0" borderId="1" xfId="0" applyFont="1" applyBorder="1" applyAlignment="1">
      <alignment horizontal="centerContinuous" vertical="center" wrapText="1"/>
    </xf>
    <xf numFmtId="0" fontId="9" fillId="0" borderId="3" xfId="0" applyFont="1" applyBorder="1" applyAlignment="1">
      <alignment horizontal="centerContinuous" vertical="center" wrapText="1"/>
    </xf>
    <xf numFmtId="3" fontId="9" fillId="0" borderId="3" xfId="0" applyNumberFormat="1" applyFont="1" applyBorder="1" applyAlignment="1">
      <alignment horizontal="center" vertical="center" wrapText="1"/>
    </xf>
    <xf numFmtId="14" fontId="16" fillId="0" borderId="3" xfId="0" applyNumberFormat="1" applyFont="1" applyBorder="1" applyAlignment="1">
      <alignment horizontal="centerContinuous" vertical="center" wrapText="1"/>
    </xf>
    <xf numFmtId="14" fontId="9" fillId="0" borderId="4" xfId="0" applyNumberFormat="1" applyFont="1" applyBorder="1" applyAlignment="1">
      <alignment horizontal="centerContinuous" vertical="center" wrapText="1"/>
    </xf>
    <xf numFmtId="3" fontId="1" fillId="0" borderId="4" xfId="0" applyNumberFormat="1" applyFont="1" applyBorder="1" applyAlignment="1">
      <alignment horizontal="centerContinuous" vertical="center" wrapText="1"/>
    </xf>
    <xf numFmtId="3" fontId="1" fillId="0" borderId="3" xfId="0" applyNumberFormat="1" applyFont="1" applyBorder="1" applyAlignment="1">
      <alignment horizontal="center" vertical="center" wrapText="1"/>
    </xf>
    <xf numFmtId="9" fontId="9" fillId="0" borderId="4" xfId="1" applyFont="1" applyBorder="1" applyAlignment="1">
      <alignment horizontal="centerContinuous" vertical="center" wrapText="1"/>
    </xf>
    <xf numFmtId="0" fontId="0" fillId="0" borderId="18" xfId="0" applyBorder="1"/>
    <xf numFmtId="0" fontId="0" fillId="0" borderId="19" xfId="0" applyBorder="1"/>
    <xf numFmtId="0" fontId="0" fillId="0" borderId="6" xfId="0" applyBorder="1"/>
    <xf numFmtId="0" fontId="0" fillId="0" borderId="7" xfId="0" applyFont="1" applyBorder="1"/>
    <xf numFmtId="0" fontId="19" fillId="0" borderId="7" xfId="0" applyFont="1" applyBorder="1"/>
    <xf numFmtId="0" fontId="4" fillId="0" borderId="7" xfId="0" applyFont="1" applyBorder="1"/>
    <xf numFmtId="0" fontId="20" fillId="0" borderId="7" xfId="0" applyFont="1" applyBorder="1"/>
    <xf numFmtId="0" fontId="21" fillId="0" borderId="7" xfId="0" applyFont="1" applyBorder="1"/>
    <xf numFmtId="0" fontId="0" fillId="0" borderId="7" xfId="0" applyBorder="1"/>
    <xf numFmtId="0" fontId="19" fillId="0" borderId="20" xfId="0" applyFont="1" applyBorder="1"/>
    <xf numFmtId="0" fontId="20" fillId="0" borderId="8" xfId="0" applyFont="1" applyBorder="1"/>
    <xf numFmtId="166" fontId="18" fillId="0" borderId="1" xfId="0" applyNumberFormat="1" applyFont="1" applyBorder="1" applyAlignment="1">
      <alignment horizontal="center" vertical="center" wrapText="1"/>
    </xf>
    <xf numFmtId="0" fontId="0" fillId="0" borderId="0" xfId="0" applyAlignment="1">
      <alignment horizontal="center" vertical="center"/>
    </xf>
    <xf numFmtId="14" fontId="9" fillId="0" borderId="3" xfId="0" applyNumberFormat="1" applyFont="1" applyBorder="1" applyAlignment="1">
      <alignment horizontal="centerContinuous"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1" xfId="0" applyFont="1" applyBorder="1" applyAlignment="1">
      <alignment vertical="center" wrapText="1"/>
    </xf>
    <xf numFmtId="0" fontId="9" fillId="0" borderId="11" xfId="0" applyFont="1" applyBorder="1" applyAlignment="1">
      <alignment horizontal="centerContinuous" vertical="center" wrapText="1"/>
    </xf>
    <xf numFmtId="0" fontId="9" fillId="0" borderId="12" xfId="0" applyFont="1" applyBorder="1" applyAlignment="1">
      <alignment horizontal="centerContinuous" vertical="center" wrapText="1"/>
    </xf>
    <xf numFmtId="14" fontId="9" fillId="0" borderId="11" xfId="0" applyNumberFormat="1" applyFont="1" applyBorder="1" applyAlignment="1">
      <alignment horizontal="centerContinuous" vertical="center" wrapText="1"/>
    </xf>
    <xf numFmtId="0" fontId="22" fillId="2" borderId="11" xfId="0" applyFont="1" applyFill="1" applyBorder="1"/>
    <xf numFmtId="0" fontId="22" fillId="2" borderId="12" xfId="0" applyFont="1" applyFill="1" applyBorder="1"/>
    <xf numFmtId="0" fontId="23" fillId="0" borderId="2" xfId="0" applyFont="1" applyFill="1" applyBorder="1" applyAlignment="1"/>
    <xf numFmtId="0" fontId="23" fillId="0" borderId="3" xfId="0" applyFont="1" applyFill="1" applyBorder="1" applyAlignment="1"/>
    <xf numFmtId="0" fontId="23" fillId="2" borderId="0" xfId="0" applyFont="1" applyFill="1" applyBorder="1"/>
    <xf numFmtId="0" fontId="22" fillId="2" borderId="14" xfId="0" applyFont="1" applyFill="1" applyBorder="1" applyAlignment="1">
      <alignment horizontal="center"/>
    </xf>
    <xf numFmtId="0" fontId="22" fillId="2" borderId="0" xfId="0" applyFont="1" applyFill="1" applyBorder="1"/>
    <xf numFmtId="15" fontId="23" fillId="0" borderId="1" xfId="0" applyNumberFormat="1" applyFont="1" applyFill="1" applyBorder="1" applyAlignment="1">
      <alignment horizontal="center" vertical="center"/>
    </xf>
    <xf numFmtId="0" fontId="23" fillId="0" borderId="1" xfId="0" applyFont="1" applyFill="1" applyBorder="1" applyAlignment="1">
      <alignment horizontal="left"/>
    </xf>
    <xf numFmtId="0" fontId="22" fillId="2" borderId="0" xfId="0" applyFont="1" applyFill="1" applyBorder="1" applyAlignment="1">
      <alignment horizontal="right"/>
    </xf>
    <xf numFmtId="0" fontId="23" fillId="2" borderId="14" xfId="0" applyFont="1" applyFill="1" applyBorder="1"/>
    <xf numFmtId="0" fontId="22" fillId="2" borderId="0" xfId="0" applyFont="1" applyFill="1" applyBorder="1" applyAlignment="1">
      <alignment horizontal="left"/>
    </xf>
    <xf numFmtId="0" fontId="22" fillId="2" borderId="14" xfId="0" applyFont="1" applyFill="1" applyBorder="1" applyAlignment="1">
      <alignment horizontal="center" vertical="center"/>
    </xf>
    <xf numFmtId="15" fontId="23" fillId="0" borderId="1" xfId="0" applyNumberFormat="1" applyFont="1" applyFill="1" applyBorder="1" applyAlignment="1">
      <alignment horizontal="left"/>
    </xf>
    <xf numFmtId="0" fontId="22" fillId="2" borderId="16" xfId="0" applyFont="1" applyFill="1" applyBorder="1" applyAlignment="1">
      <alignment horizontal="left"/>
    </xf>
    <xf numFmtId="0" fontId="23" fillId="2" borderId="16" xfId="0" applyFont="1" applyFill="1" applyBorder="1"/>
    <xf numFmtId="0" fontId="23" fillId="2" borderId="17" xfId="0" applyFont="1" applyFill="1" applyBorder="1"/>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0" fontId="4" fillId="0" borderId="9" xfId="0" applyFont="1" applyBorder="1" applyAlignment="1">
      <alignment horizontal="center"/>
    </xf>
    <xf numFmtId="0" fontId="4" fillId="0" borderId="8" xfId="0" applyFont="1" applyBorder="1" applyAlignment="1">
      <alignment horizontal="center"/>
    </xf>
    <xf numFmtId="0" fontId="0" fillId="0" borderId="0" xfId="0" applyAlignment="1">
      <alignment horizontal="center"/>
    </xf>
    <xf numFmtId="0" fontId="20" fillId="0" borderId="8" xfId="0" applyFont="1" applyBorder="1" applyAlignment="1">
      <alignment horizontal="center"/>
    </xf>
    <xf numFmtId="0" fontId="19" fillId="0" borderId="20" xfId="0" applyFont="1" applyBorder="1" applyAlignment="1">
      <alignment horizontal="center"/>
    </xf>
    <xf numFmtId="0" fontId="0" fillId="0" borderId="7" xfId="0" applyFont="1" applyBorder="1" applyAlignment="1">
      <alignment horizontal="center"/>
    </xf>
    <xf numFmtId="0" fontId="19" fillId="0" borderId="7" xfId="0" applyFont="1" applyBorder="1" applyAlignment="1">
      <alignment horizontal="center"/>
    </xf>
    <xf numFmtId="0" fontId="20" fillId="0" borderId="7" xfId="0" applyFont="1" applyBorder="1" applyAlignment="1">
      <alignment horizontal="center"/>
    </xf>
    <xf numFmtId="0" fontId="21" fillId="0" borderId="7" xfId="0" applyFont="1" applyBorder="1" applyAlignment="1">
      <alignment horizontal="center"/>
    </xf>
    <xf numFmtId="0" fontId="0" fillId="0" borderId="7" xfId="0" applyBorder="1" applyAlignment="1">
      <alignment horizontal="center"/>
    </xf>
    <xf numFmtId="0" fontId="4" fillId="0" borderId="7" xfId="0" applyFont="1" applyBorder="1" applyAlignment="1">
      <alignment horizontal="center"/>
    </xf>
    <xf numFmtId="0" fontId="0" fillId="0" borderId="6" xfId="0" applyBorder="1" applyAlignment="1">
      <alignment horizontal="center"/>
    </xf>
    <xf numFmtId="0" fontId="0" fillId="0" borderId="21"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5" fontId="15" fillId="2" borderId="24" xfId="0" applyNumberFormat="1" applyFont="1" applyFill="1" applyBorder="1" applyAlignment="1">
      <alignment horizontal="left" vertical="center"/>
    </xf>
    <xf numFmtId="15" fontId="15" fillId="2" borderId="25" xfId="0" applyNumberFormat="1" applyFont="1" applyFill="1" applyBorder="1" applyAlignment="1">
      <alignment horizontal="left" vertical="center"/>
    </xf>
    <xf numFmtId="0" fontId="26" fillId="2" borderId="5" xfId="0" applyFont="1" applyFill="1" applyBorder="1" applyAlignment="1">
      <alignment horizontal="right" vertical="center"/>
    </xf>
    <xf numFmtId="0" fontId="3" fillId="0" borderId="0" xfId="4" applyBorder="1"/>
    <xf numFmtId="0" fontId="3" fillId="0" borderId="0" xfId="4" applyBorder="1" applyAlignment="1">
      <alignment vertical="center"/>
    </xf>
    <xf numFmtId="0" fontId="4" fillId="0" borderId="0" xfId="4" applyFont="1" applyBorder="1" applyAlignment="1">
      <alignment vertical="center"/>
    </xf>
    <xf numFmtId="0" fontId="3" fillId="0" borderId="0" xfId="4" applyBorder="1" applyAlignment="1">
      <alignment vertical="center" wrapText="1"/>
    </xf>
    <xf numFmtId="0" fontId="24" fillId="0" borderId="0" xfId="4" applyFont="1" applyFill="1" applyAlignment="1">
      <alignment horizontal="right" vertical="center"/>
    </xf>
    <xf numFmtId="0" fontId="24" fillId="0" borderId="0" xfId="4" applyFont="1" applyBorder="1" applyAlignment="1">
      <alignment horizontal="right" vertical="center"/>
    </xf>
    <xf numFmtId="0" fontId="0" fillId="0" borderId="0" xfId="4" applyFont="1" applyBorder="1" applyAlignment="1">
      <alignment vertical="center"/>
    </xf>
    <xf numFmtId="0" fontId="24" fillId="0" borderId="0" xfId="4" applyFont="1" applyFill="1" applyBorder="1" applyAlignment="1">
      <alignment horizontal="right" vertical="center"/>
    </xf>
    <xf numFmtId="0" fontId="3" fillId="0" borderId="27" xfId="4" applyBorder="1" applyAlignment="1">
      <alignment vertical="center"/>
    </xf>
    <xf numFmtId="0" fontId="24" fillId="0" borderId="27" xfId="4" applyFont="1" applyFill="1" applyBorder="1" applyAlignment="1">
      <alignment horizontal="right" vertical="center"/>
    </xf>
    <xf numFmtId="0" fontId="3" fillId="0" borderId="0" xfId="4"/>
    <xf numFmtId="0" fontId="4" fillId="0" borderId="0" xfId="0" applyFont="1" applyAlignment="1">
      <alignment horizontal="center" vertical="center"/>
    </xf>
    <xf numFmtId="0" fontId="9" fillId="0" borderId="1" xfId="0" applyFont="1" applyBorder="1" applyAlignment="1">
      <alignment horizontal="center" vertical="center" wrapText="1"/>
    </xf>
    <xf numFmtId="3" fontId="9" fillId="0" borderId="4" xfId="0" applyNumberFormat="1" applyFont="1" applyBorder="1" applyAlignment="1">
      <alignment horizontal="centerContinuous" vertical="center" wrapText="1"/>
    </xf>
    <xf numFmtId="0" fontId="2" fillId="0" borderId="0" xfId="0" applyFont="1" applyAlignment="1">
      <alignment vertical="center"/>
    </xf>
    <xf numFmtId="0" fontId="2" fillId="0" borderId="0" xfId="0" applyFont="1" applyAlignment="1">
      <alignment vertical="center" wrapText="1"/>
    </xf>
    <xf numFmtId="0" fontId="28" fillId="0" borderId="0" xfId="0" applyFont="1" applyAlignment="1">
      <alignment vertical="center" wrapText="1"/>
    </xf>
    <xf numFmtId="0" fontId="2" fillId="0" borderId="0" xfId="0" applyFont="1" applyAlignment="1">
      <alignment horizontal="right" vertical="center" wrapText="1"/>
    </xf>
    <xf numFmtId="0" fontId="2" fillId="0" borderId="5" xfId="0" applyFont="1" applyBorder="1" applyAlignment="1">
      <alignment vertical="center" wrapText="1"/>
    </xf>
    <xf numFmtId="0" fontId="29" fillId="0" borderId="0" xfId="0" applyFont="1" applyAlignment="1">
      <alignment vertical="center" wrapText="1"/>
    </xf>
    <xf numFmtId="0" fontId="9" fillId="0" borderId="2" xfId="0" applyFont="1" applyBorder="1" applyAlignment="1">
      <alignment horizontal="center" vertical="center" wrapText="1"/>
    </xf>
    <xf numFmtId="0" fontId="1" fillId="0" borderId="2" xfId="0" applyFont="1" applyBorder="1" applyAlignment="1">
      <alignment horizontal="left" vertical="center" wrapText="1"/>
    </xf>
    <xf numFmtId="3" fontId="9" fillId="0" borderId="0" xfId="0" applyNumberFormat="1" applyFont="1" applyBorder="1" applyAlignment="1">
      <alignment horizontal="center" vertical="center" wrapText="1"/>
    </xf>
    <xf numFmtId="3" fontId="1" fillId="0"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3" fontId="1" fillId="5" borderId="1" xfId="0" applyNumberFormat="1" applyFont="1" applyFill="1" applyBorder="1" applyAlignment="1">
      <alignment horizontal="center" vertical="center" wrapText="1"/>
    </xf>
    <xf numFmtId="0" fontId="1" fillId="0" borderId="2" xfId="0" applyFont="1" applyBorder="1" applyAlignment="1">
      <alignment horizontal="left" vertical="center" wrapText="1"/>
    </xf>
    <xf numFmtId="0" fontId="25" fillId="0" borderId="2" xfId="0" applyFont="1" applyBorder="1" applyAlignment="1">
      <alignment horizontal="left" vertical="center" wrapText="1"/>
    </xf>
    <xf numFmtId="3" fontId="9" fillId="0" borderId="1" xfId="0" applyNumberFormat="1" applyFont="1" applyBorder="1" applyAlignment="1">
      <alignment horizontal="centerContinuous"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4" fillId="0" borderId="0" xfId="0" applyFont="1"/>
    <xf numFmtId="0" fontId="4" fillId="0" borderId="22" xfId="0" applyFont="1" applyBorder="1"/>
    <xf numFmtId="41" fontId="4" fillId="0" borderId="0" xfId="5" applyFont="1"/>
    <xf numFmtId="41" fontId="0" fillId="0" borderId="7" xfId="5" applyFont="1" applyBorder="1"/>
    <xf numFmtId="41" fontId="4" fillId="0" borderId="7" xfId="5" applyFont="1" applyBorder="1"/>
    <xf numFmtId="41" fontId="0" fillId="0" borderId="0" xfId="5" applyFont="1"/>
    <xf numFmtId="0" fontId="25" fillId="0" borderId="1" xfId="0" applyFont="1" applyFill="1" applyBorder="1" applyAlignment="1">
      <alignment horizontal="left" vertical="center" wrapText="1"/>
    </xf>
    <xf numFmtId="0" fontId="16" fillId="0" borderId="3" xfId="0" applyFont="1" applyBorder="1" applyAlignment="1">
      <alignment horizontal="right" vertical="center" wrapText="1"/>
    </xf>
    <xf numFmtId="3" fontId="32" fillId="0" borderId="1" xfId="0" applyNumberFormat="1" applyFont="1" applyBorder="1" applyAlignment="1">
      <alignment horizontal="center" vertical="center" wrapText="1"/>
    </xf>
    <xf numFmtId="3" fontId="33" fillId="0" borderId="1" xfId="0" applyNumberFormat="1" applyFont="1" applyBorder="1" applyAlignment="1">
      <alignment horizontal="center" vertical="center" wrapText="1"/>
    </xf>
    <xf numFmtId="0" fontId="9" fillId="0" borderId="3" xfId="0" applyFont="1" applyBorder="1" applyAlignment="1">
      <alignment horizontal="left" vertical="center" wrapText="1"/>
    </xf>
    <xf numFmtId="3" fontId="30" fillId="0" borderId="1" xfId="0" applyNumberFormat="1" applyFont="1" applyBorder="1" applyAlignment="1">
      <alignment horizontal="center" vertical="center" wrapText="1"/>
    </xf>
    <xf numFmtId="0" fontId="33" fillId="0" borderId="1" xfId="0" applyFont="1" applyBorder="1" applyAlignment="1">
      <alignment horizontal="left" vertical="center" wrapText="1"/>
    </xf>
    <xf numFmtId="0" fontId="33" fillId="0" borderId="2" xfId="0" applyFont="1" applyBorder="1" applyAlignment="1">
      <alignment horizontal="left" vertical="center" wrapText="1"/>
    </xf>
    <xf numFmtId="3" fontId="33" fillId="0" borderId="3" xfId="0" applyNumberFormat="1" applyFont="1" applyBorder="1" applyAlignment="1">
      <alignment horizontal="center" vertical="center" wrapText="1"/>
    </xf>
    <xf numFmtId="3" fontId="34" fillId="0" borderId="1" xfId="0" applyNumberFormat="1" applyFont="1" applyBorder="1" applyAlignment="1">
      <alignment horizontal="center" vertical="center" wrapText="1"/>
    </xf>
    <xf numFmtId="3" fontId="1" fillId="0" borderId="0" xfId="0" applyNumberFormat="1" applyFont="1" applyAlignment="1">
      <alignment vertical="center" wrapText="1"/>
    </xf>
    <xf numFmtId="0" fontId="2" fillId="0" borderId="2" xfId="0" applyFont="1" applyFill="1" applyBorder="1" applyAlignment="1">
      <alignment horizontal="centerContinuous" vertical="center" wrapText="1"/>
    </xf>
    <xf numFmtId="0" fontId="16" fillId="0" borderId="2"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1" fillId="5" borderId="2" xfId="0" applyFont="1" applyFill="1" applyBorder="1" applyAlignment="1">
      <alignment horizontal="left" vertical="center" wrapText="1"/>
    </xf>
    <xf numFmtId="0" fontId="25" fillId="5" borderId="1" xfId="0" applyFont="1" applyFill="1" applyBorder="1" applyAlignment="1">
      <alignment horizontal="left" vertical="center" wrapText="1"/>
    </xf>
    <xf numFmtId="3" fontId="1" fillId="0" borderId="2" xfId="0" applyNumberFormat="1" applyFont="1" applyBorder="1" applyAlignment="1">
      <alignment vertical="center" wrapText="1"/>
    </xf>
    <xf numFmtId="0" fontId="0" fillId="0" borderId="0" xfId="0" applyBorder="1"/>
    <xf numFmtId="41" fontId="0" fillId="0" borderId="22" xfId="5" applyFont="1" applyBorder="1"/>
    <xf numFmtId="41" fontId="4" fillId="0" borderId="22" xfId="5" applyFont="1" applyBorder="1"/>
    <xf numFmtId="41" fontId="0" fillId="0" borderId="38" xfId="5" applyFont="1" applyBorder="1"/>
    <xf numFmtId="41" fontId="4" fillId="0" borderId="38" xfId="5" applyFont="1" applyBorder="1"/>
    <xf numFmtId="41" fontId="0" fillId="0" borderId="43" xfId="5" applyFont="1" applyBorder="1"/>
    <xf numFmtId="41" fontId="4" fillId="0" borderId="43" xfId="5" applyFont="1" applyBorder="1"/>
    <xf numFmtId="170" fontId="0" fillId="0" borderId="0" xfId="0" applyNumberFormat="1"/>
    <xf numFmtId="0" fontId="0" fillId="0" borderId="0" xfId="0" applyFill="1" applyAlignment="1">
      <alignment vertical="center"/>
    </xf>
    <xf numFmtId="0" fontId="0" fillId="0" borderId="0" xfId="0" applyFont="1" applyFill="1" applyAlignment="1">
      <alignment vertical="center"/>
    </xf>
    <xf numFmtId="0" fontId="36" fillId="0" borderId="0" xfId="0" applyFont="1" applyFill="1" applyAlignment="1">
      <alignment vertical="center"/>
    </xf>
    <xf numFmtId="0" fontId="0" fillId="0" borderId="0" xfId="0" applyFont="1" applyFill="1" applyAlignment="1">
      <alignment vertical="center" wrapText="1"/>
    </xf>
    <xf numFmtId="0" fontId="4" fillId="0" borderId="0" xfId="0" applyFont="1" applyFill="1" applyAlignment="1">
      <alignment horizontal="left" vertical="center" wrapText="1"/>
    </xf>
    <xf numFmtId="0" fontId="0" fillId="0" borderId="0" xfId="0" applyFont="1"/>
    <xf numFmtId="0" fontId="0" fillId="10" borderId="45" xfId="0" applyFill="1" applyBorder="1" applyAlignment="1"/>
    <xf numFmtId="0" fontId="0" fillId="10" borderId="46" xfId="0" applyFill="1" applyBorder="1" applyAlignment="1"/>
    <xf numFmtId="0" fontId="0" fillId="15" borderId="45" xfId="0" applyFill="1" applyBorder="1" applyAlignment="1"/>
    <xf numFmtId="0" fontId="0" fillId="15" borderId="46" xfId="0" applyFill="1" applyBorder="1" applyAlignment="1"/>
    <xf numFmtId="0" fontId="38" fillId="9" borderId="45" xfId="0" applyFont="1" applyFill="1" applyBorder="1" applyAlignment="1"/>
    <xf numFmtId="0" fontId="38" fillId="9" borderId="46" xfId="0" applyFont="1" applyFill="1" applyBorder="1" applyAlignment="1"/>
    <xf numFmtId="0" fontId="39" fillId="9" borderId="46" xfId="0" applyFont="1" applyFill="1" applyBorder="1" applyAlignment="1">
      <alignment horizontal="center"/>
    </xf>
    <xf numFmtId="0" fontId="36" fillId="0" borderId="48" xfId="0" applyFont="1" applyBorder="1" applyAlignment="1">
      <alignment horizontal="left" vertical="center"/>
    </xf>
    <xf numFmtId="0" fontId="0" fillId="0" borderId="49" xfId="0" applyFont="1" applyBorder="1"/>
    <xf numFmtId="0" fontId="4" fillId="0" borderId="50" xfId="0" applyFont="1" applyBorder="1" applyAlignment="1">
      <alignment horizontal="left" vertical="center" wrapText="1"/>
    </xf>
    <xf numFmtId="0" fontId="4" fillId="0" borderId="50" xfId="0" applyFont="1" applyBorder="1" applyAlignment="1">
      <alignment horizontal="left" vertical="center"/>
    </xf>
    <xf numFmtId="0" fontId="4" fillId="0" borderId="51" xfId="0" applyFont="1" applyBorder="1" applyAlignment="1">
      <alignment horizontal="center" vertical="center"/>
    </xf>
    <xf numFmtId="171" fontId="20" fillId="0" borderId="52" xfId="0" applyNumberFormat="1" applyFont="1" applyBorder="1" applyAlignment="1">
      <alignment horizontal="center" vertical="center" wrapText="1"/>
    </xf>
    <xf numFmtId="0" fontId="0" fillId="0" borderId="35" xfId="0" applyBorder="1"/>
    <xf numFmtId="171" fontId="20" fillId="0" borderId="47" xfId="0" applyNumberFormat="1" applyFont="1" applyBorder="1" applyAlignment="1">
      <alignment horizontal="center" vertical="center"/>
    </xf>
    <xf numFmtId="0" fontId="4" fillId="12" borderId="53" xfId="0" applyFont="1" applyFill="1" applyBorder="1" applyAlignment="1">
      <alignment horizontal="center" vertical="center"/>
    </xf>
    <xf numFmtId="0" fontId="4" fillId="12" borderId="54" xfId="0" applyFont="1" applyFill="1" applyBorder="1" applyAlignment="1">
      <alignment horizontal="center" vertical="center"/>
    </xf>
    <xf numFmtId="0" fontId="4" fillId="12" borderId="55" xfId="0" applyFont="1" applyFill="1" applyBorder="1" applyAlignment="1">
      <alignment horizontal="center" vertical="center"/>
    </xf>
    <xf numFmtId="0" fontId="4" fillId="11" borderId="56" xfId="0" applyFont="1" applyFill="1" applyBorder="1" applyAlignment="1">
      <alignment horizontal="center" vertical="center"/>
    </xf>
    <xf numFmtId="0" fontId="4" fillId="11" borderId="57" xfId="0" applyFont="1" applyFill="1" applyBorder="1" applyAlignment="1">
      <alignment horizontal="center" vertical="center"/>
    </xf>
    <xf numFmtId="0" fontId="4" fillId="11" borderId="54" xfId="0" applyFont="1" applyFill="1" applyBorder="1" applyAlignment="1">
      <alignment horizontal="center" vertical="center"/>
    </xf>
    <xf numFmtId="0" fontId="4" fillId="16" borderId="56" xfId="0" applyFont="1" applyFill="1" applyBorder="1" applyAlignment="1">
      <alignment horizontal="center" vertical="center"/>
    </xf>
    <xf numFmtId="0" fontId="4" fillId="16" borderId="57" xfId="0" applyFont="1" applyFill="1" applyBorder="1" applyAlignment="1">
      <alignment horizontal="center" vertical="center"/>
    </xf>
    <xf numFmtId="0" fontId="4" fillId="16" borderId="54" xfId="0" applyFont="1" applyFill="1" applyBorder="1" applyAlignment="1">
      <alignment horizontal="center" vertical="center"/>
    </xf>
    <xf numFmtId="0" fontId="4" fillId="17" borderId="56" xfId="0" applyFont="1" applyFill="1" applyBorder="1" applyAlignment="1">
      <alignment horizontal="center" vertical="center"/>
    </xf>
    <xf numFmtId="0" fontId="4" fillId="17" borderId="57" xfId="0" applyFont="1" applyFill="1" applyBorder="1" applyAlignment="1">
      <alignment horizontal="center" vertical="center"/>
    </xf>
    <xf numFmtId="0" fontId="4" fillId="17" borderId="54" xfId="0" applyFont="1" applyFill="1" applyBorder="1" applyAlignment="1">
      <alignment horizontal="center" vertical="center"/>
    </xf>
    <xf numFmtId="0" fontId="4" fillId="18" borderId="54" xfId="0" applyFont="1" applyFill="1" applyBorder="1" applyAlignment="1">
      <alignment horizontal="center" vertical="center"/>
    </xf>
    <xf numFmtId="0" fontId="36" fillId="0" borderId="58" xfId="0" applyFont="1" applyBorder="1" applyAlignment="1">
      <alignment horizontal="left" vertical="center"/>
    </xf>
    <xf numFmtId="0" fontId="4" fillId="0" borderId="59" xfId="0" applyFont="1" applyBorder="1" applyAlignment="1">
      <alignment horizontal="left" vertical="center"/>
    </xf>
    <xf numFmtId="0" fontId="4" fillId="0" borderId="60" xfId="0" applyFont="1" applyBorder="1" applyAlignment="1">
      <alignment horizontal="left" vertical="center" wrapText="1"/>
    </xf>
    <xf numFmtId="0" fontId="0" fillId="0" borderId="61" xfId="0" applyFont="1" applyBorder="1" applyAlignment="1">
      <alignment horizontal="left" vertical="center"/>
    </xf>
    <xf numFmtId="0" fontId="4" fillId="0" borderId="61" xfId="0" applyFont="1" applyBorder="1" applyAlignment="1">
      <alignment horizontal="left" vertical="center"/>
    </xf>
    <xf numFmtId="170" fontId="4" fillId="0" borderId="62" xfId="7" applyNumberFormat="1" applyFont="1" applyBorder="1" applyAlignment="1">
      <alignment horizontal="left" vertical="center"/>
    </xf>
    <xf numFmtId="170" fontId="4" fillId="0" borderId="63" xfId="0" applyNumberFormat="1" applyFont="1" applyBorder="1" applyAlignment="1">
      <alignment horizontal="left" vertical="center"/>
    </xf>
    <xf numFmtId="170" fontId="4" fillId="0" borderId="64" xfId="0" applyNumberFormat="1" applyFont="1" applyBorder="1" applyAlignment="1">
      <alignment horizontal="center" vertical="center"/>
    </xf>
    <xf numFmtId="170" fontId="0" fillId="0" borderId="65" xfId="0" applyNumberFormat="1" applyFont="1" applyBorder="1" applyAlignment="1">
      <alignment horizontal="left" vertical="center"/>
    </xf>
    <xf numFmtId="170" fontId="0" fillId="0" borderId="66" xfId="7" applyNumberFormat="1" applyFont="1" applyBorder="1"/>
    <xf numFmtId="170" fontId="0" fillId="0" borderId="67" xfId="7" applyNumberFormat="1" applyFont="1" applyBorder="1"/>
    <xf numFmtId="170" fontId="0" fillId="13" borderId="67" xfId="7" applyNumberFormat="1" applyFont="1" applyFill="1" applyBorder="1"/>
    <xf numFmtId="170" fontId="0" fillId="8" borderId="67" xfId="7" applyNumberFormat="1" applyFont="1" applyFill="1" applyBorder="1"/>
    <xf numFmtId="170" fontId="0" fillId="19" borderId="67" xfId="7" applyNumberFormat="1" applyFont="1" applyFill="1" applyBorder="1"/>
    <xf numFmtId="170" fontId="35" fillId="19" borderId="67" xfId="7" applyNumberFormat="1" applyFont="1" applyFill="1" applyBorder="1"/>
    <xf numFmtId="170" fontId="0" fillId="0" borderId="68" xfId="7" applyNumberFormat="1" applyFont="1" applyBorder="1"/>
    <xf numFmtId="0" fontId="36" fillId="0" borderId="19" xfId="0" applyFont="1" applyBorder="1" applyAlignment="1">
      <alignment horizontal="left" vertical="center"/>
    </xf>
    <xf numFmtId="0" fontId="4" fillId="0" borderId="3" xfId="0" applyFont="1" applyBorder="1" applyAlignment="1">
      <alignment horizontal="left" vertical="center"/>
    </xf>
    <xf numFmtId="0" fontId="4" fillId="0" borderId="69" xfId="0" applyFont="1" applyBorder="1" applyAlignment="1">
      <alignment horizontal="left" vertical="center" wrapText="1"/>
    </xf>
    <xf numFmtId="170" fontId="4" fillId="0" borderId="70" xfId="0" applyNumberFormat="1" applyFont="1" applyBorder="1" applyAlignment="1">
      <alignment horizontal="center" vertical="center"/>
    </xf>
    <xf numFmtId="170" fontId="0" fillId="0" borderId="71" xfId="0" applyNumberFormat="1" applyFont="1" applyBorder="1" applyAlignment="1">
      <alignment horizontal="left" vertical="center"/>
    </xf>
    <xf numFmtId="170" fontId="0" fillId="0" borderId="72" xfId="7" applyNumberFormat="1" applyFont="1" applyBorder="1"/>
    <xf numFmtId="170" fontId="0" fillId="0" borderId="1" xfId="7" applyNumberFormat="1" applyFont="1" applyBorder="1"/>
    <xf numFmtId="170" fontId="0" fillId="13" borderId="1" xfId="7" applyNumberFormat="1" applyFont="1" applyFill="1" applyBorder="1"/>
    <xf numFmtId="170" fontId="0" fillId="8" borderId="1" xfId="7" applyNumberFormat="1" applyFont="1" applyFill="1" applyBorder="1"/>
    <xf numFmtId="170" fontId="0" fillId="19" borderId="1" xfId="7" applyNumberFormat="1" applyFont="1" applyFill="1" applyBorder="1"/>
    <xf numFmtId="170" fontId="40" fillId="19" borderId="1" xfId="7" applyNumberFormat="1" applyFont="1" applyFill="1" applyBorder="1"/>
    <xf numFmtId="170" fontId="0" fillId="0" borderId="73" xfId="7" applyNumberFormat="1" applyFont="1" applyBorder="1"/>
    <xf numFmtId="0" fontId="4" fillId="0" borderId="69" xfId="0" applyFont="1" applyBorder="1"/>
    <xf numFmtId="0" fontId="4" fillId="0" borderId="60" xfId="0" applyFont="1" applyBorder="1"/>
    <xf numFmtId="0" fontId="36" fillId="0" borderId="74" xfId="0" applyFont="1" applyBorder="1" applyAlignment="1">
      <alignment horizontal="left" vertical="center"/>
    </xf>
    <xf numFmtId="0" fontId="0" fillId="0" borderId="75" xfId="0" applyFont="1" applyBorder="1" applyAlignment="1">
      <alignment horizontal="left" vertical="center"/>
    </xf>
    <xf numFmtId="0" fontId="4" fillId="0" borderId="75" xfId="0" applyFont="1" applyBorder="1" applyAlignment="1">
      <alignment horizontal="left" vertical="center"/>
    </xf>
    <xf numFmtId="0" fontId="36" fillId="0" borderId="76" xfId="0" applyFont="1" applyBorder="1" applyAlignment="1">
      <alignment horizontal="left" vertical="center"/>
    </xf>
    <xf numFmtId="0" fontId="4" fillId="0" borderId="77" xfId="0" applyFont="1" applyBorder="1" applyAlignment="1">
      <alignment horizontal="left" vertical="center"/>
    </xf>
    <xf numFmtId="0" fontId="4" fillId="0" borderId="78" xfId="0" applyFont="1" applyBorder="1"/>
    <xf numFmtId="0" fontId="0" fillId="0" borderId="79" xfId="0" applyFont="1" applyBorder="1" applyAlignment="1">
      <alignment horizontal="left" vertical="center"/>
    </xf>
    <xf numFmtId="0" fontId="4" fillId="0" borderId="79" xfId="0" applyFont="1" applyBorder="1" applyAlignment="1">
      <alignment horizontal="left" vertical="center"/>
    </xf>
    <xf numFmtId="0" fontId="4" fillId="0" borderId="80" xfId="0" applyFont="1" applyBorder="1" applyAlignment="1">
      <alignment horizontal="left" vertical="center"/>
    </xf>
    <xf numFmtId="170" fontId="4" fillId="0" borderId="81" xfId="0" applyNumberFormat="1" applyFont="1" applyBorder="1" applyAlignment="1">
      <alignment horizontal="center" vertical="center"/>
    </xf>
    <xf numFmtId="170" fontId="0" fillId="0" borderId="82" xfId="0" applyNumberFormat="1" applyFont="1" applyBorder="1" applyAlignment="1">
      <alignment horizontal="left" vertical="center"/>
    </xf>
    <xf numFmtId="170" fontId="0" fillId="0" borderId="83" xfId="7" applyNumberFormat="1" applyFont="1" applyBorder="1"/>
    <xf numFmtId="170" fontId="0" fillId="0" borderId="84" xfId="7" applyNumberFormat="1" applyFont="1" applyBorder="1"/>
    <xf numFmtId="170" fontId="0" fillId="13" borderId="84" xfId="7" applyNumberFormat="1" applyFont="1" applyFill="1" applyBorder="1"/>
    <xf numFmtId="170" fontId="0" fillId="8" borderId="84" xfId="7" applyNumberFormat="1" applyFont="1" applyFill="1" applyBorder="1"/>
    <xf numFmtId="170" fontId="0" fillId="19" borderId="84" xfId="7" applyNumberFormat="1" applyFont="1" applyFill="1" applyBorder="1"/>
    <xf numFmtId="170" fontId="0" fillId="0" borderId="85" xfId="7" applyNumberFormat="1" applyFont="1" applyBorder="1"/>
    <xf numFmtId="0" fontId="0" fillId="0" borderId="9" xfId="0" applyBorder="1"/>
    <xf numFmtId="0" fontId="0" fillId="0" borderId="44" xfId="0" applyFont="1" applyBorder="1"/>
    <xf numFmtId="0" fontId="0" fillId="0" borderId="44" xfId="0" applyBorder="1"/>
    <xf numFmtId="0" fontId="4" fillId="0" borderId="86" xfId="0" applyFont="1" applyFill="1" applyBorder="1" applyAlignment="1">
      <alignment horizontal="left" vertical="center"/>
    </xf>
    <xf numFmtId="170" fontId="4" fillId="0" borderId="86" xfId="0" applyNumberFormat="1" applyFont="1" applyFill="1" applyBorder="1" applyAlignment="1">
      <alignment horizontal="left" vertical="center"/>
    </xf>
    <xf numFmtId="170" fontId="4" fillId="0" borderId="36" xfId="7" applyNumberFormat="1" applyFont="1" applyBorder="1"/>
    <xf numFmtId="170" fontId="4" fillId="0" borderId="87" xfId="7" applyNumberFormat="1" applyFont="1" applyBorder="1" applyAlignment="1">
      <alignment horizontal="center"/>
    </xf>
    <xf numFmtId="170" fontId="4" fillId="0" borderId="88" xfId="7" applyNumberFormat="1" applyFont="1" applyBorder="1"/>
    <xf numFmtId="170" fontId="4" fillId="0" borderId="9" xfId="7" applyNumberFormat="1" applyFont="1" applyBorder="1"/>
    <xf numFmtId="170" fontId="4" fillId="0" borderId="44" xfId="7" applyNumberFormat="1" applyFont="1" applyBorder="1"/>
    <xf numFmtId="170" fontId="4" fillId="13" borderId="44" xfId="7" applyNumberFormat="1" applyFont="1" applyFill="1" applyBorder="1"/>
    <xf numFmtId="170" fontId="4" fillId="13" borderId="9" xfId="7" applyNumberFormat="1" applyFont="1" applyFill="1" applyBorder="1"/>
    <xf numFmtId="170" fontId="4" fillId="8" borderId="44" xfId="7" applyNumberFormat="1" applyFont="1" applyFill="1" applyBorder="1"/>
    <xf numFmtId="170" fontId="4" fillId="19" borderId="44" xfId="7" applyNumberFormat="1" applyFont="1" applyFill="1" applyBorder="1"/>
    <xf numFmtId="9" fontId="0" fillId="0" borderId="0" xfId="0" applyNumberFormat="1" applyAlignment="1">
      <alignment horizontal="left"/>
    </xf>
    <xf numFmtId="0" fontId="36" fillId="7" borderId="48" xfId="0" applyFont="1" applyFill="1" applyBorder="1" applyAlignment="1">
      <alignment horizontal="center" vertical="center" wrapText="1"/>
    </xf>
    <xf numFmtId="0" fontId="0" fillId="0" borderId="49" xfId="0" applyBorder="1"/>
    <xf numFmtId="0" fontId="36" fillId="0" borderId="50" xfId="0" applyFont="1" applyBorder="1" applyAlignment="1">
      <alignment horizontal="left" vertical="center" wrapText="1"/>
    </xf>
    <xf numFmtId="0" fontId="4" fillId="16" borderId="89" xfId="0" applyFont="1" applyFill="1" applyBorder="1" applyAlignment="1">
      <alignment horizontal="center" vertical="center"/>
    </xf>
    <xf numFmtId="0" fontId="4" fillId="17" borderId="89" xfId="0" applyFont="1" applyFill="1" applyBorder="1" applyAlignment="1">
      <alignment horizontal="center" vertical="center"/>
    </xf>
    <xf numFmtId="0" fontId="41" fillId="0" borderId="0" xfId="0" applyFont="1" applyAlignment="1">
      <alignment horizontal="center"/>
    </xf>
    <xf numFmtId="0" fontId="42" fillId="0" borderId="0" xfId="0" applyFont="1"/>
    <xf numFmtId="170" fontId="4" fillId="20" borderId="44" xfId="7" applyNumberFormat="1" applyFont="1" applyFill="1" applyBorder="1"/>
    <xf numFmtId="172" fontId="0" fillId="0" borderId="0" xfId="7" applyNumberFormat="1" applyFont="1"/>
    <xf numFmtId="0" fontId="25" fillId="0" borderId="0" xfId="0" applyFont="1" applyAlignment="1">
      <alignment vertical="center" wrapText="1"/>
    </xf>
    <xf numFmtId="0" fontId="46" fillId="3" borderId="10" xfId="0" applyFont="1" applyFill="1" applyBorder="1" applyAlignment="1">
      <alignment horizontal="centerContinuous" vertical="center" wrapText="1"/>
    </xf>
    <xf numFmtId="0" fontId="24" fillId="3" borderId="10" xfId="0" applyFont="1" applyFill="1" applyBorder="1" applyAlignment="1">
      <alignment horizontal="centerContinuous" vertical="center" wrapText="1"/>
    </xf>
    <xf numFmtId="0" fontId="25" fillId="3" borderId="11" xfId="0" applyFont="1" applyFill="1" applyBorder="1" applyAlignment="1">
      <alignment horizontal="centerContinuous" vertical="center" wrapText="1"/>
    </xf>
    <xf numFmtId="0" fontId="25" fillId="3" borderId="12" xfId="0" applyFont="1" applyFill="1" applyBorder="1" applyAlignment="1">
      <alignment horizontal="centerContinuous" vertical="center" wrapText="1"/>
    </xf>
    <xf numFmtId="0" fontId="46" fillId="3" borderId="13" xfId="0" applyFont="1" applyFill="1" applyBorder="1" applyAlignment="1">
      <alignment horizontal="centerContinuous" vertical="center" wrapText="1"/>
    </xf>
    <xf numFmtId="0" fontId="46" fillId="3" borderId="0" xfId="0" applyFont="1" applyFill="1" applyBorder="1" applyAlignment="1">
      <alignment horizontal="centerContinuous" vertical="center" wrapText="1"/>
    </xf>
    <xf numFmtId="0" fontId="46" fillId="3" borderId="14" xfId="0" applyFont="1" applyFill="1" applyBorder="1" applyAlignment="1">
      <alignment horizontal="centerContinuous" vertical="center" wrapText="1"/>
    </xf>
    <xf numFmtId="0" fontId="24" fillId="0" borderId="2" xfId="0" applyFont="1" applyBorder="1" applyAlignment="1">
      <alignment vertical="center" wrapText="1"/>
    </xf>
    <xf numFmtId="3" fontId="24" fillId="0" borderId="1" xfId="0" applyNumberFormat="1" applyFont="1" applyBorder="1" applyAlignment="1">
      <alignment horizontal="center" vertical="center" wrapText="1"/>
    </xf>
    <xf numFmtId="0" fontId="24" fillId="0" borderId="3" xfId="0" applyFont="1" applyBorder="1" applyAlignment="1">
      <alignment horizontal="centerContinuous" vertical="center" wrapText="1"/>
    </xf>
    <xf numFmtId="166" fontId="24" fillId="0" borderId="1" xfId="0" applyNumberFormat="1" applyFont="1" applyBorder="1" applyAlignment="1">
      <alignment horizontal="center" vertical="center" wrapText="1"/>
    </xf>
    <xf numFmtId="0" fontId="25" fillId="0" borderId="2" xfId="0" applyFont="1" applyBorder="1" applyAlignment="1">
      <alignment vertical="center" wrapText="1"/>
    </xf>
    <xf numFmtId="3" fontId="25" fillId="0" borderId="1" xfId="0" applyNumberFormat="1" applyFont="1" applyBorder="1" applyAlignment="1">
      <alignment horizontal="center" vertical="center" wrapText="1"/>
    </xf>
    <xf numFmtId="3" fontId="25" fillId="0" borderId="3" xfId="0" applyNumberFormat="1" applyFont="1" applyBorder="1" applyAlignment="1">
      <alignment horizontal="center" vertical="center" wrapText="1"/>
    </xf>
    <xf numFmtId="3" fontId="25" fillId="0" borderId="4" xfId="0" applyNumberFormat="1" applyFont="1" applyBorder="1" applyAlignment="1">
      <alignment horizontal="centerContinuous" vertical="center" wrapText="1"/>
    </xf>
    <xf numFmtId="0" fontId="24" fillId="0" borderId="4" xfId="0" applyFont="1" applyBorder="1" applyAlignment="1">
      <alignment horizontal="centerContinuous" vertical="center" wrapText="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25" fillId="0" borderId="11" xfId="0" applyFont="1" applyBorder="1" applyAlignment="1">
      <alignment vertical="center" wrapText="1"/>
    </xf>
    <xf numFmtId="0" fontId="24" fillId="0" borderId="11" xfId="0" applyFont="1" applyBorder="1" applyAlignment="1">
      <alignment horizontal="centerContinuous" vertical="center" wrapText="1"/>
    </xf>
    <xf numFmtId="14" fontId="24" fillId="0" borderId="11" xfId="0" applyNumberFormat="1" applyFont="1" applyBorder="1" applyAlignment="1">
      <alignment horizontal="centerContinuous" vertical="center" wrapText="1"/>
    </xf>
    <xf numFmtId="0" fontId="24" fillId="0" borderId="12" xfId="0" applyFont="1" applyBorder="1" applyAlignment="1">
      <alignment horizontal="centerContinuous" vertical="center" wrapText="1"/>
    </xf>
    <xf numFmtId="0" fontId="24" fillId="0" borderId="1" xfId="0" applyFont="1" applyBorder="1" applyAlignment="1">
      <alignment horizontal="center" vertical="center" wrapText="1"/>
    </xf>
    <xf numFmtId="0" fontId="25" fillId="2" borderId="2" xfId="0" applyFont="1" applyFill="1" applyBorder="1" applyAlignment="1">
      <alignment horizontal="centerContinuous" vertical="center" wrapText="1"/>
    </xf>
    <xf numFmtId="0" fontId="25" fillId="2" borderId="3" xfId="0" applyFont="1" applyFill="1" applyBorder="1" applyAlignment="1">
      <alignment horizontal="centerContinuous" vertical="center" wrapText="1"/>
    </xf>
    <xf numFmtId="0" fontId="25" fillId="2" borderId="1" xfId="0" applyFont="1" applyFill="1" applyBorder="1" applyAlignment="1">
      <alignment horizontal="centerContinuous" vertical="center" wrapText="1"/>
    </xf>
    <xf numFmtId="0" fontId="25" fillId="0" borderId="2" xfId="0" applyFont="1" applyFill="1" applyBorder="1" applyAlignment="1">
      <alignment horizontal="centerContinuous" vertical="center" wrapText="1"/>
    </xf>
    <xf numFmtId="3" fontId="25" fillId="0" borderId="1" xfId="0" applyNumberFormat="1" applyFont="1" applyFill="1" applyBorder="1" applyAlignment="1">
      <alignment horizontal="center" vertical="center" wrapText="1"/>
    </xf>
    <xf numFmtId="0" fontId="24" fillId="0" borderId="2" xfId="0" applyFont="1" applyBorder="1" applyAlignment="1">
      <alignment horizontal="center" vertical="center" wrapText="1"/>
    </xf>
    <xf numFmtId="3" fontId="25" fillId="4" borderId="1" xfId="0" applyNumberFormat="1" applyFont="1" applyFill="1" applyBorder="1" applyAlignment="1">
      <alignment horizontal="center" vertical="center" wrapText="1"/>
    </xf>
    <xf numFmtId="0" fontId="24" fillId="0" borderId="2" xfId="0" applyFont="1" applyFill="1" applyBorder="1" applyAlignment="1">
      <alignment horizontal="left" vertical="center" wrapText="1"/>
    </xf>
    <xf numFmtId="0" fontId="24" fillId="0" borderId="3" xfId="0" applyFont="1" applyBorder="1" applyAlignment="1">
      <alignment horizontal="left" vertical="center" wrapText="1"/>
    </xf>
    <xf numFmtId="14" fontId="24" fillId="0" borderId="3" xfId="0" applyNumberFormat="1" applyFont="1" applyBorder="1" applyAlignment="1">
      <alignment horizontal="centerContinuous" vertical="center" wrapText="1"/>
    </xf>
    <xf numFmtId="14" fontId="24" fillId="0" borderId="4" xfId="0" applyNumberFormat="1" applyFont="1" applyBorder="1" applyAlignment="1">
      <alignment horizontal="centerContinuous" vertical="center" wrapText="1"/>
    </xf>
    <xf numFmtId="3" fontId="24" fillId="4" borderId="1" xfId="0" applyNumberFormat="1" applyFont="1" applyFill="1" applyBorder="1" applyAlignment="1">
      <alignment horizontal="center" vertical="center" wrapText="1"/>
    </xf>
    <xf numFmtId="3" fontId="24" fillId="0" borderId="3" xfId="0" applyNumberFormat="1" applyFont="1" applyBorder="1" applyAlignment="1">
      <alignment horizontal="center" vertical="center" wrapText="1"/>
    </xf>
    <xf numFmtId="9" fontId="24" fillId="0" borderId="4" xfId="1" applyFont="1" applyBorder="1" applyAlignment="1">
      <alignment horizontal="centerContinuous" vertical="center" wrapText="1"/>
    </xf>
    <xf numFmtId="0" fontId="24" fillId="0" borderId="2" xfId="0" applyFont="1" applyBorder="1" applyAlignment="1">
      <alignment horizontal="left" vertical="center" wrapText="1"/>
    </xf>
    <xf numFmtId="3" fontId="24" fillId="0" borderId="4" xfId="0" applyNumberFormat="1" applyFont="1" applyBorder="1" applyAlignment="1">
      <alignment horizontal="centerContinuous" vertical="center" wrapText="1"/>
    </xf>
    <xf numFmtId="15" fontId="26" fillId="2" borderId="5" xfId="0" applyNumberFormat="1" applyFont="1" applyFill="1" applyBorder="1" applyAlignment="1">
      <alignment horizontal="left" vertical="center"/>
    </xf>
    <xf numFmtId="0" fontId="47" fillId="0" borderId="0" xfId="0" applyFont="1" applyAlignment="1">
      <alignment vertical="center" wrapText="1"/>
    </xf>
    <xf numFmtId="0" fontId="25" fillId="0" borderId="0" xfId="0" applyFont="1" applyAlignment="1">
      <alignment vertical="center"/>
    </xf>
    <xf numFmtId="0" fontId="25" fillId="0" borderId="5" xfId="0" applyFont="1" applyBorder="1" applyAlignment="1">
      <alignment vertical="center" wrapText="1"/>
    </xf>
    <xf numFmtId="0" fontId="25" fillId="0" borderId="0" xfId="0" applyFont="1" applyAlignment="1">
      <alignment horizontal="right" vertical="center" wrapText="1"/>
    </xf>
    <xf numFmtId="0" fontId="24" fillId="0" borderId="0" xfId="0" applyFont="1" applyAlignment="1">
      <alignment vertical="center" wrapText="1"/>
    </xf>
    <xf numFmtId="0" fontId="45" fillId="0" borderId="0" xfId="2" applyFont="1"/>
    <xf numFmtId="0" fontId="45" fillId="0" borderId="0" xfId="2" applyFont="1" applyAlignment="1">
      <alignment horizontal="center"/>
    </xf>
    <xf numFmtId="0" fontId="48" fillId="0" borderId="0" xfId="2" applyFont="1" applyAlignment="1">
      <alignment horizontal="left"/>
    </xf>
    <xf numFmtId="0" fontId="45" fillId="2" borderId="10" xfId="0" applyFont="1" applyFill="1" applyBorder="1" applyAlignment="1">
      <alignment horizontal="center"/>
    </xf>
    <xf numFmtId="0" fontId="26" fillId="2" borderId="11" xfId="0" applyFont="1" applyFill="1" applyBorder="1"/>
    <xf numFmtId="0" fontId="26" fillId="2" borderId="12" xfId="0" applyFont="1" applyFill="1" applyBorder="1"/>
    <xf numFmtId="0" fontId="45" fillId="2" borderId="13" xfId="0" applyFont="1" applyFill="1" applyBorder="1" applyAlignment="1">
      <alignment horizontal="center"/>
    </xf>
    <xf numFmtId="0" fontId="45" fillId="0" borderId="2" xfId="0" applyFont="1" applyFill="1" applyBorder="1" applyAlignment="1"/>
    <xf numFmtId="0" fontId="45" fillId="0" borderId="3" xfId="0" applyFont="1" applyFill="1" applyBorder="1" applyAlignment="1"/>
    <xf numFmtId="0" fontId="45" fillId="2" borderId="0" xfId="0" applyFont="1" applyFill="1" applyBorder="1"/>
    <xf numFmtId="0" fontId="26" fillId="2" borderId="14" xfId="0" applyFont="1" applyFill="1" applyBorder="1" applyAlignment="1">
      <alignment horizontal="center"/>
    </xf>
    <xf numFmtId="0" fontId="45" fillId="2" borderId="14" xfId="0" applyFont="1" applyFill="1" applyBorder="1"/>
    <xf numFmtId="0" fontId="26" fillId="2" borderId="0" xfId="0" applyFont="1" applyFill="1" applyBorder="1"/>
    <xf numFmtId="15" fontId="45" fillId="0" borderId="1" xfId="0" applyNumberFormat="1" applyFont="1" applyFill="1" applyBorder="1" applyAlignment="1">
      <alignment horizontal="center" vertical="center"/>
    </xf>
    <xf numFmtId="0" fontId="26" fillId="2" borderId="14" xfId="0" applyFont="1" applyFill="1" applyBorder="1"/>
    <xf numFmtId="0" fontId="26" fillId="2" borderId="13" xfId="0" applyFont="1" applyFill="1" applyBorder="1" applyAlignment="1">
      <alignment horizontal="center"/>
    </xf>
    <xf numFmtId="0" fontId="45" fillId="0" borderId="1" xfId="0" applyFont="1" applyFill="1" applyBorder="1" applyAlignment="1">
      <alignment horizontal="left"/>
    </xf>
    <xf numFmtId="0" fontId="26" fillId="2" borderId="0" xfId="0" applyFont="1" applyFill="1" applyBorder="1" applyAlignment="1">
      <alignment horizontal="right"/>
    </xf>
    <xf numFmtId="0" fontId="26" fillId="2" borderId="0" xfId="0" applyFont="1" applyFill="1" applyBorder="1" applyAlignment="1">
      <alignment horizontal="left"/>
    </xf>
    <xf numFmtId="0" fontId="26" fillId="2" borderId="14" xfId="0" applyFont="1" applyFill="1" applyBorder="1" applyAlignment="1">
      <alignment horizontal="center" vertical="center"/>
    </xf>
    <xf numFmtId="15" fontId="45" fillId="0" borderId="1" xfId="0" applyNumberFormat="1" applyFont="1" applyFill="1" applyBorder="1" applyAlignment="1">
      <alignment horizontal="left"/>
    </xf>
    <xf numFmtId="0" fontId="26" fillId="2" borderId="15" xfId="0" applyFont="1" applyFill="1" applyBorder="1" applyAlignment="1">
      <alignment horizontal="center"/>
    </xf>
    <xf numFmtId="0" fontId="26" fillId="2" borderId="16" xfId="0" applyFont="1" applyFill="1" applyBorder="1" applyAlignment="1">
      <alignment horizontal="left"/>
    </xf>
    <xf numFmtId="0" fontId="45" fillId="2" borderId="16" xfId="0" applyFont="1" applyFill="1" applyBorder="1"/>
    <xf numFmtId="0" fontId="45" fillId="2" borderId="17" xfId="0" applyFont="1" applyFill="1" applyBorder="1"/>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3" fontId="1" fillId="0" borderId="1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31" fillId="0" borderId="1" xfId="0" applyFont="1" applyBorder="1" applyAlignment="1">
      <alignment horizontal="center"/>
    </xf>
    <xf numFmtId="0" fontId="25" fillId="4" borderId="1" xfId="0" applyFont="1" applyFill="1" applyBorder="1" applyAlignment="1">
      <alignment horizontal="center" vertical="center" wrapText="1"/>
    </xf>
    <xf numFmtId="0" fontId="25" fillId="4" borderId="1" xfId="0" applyFont="1" applyFill="1" applyBorder="1" applyAlignment="1">
      <alignment horizontal="left" vertical="center" wrapText="1"/>
    </xf>
    <xf numFmtId="14" fontId="1" fillId="0" borderId="1" xfId="0" applyNumberFormat="1" applyFont="1" applyBorder="1" applyAlignment="1">
      <alignment horizontal="center" vertical="center" wrapText="1"/>
    </xf>
    <xf numFmtId="0" fontId="0" fillId="0" borderId="22" xfId="0" applyFont="1" applyBorder="1"/>
    <xf numFmtId="1" fontId="0" fillId="0" borderId="43" xfId="0" applyNumberFormat="1" applyFont="1" applyBorder="1"/>
    <xf numFmtId="41" fontId="0" fillId="0" borderId="0" xfId="0" applyNumberFormat="1" applyFont="1"/>
    <xf numFmtId="49" fontId="4" fillId="6" borderId="0" xfId="0" applyNumberFormat="1" applyFont="1" applyFill="1"/>
    <xf numFmtId="0" fontId="4" fillId="0" borderId="9" xfId="0" applyFont="1" applyBorder="1" applyAlignment="1">
      <alignment horizontal="left" vertical="center"/>
    </xf>
    <xf numFmtId="41" fontId="4" fillId="0" borderId="8" xfId="5" applyFont="1" applyBorder="1" applyAlignment="1">
      <alignment horizontal="left" vertical="center"/>
    </xf>
    <xf numFmtId="41" fontId="4" fillId="0" borderId="9" xfId="5" applyFont="1" applyBorder="1" applyAlignment="1">
      <alignment horizontal="left" vertical="center"/>
    </xf>
    <xf numFmtId="41" fontId="4" fillId="0" borderId="41" xfId="5" applyFont="1" applyBorder="1" applyAlignment="1">
      <alignment horizontal="left" vertical="center" wrapText="1"/>
    </xf>
    <xf numFmtId="41" fontId="4" fillId="0" borderId="41" xfId="5" applyFont="1" applyBorder="1" applyAlignment="1">
      <alignment horizontal="left" vertical="center"/>
    </xf>
    <xf numFmtId="41" fontId="4" fillId="0" borderId="36" xfId="5" applyFont="1" applyBorder="1" applyAlignment="1">
      <alignment horizontal="left" vertical="center"/>
    </xf>
    <xf numFmtId="0" fontId="4" fillId="6" borderId="31" xfId="0" applyFont="1" applyFill="1" applyBorder="1" applyAlignment="1">
      <alignment horizontal="left"/>
    </xf>
    <xf numFmtId="41" fontId="4" fillId="6" borderId="32" xfId="5" applyFont="1" applyFill="1" applyBorder="1" applyAlignment="1">
      <alignment horizontal="left"/>
    </xf>
    <xf numFmtId="41" fontId="4" fillId="6" borderId="31" xfId="5" applyFont="1" applyFill="1" applyBorder="1" applyAlignment="1">
      <alignment horizontal="left"/>
    </xf>
    <xf numFmtId="41" fontId="4" fillId="6" borderId="42" xfId="5" applyFont="1" applyFill="1" applyBorder="1" applyAlignment="1">
      <alignment horizontal="left"/>
    </xf>
    <xf numFmtId="41" fontId="4" fillId="6" borderId="37" xfId="5" applyFont="1" applyFill="1" applyBorder="1" applyAlignment="1">
      <alignment horizontal="left"/>
    </xf>
    <xf numFmtId="0" fontId="4" fillId="6" borderId="28" xfId="0" applyFont="1" applyFill="1" applyBorder="1" applyAlignment="1">
      <alignment horizontal="left"/>
    </xf>
    <xf numFmtId="41" fontId="4" fillId="6" borderId="33" xfId="5" applyFont="1" applyFill="1" applyBorder="1" applyAlignment="1">
      <alignment horizontal="left"/>
    </xf>
    <xf numFmtId="41" fontId="4" fillId="6" borderId="28" xfId="5" applyFont="1" applyFill="1" applyBorder="1" applyAlignment="1">
      <alignment horizontal="left"/>
    </xf>
    <xf numFmtId="41" fontId="4" fillId="6" borderId="5" xfId="5" applyFont="1" applyFill="1" applyBorder="1" applyAlignment="1">
      <alignment horizontal="left"/>
    </xf>
    <xf numFmtId="41" fontId="4" fillId="6" borderId="39" xfId="5" applyFont="1" applyFill="1" applyBorder="1" applyAlignment="1">
      <alignment horizontal="left"/>
    </xf>
    <xf numFmtId="0" fontId="39" fillId="6" borderId="28" xfId="0" applyFont="1" applyFill="1" applyBorder="1" applyAlignment="1">
      <alignment horizontal="left"/>
    </xf>
    <xf numFmtId="41" fontId="39" fillId="6" borderId="33" xfId="5" applyFont="1" applyFill="1" applyBorder="1" applyAlignment="1">
      <alignment horizontal="left"/>
    </xf>
    <xf numFmtId="41" fontId="39" fillId="6" borderId="28" xfId="5" applyFont="1" applyFill="1" applyBorder="1" applyAlignment="1">
      <alignment horizontal="left"/>
    </xf>
    <xf numFmtId="41" fontId="39" fillId="6" borderId="5" xfId="5" applyFont="1" applyFill="1" applyBorder="1" applyAlignment="1">
      <alignment horizontal="left"/>
    </xf>
    <xf numFmtId="41" fontId="39" fillId="6" borderId="39" xfId="5" applyFont="1" applyFill="1" applyBorder="1" applyAlignment="1">
      <alignment horizontal="left"/>
    </xf>
    <xf numFmtId="0" fontId="4" fillId="6" borderId="30" xfId="0" applyFont="1" applyFill="1" applyBorder="1" applyAlignment="1">
      <alignment horizontal="left"/>
    </xf>
    <xf numFmtId="41" fontId="4" fillId="6" borderId="34" xfId="5" applyFont="1" applyFill="1" applyBorder="1" applyAlignment="1">
      <alignment horizontal="left"/>
    </xf>
    <xf numFmtId="41" fontId="4" fillId="6" borderId="30" xfId="5" applyFont="1" applyFill="1" applyBorder="1" applyAlignment="1">
      <alignment horizontal="left"/>
    </xf>
    <xf numFmtId="41" fontId="4" fillId="6" borderId="41" xfId="5" applyFont="1" applyFill="1" applyBorder="1" applyAlignment="1">
      <alignment horizontal="left"/>
    </xf>
    <xf numFmtId="41" fontId="4" fillId="6" borderId="40" xfId="5" applyFont="1" applyFill="1" applyBorder="1" applyAlignment="1">
      <alignment horizontal="left"/>
    </xf>
    <xf numFmtId="41" fontId="0" fillId="18" borderId="0" xfId="0" applyNumberFormat="1" applyFont="1" applyFill="1"/>
    <xf numFmtId="173" fontId="0" fillId="0" borderId="0" xfId="0" applyNumberFormat="1" applyFont="1"/>
    <xf numFmtId="49" fontId="1" fillId="0" borderId="1" xfId="0" applyNumberFormat="1" applyFont="1" applyBorder="1" applyAlignment="1">
      <alignment horizontal="center" vertical="center" wrapText="1"/>
    </xf>
    <xf numFmtId="0" fontId="0" fillId="0" borderId="0" xfId="0" applyProtection="1">
      <protection locked="0"/>
    </xf>
    <xf numFmtId="41" fontId="0" fillId="4" borderId="43" xfId="5" applyFont="1" applyFill="1" applyBorder="1"/>
    <xf numFmtId="41" fontId="40" fillId="4" borderId="43" xfId="5" applyFont="1" applyFill="1" applyBorder="1"/>
    <xf numFmtId="41" fontId="4" fillId="4" borderId="43" xfId="5" applyFont="1" applyFill="1" applyBorder="1"/>
    <xf numFmtId="0" fontId="3" fillId="0" borderId="0" xfId="0" applyFont="1" applyAlignment="1">
      <alignment vertical="center" wrapText="1"/>
    </xf>
    <xf numFmtId="0" fontId="3" fillId="3" borderId="11" xfId="0" applyFont="1" applyFill="1" applyBorder="1" applyAlignment="1">
      <alignment horizontal="centerContinuous" vertical="center" wrapText="1"/>
    </xf>
    <xf numFmtId="0" fontId="49" fillId="3" borderId="0" xfId="0" applyFont="1" applyFill="1" applyBorder="1" applyAlignment="1">
      <alignment horizontal="centerContinuous" vertical="center" wrapText="1"/>
    </xf>
    <xf numFmtId="0" fontId="4" fillId="0" borderId="2" xfId="0" applyFont="1" applyBorder="1" applyAlignment="1">
      <alignment vertical="center" wrapText="1"/>
    </xf>
    <xf numFmtId="3" fontId="4" fillId="0" borderId="1" xfId="0" applyNumberFormat="1" applyFont="1" applyBorder="1" applyAlignment="1">
      <alignment horizontal="center" vertical="center" wrapText="1"/>
    </xf>
    <xf numFmtId="0" fontId="3" fillId="0" borderId="2" xfId="0" applyFont="1" applyBorder="1" applyAlignment="1">
      <alignment vertical="center" wrapText="1"/>
    </xf>
    <xf numFmtId="3" fontId="3" fillId="0" borderId="1"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4" xfId="0" applyNumberFormat="1" applyFont="1" applyBorder="1" applyAlignment="1">
      <alignment horizontal="centerContinuous" vertical="center" wrapText="1"/>
    </xf>
    <xf numFmtId="0" fontId="4" fillId="0" borderId="4"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1" xfId="0" applyFont="1" applyBorder="1" applyAlignment="1">
      <alignment horizontal="centerContinuous"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1" xfId="0" applyFont="1" applyBorder="1" applyAlignment="1">
      <alignment vertical="center" wrapText="1"/>
    </xf>
    <xf numFmtId="0" fontId="4" fillId="0" borderId="11" xfId="0" applyFont="1" applyBorder="1" applyAlignment="1">
      <alignment horizontal="centerContinuous" vertical="center" wrapText="1"/>
    </xf>
    <xf numFmtId="0" fontId="40" fillId="0" borderId="0" xfId="2" applyFont="1"/>
    <xf numFmtId="0" fontId="49" fillId="3" borderId="10" xfId="0" applyFont="1" applyFill="1" applyBorder="1" applyAlignment="1">
      <alignment horizontal="centerContinuous" vertical="center" wrapText="1"/>
    </xf>
    <xf numFmtId="0" fontId="4" fillId="3" borderId="10" xfId="0" applyFont="1" applyFill="1" applyBorder="1" applyAlignment="1">
      <alignment horizontal="centerContinuous" vertical="center" wrapText="1"/>
    </xf>
    <xf numFmtId="0" fontId="40" fillId="2" borderId="10" xfId="0" applyFont="1" applyFill="1" applyBorder="1" applyAlignment="1">
      <alignment horizontal="center"/>
    </xf>
    <xf numFmtId="0" fontId="39" fillId="2" borderId="11" xfId="0" applyFont="1" applyFill="1" applyBorder="1"/>
    <xf numFmtId="0" fontId="39" fillId="2" borderId="12" xfId="0" applyFont="1" applyFill="1" applyBorder="1"/>
    <xf numFmtId="0" fontId="40" fillId="2" borderId="13" xfId="0" applyFont="1" applyFill="1" applyBorder="1" applyAlignment="1">
      <alignment horizontal="center"/>
    </xf>
    <xf numFmtId="0" fontId="40" fillId="0" borderId="2" xfId="0" applyFont="1" applyFill="1" applyBorder="1" applyAlignment="1"/>
    <xf numFmtId="0" fontId="40" fillId="0" borderId="3" xfId="0" applyFont="1" applyFill="1" applyBorder="1" applyAlignment="1"/>
    <xf numFmtId="0" fontId="40" fillId="2" borderId="0" xfId="0" applyFont="1" applyFill="1" applyBorder="1"/>
    <xf numFmtId="0" fontId="39" fillId="2" borderId="14" xfId="0" applyFont="1" applyFill="1" applyBorder="1" applyAlignment="1">
      <alignment horizontal="center"/>
    </xf>
    <xf numFmtId="0" fontId="40" fillId="2" borderId="14" xfId="0" applyFont="1" applyFill="1" applyBorder="1"/>
    <xf numFmtId="0" fontId="39" fillId="2" borderId="0" xfId="0" applyFont="1" applyFill="1" applyBorder="1"/>
    <xf numFmtId="15" fontId="40" fillId="0" borderId="1" xfId="0" applyNumberFormat="1" applyFont="1" applyFill="1" applyBorder="1" applyAlignment="1">
      <alignment horizontal="center" vertical="center"/>
    </xf>
    <xf numFmtId="0" fontId="39" fillId="2" borderId="14" xfId="0" applyFont="1" applyFill="1" applyBorder="1"/>
    <xf numFmtId="0" fontId="39" fillId="2" borderId="13" xfId="0" applyFont="1" applyFill="1" applyBorder="1" applyAlignment="1">
      <alignment horizontal="center"/>
    </xf>
    <xf numFmtId="0" fontId="40" fillId="0" borderId="1" xfId="0" applyFont="1" applyFill="1" applyBorder="1" applyAlignment="1">
      <alignment horizontal="left"/>
    </xf>
    <xf numFmtId="0" fontId="39" fillId="2" borderId="0" xfId="0" applyFont="1" applyFill="1" applyBorder="1" applyAlignment="1">
      <alignment horizontal="right"/>
    </xf>
    <xf numFmtId="0" fontId="39" fillId="2" borderId="0" xfId="0" applyFont="1" applyFill="1" applyBorder="1" applyAlignment="1">
      <alignment horizontal="left"/>
    </xf>
    <xf numFmtId="0" fontId="39" fillId="2" borderId="14" xfId="0" applyFont="1" applyFill="1" applyBorder="1" applyAlignment="1">
      <alignment horizontal="center" vertical="center"/>
    </xf>
    <xf numFmtId="15" fontId="40" fillId="0" borderId="1" xfId="0" applyNumberFormat="1" applyFont="1" applyFill="1" applyBorder="1" applyAlignment="1">
      <alignment horizontal="left"/>
    </xf>
    <xf numFmtId="0" fontId="39" fillId="2" borderId="15" xfId="0" applyFont="1" applyFill="1" applyBorder="1" applyAlignment="1">
      <alignment horizontal="center"/>
    </xf>
    <xf numFmtId="0" fontId="39" fillId="2" borderId="16" xfId="0" applyFont="1" applyFill="1" applyBorder="1" applyAlignment="1">
      <alignment horizontal="left"/>
    </xf>
    <xf numFmtId="0" fontId="40" fillId="2" borderId="16" xfId="0" applyFont="1" applyFill="1" applyBorder="1"/>
    <xf numFmtId="0" fontId="40" fillId="2" borderId="17" xfId="0" applyFont="1" applyFill="1" applyBorder="1"/>
    <xf numFmtId="0" fontId="49" fillId="3" borderId="13" xfId="0" applyFont="1" applyFill="1" applyBorder="1" applyAlignment="1">
      <alignment horizontal="centerContinuous" vertical="center" wrapText="1"/>
    </xf>
    <xf numFmtId="0" fontId="4" fillId="0" borderId="1" xfId="0" applyFont="1" applyBorder="1" applyAlignment="1">
      <alignment horizontal="left" vertical="center" wrapText="1"/>
    </xf>
    <xf numFmtId="166" fontId="4"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9" fillId="2" borderId="5" xfId="0" applyFont="1" applyFill="1" applyBorder="1" applyAlignment="1">
      <alignment horizontal="right" vertical="center"/>
    </xf>
    <xf numFmtId="15" fontId="39" fillId="2" borderId="5" xfId="0" applyNumberFormat="1" applyFont="1" applyFill="1" applyBorder="1" applyAlignment="1">
      <alignment horizontal="left" vertical="center"/>
    </xf>
    <xf numFmtId="15" fontId="39" fillId="2" borderId="24" xfId="0" applyNumberFormat="1" applyFont="1" applyFill="1" applyBorder="1" applyAlignment="1">
      <alignment horizontal="left" vertical="center"/>
    </xf>
    <xf numFmtId="15" fontId="39" fillId="2" borderId="25" xfId="0" applyNumberFormat="1" applyFont="1" applyFill="1" applyBorder="1" applyAlignment="1">
      <alignment horizontal="left" vertical="center"/>
    </xf>
    <xf numFmtId="0" fontId="0" fillId="0" borderId="0" xfId="0" applyFont="1" applyAlignment="1">
      <alignment vertical="center" wrapText="1"/>
    </xf>
    <xf numFmtId="0" fontId="50" fillId="0" borderId="0" xfId="2" applyFont="1"/>
    <xf numFmtId="0" fontId="50" fillId="0" borderId="0" xfId="2" applyFont="1" applyAlignment="1">
      <alignment horizontal="center"/>
    </xf>
    <xf numFmtId="0" fontId="51" fillId="0" borderId="0" xfId="2" applyFont="1" applyAlignment="1">
      <alignment horizontal="left"/>
    </xf>
    <xf numFmtId="0" fontId="52" fillId="3" borderId="10" xfId="0" applyFont="1" applyFill="1" applyBorder="1" applyAlignment="1">
      <alignment horizontal="centerContinuous" vertical="center" wrapText="1"/>
    </xf>
    <xf numFmtId="0" fontId="53" fillId="3" borderId="10" xfId="0" applyFont="1" applyFill="1" applyBorder="1" applyAlignment="1">
      <alignment horizontal="centerContinuous" vertical="center" wrapText="1"/>
    </xf>
    <xf numFmtId="0" fontId="54" fillId="3" borderId="11" xfId="0" applyFont="1" applyFill="1" applyBorder="1" applyAlignment="1">
      <alignment horizontal="centerContinuous" vertical="center" wrapText="1"/>
    </xf>
    <xf numFmtId="0" fontId="0" fillId="3" borderId="11" xfId="0" applyFont="1" applyFill="1" applyBorder="1" applyAlignment="1">
      <alignment horizontal="centerContinuous" vertical="center" wrapText="1"/>
    </xf>
    <xf numFmtId="0" fontId="0" fillId="3" borderId="12" xfId="0" applyFont="1" applyFill="1" applyBorder="1" applyAlignment="1">
      <alignment horizontal="centerContinuous" vertical="center" wrapText="1"/>
    </xf>
    <xf numFmtId="0" fontId="50" fillId="2" borderId="10" xfId="0" applyFont="1" applyFill="1" applyBorder="1" applyAlignment="1">
      <alignment horizontal="center"/>
    </xf>
    <xf numFmtId="0" fontId="55" fillId="2" borderId="11" xfId="0" applyFont="1" applyFill="1" applyBorder="1"/>
    <xf numFmtId="0" fontId="55" fillId="2" borderId="12" xfId="0" applyFont="1" applyFill="1" applyBorder="1"/>
    <xf numFmtId="0" fontId="56" fillId="2" borderId="11" xfId="0" applyFont="1" applyFill="1" applyBorder="1"/>
    <xf numFmtId="0" fontId="56" fillId="2" borderId="12" xfId="0" applyFont="1" applyFill="1" applyBorder="1"/>
    <xf numFmtId="0" fontId="50" fillId="2" borderId="13" xfId="0" applyFont="1" applyFill="1" applyBorder="1" applyAlignment="1">
      <alignment horizontal="center"/>
    </xf>
    <xf numFmtId="0" fontId="57" fillId="0" borderId="2" xfId="0" applyFont="1" applyFill="1" applyBorder="1" applyAlignment="1"/>
    <xf numFmtId="0" fontId="57" fillId="0" borderId="3" xfId="0" applyFont="1" applyFill="1" applyBorder="1" applyAlignment="1"/>
    <xf numFmtId="0" fontId="57" fillId="2" borderId="0" xfId="0" applyFont="1" applyFill="1" applyBorder="1"/>
    <xf numFmtId="0" fontId="55" fillId="2" borderId="14" xfId="0" applyFont="1" applyFill="1" applyBorder="1" applyAlignment="1">
      <alignment horizontal="center"/>
    </xf>
    <xf numFmtId="0" fontId="50" fillId="2" borderId="0" xfId="0" applyFont="1" applyFill="1" applyBorder="1"/>
    <xf numFmtId="0" fontId="50" fillId="2" borderId="14" xfId="0" applyFont="1" applyFill="1" applyBorder="1"/>
    <xf numFmtId="0" fontId="55" fillId="2" borderId="0" xfId="0" applyFont="1" applyFill="1" applyBorder="1"/>
    <xf numFmtId="15" fontId="57" fillId="0" borderId="1" xfId="0" applyNumberFormat="1" applyFont="1" applyFill="1" applyBorder="1" applyAlignment="1">
      <alignment horizontal="center" vertical="center"/>
    </xf>
    <xf numFmtId="0" fontId="56" fillId="2" borderId="0" xfId="0" applyFont="1" applyFill="1" applyBorder="1"/>
    <xf numFmtId="0" fontId="56" fillId="2" borderId="14" xfId="0" applyFont="1" applyFill="1" applyBorder="1"/>
    <xf numFmtId="0" fontId="56" fillId="2" borderId="13" xfId="0" applyFont="1" applyFill="1" applyBorder="1" applyAlignment="1">
      <alignment horizontal="center"/>
    </xf>
    <xf numFmtId="0" fontId="57" fillId="0" borderId="1" xfId="0" applyFont="1" applyFill="1" applyBorder="1" applyAlignment="1">
      <alignment horizontal="left"/>
    </xf>
    <xf numFmtId="0" fontId="55" fillId="2" borderId="0" xfId="0" applyFont="1" applyFill="1" applyBorder="1" applyAlignment="1">
      <alignment horizontal="right"/>
    </xf>
    <xf numFmtId="0" fontId="57" fillId="2" borderId="14" xfId="0" applyFont="1" applyFill="1" applyBorder="1"/>
    <xf numFmtId="0" fontId="55" fillId="2" borderId="0" xfId="0" applyFont="1" applyFill="1" applyBorder="1" applyAlignment="1">
      <alignment horizontal="left"/>
    </xf>
    <xf numFmtId="0" fontId="55" fillId="2" borderId="14" xfId="0" applyFont="1" applyFill="1" applyBorder="1" applyAlignment="1">
      <alignment horizontal="center" vertical="center"/>
    </xf>
    <xf numFmtId="0" fontId="56" fillId="2" borderId="0" xfId="0" applyFont="1" applyFill="1" applyBorder="1" applyAlignment="1">
      <alignment horizontal="left"/>
    </xf>
    <xf numFmtId="0" fontId="56" fillId="2" borderId="14" xfId="0" applyFont="1" applyFill="1" applyBorder="1" applyAlignment="1">
      <alignment horizontal="center" vertical="center"/>
    </xf>
    <xf numFmtId="15" fontId="57" fillId="0" borderId="1" xfId="0" applyNumberFormat="1" applyFont="1" applyFill="1" applyBorder="1" applyAlignment="1">
      <alignment horizontal="left"/>
    </xf>
    <xf numFmtId="0" fontId="56" fillId="2" borderId="15" xfId="0" applyFont="1" applyFill="1" applyBorder="1" applyAlignment="1">
      <alignment horizontal="center"/>
    </xf>
    <xf numFmtId="0" fontId="55" fillId="2" borderId="16" xfId="0" applyFont="1" applyFill="1" applyBorder="1" applyAlignment="1">
      <alignment horizontal="left"/>
    </xf>
    <xf numFmtId="0" fontId="57" fillId="2" borderId="16" xfId="0" applyFont="1" applyFill="1" applyBorder="1"/>
    <xf numFmtId="0" fontId="57" fillId="2" borderId="17" xfId="0" applyFont="1" applyFill="1" applyBorder="1"/>
    <xf numFmtId="0" fontId="50" fillId="2" borderId="16" xfId="0" applyFont="1" applyFill="1" applyBorder="1"/>
    <xf numFmtId="0" fontId="50" fillId="2" borderId="17" xfId="0" applyFont="1" applyFill="1" applyBorder="1"/>
    <xf numFmtId="0" fontId="58" fillId="3" borderId="13" xfId="0" applyFont="1" applyFill="1" applyBorder="1" applyAlignment="1">
      <alignment horizontal="centerContinuous" vertical="center" wrapText="1"/>
    </xf>
    <xf numFmtId="0" fontId="58" fillId="3" borderId="0" xfId="0" applyFont="1" applyFill="1" applyBorder="1" applyAlignment="1">
      <alignment horizontal="centerContinuous" vertical="center" wrapText="1"/>
    </xf>
    <xf numFmtId="0" fontId="49" fillId="3" borderId="14" xfId="0" applyFont="1" applyFill="1" applyBorder="1" applyAlignment="1">
      <alignment horizontal="centerContinuous" vertical="center" wrapText="1"/>
    </xf>
    <xf numFmtId="0" fontId="20" fillId="0" borderId="1" xfId="0" applyFont="1" applyBorder="1" applyAlignment="1">
      <alignment horizontal="left" vertical="center" wrapText="1"/>
    </xf>
    <xf numFmtId="166" fontId="59" fillId="0" borderId="1" xfId="0" applyNumberFormat="1" applyFont="1" applyBorder="1" applyAlignment="1">
      <alignment horizontal="center" vertical="center" wrapText="1"/>
    </xf>
    <xf numFmtId="0" fontId="31" fillId="0" borderId="1" xfId="0" applyFont="1" applyBorder="1" applyAlignment="1">
      <alignment horizontal="left" vertical="center" wrapText="1"/>
    </xf>
    <xf numFmtId="0" fontId="0" fillId="0" borderId="2" xfId="0" applyFont="1" applyBorder="1" applyAlignment="1">
      <alignment vertical="center" wrapText="1"/>
    </xf>
    <xf numFmtId="3" fontId="0" fillId="0" borderId="1" xfId="0" applyNumberFormat="1" applyFont="1" applyBorder="1" applyAlignment="1">
      <alignment horizontal="center" vertical="center" wrapText="1"/>
    </xf>
    <xf numFmtId="3" fontId="0" fillId="0" borderId="3" xfId="0" applyNumberFormat="1" applyFont="1" applyBorder="1" applyAlignment="1">
      <alignment horizontal="center" vertical="center" wrapText="1"/>
    </xf>
    <xf numFmtId="3" fontId="0" fillId="0" borderId="4" xfId="0" applyNumberFormat="1" applyFont="1" applyBorder="1" applyAlignment="1">
      <alignment horizontal="centerContinuous"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0" fillId="0" borderId="11" xfId="0" applyFont="1" applyBorder="1" applyAlignment="1">
      <alignment vertical="center" wrapText="1"/>
    </xf>
    <xf numFmtId="14" fontId="4" fillId="0" borderId="11" xfId="0" applyNumberFormat="1" applyFont="1" applyBorder="1" applyAlignment="1">
      <alignment horizontal="centerContinuous" vertical="center" wrapText="1"/>
    </xf>
    <xf numFmtId="0" fontId="4" fillId="0" borderId="12" xfId="0" applyFont="1" applyBorder="1" applyAlignment="1">
      <alignment horizontal="centerContinuous" vertical="center" wrapText="1"/>
    </xf>
    <xf numFmtId="0" fontId="4" fillId="0" borderId="1" xfId="0" applyFont="1" applyBorder="1" applyAlignment="1">
      <alignment horizontal="center" vertical="center" wrapText="1"/>
    </xf>
    <xf numFmtId="0" fontId="60" fillId="2" borderId="2" xfId="0" applyFont="1" applyFill="1" applyBorder="1" applyAlignment="1">
      <alignment horizontal="centerContinuous" vertical="center" wrapText="1"/>
    </xf>
    <xf numFmtId="0" fontId="60" fillId="2" borderId="3" xfId="0" applyFont="1" applyFill="1" applyBorder="1" applyAlignment="1">
      <alignment horizontal="centerContinuous" vertical="center" wrapText="1"/>
    </xf>
    <xf numFmtId="0" fontId="0" fillId="2" borderId="1" xfId="0" applyFont="1" applyFill="1" applyBorder="1" applyAlignment="1">
      <alignment horizontal="centerContinuous" vertical="center" wrapText="1"/>
    </xf>
    <xf numFmtId="0" fontId="0" fillId="0" borderId="1" xfId="0"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Font="1" applyBorder="1" applyAlignment="1">
      <alignment horizontal="left" vertical="center" wrapText="1"/>
    </xf>
    <xf numFmtId="3" fontId="0" fillId="0" borderId="1" xfId="0" applyNumberFormat="1" applyFont="1" applyFill="1" applyBorder="1" applyAlignment="1">
      <alignment horizontal="center" vertical="center" wrapText="1"/>
    </xf>
    <xf numFmtId="3" fontId="0" fillId="4" borderId="1" xfId="0" applyNumberFormat="1" applyFont="1" applyFill="1" applyBorder="1" applyAlignment="1">
      <alignment horizontal="center" vertical="center" wrapText="1"/>
    </xf>
    <xf numFmtId="0" fontId="61" fillId="0" borderId="2" xfId="0" applyFont="1" applyBorder="1" applyAlignment="1">
      <alignment horizontal="left" vertical="center" wrapText="1"/>
    </xf>
    <xf numFmtId="0" fontId="61" fillId="0" borderId="3" xfId="0" applyFont="1" applyBorder="1" applyAlignment="1">
      <alignment horizontal="left" vertical="center" wrapText="1"/>
    </xf>
    <xf numFmtId="14" fontId="61" fillId="0" borderId="3" xfId="0" applyNumberFormat="1" applyFont="1" applyBorder="1" applyAlignment="1">
      <alignment horizontal="centerContinuous" vertical="center" wrapText="1"/>
    </xf>
    <xf numFmtId="14" fontId="4" fillId="0" borderId="4" xfId="0" applyNumberFormat="1" applyFont="1" applyBorder="1" applyAlignment="1">
      <alignment horizontal="centerContinuous" vertical="center" wrapText="1"/>
    </xf>
    <xf numFmtId="0" fontId="62" fillId="0" borderId="0" xfId="0" applyFont="1" applyAlignment="1">
      <alignment vertical="center" wrapText="1"/>
    </xf>
    <xf numFmtId="0" fontId="61" fillId="0" borderId="3" xfId="0" applyFont="1" applyBorder="1" applyAlignment="1">
      <alignment horizontal="centerContinuous" vertical="center" wrapText="1"/>
    </xf>
    <xf numFmtId="14" fontId="4" fillId="0" borderId="3" xfId="0" applyNumberFormat="1" applyFont="1" applyBorder="1" applyAlignment="1">
      <alignment horizontal="centerContinuous" vertical="center" wrapText="1"/>
    </xf>
    <xf numFmtId="3" fontId="4" fillId="0" borderId="3" xfId="0" applyNumberFormat="1" applyFont="1" applyBorder="1" applyAlignment="1">
      <alignment horizontal="center" vertical="center" wrapText="1"/>
    </xf>
    <xf numFmtId="9" fontId="4" fillId="0" borderId="4" xfId="1" applyFont="1" applyBorder="1" applyAlignment="1">
      <alignment horizontal="centerContinuous" vertical="center" wrapText="1"/>
    </xf>
    <xf numFmtId="3" fontId="4" fillId="0" borderId="4" xfId="0" applyNumberFormat="1" applyFont="1" applyBorder="1" applyAlignment="1">
      <alignment horizontal="centerContinuous" vertical="center" wrapText="1"/>
    </xf>
    <xf numFmtId="0" fontId="56" fillId="2" borderId="5" xfId="0" applyFont="1" applyFill="1" applyBorder="1" applyAlignment="1">
      <alignment horizontal="right" vertical="center"/>
    </xf>
    <xf numFmtId="15" fontId="56" fillId="2" borderId="5" xfId="0" applyNumberFormat="1" applyFont="1" applyFill="1" applyBorder="1" applyAlignment="1">
      <alignment horizontal="left" vertical="center"/>
    </xf>
    <xf numFmtId="9" fontId="0" fillId="0" borderId="0" xfId="1" applyFont="1" applyAlignment="1">
      <alignment vertical="center" wrapText="1"/>
    </xf>
    <xf numFmtId="41" fontId="0" fillId="0" borderId="0" xfId="5" applyFont="1" applyAlignment="1">
      <alignment vertical="center" wrapText="1"/>
    </xf>
    <xf numFmtId="0" fontId="63" fillId="0" borderId="0" xfId="0" applyFont="1" applyAlignment="1">
      <alignment vertical="center" wrapText="1"/>
    </xf>
    <xf numFmtId="0" fontId="60" fillId="0" borderId="0" xfId="0" applyFont="1" applyAlignment="1">
      <alignment vertical="center"/>
    </xf>
    <xf numFmtId="0" fontId="60" fillId="0" borderId="0" xfId="0" applyFont="1" applyAlignment="1">
      <alignment vertical="center" wrapText="1"/>
    </xf>
    <xf numFmtId="0" fontId="60" fillId="0" borderId="5" xfId="0" applyFont="1" applyBorder="1" applyAlignment="1">
      <alignment vertical="center" wrapText="1"/>
    </xf>
    <xf numFmtId="0" fontId="60" fillId="0" borderId="0" xfId="0" applyFont="1" applyAlignment="1">
      <alignment horizontal="right" vertical="center" wrapText="1"/>
    </xf>
    <xf numFmtId="0" fontId="64" fillId="0" borderId="0" xfId="0" applyFont="1" applyAlignment="1">
      <alignment vertical="center" wrapText="1"/>
    </xf>
    <xf numFmtId="0" fontId="40" fillId="0" borderId="0" xfId="2" applyFont="1" applyAlignment="1">
      <alignment horizontal="center"/>
    </xf>
    <xf numFmtId="0" fontId="65" fillId="0" borderId="0" xfId="2" applyFont="1" applyAlignment="1">
      <alignment horizontal="left"/>
    </xf>
    <xf numFmtId="0" fontId="0" fillId="2" borderId="2" xfId="0" applyFont="1" applyFill="1" applyBorder="1" applyAlignment="1">
      <alignment horizontal="centerContinuous" vertical="center" wrapText="1"/>
    </xf>
    <xf numFmtId="0" fontId="0" fillId="2" borderId="3" xfId="0" applyFont="1" applyFill="1" applyBorder="1" applyAlignment="1">
      <alignment horizontal="centerContinuous"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66" fillId="0" borderId="0" xfId="0" applyFont="1" applyAlignment="1">
      <alignment vertical="center" wrapText="1"/>
    </xf>
    <xf numFmtId="0" fontId="0" fillId="0" borderId="0" xfId="0" applyFont="1" applyAlignment="1">
      <alignment vertical="center"/>
    </xf>
    <xf numFmtId="0" fontId="0" fillId="0" borderId="5" xfId="0" applyFont="1" applyBorder="1" applyAlignment="1">
      <alignment vertical="center" wrapText="1"/>
    </xf>
    <xf numFmtId="0" fontId="0" fillId="0" borderId="0" xfId="0" applyFont="1" applyAlignment="1">
      <alignment horizontal="right" vertical="center" wrapText="1"/>
    </xf>
    <xf numFmtId="0" fontId="4" fillId="0" borderId="0" xfId="0" applyFont="1" applyAlignment="1">
      <alignment vertical="center" wrapText="1"/>
    </xf>
    <xf numFmtId="3" fontId="4" fillId="0" borderId="90" xfId="0" applyNumberFormat="1" applyFont="1" applyBorder="1" applyAlignment="1">
      <alignment horizontal="center" vertical="center" wrapText="1"/>
    </xf>
    <xf numFmtId="3" fontId="3" fillId="0" borderId="1" xfId="0" applyNumberFormat="1" applyFont="1" applyBorder="1" applyAlignment="1">
      <alignment horizontal="center"/>
    </xf>
    <xf numFmtId="3" fontId="3" fillId="0" borderId="11"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41" fontId="4" fillId="0" borderId="4" xfId="5" applyFont="1" applyBorder="1" applyAlignment="1">
      <alignment horizontal="centerContinuous" vertical="center" wrapText="1"/>
    </xf>
    <xf numFmtId="41" fontId="4" fillId="0" borderId="1" xfId="5" applyFont="1" applyBorder="1" applyAlignment="1">
      <alignment horizontal="centerContinuous" vertical="center" wrapText="1"/>
    </xf>
    <xf numFmtId="41" fontId="4" fillId="0" borderId="1" xfId="5" applyFont="1" applyBorder="1" applyAlignment="1">
      <alignment horizontal="center" vertical="center" wrapText="1"/>
    </xf>
    <xf numFmtId="0" fontId="0" fillId="0" borderId="3" xfId="0" applyFont="1" applyBorder="1" applyAlignment="1">
      <alignment horizontal="left" vertical="center" wrapText="1"/>
    </xf>
    <xf numFmtId="0" fontId="0" fillId="0" borderId="3" xfId="0" applyFont="1" applyBorder="1" applyAlignment="1">
      <alignment vertical="center" wrapText="1"/>
    </xf>
    <xf numFmtId="3" fontId="4" fillId="2" borderId="1" xfId="0" applyNumberFormat="1" applyFont="1" applyFill="1" applyBorder="1" applyAlignment="1">
      <alignment horizontal="center" vertical="center" wrapText="1"/>
    </xf>
    <xf numFmtId="14" fontId="4" fillId="2" borderId="4" xfId="0" applyNumberFormat="1" applyFont="1" applyFill="1" applyBorder="1" applyAlignment="1">
      <alignment horizontal="centerContinuous"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14" fontId="4" fillId="2" borderId="3" xfId="0" applyNumberFormat="1" applyFont="1" applyFill="1" applyBorder="1" applyAlignment="1">
      <alignment horizontal="centerContinuous"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4" fillId="0" borderId="0" xfId="0" applyFont="1" applyBorder="1" applyAlignment="1">
      <alignment horizontal="centerContinuous" vertical="center" wrapText="1"/>
    </xf>
    <xf numFmtId="168" fontId="0" fillId="0" borderId="0" xfId="6" applyNumberFormat="1" applyFont="1" applyAlignment="1">
      <alignment vertical="center" wrapText="1"/>
    </xf>
    <xf numFmtId="169" fontId="0" fillId="0" borderId="0" xfId="0" applyNumberFormat="1" applyFont="1" applyAlignment="1">
      <alignment vertical="center" wrapText="1"/>
    </xf>
    <xf numFmtId="0" fontId="0" fillId="0" borderId="29" xfId="0" applyFont="1" applyFill="1" applyBorder="1" applyAlignment="1">
      <alignment horizontal="left"/>
    </xf>
    <xf numFmtId="0" fontId="0" fillId="0" borderId="0" xfId="0" applyFont="1" applyFill="1" applyBorder="1" applyAlignment="1">
      <alignment horizontal="left"/>
    </xf>
    <xf numFmtId="3" fontId="0" fillId="0" borderId="4" xfId="0" applyNumberFormat="1" applyFont="1" applyBorder="1" applyAlignment="1">
      <alignment horizontal="center" vertical="center" wrapText="1"/>
    </xf>
    <xf numFmtId="0" fontId="0" fillId="0" borderId="2" xfId="0" applyFont="1" applyBorder="1" applyAlignment="1">
      <alignment vertical="top" wrapText="1"/>
    </xf>
    <xf numFmtId="0" fontId="40" fillId="0" borderId="0" xfId="2" applyFont="1" applyAlignment="1">
      <alignment horizontal="right"/>
    </xf>
    <xf numFmtId="0" fontId="40" fillId="0" borderId="0" xfId="2" applyFont="1" applyAlignment="1">
      <alignment horizontal="left"/>
    </xf>
    <xf numFmtId="0" fontId="0" fillId="0" borderId="35" xfId="0" applyFont="1" applyBorder="1" applyAlignment="1">
      <alignment horizontal="left"/>
    </xf>
    <xf numFmtId="3" fontId="67" fillId="0" borderId="0" xfId="0" applyNumberFormat="1" applyFont="1"/>
    <xf numFmtId="0" fontId="31"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3" fillId="3" borderId="12" xfId="0" applyFont="1" applyFill="1" applyBorder="1" applyAlignment="1">
      <alignment horizontal="centerContinuous" vertical="center" wrapText="1"/>
    </xf>
    <xf numFmtId="3" fontId="4" fillId="0" borderId="1" xfId="0" applyNumberFormat="1" applyFont="1" applyBorder="1" applyAlignment="1">
      <alignment horizontal="centerContinuous" vertical="center" wrapText="1"/>
    </xf>
    <xf numFmtId="3" fontId="3" fillId="0" borderId="2" xfId="0" applyNumberFormat="1" applyFont="1" applyBorder="1" applyAlignment="1">
      <alignment vertical="center" wrapText="1"/>
    </xf>
    <xf numFmtId="0" fontId="0" fillId="0" borderId="4" xfId="0" applyFont="1" applyBorder="1" applyAlignment="1">
      <alignment horizontal="left" vertical="center" wrapText="1"/>
    </xf>
    <xf numFmtId="3" fontId="0" fillId="5" borderId="1" xfId="0" applyNumberFormat="1" applyFont="1" applyFill="1" applyBorder="1" applyAlignment="1">
      <alignment horizontal="center" vertical="center" wrapText="1"/>
    </xf>
    <xf numFmtId="0" fontId="0" fillId="0" borderId="3" xfId="0" applyFont="1" applyBorder="1" applyAlignment="1">
      <alignment horizontal="left" vertical="center"/>
    </xf>
    <xf numFmtId="0" fontId="4" fillId="0" borderId="3" xfId="0" applyFont="1" applyBorder="1" applyAlignment="1">
      <alignment horizontal="center" vertical="center"/>
    </xf>
    <xf numFmtId="0" fontId="0" fillId="2" borderId="1" xfId="0" applyFont="1" applyFill="1" applyBorder="1" applyAlignment="1">
      <alignment horizontal="left" vertical="center"/>
    </xf>
    <xf numFmtId="167" fontId="4" fillId="0" borderId="4" xfId="0" applyNumberFormat="1" applyFont="1" applyBorder="1" applyAlignment="1">
      <alignment horizontal="centerContinuous" vertical="center" wrapText="1"/>
    </xf>
    <xf numFmtId="167" fontId="4" fillId="0" borderId="4" xfId="3" applyNumberFormat="1" applyFont="1" applyBorder="1" applyAlignment="1">
      <alignment horizontal="left" vertical="center" wrapText="1"/>
    </xf>
    <xf numFmtId="0" fontId="39" fillId="0" borderId="4" xfId="0" applyFont="1" applyBorder="1" applyAlignment="1">
      <alignment horizontal="left" vertical="center" wrapText="1"/>
    </xf>
    <xf numFmtId="0" fontId="40" fillId="0" borderId="2" xfId="0" applyFont="1" applyFill="1" applyBorder="1" applyAlignment="1">
      <alignment vertical="center" wrapText="1"/>
    </xf>
    <xf numFmtId="3" fontId="40" fillId="0" borderId="1" xfId="0" applyNumberFormat="1" applyFont="1" applyFill="1" applyBorder="1" applyAlignment="1">
      <alignment horizontal="center" vertical="center" wrapText="1"/>
    </xf>
    <xf numFmtId="0" fontId="40" fillId="0" borderId="0" xfId="0" applyFont="1" applyFill="1" applyAlignment="1">
      <alignment vertical="center" wrapText="1"/>
    </xf>
    <xf numFmtId="3" fontId="4" fillId="0" borderId="1" xfId="0" applyNumberFormat="1" applyFont="1" applyFill="1" applyBorder="1" applyAlignment="1">
      <alignment horizontal="center" vertical="center" wrapText="1"/>
    </xf>
    <xf numFmtId="0" fontId="40" fillId="0" borderId="1" xfId="0" applyFont="1" applyFill="1" applyBorder="1" applyAlignment="1">
      <alignment horizontal="left" vertical="center" wrapText="1"/>
    </xf>
    <xf numFmtId="0" fontId="68" fillId="0" borderId="91" xfId="0" applyFont="1" applyBorder="1" applyAlignment="1">
      <alignment horizontal="left" wrapText="1" readingOrder="1"/>
    </xf>
    <xf numFmtId="0" fontId="69" fillId="21" borderId="92" xfId="0" applyFont="1" applyFill="1" applyBorder="1" applyAlignment="1">
      <alignment horizontal="center" wrapText="1" readingOrder="1"/>
    </xf>
    <xf numFmtId="0" fontId="70" fillId="21" borderId="92" xfId="0" applyFont="1" applyFill="1" applyBorder="1" applyAlignment="1">
      <alignment horizontal="left" wrapText="1" indent="3" readingOrder="1"/>
    </xf>
    <xf numFmtId="0" fontId="72" fillId="21" borderId="92" xfId="0" applyFont="1" applyFill="1" applyBorder="1" applyAlignment="1">
      <alignment horizontal="center" wrapText="1" readingOrder="1"/>
    </xf>
    <xf numFmtId="41" fontId="71" fillId="21" borderId="92" xfId="0" applyNumberFormat="1" applyFont="1" applyFill="1" applyBorder="1" applyAlignment="1">
      <alignment horizontal="center" wrapText="1" readingOrder="1"/>
    </xf>
    <xf numFmtId="0" fontId="4" fillId="6" borderId="93" xfId="0" applyFont="1" applyFill="1" applyBorder="1" applyAlignment="1">
      <alignment horizontal="left"/>
    </xf>
    <xf numFmtId="41" fontId="4" fillId="6" borderId="94" xfId="5" applyFont="1" applyFill="1" applyBorder="1" applyAlignment="1">
      <alignment horizontal="left"/>
    </xf>
    <xf numFmtId="174" fontId="71" fillId="21" borderId="92" xfId="0" applyNumberFormat="1" applyFont="1" applyFill="1" applyBorder="1" applyAlignment="1">
      <alignment horizontal="center" wrapText="1" readingOrder="1"/>
    </xf>
    <xf numFmtId="0" fontId="73" fillId="21" borderId="92" xfId="0" applyFont="1" applyFill="1" applyBorder="1" applyAlignment="1">
      <alignment horizontal="left" wrapText="1" indent="3" readingOrder="1"/>
    </xf>
    <xf numFmtId="0" fontId="74" fillId="0" borderId="0" xfId="0" applyFont="1" applyAlignment="1">
      <alignment vertical="center" wrapText="1"/>
    </xf>
    <xf numFmtId="0" fontId="4" fillId="6" borderId="95" xfId="0" applyFont="1" applyFill="1" applyBorder="1" applyAlignment="1">
      <alignment horizontal="left"/>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4" fillId="6" borderId="93" xfId="0" applyFont="1" applyFill="1" applyBorder="1" applyAlignment="1">
      <alignment horizontal="left" wrapText="1"/>
    </xf>
    <xf numFmtId="0" fontId="1" fillId="0" borderId="0" xfId="0" applyFont="1" applyAlignment="1">
      <alignment horizontal="left" vertical="center" indent="3" readingOrder="1"/>
    </xf>
    <xf numFmtId="41" fontId="4" fillId="22" borderId="9" xfId="5" applyFont="1" applyFill="1" applyBorder="1"/>
    <xf numFmtId="41" fontId="4" fillId="22" borderId="44" xfId="5" applyFont="1" applyFill="1" applyBorder="1"/>
    <xf numFmtId="41" fontId="4" fillId="22" borderId="36" xfId="5" applyFont="1" applyFill="1" applyBorder="1"/>
    <xf numFmtId="41" fontId="4" fillId="19" borderId="9" xfId="5" applyFont="1" applyFill="1" applyBorder="1"/>
    <xf numFmtId="41" fontId="4" fillId="19" borderId="44" xfId="5" applyFont="1" applyFill="1" applyBorder="1"/>
    <xf numFmtId="41" fontId="4" fillId="19" borderId="36" xfId="5" applyFont="1" applyFill="1" applyBorder="1"/>
    <xf numFmtId="41" fontId="4" fillId="19" borderId="96" xfId="5" applyFont="1" applyFill="1" applyBorder="1" applyAlignment="1">
      <alignment horizontal="left" vertical="center" wrapText="1"/>
    </xf>
    <xf numFmtId="41" fontId="4" fillId="23" borderId="96" xfId="5" applyFont="1" applyFill="1" applyBorder="1" applyAlignment="1">
      <alignment horizontal="left" vertical="center" wrapText="1"/>
    </xf>
    <xf numFmtId="41" fontId="4" fillId="19" borderId="87" xfId="5" applyFont="1" applyFill="1" applyBorder="1" applyAlignment="1">
      <alignment horizontal="left" vertical="center" wrapText="1"/>
    </xf>
    <xf numFmtId="41" fontId="4" fillId="19" borderId="98" xfId="5" applyFont="1" applyFill="1" applyBorder="1" applyAlignment="1">
      <alignment horizontal="left" vertical="center" wrapText="1"/>
    </xf>
    <xf numFmtId="41" fontId="4" fillId="6" borderId="99" xfId="5" applyFont="1" applyFill="1" applyBorder="1" applyAlignment="1">
      <alignment horizontal="left"/>
    </xf>
    <xf numFmtId="41" fontId="4" fillId="6" borderId="95" xfId="5" applyFont="1" applyFill="1" applyBorder="1" applyAlignment="1">
      <alignment horizontal="left"/>
    </xf>
    <xf numFmtId="41" fontId="4" fillId="6" borderId="29" xfId="5" applyFont="1" applyFill="1" applyBorder="1" applyAlignment="1">
      <alignment horizontal="left"/>
    </xf>
    <xf numFmtId="41" fontId="39" fillId="6" borderId="95" xfId="5" applyFont="1" applyFill="1" applyBorder="1" applyAlignment="1">
      <alignment horizontal="left"/>
    </xf>
    <xf numFmtId="41" fontId="4" fillId="6" borderId="56" xfId="5" applyFont="1" applyFill="1" applyBorder="1" applyAlignment="1">
      <alignment horizontal="left"/>
    </xf>
    <xf numFmtId="41" fontId="4" fillId="6" borderId="102" xfId="5" applyFont="1" applyFill="1" applyBorder="1" applyAlignment="1">
      <alignment horizontal="left"/>
    </xf>
    <xf numFmtId="41" fontId="4" fillId="23" borderId="87" xfId="5" applyFont="1" applyFill="1" applyBorder="1" applyAlignment="1">
      <alignment horizontal="left" vertical="center" wrapText="1"/>
    </xf>
    <xf numFmtId="41" fontId="4" fillId="23" borderId="98" xfId="5" applyFont="1" applyFill="1" applyBorder="1" applyAlignment="1">
      <alignment horizontal="left" vertical="center" wrapText="1"/>
    </xf>
    <xf numFmtId="41" fontId="4" fillId="6" borderId="105" xfId="5" applyFont="1" applyFill="1" applyBorder="1" applyAlignment="1">
      <alignment horizontal="left"/>
    </xf>
    <xf numFmtId="41" fontId="0" fillId="0" borderId="106" xfId="5" applyFont="1" applyBorder="1"/>
    <xf numFmtId="41" fontId="4" fillId="6" borderId="107" xfId="5" applyFont="1" applyFill="1" applyBorder="1" applyAlignment="1">
      <alignment horizontal="left"/>
    </xf>
    <xf numFmtId="41" fontId="4" fillId="0" borderId="106" xfId="5" applyFont="1" applyBorder="1"/>
    <xf numFmtId="41" fontId="39" fillId="6" borderId="107" xfId="5" applyFont="1" applyFill="1" applyBorder="1" applyAlignment="1">
      <alignment horizontal="left"/>
    </xf>
    <xf numFmtId="1" fontId="0" fillId="0" borderId="106" xfId="0" applyNumberFormat="1" applyFont="1" applyBorder="1"/>
    <xf numFmtId="41" fontId="4" fillId="6" borderId="108" xfId="5" applyFont="1" applyFill="1" applyBorder="1" applyAlignment="1">
      <alignment horizontal="left"/>
    </xf>
    <xf numFmtId="41" fontId="4" fillId="6" borderId="109" xfId="5" applyFont="1" applyFill="1" applyBorder="1" applyAlignment="1">
      <alignment horizontal="left"/>
    </xf>
    <xf numFmtId="0" fontId="31" fillId="0" borderId="2" xfId="0" applyFont="1" applyFill="1" applyBorder="1" applyAlignment="1">
      <alignment horizontal="left" vertical="center" wrapText="1"/>
    </xf>
    <xf numFmtId="0" fontId="31" fillId="0" borderId="3" xfId="0" applyFont="1" applyBorder="1" applyAlignment="1">
      <alignment horizontal="left" vertical="center" wrapText="1"/>
    </xf>
    <xf numFmtId="0" fontId="61" fillId="0" borderId="0" xfId="0" applyFont="1" applyAlignment="1">
      <alignment vertical="center" wrapText="1"/>
    </xf>
    <xf numFmtId="0" fontId="20" fillId="4" borderId="1" xfId="0" applyFont="1" applyFill="1" applyBorder="1" applyAlignment="1">
      <alignment horizontal="left" vertical="center" wrapText="1"/>
    </xf>
    <xf numFmtId="0" fontId="31" fillId="4" borderId="1" xfId="0" applyFont="1" applyFill="1" applyBorder="1" applyAlignment="1">
      <alignment horizontal="left" vertical="center" wrapText="1"/>
    </xf>
    <xf numFmtId="0" fontId="31" fillId="4" borderId="1" xfId="0" applyFont="1" applyFill="1" applyBorder="1" applyAlignment="1">
      <alignment vertical="center" wrapText="1"/>
    </xf>
    <xf numFmtId="0" fontId="0" fillId="4" borderId="2" xfId="0" applyFont="1" applyFill="1" applyBorder="1" applyAlignment="1">
      <alignment horizontal="left" vertical="center" wrapText="1"/>
    </xf>
    <xf numFmtId="41" fontId="4" fillId="0" borderId="103" xfId="5" applyFont="1" applyFill="1" applyBorder="1"/>
    <xf numFmtId="41" fontId="4" fillId="0" borderId="0" xfId="5" applyFont="1" applyBorder="1"/>
    <xf numFmtId="41" fontId="4" fillId="0" borderId="104" xfId="5" applyFont="1" applyFill="1" applyBorder="1"/>
    <xf numFmtId="41" fontId="4" fillId="0" borderId="110" xfId="5" applyFont="1" applyFill="1" applyBorder="1" applyAlignment="1">
      <alignment horizontal="left" vertical="center" wrapText="1"/>
    </xf>
    <xf numFmtId="41" fontId="0" fillId="24" borderId="100" xfId="5" applyFont="1" applyFill="1" applyBorder="1"/>
    <xf numFmtId="41" fontId="0" fillId="25" borderId="100" xfId="5" applyFont="1" applyFill="1" applyBorder="1"/>
    <xf numFmtId="41" fontId="0" fillId="25" borderId="7" xfId="5" applyFont="1" applyFill="1" applyBorder="1"/>
    <xf numFmtId="41" fontId="4" fillId="25" borderId="100" xfId="5" applyFont="1" applyFill="1" applyBorder="1"/>
    <xf numFmtId="41" fontId="4" fillId="25" borderId="7" xfId="5" applyFont="1" applyFill="1" applyBorder="1"/>
    <xf numFmtId="41" fontId="0" fillId="25" borderId="43" xfId="5" applyFont="1" applyFill="1" applyBorder="1"/>
    <xf numFmtId="41" fontId="0" fillId="25" borderId="101" xfId="5" applyFont="1" applyFill="1" applyBorder="1"/>
    <xf numFmtId="41" fontId="0" fillId="25" borderId="97" xfId="5" applyFont="1" applyFill="1" applyBorder="1"/>
    <xf numFmtId="41" fontId="0" fillId="25" borderId="38" xfId="5" applyFont="1" applyFill="1" applyBorder="1"/>
    <xf numFmtId="1" fontId="0" fillId="25" borderId="100" xfId="0" applyNumberFormat="1" applyFont="1" applyFill="1" applyBorder="1"/>
    <xf numFmtId="1" fontId="0" fillId="25" borderId="7" xfId="0" applyNumberFormat="1" applyFont="1" applyFill="1" applyBorder="1"/>
    <xf numFmtId="1" fontId="0" fillId="25" borderId="43" xfId="0" applyNumberFormat="1" applyFont="1" applyFill="1" applyBorder="1"/>
    <xf numFmtId="1" fontId="0" fillId="25" borderId="101" xfId="0" applyNumberFormat="1" applyFont="1" applyFill="1" applyBorder="1"/>
    <xf numFmtId="41" fontId="0" fillId="24" borderId="43" xfId="5" applyFont="1" applyFill="1" applyBorder="1"/>
    <xf numFmtId="41" fontId="0" fillId="24" borderId="101" xfId="5" applyFont="1" applyFill="1" applyBorder="1"/>
    <xf numFmtId="1" fontId="0" fillId="24" borderId="43" xfId="0" applyNumberFormat="1" applyFont="1" applyFill="1" applyBorder="1"/>
    <xf numFmtId="1" fontId="0" fillId="24" borderId="101" xfId="0" applyNumberFormat="1" applyFont="1" applyFill="1" applyBorder="1"/>
    <xf numFmtId="1" fontId="0" fillId="24" borderId="100" xfId="0" applyNumberFormat="1" applyFont="1" applyFill="1" applyBorder="1"/>
    <xf numFmtId="0" fontId="1" fillId="0" borderId="3" xfId="0" applyFont="1" applyBorder="1" applyAlignment="1">
      <alignment horizontal="left" vertical="center" wrapText="1"/>
    </xf>
    <xf numFmtId="0" fontId="25" fillId="0" borderId="3" xfId="0" applyFont="1" applyBorder="1" applyAlignment="1">
      <alignment horizontal="left" vertical="center" wrapText="1"/>
    </xf>
    <xf numFmtId="0" fontId="25" fillId="0" borderId="2" xfId="0" applyFont="1" applyBorder="1" applyAlignment="1">
      <alignment horizontal="left" vertical="center" wrapText="1"/>
    </xf>
    <xf numFmtId="0" fontId="1" fillId="0" borderId="2" xfId="0" applyFont="1" applyBorder="1" applyAlignment="1">
      <alignment horizontal="left" vertical="center" wrapText="1"/>
    </xf>
    <xf numFmtId="41" fontId="0" fillId="0" borderId="5" xfId="5" applyFont="1" applyBorder="1"/>
    <xf numFmtId="41" fontId="0" fillId="0" borderId="42" xfId="5" applyFont="1" applyBorder="1"/>
    <xf numFmtId="41" fontId="4" fillId="6" borderId="86" xfId="5" applyFont="1" applyFill="1" applyBorder="1" applyAlignment="1">
      <alignment horizontal="left" vertical="center" wrapText="1"/>
    </xf>
    <xf numFmtId="41" fontId="4" fillId="6" borderId="111" xfId="5" applyFont="1" applyFill="1" applyBorder="1" applyAlignment="1">
      <alignment horizontal="left" vertical="center" wrapText="1"/>
    </xf>
    <xf numFmtId="41" fontId="4" fillId="6" borderId="112" xfId="5" applyFont="1" applyFill="1" applyBorder="1" applyAlignment="1">
      <alignment horizontal="left" vertical="center" wrapText="1"/>
    </xf>
    <xf numFmtId="41" fontId="0" fillId="0" borderId="113" xfId="5" applyFont="1" applyBorder="1"/>
    <xf numFmtId="41" fontId="0" fillId="0" borderId="25" xfId="5" applyFont="1" applyBorder="1"/>
    <xf numFmtId="3" fontId="1" fillId="0" borderId="4" xfId="0" applyNumberFormat="1" applyFont="1" applyBorder="1" applyAlignment="1">
      <alignment horizontal="center" vertical="center" wrapText="1"/>
    </xf>
    <xf numFmtId="0" fontId="1" fillId="0" borderId="0" xfId="0" applyFont="1" applyAlignment="1">
      <alignment horizontal="center" vertical="center" wrapText="1"/>
    </xf>
    <xf numFmtId="0" fontId="1" fillId="3" borderId="11" xfId="0" applyFont="1" applyFill="1" applyBorder="1" applyAlignment="1">
      <alignment horizontal="center" vertical="center" wrapText="1"/>
    </xf>
    <xf numFmtId="0" fontId="22" fillId="2" borderId="11" xfId="0" applyFont="1" applyFill="1" applyBorder="1" applyAlignment="1">
      <alignment horizontal="center"/>
    </xf>
    <xf numFmtId="0" fontId="23" fillId="2" borderId="0" xfId="0" applyFont="1" applyFill="1" applyBorder="1" applyAlignment="1">
      <alignment horizontal="center"/>
    </xf>
    <xf numFmtId="0" fontId="22" fillId="2" borderId="0" xfId="0" applyFont="1" applyFill="1" applyBorder="1" applyAlignment="1">
      <alignment horizontal="center"/>
    </xf>
    <xf numFmtId="15" fontId="75" fillId="0" borderId="1" xfId="0" applyNumberFormat="1" applyFont="1" applyFill="1" applyBorder="1" applyAlignment="1">
      <alignment horizontal="center" vertical="center"/>
    </xf>
    <xf numFmtId="0" fontId="23" fillId="2" borderId="16" xfId="0" applyFont="1" applyFill="1" applyBorder="1" applyAlignment="1">
      <alignment horizontal="center"/>
    </xf>
    <xf numFmtId="0" fontId="14" fillId="3" borderId="0" xfId="0" applyFont="1" applyFill="1" applyBorder="1" applyAlignment="1">
      <alignment horizontal="center"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9"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 xfId="0" applyFont="1" applyFill="1" applyBorder="1" applyAlignment="1">
      <alignment horizontal="center" vertical="center" wrapText="1"/>
    </xf>
    <xf numFmtId="0" fontId="33" fillId="0" borderId="3" xfId="0" applyFont="1" applyBorder="1" applyAlignment="1">
      <alignment horizontal="left" vertical="center" wrapText="1"/>
    </xf>
    <xf numFmtId="0" fontId="1"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vertical="center" wrapText="1"/>
    </xf>
    <xf numFmtId="3" fontId="33" fillId="0" borderId="1" xfId="0" applyNumberFormat="1" applyFont="1" applyFill="1" applyBorder="1" applyAlignment="1">
      <alignment horizontal="center" vertical="center" wrapText="1"/>
    </xf>
    <xf numFmtId="0" fontId="9" fillId="0" borderId="3" xfId="0" applyFont="1" applyFill="1" applyBorder="1" applyAlignment="1">
      <alignment horizontal="centerContinuous" vertical="center" wrapText="1"/>
    </xf>
    <xf numFmtId="0" fontId="9" fillId="0" borderId="4" xfId="0" applyFont="1" applyFill="1" applyBorder="1" applyAlignment="1">
      <alignment horizontal="centerContinuous" vertical="center" wrapText="1"/>
    </xf>
    <xf numFmtId="0" fontId="1" fillId="0" borderId="0" xfId="0" applyFont="1" applyFill="1" applyAlignment="1">
      <alignment vertical="center" wrapText="1"/>
    </xf>
    <xf numFmtId="14" fontId="16" fillId="0" borderId="3"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76" fillId="0" borderId="1" xfId="0" applyFont="1" applyFill="1" applyBorder="1" applyAlignment="1">
      <alignment horizontal="left" vertical="center" wrapText="1"/>
    </xf>
    <xf numFmtId="0" fontId="76" fillId="0" borderId="2" xfId="0" applyFont="1" applyFill="1" applyBorder="1" applyAlignment="1">
      <alignment horizontal="left" vertical="center" wrapText="1"/>
    </xf>
    <xf numFmtId="3" fontId="34" fillId="4" borderId="1" xfId="0" applyNumberFormat="1" applyFont="1" applyFill="1" applyBorder="1" applyAlignment="1">
      <alignment horizontal="center" vertical="center" wrapText="1"/>
    </xf>
    <xf numFmtId="0" fontId="76" fillId="5" borderId="1" xfId="0" applyFont="1" applyFill="1" applyBorder="1" applyAlignment="1">
      <alignment horizontal="left" vertical="center" wrapText="1"/>
    </xf>
    <xf numFmtId="0" fontId="34" fillId="5" borderId="2" xfId="0" applyFont="1" applyFill="1" applyBorder="1" applyAlignment="1">
      <alignment horizontal="left" vertical="center" wrapText="1"/>
    </xf>
    <xf numFmtId="3" fontId="77" fillId="0" borderId="1" xfId="0" applyNumberFormat="1" applyFont="1" applyBorder="1" applyAlignment="1">
      <alignment horizontal="center" vertical="center" wrapText="1"/>
    </xf>
    <xf numFmtId="3" fontId="78" fillId="0" borderId="1" xfId="0" applyNumberFormat="1" applyFont="1" applyBorder="1" applyAlignment="1">
      <alignment horizontal="center" vertical="center" wrapText="1"/>
    </xf>
    <xf numFmtId="3" fontId="78" fillId="0" borderId="3" xfId="0" applyNumberFormat="1" applyFont="1" applyBorder="1" applyAlignment="1">
      <alignment horizontal="center" vertical="center" wrapText="1"/>
    </xf>
    <xf numFmtId="3" fontId="34" fillId="5" borderId="1" xfId="0" applyNumberFormat="1" applyFont="1" applyFill="1" applyBorder="1" applyAlignment="1">
      <alignment horizontal="center" vertical="center" wrapText="1"/>
    </xf>
    <xf numFmtId="0" fontId="76" fillId="0" borderId="1" xfId="0" applyFont="1" applyBorder="1" applyAlignment="1">
      <alignment horizontal="left" vertical="center" wrapText="1"/>
    </xf>
    <xf numFmtId="0" fontId="34" fillId="0" borderId="2" xfId="0" applyFont="1" applyBorder="1" applyAlignment="1">
      <alignment horizontal="left" vertical="center" wrapText="1"/>
    </xf>
    <xf numFmtId="0" fontId="76" fillId="26" borderId="1" xfId="0" applyFont="1" applyFill="1" applyBorder="1" applyAlignment="1">
      <alignment horizontal="left" vertical="center" wrapText="1"/>
    </xf>
    <xf numFmtId="0" fontId="34" fillId="26" borderId="2" xfId="0" applyFont="1" applyFill="1" applyBorder="1" applyAlignment="1">
      <alignment horizontal="left" vertical="center" wrapText="1"/>
    </xf>
    <xf numFmtId="3" fontId="32" fillId="26" borderId="1" xfId="0" applyNumberFormat="1" applyFont="1" applyFill="1" applyBorder="1" applyAlignment="1">
      <alignment horizontal="center" vertical="center" wrapText="1"/>
    </xf>
    <xf numFmtId="3" fontId="1" fillId="26" borderId="1" xfId="0" applyNumberFormat="1" applyFont="1" applyFill="1" applyBorder="1" applyAlignment="1">
      <alignment horizontal="center" vertical="center" wrapText="1"/>
    </xf>
    <xf numFmtId="3" fontId="1" fillId="26" borderId="3" xfId="0" applyNumberFormat="1" applyFont="1" applyFill="1" applyBorder="1" applyAlignment="1">
      <alignment horizontal="center" vertical="center" wrapText="1"/>
    </xf>
    <xf numFmtId="3" fontId="34" fillId="26" borderId="1" xfId="0" applyNumberFormat="1" applyFont="1" applyFill="1" applyBorder="1" applyAlignment="1">
      <alignment horizontal="center" vertical="center" wrapText="1"/>
    </xf>
    <xf numFmtId="0" fontId="76" fillId="27" borderId="1" xfId="0" applyFont="1" applyFill="1" applyBorder="1" applyAlignment="1">
      <alignment horizontal="left" vertical="center" wrapText="1"/>
    </xf>
    <xf numFmtId="0" fontId="34" fillId="27" borderId="2" xfId="0" applyFont="1" applyFill="1" applyBorder="1" applyAlignment="1">
      <alignment horizontal="left" vertical="center" wrapText="1"/>
    </xf>
    <xf numFmtId="0" fontId="16" fillId="0" borderId="3" xfId="0" applyFont="1" applyBorder="1" applyAlignment="1">
      <alignment horizontal="center" vertical="center" wrapText="1"/>
    </xf>
    <xf numFmtId="0" fontId="32" fillId="0" borderId="0" xfId="0" applyFont="1" applyAlignment="1">
      <alignment vertical="center" wrapText="1"/>
    </xf>
    <xf numFmtId="0" fontId="0" fillId="4" borderId="2" xfId="0" applyFont="1" applyFill="1" applyBorder="1" applyAlignment="1">
      <alignment vertical="center" wrapText="1"/>
    </xf>
    <xf numFmtId="0" fontId="4" fillId="4" borderId="3" xfId="0" applyFont="1" applyFill="1" applyBorder="1" applyAlignment="1">
      <alignment horizontal="centerContinuous" vertical="center" wrapText="1"/>
    </xf>
    <xf numFmtId="3" fontId="0" fillId="4" borderId="3" xfId="0" applyNumberFormat="1" applyFont="1" applyFill="1" applyBorder="1" applyAlignment="1">
      <alignment horizontal="center" vertical="center" wrapText="1"/>
    </xf>
    <xf numFmtId="41" fontId="71" fillId="21" borderId="92" xfId="5" applyFont="1" applyFill="1" applyBorder="1" applyAlignment="1">
      <alignment horizontal="center" wrapText="1" readingOrder="1"/>
    </xf>
    <xf numFmtId="175" fontId="0" fillId="4" borderId="115" xfId="3" applyNumberFormat="1" applyFont="1" applyFill="1" applyBorder="1"/>
    <xf numFmtId="41" fontId="0" fillId="0" borderId="0" xfId="0" applyNumberFormat="1"/>
    <xf numFmtId="3" fontId="35" fillId="0" borderId="1" xfId="0" applyNumberFormat="1" applyFont="1" applyBorder="1" applyAlignment="1">
      <alignment horizontal="center" vertical="center" wrapText="1"/>
    </xf>
    <xf numFmtId="41" fontId="4" fillId="10" borderId="9" xfId="5" applyFont="1" applyFill="1" applyBorder="1"/>
    <xf numFmtId="41" fontId="4" fillId="10" borderId="44" xfId="5" applyFont="1" applyFill="1" applyBorder="1"/>
    <xf numFmtId="41" fontId="4" fillId="10" borderId="36" xfId="5" applyFont="1" applyFill="1" applyBorder="1"/>
    <xf numFmtId="41" fontId="4" fillId="10" borderId="87" xfId="5" applyFont="1" applyFill="1" applyBorder="1" applyAlignment="1">
      <alignment horizontal="left" vertical="center" wrapText="1"/>
    </xf>
    <xf numFmtId="41" fontId="4" fillId="10" borderId="96" xfId="5" applyFont="1" applyFill="1" applyBorder="1" applyAlignment="1">
      <alignment horizontal="left" vertical="center" wrapText="1"/>
    </xf>
    <xf numFmtId="41" fontId="4" fillId="10" borderId="98" xfId="5" applyFont="1" applyFill="1" applyBorder="1" applyAlignment="1">
      <alignment horizontal="left" vertical="center" wrapText="1"/>
    </xf>
    <xf numFmtId="41" fontId="0" fillId="9" borderId="100" xfId="5" applyFont="1" applyFill="1" applyBorder="1"/>
    <xf numFmtId="41" fontId="0" fillId="9" borderId="7" xfId="5" applyFont="1" applyFill="1" applyBorder="1"/>
    <xf numFmtId="41" fontId="4" fillId="9" borderId="7" xfId="5" applyFont="1" applyFill="1" applyBorder="1"/>
    <xf numFmtId="41" fontId="4" fillId="9" borderId="100" xfId="5" applyFont="1" applyFill="1" applyBorder="1"/>
    <xf numFmtId="41" fontId="0" fillId="28" borderId="100" xfId="5" applyFont="1" applyFill="1" applyBorder="1"/>
    <xf numFmtId="41" fontId="0" fillId="28" borderId="7" xfId="5" applyFont="1" applyFill="1" applyBorder="1"/>
    <xf numFmtId="41" fontId="4" fillId="28" borderId="7" xfId="5" applyFont="1" applyFill="1" applyBorder="1"/>
    <xf numFmtId="41" fontId="4" fillId="28" borderId="100" xfId="5" applyFont="1" applyFill="1" applyBorder="1"/>
    <xf numFmtId="41" fontId="0" fillId="28" borderId="97" xfId="5" applyFont="1" applyFill="1" applyBorder="1"/>
    <xf numFmtId="41" fontId="0" fillId="28" borderId="38" xfId="5" applyFont="1" applyFill="1" applyBorder="1"/>
    <xf numFmtId="41" fontId="3" fillId="28" borderId="100" xfId="5" applyFont="1" applyFill="1" applyBorder="1"/>
    <xf numFmtId="1" fontId="0" fillId="28" borderId="100" xfId="0" applyNumberFormat="1" applyFont="1" applyFill="1" applyBorder="1"/>
    <xf numFmtId="1" fontId="0" fillId="28" borderId="7" xfId="0" applyNumberFormat="1" applyFont="1" applyFill="1" applyBorder="1"/>
    <xf numFmtId="1" fontId="0" fillId="28" borderId="43" xfId="0" applyNumberFormat="1" applyFont="1" applyFill="1" applyBorder="1"/>
    <xf numFmtId="1" fontId="0" fillId="28" borderId="101" xfId="0" applyNumberFormat="1" applyFont="1" applyFill="1" applyBorder="1"/>
    <xf numFmtId="41" fontId="0" fillId="9" borderId="43" xfId="5" applyFont="1" applyFill="1" applyBorder="1"/>
    <xf numFmtId="41" fontId="0" fillId="9" borderId="101" xfId="5" applyFont="1" applyFill="1" applyBorder="1"/>
    <xf numFmtId="41" fontId="0" fillId="9" borderId="97" xfId="5" applyFont="1" applyFill="1" applyBorder="1"/>
    <xf numFmtId="41" fontId="0" fillId="9" borderId="38" xfId="5" applyFont="1" applyFill="1" applyBorder="1"/>
    <xf numFmtId="1" fontId="0" fillId="9" borderId="100" xfId="0" applyNumberFormat="1" applyFont="1" applyFill="1" applyBorder="1"/>
    <xf numFmtId="1" fontId="0" fillId="9" borderId="7" xfId="0" applyNumberFormat="1" applyFont="1" applyFill="1" applyBorder="1"/>
    <xf numFmtId="1" fontId="0" fillId="9" borderId="43" xfId="0" applyNumberFormat="1" applyFont="1" applyFill="1" applyBorder="1"/>
    <xf numFmtId="1" fontId="0" fillId="9" borderId="101" xfId="0" applyNumberFormat="1" applyFont="1" applyFill="1" applyBorder="1"/>
    <xf numFmtId="41" fontId="4" fillId="29" borderId="9" xfId="5" applyFont="1" applyFill="1" applyBorder="1"/>
    <xf numFmtId="41" fontId="4" fillId="29" borderId="44" xfId="5" applyFont="1" applyFill="1" applyBorder="1"/>
    <xf numFmtId="41" fontId="4" fillId="29" borderId="36" xfId="5" applyFont="1" applyFill="1" applyBorder="1"/>
    <xf numFmtId="41" fontId="4" fillId="29" borderId="87" xfId="5" applyFont="1" applyFill="1" applyBorder="1" applyAlignment="1">
      <alignment horizontal="left" vertical="center" wrapText="1"/>
    </xf>
    <xf numFmtId="41" fontId="4" fillId="29" borderId="96" xfId="5" applyFont="1" applyFill="1" applyBorder="1" applyAlignment="1">
      <alignment horizontal="left" vertical="center" wrapText="1"/>
    </xf>
    <xf numFmtId="41" fontId="4" fillId="29" borderId="98" xfId="5" applyFont="1" applyFill="1" applyBorder="1" applyAlignment="1">
      <alignment horizontal="left" vertical="center" wrapText="1"/>
    </xf>
    <xf numFmtId="41" fontId="4" fillId="30" borderId="0" xfId="5" applyFont="1" applyFill="1"/>
    <xf numFmtId="41" fontId="4" fillId="31" borderId="0" xfId="5" applyFont="1" applyFill="1"/>
    <xf numFmtId="41" fontId="4" fillId="32" borderId="0" xfId="5" applyFont="1" applyFill="1"/>
    <xf numFmtId="41" fontId="4" fillId="30" borderId="96" xfId="5" applyFont="1" applyFill="1" applyBorder="1" applyAlignment="1">
      <alignment horizontal="left" vertical="center" wrapText="1"/>
    </xf>
    <xf numFmtId="41" fontId="4" fillId="32" borderId="96" xfId="5" applyFont="1" applyFill="1" applyBorder="1" applyAlignment="1">
      <alignment horizontal="left" vertical="center" wrapText="1"/>
    </xf>
    <xf numFmtId="41" fontId="4" fillId="31" borderId="96" xfId="5" applyFont="1" applyFill="1" applyBorder="1" applyAlignment="1">
      <alignment horizontal="left" vertical="center" wrapText="1"/>
    </xf>
    <xf numFmtId="0" fontId="0" fillId="0" borderId="56" xfId="0" applyFont="1" applyBorder="1" applyAlignment="1">
      <alignment horizontal="center"/>
    </xf>
    <xf numFmtId="41" fontId="0" fillId="0" borderId="35" xfId="5" applyFont="1" applyBorder="1" applyAlignment="1">
      <alignment horizontal="center"/>
    </xf>
    <xf numFmtId="0" fontId="0" fillId="0" borderId="95" xfId="0" applyFont="1" applyBorder="1" applyAlignment="1">
      <alignment horizont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25" fillId="0" borderId="2" xfId="0" applyFont="1" applyBorder="1" applyAlignment="1">
      <alignment horizontal="left" vertical="center" wrapText="1"/>
    </xf>
    <xf numFmtId="0" fontId="1" fillId="0" borderId="2" xfId="0" applyFont="1" applyBorder="1" applyAlignment="1">
      <alignment horizontal="left" vertical="center" wrapText="1"/>
    </xf>
    <xf numFmtId="0" fontId="25" fillId="0" borderId="2" xfId="0" applyFont="1" applyBorder="1" applyAlignment="1">
      <alignment vertical="center" wrapText="1"/>
    </xf>
    <xf numFmtId="0" fontId="0" fillId="0" borderId="2" xfId="0" applyFont="1" applyBorder="1" applyAlignment="1">
      <alignment horizontal="left" vertical="center" wrapText="1"/>
    </xf>
    <xf numFmtId="41" fontId="1" fillId="0" borderId="0" xfId="5" applyFont="1" applyAlignment="1">
      <alignment vertical="center" wrapText="1"/>
    </xf>
    <xf numFmtId="3" fontId="79" fillId="4" borderId="1" xfId="0" applyNumberFormat="1" applyFont="1" applyFill="1" applyBorder="1" applyAlignment="1">
      <alignment horizontal="center" vertical="center" wrapText="1"/>
    </xf>
    <xf numFmtId="3" fontId="79" fillId="0" borderId="1" xfId="0" applyNumberFormat="1" applyFont="1" applyBorder="1" applyAlignment="1">
      <alignment horizontal="center" vertical="center" wrapText="1"/>
    </xf>
    <xf numFmtId="3" fontId="78" fillId="5" borderId="1" xfId="0" applyNumberFormat="1" applyFont="1" applyFill="1" applyBorder="1" applyAlignment="1">
      <alignment horizontal="center" vertical="center" wrapText="1"/>
    </xf>
    <xf numFmtId="0" fontId="45" fillId="0" borderId="1" xfId="0" applyFont="1" applyBorder="1" applyAlignment="1">
      <alignment horizontal="left" vertical="center" wrapText="1"/>
    </xf>
    <xf numFmtId="3" fontId="45" fillId="5" borderId="1" xfId="0" applyNumberFormat="1" applyFont="1" applyFill="1" applyBorder="1" applyAlignment="1">
      <alignment horizontal="center" vertical="center" wrapText="1"/>
    </xf>
    <xf numFmtId="0" fontId="6" fillId="0" borderId="0" xfId="2" applyFont="1" applyFill="1"/>
    <xf numFmtId="0" fontId="6" fillId="0" borderId="0" xfId="2" applyFont="1" applyFill="1" applyAlignment="1">
      <alignment horizontal="center"/>
    </xf>
    <xf numFmtId="0" fontId="6" fillId="0" borderId="10" xfId="0" applyFont="1" applyFill="1" applyBorder="1" applyAlignment="1">
      <alignment horizontal="center"/>
    </xf>
    <xf numFmtId="0" fontId="22" fillId="0" borderId="11" xfId="0" applyFont="1" applyFill="1" applyBorder="1"/>
    <xf numFmtId="0" fontId="22" fillId="0" borderId="12" xfId="0" applyFont="1" applyFill="1" applyBorder="1"/>
    <xf numFmtId="0" fontId="7" fillId="0" borderId="11" xfId="0" applyFont="1" applyFill="1" applyBorder="1"/>
    <xf numFmtId="0" fontId="7" fillId="0" borderId="12" xfId="0" applyFont="1" applyFill="1" applyBorder="1"/>
    <xf numFmtId="0" fontId="6" fillId="0" borderId="13" xfId="0" applyFont="1" applyFill="1" applyBorder="1" applyAlignment="1">
      <alignment horizontal="center"/>
    </xf>
    <xf numFmtId="0" fontId="23" fillId="0" borderId="0" xfId="0" applyFont="1" applyFill="1" applyBorder="1"/>
    <xf numFmtId="0" fontId="22" fillId="0" borderId="14" xfId="0" applyFont="1" applyFill="1" applyBorder="1" applyAlignment="1">
      <alignment horizontal="center"/>
    </xf>
    <xf numFmtId="0" fontId="6" fillId="0" borderId="0" xfId="0" applyFont="1" applyFill="1" applyBorder="1"/>
    <xf numFmtId="0" fontId="6" fillId="0" borderId="14" xfId="0" applyFont="1" applyFill="1" applyBorder="1"/>
    <xf numFmtId="0" fontId="22" fillId="0" borderId="0" xfId="0" applyFont="1" applyFill="1" applyBorder="1"/>
    <xf numFmtId="0" fontId="7" fillId="0" borderId="0" xfId="0" applyFont="1" applyFill="1" applyBorder="1"/>
    <xf numFmtId="0" fontId="7" fillId="0" borderId="14" xfId="0" applyFont="1" applyFill="1" applyBorder="1"/>
    <xf numFmtId="0" fontId="7" fillId="0" borderId="13" xfId="0" applyFont="1" applyFill="1" applyBorder="1" applyAlignment="1">
      <alignment horizontal="center"/>
    </xf>
    <xf numFmtId="0" fontId="22" fillId="0" borderId="0" xfId="0" applyFont="1" applyFill="1" applyBorder="1" applyAlignment="1">
      <alignment horizontal="right"/>
    </xf>
    <xf numFmtId="0" fontId="23" fillId="0" borderId="14" xfId="0" applyFont="1" applyFill="1" applyBorder="1"/>
    <xf numFmtId="0" fontId="22" fillId="0" borderId="0" xfId="0" applyFont="1" applyFill="1" applyBorder="1" applyAlignment="1">
      <alignment horizontal="left"/>
    </xf>
    <xf numFmtId="0" fontId="22" fillId="0" borderId="14" xfId="0" applyFont="1" applyFill="1" applyBorder="1" applyAlignment="1">
      <alignment horizontal="center" vertical="center"/>
    </xf>
    <xf numFmtId="0" fontId="7" fillId="0" borderId="0" xfId="0" applyFont="1" applyFill="1" applyBorder="1" applyAlignment="1">
      <alignment horizontal="left"/>
    </xf>
    <xf numFmtId="0" fontId="7" fillId="0" borderId="14" xfId="0" applyFont="1" applyFill="1" applyBorder="1" applyAlignment="1">
      <alignment horizontal="center" vertical="center"/>
    </xf>
    <xf numFmtId="0" fontId="7" fillId="0" borderId="15" xfId="0" applyFont="1" applyFill="1" applyBorder="1" applyAlignment="1">
      <alignment horizontal="center"/>
    </xf>
    <xf numFmtId="0" fontId="22" fillId="0" borderId="16" xfId="0" applyFont="1" applyFill="1" applyBorder="1" applyAlignment="1">
      <alignment horizontal="left"/>
    </xf>
    <xf numFmtId="0" fontId="23" fillId="0" borderId="16" xfId="0" applyFont="1" applyFill="1" applyBorder="1"/>
    <xf numFmtId="0" fontId="23" fillId="0" borderId="17" xfId="0" applyFont="1" applyFill="1" applyBorder="1"/>
    <xf numFmtId="0" fontId="6" fillId="0" borderId="16" xfId="0" applyFont="1" applyFill="1" applyBorder="1"/>
    <xf numFmtId="0" fontId="6" fillId="0" borderId="17" xfId="0" applyFont="1" applyFill="1" applyBorder="1"/>
    <xf numFmtId="3" fontId="77" fillId="0" borderId="1" xfId="0" applyNumberFormat="1" applyFont="1" applyFill="1" applyBorder="1" applyAlignment="1">
      <alignment horizontal="center" vertical="center" wrapText="1"/>
    </xf>
    <xf numFmtId="3" fontId="78" fillId="0" borderId="1" xfId="0" applyNumberFormat="1" applyFont="1" applyFill="1" applyBorder="1" applyAlignment="1">
      <alignment horizontal="center" vertical="center" wrapText="1"/>
    </xf>
    <xf numFmtId="3" fontId="78" fillId="0" borderId="3" xfId="0" applyNumberFormat="1" applyFont="1" applyFill="1" applyBorder="1" applyAlignment="1">
      <alignment horizontal="center" vertical="center" wrapText="1"/>
    </xf>
    <xf numFmtId="0" fontId="15" fillId="0" borderId="5" xfId="0" applyFont="1" applyFill="1" applyBorder="1" applyAlignment="1">
      <alignment horizontal="right" vertical="center"/>
    </xf>
    <xf numFmtId="15" fontId="15" fillId="0" borderId="5" xfId="0" applyNumberFormat="1" applyFont="1" applyFill="1" applyBorder="1" applyAlignment="1">
      <alignment horizontal="left" vertical="center"/>
    </xf>
    <xf numFmtId="0" fontId="78" fillId="0" borderId="0" xfId="0" applyFont="1" applyFill="1" applyAlignment="1">
      <alignment vertical="center" wrapText="1"/>
    </xf>
    <xf numFmtId="0" fontId="22" fillId="0" borderId="0" xfId="2" applyFont="1" applyFill="1" applyAlignment="1">
      <alignment horizontal="left"/>
    </xf>
    <xf numFmtId="0" fontId="80" fillId="0" borderId="10" xfId="0" applyFont="1" applyFill="1" applyBorder="1" applyAlignment="1">
      <alignment horizontal="centerContinuous" vertical="center" wrapText="1"/>
    </xf>
    <xf numFmtId="0" fontId="81" fillId="0" borderId="11" xfId="0" applyFont="1" applyFill="1" applyBorder="1" applyAlignment="1">
      <alignment horizontal="centerContinuous" vertical="center" wrapText="1"/>
    </xf>
    <xf numFmtId="0" fontId="78" fillId="0" borderId="11" xfId="0" applyFont="1" applyFill="1" applyBorder="1" applyAlignment="1">
      <alignment horizontal="centerContinuous" vertical="center" wrapText="1"/>
    </xf>
    <xf numFmtId="0" fontId="78" fillId="0" borderId="12" xfId="0" applyFont="1" applyFill="1" applyBorder="1" applyAlignment="1">
      <alignment horizontal="centerContinuous" vertical="center" wrapText="1"/>
    </xf>
    <xf numFmtId="0" fontId="82" fillId="0" borderId="13" xfId="0" applyFont="1" applyFill="1" applyBorder="1" applyAlignment="1">
      <alignment horizontal="centerContinuous" vertical="center" wrapText="1"/>
    </xf>
    <xf numFmtId="0" fontId="82" fillId="0" borderId="0" xfId="0" applyFont="1" applyFill="1" applyBorder="1" applyAlignment="1">
      <alignment horizontal="centerContinuous" vertical="center" wrapText="1"/>
    </xf>
    <xf numFmtId="0" fontId="83" fillId="0" borderId="13" xfId="0" applyFont="1" applyFill="1" applyBorder="1" applyAlignment="1">
      <alignment horizontal="centerContinuous" vertical="center" wrapText="1"/>
    </xf>
    <xf numFmtId="0" fontId="83" fillId="0" borderId="0" xfId="0" applyFont="1" applyFill="1" applyBorder="1" applyAlignment="1">
      <alignment horizontal="centerContinuous" vertical="center" wrapText="1"/>
    </xf>
    <xf numFmtId="0" fontId="82" fillId="0" borderId="14" xfId="0" applyFont="1" applyFill="1" applyBorder="1" applyAlignment="1">
      <alignment horizontal="centerContinuous" vertical="center" wrapText="1"/>
    </xf>
    <xf numFmtId="0" fontId="26" fillId="0" borderId="1" xfId="0" applyFont="1" applyFill="1" applyBorder="1" applyAlignment="1">
      <alignment horizontal="left" vertical="center" wrapText="1"/>
    </xf>
    <xf numFmtId="0" fontId="82" fillId="0" borderId="2" xfId="0" applyFont="1" applyFill="1" applyBorder="1" applyAlignment="1">
      <alignment vertical="center" wrapText="1"/>
    </xf>
    <xf numFmtId="3" fontId="82" fillId="0" borderId="1" xfId="0" applyNumberFormat="1" applyFont="1" applyFill="1" applyBorder="1" applyAlignment="1">
      <alignment horizontal="center" vertical="center" wrapText="1"/>
    </xf>
    <xf numFmtId="0" fontId="82" fillId="0" borderId="3" xfId="0" applyFont="1" applyFill="1" applyBorder="1" applyAlignment="1">
      <alignment horizontal="centerContinuous" vertical="center" wrapText="1"/>
    </xf>
    <xf numFmtId="166" fontId="15" fillId="0" borderId="1" xfId="0" applyNumberFormat="1" applyFont="1" applyFill="1" applyBorder="1" applyAlignment="1">
      <alignment horizontal="center" vertical="center" wrapText="1"/>
    </xf>
    <xf numFmtId="0" fontId="45" fillId="0" borderId="1" xfId="0" applyFont="1" applyFill="1" applyBorder="1" applyAlignment="1">
      <alignment horizontal="left" vertical="center" wrapText="1"/>
    </xf>
    <xf numFmtId="0" fontId="78" fillId="0" borderId="2" xfId="0" applyFont="1" applyFill="1" applyBorder="1" applyAlignment="1">
      <alignment vertical="center" wrapText="1"/>
    </xf>
    <xf numFmtId="3" fontId="78" fillId="0" borderId="4" xfId="0" applyNumberFormat="1" applyFont="1" applyFill="1" applyBorder="1" applyAlignment="1">
      <alignment horizontal="centerContinuous" vertical="center" wrapText="1"/>
    </xf>
    <xf numFmtId="0" fontId="45" fillId="0" borderId="2" xfId="0" applyFont="1" applyFill="1" applyBorder="1" applyAlignment="1">
      <alignment vertical="center" wrapText="1"/>
    </xf>
    <xf numFmtId="0" fontId="26" fillId="0" borderId="3" xfId="0" applyFont="1" applyFill="1" applyBorder="1" applyAlignment="1">
      <alignment horizontal="centerContinuous" vertical="center" wrapText="1"/>
    </xf>
    <xf numFmtId="0" fontId="26" fillId="0" borderId="3" xfId="0" applyFont="1" applyFill="1" applyBorder="1" applyAlignment="1">
      <alignment horizontal="center" vertical="center" wrapText="1"/>
    </xf>
    <xf numFmtId="3" fontId="45" fillId="0" borderId="1" xfId="0" applyNumberFormat="1" applyFont="1" applyFill="1" applyBorder="1" applyAlignment="1">
      <alignment horizontal="center" vertical="center" wrapText="1"/>
    </xf>
    <xf numFmtId="3" fontId="45" fillId="0" borderId="3" xfId="0" applyNumberFormat="1" applyFont="1" applyFill="1" applyBorder="1" applyAlignment="1">
      <alignment horizontal="center" vertical="center" wrapText="1"/>
    </xf>
    <xf numFmtId="3" fontId="45" fillId="0" borderId="4" xfId="0" applyNumberFormat="1" applyFont="1" applyFill="1" applyBorder="1" applyAlignment="1">
      <alignment horizontal="centerContinuous" vertical="center" wrapText="1"/>
    </xf>
    <xf numFmtId="0" fontId="45" fillId="0" borderId="0" xfId="0" applyFont="1" applyFill="1" applyAlignment="1">
      <alignment vertical="center" wrapText="1"/>
    </xf>
    <xf numFmtId="0" fontId="82" fillId="0" borderId="4" xfId="0" applyFont="1" applyFill="1" applyBorder="1" applyAlignment="1">
      <alignment horizontal="centerContinuous" vertical="center" wrapText="1"/>
    </xf>
    <xf numFmtId="0" fontId="78" fillId="0" borderId="10" xfId="0" applyFont="1" applyFill="1" applyBorder="1" applyAlignment="1">
      <alignment horizontal="left" vertical="center" wrapText="1"/>
    </xf>
    <xf numFmtId="0" fontId="78" fillId="0" borderId="11" xfId="0" applyFont="1" applyFill="1" applyBorder="1" applyAlignment="1">
      <alignment horizontal="left" vertical="center" wrapText="1"/>
    </xf>
    <xf numFmtId="0" fontId="78" fillId="0" borderId="11" xfId="0" applyFont="1" applyFill="1" applyBorder="1" applyAlignment="1">
      <alignment vertical="center" wrapText="1"/>
    </xf>
    <xf numFmtId="0" fontId="82" fillId="0" borderId="11" xfId="0" applyFont="1" applyFill="1" applyBorder="1" applyAlignment="1">
      <alignment horizontal="centerContinuous" vertical="center" wrapText="1"/>
    </xf>
    <xf numFmtId="14" fontId="82" fillId="0" borderId="11" xfId="0" applyNumberFormat="1" applyFont="1" applyFill="1" applyBorder="1" applyAlignment="1">
      <alignment horizontal="centerContinuous" vertical="center" wrapText="1"/>
    </xf>
    <xf numFmtId="0" fontId="82" fillId="0" borderId="12" xfId="0" applyFont="1" applyFill="1" applyBorder="1" applyAlignment="1">
      <alignment horizontal="centerContinuous" vertical="center" wrapText="1"/>
    </xf>
    <xf numFmtId="3" fontId="78" fillId="0" borderId="0" xfId="0" applyNumberFormat="1" applyFont="1" applyFill="1" applyAlignment="1">
      <alignment vertical="center" wrapText="1"/>
    </xf>
    <xf numFmtId="0" fontId="82" fillId="0" borderId="1" xfId="0" applyFont="1" applyFill="1" applyBorder="1" applyAlignment="1">
      <alignment horizontal="left" vertical="center" wrapText="1"/>
    </xf>
    <xf numFmtId="0" fontId="82" fillId="0" borderId="1" xfId="0" applyFont="1" applyFill="1" applyBorder="1" applyAlignment="1">
      <alignment horizontal="center" vertical="center" wrapText="1"/>
    </xf>
    <xf numFmtId="0" fontId="70" fillId="0" borderId="2" xfId="0" applyFont="1" applyFill="1" applyBorder="1" applyAlignment="1">
      <alignment horizontal="centerContinuous" vertical="center" wrapText="1"/>
    </xf>
    <xf numFmtId="0" fontId="70" fillId="0" borderId="3" xfId="0" applyFont="1" applyFill="1" applyBorder="1" applyAlignment="1">
      <alignment horizontal="centerContinuous" vertical="center" wrapText="1"/>
    </xf>
    <xf numFmtId="0" fontId="78" fillId="0" borderId="1" xfId="0" applyFont="1" applyFill="1" applyBorder="1" applyAlignment="1">
      <alignment horizontal="centerContinuous" vertical="center" wrapText="1"/>
    </xf>
    <xf numFmtId="0" fontId="78" fillId="0" borderId="1" xfId="0" applyFont="1" applyFill="1" applyBorder="1" applyAlignment="1">
      <alignment horizontal="center" vertical="center" wrapText="1"/>
    </xf>
    <xf numFmtId="0" fontId="78" fillId="0" borderId="1" xfId="0" applyFont="1" applyFill="1" applyBorder="1" applyAlignment="1">
      <alignment horizontal="left" vertical="center" wrapText="1"/>
    </xf>
    <xf numFmtId="0" fontId="5" fillId="0" borderId="3" xfId="0" applyFont="1" applyFill="1" applyBorder="1" applyAlignment="1">
      <alignment horizontal="left" vertical="center" wrapText="1"/>
    </xf>
    <xf numFmtId="3" fontId="5" fillId="0" borderId="1" xfId="0" applyNumberFormat="1" applyFont="1" applyFill="1" applyBorder="1" applyAlignment="1">
      <alignment horizontal="center" vertical="center" wrapText="1"/>
    </xf>
    <xf numFmtId="0" fontId="78" fillId="0" borderId="3" xfId="0" applyFont="1" applyFill="1" applyBorder="1" applyAlignment="1">
      <alignment horizontal="left" vertical="center" wrapText="1"/>
    </xf>
    <xf numFmtId="0" fontId="78" fillId="0" borderId="3" xfId="0" applyFont="1" applyFill="1" applyBorder="1" applyAlignment="1">
      <alignment horizontal="center" vertical="center" wrapText="1"/>
    </xf>
    <xf numFmtId="0" fontId="78" fillId="0" borderId="4" xfId="0" applyFont="1" applyFill="1" applyBorder="1" applyAlignment="1">
      <alignment horizontal="left" vertical="center" wrapText="1"/>
    </xf>
    <xf numFmtId="0" fontId="82" fillId="0" borderId="3" xfId="0" applyFont="1" applyFill="1" applyBorder="1" applyAlignment="1">
      <alignment horizontal="center" vertical="center" wrapText="1"/>
    </xf>
    <xf numFmtId="0" fontId="82" fillId="0" borderId="4" xfId="0" applyFont="1" applyFill="1" applyBorder="1" applyAlignment="1">
      <alignment horizontal="center" vertical="center" wrapText="1"/>
    </xf>
    <xf numFmtId="0" fontId="82" fillId="0" borderId="2" xfId="0" applyFont="1" applyFill="1" applyBorder="1" applyAlignment="1">
      <alignment horizontal="center" vertical="center" wrapText="1"/>
    </xf>
    <xf numFmtId="0" fontId="78" fillId="0" borderId="2" xfId="0" applyFont="1" applyFill="1" applyBorder="1" applyAlignment="1">
      <alignment horizontal="left" vertical="center" wrapText="1"/>
    </xf>
    <xf numFmtId="3" fontId="84" fillId="0" borderId="1" xfId="0" applyNumberFormat="1" applyFont="1" applyFill="1" applyBorder="1" applyAlignment="1">
      <alignment horizontal="center" vertical="center" wrapText="1"/>
    </xf>
    <xf numFmtId="0" fontId="85" fillId="0" borderId="2" xfId="0" applyFont="1" applyFill="1" applyBorder="1" applyAlignment="1">
      <alignment horizontal="left" vertical="center" wrapText="1"/>
    </xf>
    <xf numFmtId="0" fontId="85" fillId="0" borderId="3" xfId="0" applyFont="1" applyFill="1" applyBorder="1" applyAlignment="1">
      <alignment horizontal="left" vertical="center" wrapText="1"/>
    </xf>
    <xf numFmtId="14" fontId="85" fillId="0" borderId="3" xfId="0" applyNumberFormat="1" applyFont="1" applyFill="1" applyBorder="1" applyAlignment="1">
      <alignment horizontal="centerContinuous" vertical="center" wrapText="1"/>
    </xf>
    <xf numFmtId="14" fontId="82" fillId="0" borderId="4" xfId="0" applyNumberFormat="1" applyFont="1" applyFill="1" applyBorder="1" applyAlignment="1">
      <alignment horizontal="centerContinuous" vertical="center" wrapText="1"/>
    </xf>
    <xf numFmtId="0" fontId="86" fillId="0" borderId="0" xfId="0" applyFont="1" applyFill="1" applyAlignment="1">
      <alignment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3" fontId="5" fillId="0" borderId="3" xfId="0" applyNumberFormat="1" applyFont="1" applyFill="1" applyBorder="1" applyAlignment="1">
      <alignment horizontal="center" vertical="center" wrapText="1"/>
    </xf>
    <xf numFmtId="0" fontId="85" fillId="0" borderId="3" xfId="0" applyFont="1" applyFill="1" applyBorder="1" applyAlignment="1">
      <alignment horizontal="centerContinuous" vertical="center" wrapText="1"/>
    </xf>
    <xf numFmtId="14" fontId="82" fillId="0" borderId="3" xfId="0" applyNumberFormat="1" applyFont="1" applyFill="1" applyBorder="1" applyAlignment="1">
      <alignment horizontal="centerContinuous" vertical="center" wrapText="1"/>
    </xf>
    <xf numFmtId="3" fontId="82" fillId="0" borderId="3" xfId="0" applyNumberFormat="1" applyFont="1" applyFill="1" applyBorder="1" applyAlignment="1">
      <alignment horizontal="center" vertical="center" wrapText="1"/>
    </xf>
    <xf numFmtId="9" fontId="82" fillId="0" borderId="4" xfId="1" applyFont="1" applyFill="1" applyBorder="1" applyAlignment="1">
      <alignment horizontal="centerContinuous" vertical="center" wrapText="1"/>
    </xf>
    <xf numFmtId="3" fontId="82" fillId="0" borderId="4" xfId="0" applyNumberFormat="1" applyFont="1" applyFill="1" applyBorder="1" applyAlignment="1">
      <alignment horizontal="centerContinuous" vertical="center" wrapText="1"/>
    </xf>
    <xf numFmtId="0" fontId="83" fillId="0" borderId="0" xfId="0" applyFont="1" applyFill="1" applyAlignment="1">
      <alignment vertical="center" wrapText="1"/>
    </xf>
    <xf numFmtId="0" fontId="70" fillId="0" borderId="0" xfId="0" applyFont="1" applyFill="1" applyAlignment="1">
      <alignment vertical="center"/>
    </xf>
    <xf numFmtId="0" fontId="70" fillId="0" borderId="0" xfId="0" applyFont="1" applyFill="1" applyAlignment="1">
      <alignment vertical="center" wrapText="1"/>
    </xf>
    <xf numFmtId="0" fontId="70" fillId="0" borderId="0" xfId="0" applyFont="1" applyFill="1" applyAlignment="1">
      <alignment horizontal="right" vertical="center" wrapText="1"/>
    </xf>
    <xf numFmtId="0" fontId="70" fillId="0" borderId="5" xfId="0" applyFont="1" applyFill="1" applyBorder="1" applyAlignment="1">
      <alignmen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4" xfId="0" applyFont="1" applyFill="1" applyBorder="1" applyAlignment="1">
      <alignment horizontal="center" vertical="center" wrapText="1"/>
    </xf>
    <xf numFmtId="1" fontId="59" fillId="27" borderId="1" xfId="0" applyNumberFormat="1" applyFont="1" applyFill="1" applyBorder="1" applyAlignment="1">
      <alignment horizontal="left" vertical="center" wrapText="1"/>
    </xf>
    <xf numFmtId="0" fontId="59" fillId="27" borderId="1" xfId="0" applyFont="1" applyFill="1" applyBorder="1" applyAlignment="1">
      <alignment horizontal="left" vertical="center" wrapText="1"/>
    </xf>
    <xf numFmtId="0" fontId="59" fillId="33" borderId="1" xfId="0" applyFont="1" applyFill="1" applyBorder="1" applyAlignment="1">
      <alignment horizontal="left" vertical="center" wrapText="1"/>
    </xf>
    <xf numFmtId="0" fontId="59" fillId="5" borderId="1" xfId="0" applyFont="1" applyFill="1" applyBorder="1" applyAlignment="1">
      <alignment horizontal="left" vertical="center" wrapText="1"/>
    </xf>
    <xf numFmtId="0" fontId="59" fillId="5" borderId="1" xfId="0" applyFont="1" applyFill="1" applyBorder="1" applyAlignment="1">
      <alignment horizontal="center" vertical="center" wrapText="1"/>
    </xf>
    <xf numFmtId="0" fontId="59" fillId="28" borderId="1" xfId="0" applyFont="1" applyFill="1" applyBorder="1" applyAlignment="1">
      <alignment horizontal="center" vertical="center" wrapText="1"/>
    </xf>
    <xf numFmtId="0" fontId="59" fillId="34" borderId="1" xfId="0" applyFont="1" applyFill="1" applyBorder="1" applyAlignment="1">
      <alignment horizontal="left" vertical="center" wrapText="1"/>
    </xf>
    <xf numFmtId="0" fontId="59" fillId="25" borderId="1" xfId="0" applyFont="1" applyFill="1" applyBorder="1" applyAlignment="1">
      <alignment horizontal="left" vertical="center" wrapText="1"/>
    </xf>
    <xf numFmtId="0" fontId="59" fillId="34" borderId="2" xfId="0" applyFont="1" applyFill="1" applyBorder="1" applyAlignment="1">
      <alignment horizontal="center" vertical="center" wrapText="1"/>
    </xf>
    <xf numFmtId="0" fontId="59" fillId="28" borderId="1" xfId="0" applyFont="1" applyFill="1" applyBorder="1" applyAlignment="1">
      <alignment horizontal="left" vertical="center" wrapText="1"/>
    </xf>
    <xf numFmtId="3" fontId="59" fillId="28" borderId="1" xfId="0" applyNumberFormat="1" applyFont="1" applyFill="1" applyBorder="1" applyAlignment="1">
      <alignment horizontal="center" vertical="center" wrapText="1"/>
    </xf>
    <xf numFmtId="3" fontId="59" fillId="7" borderId="1" xfId="0" applyNumberFormat="1" applyFont="1" applyFill="1" applyBorder="1" applyAlignment="1">
      <alignment horizontal="center" vertical="center" wrapText="1"/>
    </xf>
    <xf numFmtId="41" fontId="59" fillId="27" borderId="1" xfId="5" applyFont="1" applyFill="1" applyBorder="1" applyAlignment="1">
      <alignment horizontal="center" vertical="center" wrapText="1"/>
    </xf>
    <xf numFmtId="166" fontId="59" fillId="27" borderId="1" xfId="0" applyNumberFormat="1" applyFont="1" applyFill="1" applyBorder="1" applyAlignment="1">
      <alignment horizontal="center" vertical="center" wrapText="1"/>
    </xf>
    <xf numFmtId="166" fontId="59" fillId="24" borderId="1" xfId="0" applyNumberFormat="1" applyFont="1" applyFill="1" applyBorder="1" applyAlignment="1">
      <alignment horizontal="center" vertical="center" wrapText="1"/>
    </xf>
    <xf numFmtId="166" fontId="59" fillId="7" borderId="1" xfId="0" applyNumberFormat="1" applyFont="1" applyFill="1" applyBorder="1" applyAlignment="1">
      <alignment horizontal="center" vertical="center" wrapText="1"/>
    </xf>
    <xf numFmtId="41" fontId="59" fillId="24" borderId="115" xfId="5" applyFont="1" applyFill="1" applyBorder="1" applyAlignment="1">
      <alignment horizontal="center" vertical="center" wrapText="1"/>
    </xf>
    <xf numFmtId="41" fontId="59" fillId="5" borderId="115" xfId="5" applyFont="1" applyFill="1" applyBorder="1" applyAlignment="1">
      <alignment horizontal="center" vertical="center" wrapText="1"/>
    </xf>
    <xf numFmtId="166" fontId="59" fillId="24" borderId="115"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3" fontId="0" fillId="25" borderId="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0" fillId="25" borderId="1" xfId="0" applyFont="1" applyFill="1" applyBorder="1" applyAlignment="1">
      <alignment horizontal="left" vertical="center" wrapText="1"/>
    </xf>
    <xf numFmtId="0" fontId="0" fillId="5" borderId="0" xfId="0" applyFill="1"/>
    <xf numFmtId="0" fontId="0" fillId="0" borderId="0" xfId="0" applyAlignment="1">
      <alignment wrapText="1"/>
    </xf>
    <xf numFmtId="1" fontId="0" fillId="0" borderId="1" xfId="0" applyNumberFormat="1" applyFont="1" applyBorder="1" applyAlignment="1">
      <alignment horizontal="left" vertical="center" wrapText="1"/>
    </xf>
    <xf numFmtId="1" fontId="0" fillId="0" borderId="1" xfId="0" applyNumberFormat="1" applyFont="1" applyFill="1" applyBorder="1" applyAlignment="1">
      <alignment horizontal="left" vertical="center" wrapText="1"/>
    </xf>
    <xf numFmtId="0" fontId="87" fillId="0" borderId="4" xfId="0" applyFont="1" applyBorder="1" applyAlignment="1">
      <alignment horizontal="left" vertical="center" wrapText="1"/>
    </xf>
    <xf numFmtId="1" fontId="0" fillId="5" borderId="1" xfId="0" applyNumberFormat="1" applyFont="1" applyFill="1" applyBorder="1" applyAlignment="1">
      <alignment horizontal="left" vertical="center" wrapText="1"/>
    </xf>
    <xf numFmtId="0" fontId="0" fillId="0" borderId="1" xfId="0" applyFont="1" applyBorder="1" applyAlignment="1">
      <alignment vertical="center" wrapText="1"/>
    </xf>
    <xf numFmtId="3" fontId="0" fillId="4" borderId="1" xfId="0" applyNumberFormat="1" applyFont="1" applyFill="1" applyBorder="1" applyAlignment="1">
      <alignment horizontal="center" wrapText="1"/>
    </xf>
    <xf numFmtId="41" fontId="0" fillId="0" borderId="0" xfId="5" applyFont="1" applyAlignment="1"/>
    <xf numFmtId="0" fontId="0" fillId="0" borderId="0" xfId="0" applyAlignment="1"/>
    <xf numFmtId="41" fontId="0" fillId="0" borderId="1" xfId="5" applyFont="1" applyBorder="1"/>
    <xf numFmtId="0" fontId="0" fillId="0" borderId="1" xfId="0" applyBorder="1"/>
    <xf numFmtId="0" fontId="0" fillId="5" borderId="1" xfId="0" applyFill="1" applyBorder="1"/>
    <xf numFmtId="0" fontId="0" fillId="0" borderId="0" xfId="0" applyFill="1" applyBorder="1"/>
    <xf numFmtId="1" fontId="0" fillId="0" borderId="0" xfId="0" applyNumberFormat="1"/>
    <xf numFmtId="0" fontId="0" fillId="0" borderId="0" xfId="0" applyAlignment="1">
      <alignment horizontal="left"/>
    </xf>
    <xf numFmtId="41" fontId="0" fillId="0" borderId="0" xfId="5" applyFont="1" applyAlignment="1">
      <alignment horizontal="center"/>
    </xf>
    <xf numFmtId="0" fontId="1" fillId="0" borderId="2" xfId="0" applyFont="1" applyFill="1" applyBorder="1" applyAlignment="1">
      <alignment horizontal="left" vertical="center" wrapText="1"/>
    </xf>
    <xf numFmtId="0" fontId="0" fillId="0" borderId="0" xfId="0" applyFill="1"/>
    <xf numFmtId="49" fontId="1" fillId="0" borderId="1" xfId="0" applyNumberFormat="1" applyFont="1" applyFill="1" applyBorder="1" applyAlignment="1">
      <alignment horizontal="center" vertical="center" wrapText="1"/>
    </xf>
    <xf numFmtId="0" fontId="0" fillId="0" borderId="0" xfId="0" applyFill="1" applyAlignment="1">
      <alignment wrapText="1"/>
    </xf>
    <xf numFmtId="3" fontId="1" fillId="0"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3" fontId="88" fillId="0" borderId="2" xfId="0" applyNumberFormat="1" applyFont="1" applyBorder="1" applyAlignment="1">
      <alignment horizontal="center" vertical="center" wrapText="1"/>
    </xf>
    <xf numFmtId="14" fontId="9" fillId="0" borderId="4"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14" fontId="9" fillId="0" borderId="3" xfId="0" applyNumberFormat="1" applyFont="1" applyBorder="1" applyAlignment="1">
      <alignment horizontal="center" vertical="center" wrapText="1"/>
    </xf>
    <xf numFmtId="0" fontId="24" fillId="5" borderId="1" xfId="0" applyFont="1" applyFill="1" applyBorder="1" applyAlignment="1">
      <alignment horizontal="left" vertical="center" wrapText="1"/>
    </xf>
    <xf numFmtId="0" fontId="9" fillId="5" borderId="2" xfId="0" applyFont="1" applyFill="1" applyBorder="1" applyAlignment="1">
      <alignment horizontal="center" vertical="center" wrapText="1"/>
    </xf>
    <xf numFmtId="3" fontId="9" fillId="5" borderId="1" xfId="0" applyNumberFormat="1" applyFont="1" applyFill="1" applyBorder="1" applyAlignment="1">
      <alignment horizontal="center" vertical="center" wrapText="1"/>
    </xf>
    <xf numFmtId="166" fontId="18" fillId="5" borderId="1" xfId="0" applyNumberFormat="1" applyFont="1" applyFill="1" applyBorder="1" applyAlignment="1">
      <alignment horizontal="center" vertical="center" wrapText="1"/>
    </xf>
    <xf numFmtId="49" fontId="4"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1" xfId="0" applyNumberFormat="1" applyFont="1" applyBorder="1" applyAlignment="1">
      <alignment horizontal="left" vertical="center" wrapText="1"/>
    </xf>
    <xf numFmtId="0" fontId="0" fillId="2" borderId="2" xfId="0" applyFont="1" applyFill="1" applyBorder="1" applyAlignment="1">
      <alignment vertical="center" wrapText="1"/>
    </xf>
    <xf numFmtId="0" fontId="0" fillId="2" borderId="3" xfId="0" applyFont="1" applyFill="1" applyBorder="1" applyAlignment="1">
      <alignment vertical="center" wrapText="1"/>
    </xf>
    <xf numFmtId="0" fontId="0" fillId="2" borderId="4" xfId="0" applyFont="1" applyFill="1" applyBorder="1" applyAlignment="1">
      <alignment vertical="center" wrapText="1"/>
    </xf>
    <xf numFmtId="0" fontId="31" fillId="28" borderId="1" xfId="0" applyFont="1" applyFill="1" applyBorder="1" applyAlignment="1">
      <alignment horizontal="left" vertical="center" wrapText="1"/>
    </xf>
    <xf numFmtId="0" fontId="0" fillId="28" borderId="2" xfId="0" applyFont="1" applyFill="1" applyBorder="1" applyAlignment="1">
      <alignment horizontal="left" vertical="center" wrapText="1"/>
    </xf>
    <xf numFmtId="3" fontId="0" fillId="28" borderId="1" xfId="0" applyNumberFormat="1" applyFont="1" applyFill="1" applyBorder="1" applyAlignment="1">
      <alignment horizontal="center" vertical="center" wrapText="1"/>
    </xf>
    <xf numFmtId="0" fontId="0" fillId="28" borderId="2" xfId="0" applyFont="1" applyFill="1" applyBorder="1" applyAlignment="1">
      <alignment vertical="center" wrapText="1"/>
    </xf>
    <xf numFmtId="0" fontId="25" fillId="28" borderId="1" xfId="0" applyFont="1" applyFill="1" applyBorder="1" applyAlignment="1">
      <alignment horizontal="left" vertical="center" wrapText="1"/>
    </xf>
    <xf numFmtId="0" fontId="25" fillId="28" borderId="2" xfId="0" applyFont="1" applyFill="1" applyBorder="1" applyAlignment="1">
      <alignment horizontal="left" vertical="center" wrapText="1"/>
    </xf>
    <xf numFmtId="3" fontId="32" fillId="28" borderId="1" xfId="0" applyNumberFormat="1" applyFont="1" applyFill="1" applyBorder="1" applyAlignment="1">
      <alignment horizontal="center" vertical="center" wrapText="1"/>
    </xf>
    <xf numFmtId="3" fontId="30" fillId="28" borderId="1" xfId="0" applyNumberFormat="1" applyFont="1" applyFill="1" applyBorder="1" applyAlignment="1">
      <alignment horizontal="center" vertical="center" wrapText="1"/>
    </xf>
    <xf numFmtId="0" fontId="33" fillId="28" borderId="1" xfId="0" applyFont="1" applyFill="1" applyBorder="1" applyAlignment="1">
      <alignment horizontal="center" vertical="center" wrapText="1"/>
    </xf>
    <xf numFmtId="3" fontId="1" fillId="28" borderId="1" xfId="0" applyNumberFormat="1" applyFont="1" applyFill="1" applyBorder="1" applyAlignment="1">
      <alignment horizontal="center" vertical="center" wrapText="1"/>
    </xf>
    <xf numFmtId="0" fontId="0" fillId="25" borderId="0" xfId="0" applyFill="1"/>
    <xf numFmtId="14" fontId="0" fillId="25" borderId="0" xfId="0" applyNumberFormat="1" applyFill="1"/>
    <xf numFmtId="0" fontId="25" fillId="4" borderId="2" xfId="0" applyFont="1" applyFill="1" applyBorder="1" applyAlignment="1">
      <alignment horizontal="left" vertical="center" wrapText="1"/>
    </xf>
    <xf numFmtId="3" fontId="32" fillId="4" borderId="1" xfId="0" applyNumberFormat="1" applyFont="1" applyFill="1" applyBorder="1" applyAlignment="1">
      <alignment horizontal="center" vertical="center" wrapText="1"/>
    </xf>
    <xf numFmtId="3" fontId="30" fillId="4" borderId="1" xfId="0" applyNumberFormat="1" applyFont="1" applyFill="1" applyBorder="1" applyAlignment="1">
      <alignment horizontal="center" vertical="center" wrapText="1"/>
    </xf>
    <xf numFmtId="0" fontId="33"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33" fillId="4" borderId="2" xfId="0" applyFont="1" applyFill="1" applyBorder="1" applyAlignment="1">
      <alignment horizontal="center" vertical="center" wrapText="1"/>
    </xf>
    <xf numFmtId="3" fontId="33" fillId="4" borderId="3" xfId="0" applyNumberFormat="1" applyFont="1" applyFill="1" applyBorder="1" applyAlignment="1">
      <alignment horizontal="center" vertical="center" wrapText="1"/>
    </xf>
    <xf numFmtId="3" fontId="9" fillId="4" borderId="1" xfId="0" applyNumberFormat="1" applyFont="1" applyFill="1" applyBorder="1" applyAlignment="1">
      <alignment horizontal="center" vertical="center" wrapText="1"/>
    </xf>
    <xf numFmtId="3" fontId="34" fillId="0" borderId="1" xfId="0" applyNumberFormat="1" applyFont="1" applyFill="1" applyBorder="1" applyAlignment="1">
      <alignment horizontal="center" vertical="center" wrapText="1"/>
    </xf>
    <xf numFmtId="0" fontId="1" fillId="28" borderId="2" xfId="0" applyFont="1" applyFill="1" applyBorder="1" applyAlignment="1">
      <alignment horizontal="left" vertical="center" wrapText="1"/>
    </xf>
    <xf numFmtId="49" fontId="1" fillId="28" borderId="1" xfId="0" applyNumberFormat="1" applyFont="1" applyFill="1" applyBorder="1" applyAlignment="1">
      <alignment horizontal="center" vertical="center" wrapText="1"/>
    </xf>
    <xf numFmtId="3" fontId="1" fillId="28" borderId="2" xfId="0" applyNumberFormat="1" applyFont="1" applyFill="1" applyBorder="1" applyAlignment="1">
      <alignment horizontal="center" vertical="center" wrapText="1"/>
    </xf>
    <xf numFmtId="3" fontId="1" fillId="25" borderId="1" xfId="0" applyNumberFormat="1" applyFont="1" applyFill="1" applyBorder="1" applyAlignment="1">
      <alignment horizontal="center" vertical="center" wrapText="1"/>
    </xf>
    <xf numFmtId="0" fontId="25" fillId="0" borderId="2" xfId="0" applyFont="1" applyBorder="1" applyAlignment="1">
      <alignment vertical="center" wrapText="1"/>
    </xf>
    <xf numFmtId="0" fontId="25" fillId="0" borderId="3" xfId="0" applyFont="1" applyBorder="1" applyAlignment="1">
      <alignment vertical="center" wrapText="1"/>
    </xf>
    <xf numFmtId="0" fontId="25" fillId="0" borderId="4" xfId="0" applyFont="1" applyBorder="1" applyAlignment="1">
      <alignment vertical="center" wrapText="1"/>
    </xf>
    <xf numFmtId="0" fontId="1" fillId="28" borderId="1" xfId="0" applyFont="1" applyFill="1" applyBorder="1" applyAlignment="1">
      <alignment horizontal="left" vertical="center" wrapText="1"/>
    </xf>
    <xf numFmtId="3" fontId="1" fillId="28" borderId="2" xfId="0" applyNumberFormat="1" applyFont="1" applyFill="1" applyBorder="1" applyAlignment="1">
      <alignment vertical="center" wrapText="1"/>
    </xf>
    <xf numFmtId="3" fontId="1" fillId="28" borderId="3" xfId="0" applyNumberFormat="1" applyFont="1" applyFill="1" applyBorder="1" applyAlignment="1">
      <alignment horizontal="center" vertical="center" wrapText="1"/>
    </xf>
    <xf numFmtId="0" fontId="1" fillId="28" borderId="0" xfId="0" applyFont="1" applyFill="1" applyAlignment="1">
      <alignment vertical="center" wrapText="1"/>
    </xf>
    <xf numFmtId="3" fontId="1" fillId="0" borderId="2" xfId="0" applyNumberFormat="1" applyFont="1" applyFill="1" applyBorder="1" applyAlignment="1">
      <alignment vertical="center" wrapText="1"/>
    </xf>
    <xf numFmtId="0" fontId="16" fillId="0" borderId="26" xfId="4" applyFont="1" applyBorder="1" applyAlignment="1">
      <alignment horizontal="left" vertical="center"/>
    </xf>
    <xf numFmtId="0" fontId="27" fillId="0" borderId="0" xfId="4" applyFont="1" applyBorder="1" applyAlignment="1">
      <alignment horizontal="right" vertical="center"/>
    </xf>
    <xf numFmtId="0" fontId="78" fillId="0" borderId="3" xfId="0" applyFont="1" applyFill="1" applyBorder="1" applyAlignment="1">
      <alignment horizontal="left" vertical="center" wrapText="1"/>
    </xf>
    <xf numFmtId="0" fontId="78" fillId="0" borderId="4" xfId="0" applyFont="1" applyFill="1" applyBorder="1" applyAlignment="1">
      <alignment horizontal="left" vertical="center" wrapText="1"/>
    </xf>
    <xf numFmtId="0" fontId="0" fillId="0" borderId="56" xfId="0" applyFont="1" applyBorder="1" applyAlignment="1">
      <alignment horizontal="center"/>
    </xf>
    <xf numFmtId="0" fontId="0" fillId="0" borderId="102" xfId="0" applyFont="1" applyBorder="1" applyAlignment="1">
      <alignment horizontal="center"/>
    </xf>
    <xf numFmtId="41" fontId="0" fillId="0" borderId="35" xfId="5" applyFont="1" applyBorder="1" applyAlignment="1">
      <alignment horizontal="center"/>
    </xf>
    <xf numFmtId="41" fontId="0" fillId="0" borderId="114" xfId="5" applyFont="1" applyBorder="1" applyAlignment="1">
      <alignment horizontal="center"/>
    </xf>
    <xf numFmtId="0" fontId="0" fillId="0" borderId="95" xfId="0" applyFont="1" applyBorder="1" applyAlignment="1">
      <alignment horizontal="center"/>
    </xf>
    <xf numFmtId="0" fontId="0" fillId="0" borderId="29" xfId="0" applyFont="1" applyBorder="1" applyAlignment="1">
      <alignment horizontal="center"/>
    </xf>
    <xf numFmtId="0" fontId="49" fillId="3" borderId="15" xfId="0" applyFont="1" applyFill="1" applyBorder="1" applyAlignment="1">
      <alignment horizontal="center" vertical="center" wrapText="1"/>
    </xf>
    <xf numFmtId="0" fontId="49" fillId="3" borderId="16" xfId="0" applyFont="1" applyFill="1"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171" fontId="20" fillId="0" borderId="9" xfId="0" applyNumberFormat="1" applyFont="1" applyBorder="1" applyAlignment="1">
      <alignment horizontal="center" vertical="center"/>
    </xf>
    <xf numFmtId="171" fontId="20" fillId="0" borderId="36" xfId="0" applyNumberFormat="1" applyFont="1" applyBorder="1" applyAlignment="1">
      <alignment horizontal="center" vertical="center"/>
    </xf>
    <xf numFmtId="0" fontId="0" fillId="14" borderId="45" xfId="0" applyFill="1" applyBorder="1" applyAlignment="1">
      <alignment horizontal="center"/>
    </xf>
    <xf numFmtId="0" fontId="0" fillId="14" borderId="46" xfId="0" applyFill="1" applyBorder="1" applyAlignment="1">
      <alignment horizontal="center"/>
    </xf>
    <xf numFmtId="0" fontId="0" fillId="14" borderId="47" xfId="0" applyFill="1" applyBorder="1" applyAlignment="1">
      <alignment horizontal="center"/>
    </xf>
    <xf numFmtId="170" fontId="42" fillId="0" borderId="0" xfId="7" applyNumberFormat="1" applyFont="1" applyFill="1" applyBorder="1" applyAlignment="1">
      <alignment horizontal="center"/>
    </xf>
    <xf numFmtId="0" fontId="4" fillId="0" borderId="9" xfId="0" applyFont="1" applyBorder="1" applyAlignment="1">
      <alignment horizontal="center"/>
    </xf>
    <xf numFmtId="0" fontId="4" fillId="0" borderId="44" xfId="0" applyFont="1" applyBorder="1" applyAlignment="1">
      <alignment horizontal="center"/>
    </xf>
    <xf numFmtId="0" fontId="4" fillId="0" borderId="36" xfId="0" applyFont="1" applyBorder="1" applyAlignment="1">
      <alignment horizontal="center"/>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 xfId="0" applyFont="1" applyBorder="1" applyAlignment="1">
      <alignment horizontal="left" vertical="center" wrapText="1"/>
    </xf>
    <xf numFmtId="0" fontId="1" fillId="0" borderId="2" xfId="0" applyFont="1" applyBorder="1" applyAlignment="1">
      <alignment horizontal="left" vertical="center" wrapText="1"/>
    </xf>
    <xf numFmtId="0" fontId="0" fillId="0" borderId="2" xfId="0" applyFont="1" applyBorder="1" applyAlignment="1">
      <alignment horizontal="left" vertical="center" wrapText="1"/>
    </xf>
    <xf numFmtId="3" fontId="0" fillId="35" borderId="1" xfId="0" applyNumberFormat="1" applyFont="1" applyFill="1" applyBorder="1" applyAlignment="1">
      <alignment horizontal="center" vertical="center" wrapText="1"/>
    </xf>
    <xf numFmtId="3" fontId="0" fillId="36" borderId="1" xfId="0" applyNumberFormat="1" applyFont="1" applyFill="1" applyBorder="1" applyAlignment="1">
      <alignment horizontal="center" vertical="center" wrapText="1"/>
    </xf>
  </cellXfs>
  <cellStyles count="8">
    <cellStyle name="Millares" xfId="7" builtinId="3"/>
    <cellStyle name="Millares [0]" xfId="5" builtinId="6"/>
    <cellStyle name="Millares 2" xfId="3"/>
    <cellStyle name="Millares 3" xfId="6"/>
    <cellStyle name="Normal" xfId="0" builtinId="0"/>
    <cellStyle name="Normal - Style1 10 3" xfId="2"/>
    <cellStyle name="Normal 2" xfId="4"/>
    <cellStyle name="Porcentaje" xfId="1" builtinId="5"/>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0.xml"/><Relationship Id="rId68" Type="http://schemas.openxmlformats.org/officeDocument/2006/relationships/externalLink" Target="externalLinks/externalLink15.xml"/><Relationship Id="rId84" Type="http://schemas.openxmlformats.org/officeDocument/2006/relationships/externalLink" Target="externalLinks/externalLink31.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externalLink" Target="externalLinks/externalLink5.xml"/><Relationship Id="rId74" Type="http://schemas.openxmlformats.org/officeDocument/2006/relationships/externalLink" Target="externalLinks/externalLink21.xml"/><Relationship Id="rId79" Type="http://schemas.openxmlformats.org/officeDocument/2006/relationships/externalLink" Target="externalLinks/externalLink26.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64" Type="http://schemas.openxmlformats.org/officeDocument/2006/relationships/externalLink" Target="externalLinks/externalLink11.xml"/><Relationship Id="rId69" Type="http://schemas.openxmlformats.org/officeDocument/2006/relationships/externalLink" Target="externalLinks/externalLink16.xml"/><Relationship Id="rId77"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9.xml"/><Relationship Id="rId80" Type="http://schemas.openxmlformats.org/officeDocument/2006/relationships/externalLink" Target="externalLinks/externalLink27.xml"/><Relationship Id="rId85" Type="http://schemas.openxmlformats.org/officeDocument/2006/relationships/externalLink" Target="externalLinks/externalLink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67" Type="http://schemas.openxmlformats.org/officeDocument/2006/relationships/externalLink" Target="externalLinks/externalLink1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externalLink" Target="externalLinks/externalLink9.xml"/><Relationship Id="rId70" Type="http://schemas.openxmlformats.org/officeDocument/2006/relationships/externalLink" Target="externalLinks/externalLink17.xml"/><Relationship Id="rId75" Type="http://schemas.openxmlformats.org/officeDocument/2006/relationships/externalLink" Target="externalLinks/externalLink22.xml"/><Relationship Id="rId83" Type="http://schemas.openxmlformats.org/officeDocument/2006/relationships/externalLink" Target="externalLinks/externalLink30.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7.xml"/><Relationship Id="rId65" Type="http://schemas.openxmlformats.org/officeDocument/2006/relationships/externalLink" Target="externalLinks/externalLink12.xml"/><Relationship Id="rId73" Type="http://schemas.openxmlformats.org/officeDocument/2006/relationships/externalLink" Target="externalLinks/externalLink20.xml"/><Relationship Id="rId78" Type="http://schemas.openxmlformats.org/officeDocument/2006/relationships/externalLink" Target="externalLinks/externalLink25.xml"/><Relationship Id="rId81" Type="http://schemas.openxmlformats.org/officeDocument/2006/relationships/externalLink" Target="externalLinks/externalLink28.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2.xml"/><Relationship Id="rId76" Type="http://schemas.openxmlformats.org/officeDocument/2006/relationships/externalLink" Target="externalLinks/externalLink23.xml"/><Relationship Id="rId7" Type="http://schemas.openxmlformats.org/officeDocument/2006/relationships/worksheet" Target="worksheets/sheet7.xml"/><Relationship Id="rId71" Type="http://schemas.openxmlformats.org/officeDocument/2006/relationships/externalLink" Target="externalLinks/externalLink18.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3.xml"/><Relationship Id="rId87" Type="http://schemas.openxmlformats.org/officeDocument/2006/relationships/styles" Target="styles.xml"/><Relationship Id="rId61" Type="http://schemas.openxmlformats.org/officeDocument/2006/relationships/externalLink" Target="externalLinks/externalLink8.xml"/><Relationship Id="rId82" Type="http://schemas.openxmlformats.org/officeDocument/2006/relationships/externalLink" Target="externalLinks/externalLink29.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63500</xdr:colOff>
      <xdr:row>0</xdr:row>
      <xdr:rowOff>0</xdr:rowOff>
    </xdr:from>
    <xdr:to>
      <xdr:col>8</xdr:col>
      <xdr:colOff>517424</xdr:colOff>
      <xdr:row>3</xdr:row>
      <xdr:rowOff>118573</xdr:rowOff>
    </xdr:to>
    <xdr:pic>
      <xdr:nvPicPr>
        <xdr:cNvPr id="3" name="Imagen 2">
          <a:extLst>
            <a:ext uri="{FF2B5EF4-FFF2-40B4-BE49-F238E27FC236}">
              <a16:creationId xmlns:a16="http://schemas.microsoft.com/office/drawing/2014/main" id="{1A07F536-3854-47B5-B161-BF0F277827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10410" r="5370" b="10645"/>
        <a:stretch>
          <a:fillRect/>
        </a:stretch>
      </xdr:blipFill>
      <xdr:spPr bwMode="auto">
        <a:xfrm>
          <a:off x="4650740" y="0"/>
          <a:ext cx="1246404" cy="667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718457</xdr:colOff>
      <xdr:row>0</xdr:row>
      <xdr:rowOff>65314</xdr:rowOff>
    </xdr:from>
    <xdr:to>
      <xdr:col>7</xdr:col>
      <xdr:colOff>1008289</xdr:colOff>
      <xdr:row>1</xdr:row>
      <xdr:rowOff>224204</xdr:rowOff>
    </xdr:to>
    <xdr:pic>
      <xdr:nvPicPr>
        <xdr:cNvPr id="2" name="Imagen 1">
          <a:extLst>
            <a:ext uri="{FF2B5EF4-FFF2-40B4-BE49-F238E27FC236}">
              <a16:creationId xmlns:a16="http://schemas.microsoft.com/office/drawing/2014/main" id="{5B6529FB-B9A3-4377-854B-3B4A92E3219A}"/>
            </a:ext>
          </a:extLst>
        </xdr:cNvPr>
        <xdr:cNvPicPr>
          <a:picLocks noChangeAspect="1"/>
        </xdr:cNvPicPr>
      </xdr:nvPicPr>
      <xdr:blipFill>
        <a:blip xmlns:r="http://schemas.openxmlformats.org/officeDocument/2006/relationships" r:embed="rId1"/>
        <a:stretch>
          <a:fillRect/>
        </a:stretch>
      </xdr:blipFill>
      <xdr:spPr>
        <a:xfrm>
          <a:off x="13226143" y="65314"/>
          <a:ext cx="1552575" cy="6269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714375</xdr:colOff>
      <xdr:row>0</xdr:row>
      <xdr:rowOff>57150</xdr:rowOff>
    </xdr:from>
    <xdr:to>
      <xdr:col>7</xdr:col>
      <xdr:colOff>1000125</xdr:colOff>
      <xdr:row>1</xdr:row>
      <xdr:rowOff>217401</xdr:rowOff>
    </xdr:to>
    <xdr:pic>
      <xdr:nvPicPr>
        <xdr:cNvPr id="2" name="Imagen 1">
          <a:extLst>
            <a:ext uri="{FF2B5EF4-FFF2-40B4-BE49-F238E27FC236}">
              <a16:creationId xmlns:a16="http://schemas.microsoft.com/office/drawing/2014/main" id="{160BA389-10D0-4D7B-88A3-6859CE28EB4F}"/>
            </a:ext>
          </a:extLst>
        </xdr:cNvPr>
        <xdr:cNvPicPr>
          <a:picLocks noChangeAspect="1"/>
        </xdr:cNvPicPr>
      </xdr:nvPicPr>
      <xdr:blipFill>
        <a:blip xmlns:r="http://schemas.openxmlformats.org/officeDocument/2006/relationships" r:embed="rId1"/>
        <a:stretch>
          <a:fillRect/>
        </a:stretch>
      </xdr:blipFill>
      <xdr:spPr>
        <a:xfrm>
          <a:off x="12954000" y="57150"/>
          <a:ext cx="1552575" cy="6269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711200</xdr:colOff>
      <xdr:row>0</xdr:row>
      <xdr:rowOff>50800</xdr:rowOff>
    </xdr:from>
    <xdr:to>
      <xdr:col>7</xdr:col>
      <xdr:colOff>993775</xdr:colOff>
      <xdr:row>1</xdr:row>
      <xdr:rowOff>207876</xdr:rowOff>
    </xdr:to>
    <xdr:pic>
      <xdr:nvPicPr>
        <xdr:cNvPr id="2" name="Imagen 1">
          <a:extLst>
            <a:ext uri="{FF2B5EF4-FFF2-40B4-BE49-F238E27FC236}">
              <a16:creationId xmlns:a16="http://schemas.microsoft.com/office/drawing/2014/main" id="{1B70EF27-301E-4085-BF0C-1312F812802F}"/>
            </a:ext>
          </a:extLst>
        </xdr:cNvPr>
        <xdr:cNvPicPr>
          <a:picLocks noChangeAspect="1"/>
        </xdr:cNvPicPr>
      </xdr:nvPicPr>
      <xdr:blipFill>
        <a:blip xmlns:r="http://schemas.openxmlformats.org/officeDocument/2006/relationships" r:embed="rId1"/>
        <a:stretch>
          <a:fillRect/>
        </a:stretch>
      </xdr:blipFill>
      <xdr:spPr>
        <a:xfrm>
          <a:off x="15341600" y="50800"/>
          <a:ext cx="1552575" cy="6269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733425</xdr:colOff>
      <xdr:row>0</xdr:row>
      <xdr:rowOff>76200</xdr:rowOff>
    </xdr:from>
    <xdr:to>
      <xdr:col>7</xdr:col>
      <xdr:colOff>1011918</xdr:colOff>
      <xdr:row>1</xdr:row>
      <xdr:rowOff>234637</xdr:rowOff>
    </xdr:to>
    <xdr:pic>
      <xdr:nvPicPr>
        <xdr:cNvPr id="2" name="Imagen 1">
          <a:extLst>
            <a:ext uri="{FF2B5EF4-FFF2-40B4-BE49-F238E27FC236}">
              <a16:creationId xmlns:a16="http://schemas.microsoft.com/office/drawing/2014/main" id="{C5E865F7-162E-4824-B819-AC8C81CC0E83}"/>
            </a:ext>
          </a:extLst>
        </xdr:cNvPr>
        <xdr:cNvPicPr>
          <a:picLocks noChangeAspect="1"/>
        </xdr:cNvPicPr>
      </xdr:nvPicPr>
      <xdr:blipFill>
        <a:blip xmlns:r="http://schemas.openxmlformats.org/officeDocument/2006/relationships" r:embed="rId1"/>
        <a:stretch>
          <a:fillRect/>
        </a:stretch>
      </xdr:blipFill>
      <xdr:spPr>
        <a:xfrm>
          <a:off x="12868275" y="76200"/>
          <a:ext cx="1545318" cy="62516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762000</xdr:colOff>
      <xdr:row>0</xdr:row>
      <xdr:rowOff>57150</xdr:rowOff>
    </xdr:from>
    <xdr:to>
      <xdr:col>7</xdr:col>
      <xdr:colOff>1040493</xdr:colOff>
      <xdr:row>1</xdr:row>
      <xdr:rowOff>215587</xdr:rowOff>
    </xdr:to>
    <xdr:pic>
      <xdr:nvPicPr>
        <xdr:cNvPr id="2" name="Imagen 1">
          <a:extLst>
            <a:ext uri="{FF2B5EF4-FFF2-40B4-BE49-F238E27FC236}">
              <a16:creationId xmlns:a16="http://schemas.microsoft.com/office/drawing/2014/main" id="{AC2AF67D-9A48-4F57-8CB3-57323F13B226}"/>
            </a:ext>
          </a:extLst>
        </xdr:cNvPr>
        <xdr:cNvPicPr>
          <a:picLocks noChangeAspect="1"/>
        </xdr:cNvPicPr>
      </xdr:nvPicPr>
      <xdr:blipFill>
        <a:blip xmlns:r="http://schemas.openxmlformats.org/officeDocument/2006/relationships" r:embed="rId1"/>
        <a:stretch>
          <a:fillRect/>
        </a:stretch>
      </xdr:blipFill>
      <xdr:spPr>
        <a:xfrm>
          <a:off x="11772900" y="57150"/>
          <a:ext cx="1545318" cy="62516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787400</xdr:colOff>
      <xdr:row>0</xdr:row>
      <xdr:rowOff>127000</xdr:rowOff>
    </xdr:from>
    <xdr:to>
      <xdr:col>13</xdr:col>
      <xdr:colOff>1062718</xdr:colOff>
      <xdr:row>1</xdr:row>
      <xdr:rowOff>282262</xdr:rowOff>
    </xdr:to>
    <xdr:pic>
      <xdr:nvPicPr>
        <xdr:cNvPr id="2" name="Imagen 1">
          <a:extLst>
            <a:ext uri="{FF2B5EF4-FFF2-40B4-BE49-F238E27FC236}">
              <a16:creationId xmlns:a16="http://schemas.microsoft.com/office/drawing/2014/main" id="{A9A16FB9-F8B5-46FA-9F37-56D5E7F7A6F1}"/>
            </a:ext>
          </a:extLst>
        </xdr:cNvPr>
        <xdr:cNvPicPr>
          <a:picLocks noChangeAspect="1"/>
        </xdr:cNvPicPr>
      </xdr:nvPicPr>
      <xdr:blipFill>
        <a:blip xmlns:r="http://schemas.openxmlformats.org/officeDocument/2006/relationships" r:embed="rId1"/>
        <a:stretch>
          <a:fillRect/>
        </a:stretch>
      </xdr:blipFill>
      <xdr:spPr>
        <a:xfrm>
          <a:off x="12903200" y="127000"/>
          <a:ext cx="1545318" cy="625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xdr:colOff>
      <xdr:row>1</xdr:row>
      <xdr:rowOff>22860</xdr:rowOff>
    </xdr:from>
    <xdr:to>
      <xdr:col>7</xdr:col>
      <xdr:colOff>1262259</xdr:colOff>
      <xdr:row>3</xdr:row>
      <xdr:rowOff>163734</xdr:rowOff>
    </xdr:to>
    <xdr:pic>
      <xdr:nvPicPr>
        <xdr:cNvPr id="3" name="Imagen 2">
          <a:extLst>
            <a:ext uri="{FF2B5EF4-FFF2-40B4-BE49-F238E27FC236}">
              <a16:creationId xmlns:a16="http://schemas.microsoft.com/office/drawing/2014/main" id="{10167133-2BB6-4549-91E5-53D33B5A6341}"/>
            </a:ext>
          </a:extLst>
        </xdr:cNvPr>
        <xdr:cNvPicPr>
          <a:picLocks noChangeAspect="1"/>
        </xdr:cNvPicPr>
      </xdr:nvPicPr>
      <xdr:blipFill>
        <a:blip xmlns:r="http://schemas.openxmlformats.org/officeDocument/2006/relationships" r:embed="rId1"/>
        <a:stretch>
          <a:fillRect/>
        </a:stretch>
      </xdr:blipFill>
      <xdr:spPr>
        <a:xfrm>
          <a:off x="6164580" y="251460"/>
          <a:ext cx="1254639" cy="510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695325</xdr:colOff>
      <xdr:row>0</xdr:row>
      <xdr:rowOff>74211</xdr:rowOff>
    </xdr:from>
    <xdr:to>
      <xdr:col>6</xdr:col>
      <xdr:colOff>990600</xdr:colOff>
      <xdr:row>1</xdr:row>
      <xdr:rowOff>246708</xdr:rowOff>
    </xdr:to>
    <xdr:pic>
      <xdr:nvPicPr>
        <xdr:cNvPr id="3" name="Imagen 2">
          <a:extLst>
            <a:ext uri="{FF2B5EF4-FFF2-40B4-BE49-F238E27FC236}">
              <a16:creationId xmlns:a16="http://schemas.microsoft.com/office/drawing/2014/main" id="{5394DE70-3972-43D2-9AD3-EB2E867DBDA8}"/>
            </a:ext>
          </a:extLst>
        </xdr:cNvPr>
        <xdr:cNvPicPr>
          <a:picLocks noChangeAspect="1"/>
        </xdr:cNvPicPr>
      </xdr:nvPicPr>
      <xdr:blipFill>
        <a:blip xmlns:r="http://schemas.openxmlformats.org/officeDocument/2006/relationships" r:embed="rId1"/>
        <a:stretch>
          <a:fillRect/>
        </a:stretch>
      </xdr:blipFill>
      <xdr:spPr>
        <a:xfrm>
          <a:off x="10163175" y="74211"/>
          <a:ext cx="1562100" cy="6392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771525</xdr:colOff>
      <xdr:row>0</xdr:row>
      <xdr:rowOff>85725</xdr:rowOff>
    </xdr:from>
    <xdr:to>
      <xdr:col>7</xdr:col>
      <xdr:colOff>1066800</xdr:colOff>
      <xdr:row>1</xdr:row>
      <xdr:rowOff>258222</xdr:rowOff>
    </xdr:to>
    <xdr:pic>
      <xdr:nvPicPr>
        <xdr:cNvPr id="3" name="Imagen 2">
          <a:extLst>
            <a:ext uri="{FF2B5EF4-FFF2-40B4-BE49-F238E27FC236}">
              <a16:creationId xmlns:a16="http://schemas.microsoft.com/office/drawing/2014/main" id="{660E828D-B5BC-4EF9-9D9F-186587F744C8}"/>
            </a:ext>
          </a:extLst>
        </xdr:cNvPr>
        <xdr:cNvPicPr>
          <a:picLocks noChangeAspect="1"/>
        </xdr:cNvPicPr>
      </xdr:nvPicPr>
      <xdr:blipFill>
        <a:blip xmlns:r="http://schemas.openxmlformats.org/officeDocument/2006/relationships" r:embed="rId1"/>
        <a:stretch>
          <a:fillRect/>
        </a:stretch>
      </xdr:blipFill>
      <xdr:spPr>
        <a:xfrm>
          <a:off x="11668125" y="85725"/>
          <a:ext cx="1562100" cy="6392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323850</xdr:colOff>
      <xdr:row>0</xdr:row>
      <xdr:rowOff>104775</xdr:rowOff>
    </xdr:from>
    <xdr:to>
      <xdr:col>7</xdr:col>
      <xdr:colOff>1066800</xdr:colOff>
      <xdr:row>1</xdr:row>
      <xdr:rowOff>277272</xdr:rowOff>
    </xdr:to>
    <xdr:pic>
      <xdr:nvPicPr>
        <xdr:cNvPr id="2" name="Imagen 1">
          <a:extLst>
            <a:ext uri="{FF2B5EF4-FFF2-40B4-BE49-F238E27FC236}">
              <a16:creationId xmlns:a16="http://schemas.microsoft.com/office/drawing/2014/main" id="{2C732F8D-4BFE-41B0-91B4-001E9133FCC2}"/>
            </a:ext>
          </a:extLst>
        </xdr:cNvPr>
        <xdr:cNvPicPr>
          <a:picLocks noChangeAspect="1"/>
        </xdr:cNvPicPr>
      </xdr:nvPicPr>
      <xdr:blipFill>
        <a:blip xmlns:r="http://schemas.openxmlformats.org/officeDocument/2006/relationships" r:embed="rId1"/>
        <a:stretch>
          <a:fillRect/>
        </a:stretch>
      </xdr:blipFill>
      <xdr:spPr>
        <a:xfrm>
          <a:off x="12506325" y="104775"/>
          <a:ext cx="1562100" cy="6392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619125</xdr:colOff>
      <xdr:row>0</xdr:row>
      <xdr:rowOff>85725</xdr:rowOff>
    </xdr:from>
    <xdr:to>
      <xdr:col>7</xdr:col>
      <xdr:colOff>1076325</xdr:colOff>
      <xdr:row>1</xdr:row>
      <xdr:rowOff>258222</xdr:rowOff>
    </xdr:to>
    <xdr:pic>
      <xdr:nvPicPr>
        <xdr:cNvPr id="2" name="Imagen 1">
          <a:extLst>
            <a:ext uri="{FF2B5EF4-FFF2-40B4-BE49-F238E27FC236}">
              <a16:creationId xmlns:a16="http://schemas.microsoft.com/office/drawing/2014/main" id="{E5A76DE5-DC00-4FFF-9002-568DCB0A33B8}"/>
            </a:ext>
          </a:extLst>
        </xdr:cNvPr>
        <xdr:cNvPicPr>
          <a:picLocks noChangeAspect="1"/>
        </xdr:cNvPicPr>
      </xdr:nvPicPr>
      <xdr:blipFill>
        <a:blip xmlns:r="http://schemas.openxmlformats.org/officeDocument/2006/relationships" r:embed="rId1"/>
        <a:stretch>
          <a:fillRect/>
        </a:stretch>
      </xdr:blipFill>
      <xdr:spPr>
        <a:xfrm>
          <a:off x="11287125" y="85725"/>
          <a:ext cx="1562100" cy="6392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1085850</xdr:colOff>
      <xdr:row>0</xdr:row>
      <xdr:rowOff>85725</xdr:rowOff>
    </xdr:from>
    <xdr:to>
      <xdr:col>7</xdr:col>
      <xdr:colOff>1371600</xdr:colOff>
      <xdr:row>1</xdr:row>
      <xdr:rowOff>245976</xdr:rowOff>
    </xdr:to>
    <xdr:pic>
      <xdr:nvPicPr>
        <xdr:cNvPr id="2" name="Imagen 1">
          <a:extLst>
            <a:ext uri="{FF2B5EF4-FFF2-40B4-BE49-F238E27FC236}">
              <a16:creationId xmlns:a16="http://schemas.microsoft.com/office/drawing/2014/main" id="{693CF342-9053-4C66-94D2-EAB1057D119E}"/>
            </a:ext>
          </a:extLst>
        </xdr:cNvPr>
        <xdr:cNvPicPr>
          <a:picLocks noChangeAspect="1"/>
        </xdr:cNvPicPr>
      </xdr:nvPicPr>
      <xdr:blipFill>
        <a:blip xmlns:r="http://schemas.openxmlformats.org/officeDocument/2006/relationships" r:embed="rId1"/>
        <a:stretch>
          <a:fillRect/>
        </a:stretch>
      </xdr:blipFill>
      <xdr:spPr>
        <a:xfrm>
          <a:off x="10220325" y="85725"/>
          <a:ext cx="1552575" cy="6269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25</xdr:col>
      <xdr:colOff>581024</xdr:colOff>
      <xdr:row>22</xdr:row>
      <xdr:rowOff>38100</xdr:rowOff>
    </xdr:from>
    <xdr:to>
      <xdr:col>37</xdr:col>
      <xdr:colOff>556259</xdr:colOff>
      <xdr:row>36</xdr:row>
      <xdr:rowOff>30480</xdr:rowOff>
    </xdr:to>
    <xdr:sp macro="" textlink="">
      <xdr:nvSpPr>
        <xdr:cNvPr id="2" name="1 Cerrar llave">
          <a:extLst>
            <a:ext uri="{FF2B5EF4-FFF2-40B4-BE49-F238E27FC236}">
              <a16:creationId xmlns:a16="http://schemas.microsoft.com/office/drawing/2014/main" id="{9165E906-DB70-4977-B7CD-40FAB149F7F7}"/>
            </a:ext>
          </a:extLst>
        </xdr:cNvPr>
        <xdr:cNvSpPr/>
      </xdr:nvSpPr>
      <xdr:spPr>
        <a:xfrm rot="5400000">
          <a:off x="14417992" y="953452"/>
          <a:ext cx="541020" cy="6924675"/>
        </a:xfrm>
        <a:prstGeom prst="rightBrace">
          <a:avLst/>
        </a:prstGeom>
        <a:ln w="28575">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37</xdr:col>
      <xdr:colOff>571500</xdr:colOff>
      <xdr:row>22</xdr:row>
      <xdr:rowOff>38100</xdr:rowOff>
    </xdr:from>
    <xdr:to>
      <xdr:col>52</xdr:col>
      <xdr:colOff>0</xdr:colOff>
      <xdr:row>36</xdr:row>
      <xdr:rowOff>30480</xdr:rowOff>
    </xdr:to>
    <xdr:sp macro="" textlink="">
      <xdr:nvSpPr>
        <xdr:cNvPr id="3" name="2 Cerrar llave">
          <a:extLst>
            <a:ext uri="{FF2B5EF4-FFF2-40B4-BE49-F238E27FC236}">
              <a16:creationId xmlns:a16="http://schemas.microsoft.com/office/drawing/2014/main" id="{41658A48-F3C1-45CB-B59F-1453B2BBEDAE}"/>
            </a:ext>
          </a:extLst>
        </xdr:cNvPr>
        <xdr:cNvSpPr/>
      </xdr:nvSpPr>
      <xdr:spPr>
        <a:xfrm rot="5400000">
          <a:off x="21781770" y="529590"/>
          <a:ext cx="541020" cy="7772400"/>
        </a:xfrm>
        <a:prstGeom prst="rightBrace">
          <a:avLst/>
        </a:prstGeom>
        <a:ln w="28575">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16</xdr:col>
      <xdr:colOff>342899</xdr:colOff>
      <xdr:row>22</xdr:row>
      <xdr:rowOff>47625</xdr:rowOff>
    </xdr:from>
    <xdr:to>
      <xdr:col>25</xdr:col>
      <xdr:colOff>575309</xdr:colOff>
      <xdr:row>36</xdr:row>
      <xdr:rowOff>40005</xdr:rowOff>
    </xdr:to>
    <xdr:sp macro="" textlink="">
      <xdr:nvSpPr>
        <xdr:cNvPr id="4" name="4 Cerrar llave">
          <a:extLst>
            <a:ext uri="{FF2B5EF4-FFF2-40B4-BE49-F238E27FC236}">
              <a16:creationId xmlns:a16="http://schemas.microsoft.com/office/drawing/2014/main" id="{02E66327-08F2-490F-B66C-ACC63C6BAFD6}"/>
            </a:ext>
          </a:extLst>
        </xdr:cNvPr>
        <xdr:cNvSpPr/>
      </xdr:nvSpPr>
      <xdr:spPr>
        <a:xfrm rot="5400000">
          <a:off x="8185784" y="1661160"/>
          <a:ext cx="541020" cy="5528310"/>
        </a:xfrm>
        <a:prstGeom prst="rightBrace">
          <a:avLst/>
        </a:prstGeom>
        <a:ln w="28575">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25</xdr:col>
      <xdr:colOff>581024</xdr:colOff>
      <xdr:row>62</xdr:row>
      <xdr:rowOff>38100</xdr:rowOff>
    </xdr:from>
    <xdr:to>
      <xdr:col>37</xdr:col>
      <xdr:colOff>556259</xdr:colOff>
      <xdr:row>76</xdr:row>
      <xdr:rowOff>30480</xdr:rowOff>
    </xdr:to>
    <xdr:sp macro="" textlink="">
      <xdr:nvSpPr>
        <xdr:cNvPr id="5" name="1 Cerrar llave">
          <a:extLst>
            <a:ext uri="{FF2B5EF4-FFF2-40B4-BE49-F238E27FC236}">
              <a16:creationId xmlns:a16="http://schemas.microsoft.com/office/drawing/2014/main" id="{07AC2293-51B7-43E1-B85D-0AD273C39791}"/>
            </a:ext>
          </a:extLst>
        </xdr:cNvPr>
        <xdr:cNvSpPr/>
      </xdr:nvSpPr>
      <xdr:spPr>
        <a:xfrm rot="5400000">
          <a:off x="14417992" y="7552372"/>
          <a:ext cx="541020" cy="6924675"/>
        </a:xfrm>
        <a:prstGeom prst="rightBrace">
          <a:avLst/>
        </a:prstGeom>
        <a:ln w="28575">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37</xdr:col>
      <xdr:colOff>571500</xdr:colOff>
      <xdr:row>62</xdr:row>
      <xdr:rowOff>38100</xdr:rowOff>
    </xdr:from>
    <xdr:to>
      <xdr:col>52</xdr:col>
      <xdr:colOff>0</xdr:colOff>
      <xdr:row>76</xdr:row>
      <xdr:rowOff>30480</xdr:rowOff>
    </xdr:to>
    <xdr:sp macro="" textlink="">
      <xdr:nvSpPr>
        <xdr:cNvPr id="6" name="2 Cerrar llave">
          <a:extLst>
            <a:ext uri="{FF2B5EF4-FFF2-40B4-BE49-F238E27FC236}">
              <a16:creationId xmlns:a16="http://schemas.microsoft.com/office/drawing/2014/main" id="{0B322E2A-CA34-4264-9442-F50A8FAC0987}"/>
            </a:ext>
          </a:extLst>
        </xdr:cNvPr>
        <xdr:cNvSpPr/>
      </xdr:nvSpPr>
      <xdr:spPr>
        <a:xfrm rot="5400000">
          <a:off x="21781770" y="7128510"/>
          <a:ext cx="541020" cy="7772400"/>
        </a:xfrm>
        <a:prstGeom prst="rightBrace">
          <a:avLst/>
        </a:prstGeom>
        <a:ln w="28575">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16</xdr:col>
      <xdr:colOff>342899</xdr:colOff>
      <xdr:row>62</xdr:row>
      <xdr:rowOff>47625</xdr:rowOff>
    </xdr:from>
    <xdr:to>
      <xdr:col>25</xdr:col>
      <xdr:colOff>575309</xdr:colOff>
      <xdr:row>76</xdr:row>
      <xdr:rowOff>40005</xdr:rowOff>
    </xdr:to>
    <xdr:sp macro="" textlink="">
      <xdr:nvSpPr>
        <xdr:cNvPr id="7" name="4 Cerrar llave">
          <a:extLst>
            <a:ext uri="{FF2B5EF4-FFF2-40B4-BE49-F238E27FC236}">
              <a16:creationId xmlns:a16="http://schemas.microsoft.com/office/drawing/2014/main" id="{4504CD3E-30C2-4EA2-B7D0-5599F9977E8A}"/>
            </a:ext>
          </a:extLst>
        </xdr:cNvPr>
        <xdr:cNvSpPr/>
      </xdr:nvSpPr>
      <xdr:spPr>
        <a:xfrm rot="5400000">
          <a:off x="8185784" y="8260080"/>
          <a:ext cx="541020" cy="5528310"/>
        </a:xfrm>
        <a:prstGeom prst="rightBrace">
          <a:avLst/>
        </a:prstGeom>
        <a:ln w="28575">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723900</xdr:colOff>
      <xdr:row>0</xdr:row>
      <xdr:rowOff>104775</xdr:rowOff>
    </xdr:from>
    <xdr:to>
      <xdr:col>7</xdr:col>
      <xdr:colOff>1009650</xdr:colOff>
      <xdr:row>1</xdr:row>
      <xdr:rowOff>265026</xdr:rowOff>
    </xdr:to>
    <xdr:pic>
      <xdr:nvPicPr>
        <xdr:cNvPr id="2" name="Imagen 1">
          <a:extLst>
            <a:ext uri="{FF2B5EF4-FFF2-40B4-BE49-F238E27FC236}">
              <a16:creationId xmlns:a16="http://schemas.microsoft.com/office/drawing/2014/main" id="{A637172A-2EEB-4479-87AB-CC177918D760}"/>
            </a:ext>
          </a:extLst>
        </xdr:cNvPr>
        <xdr:cNvPicPr>
          <a:picLocks noChangeAspect="1"/>
        </xdr:cNvPicPr>
      </xdr:nvPicPr>
      <xdr:blipFill>
        <a:blip xmlns:r="http://schemas.openxmlformats.org/officeDocument/2006/relationships" r:embed="rId1"/>
        <a:stretch>
          <a:fillRect/>
        </a:stretch>
      </xdr:blipFill>
      <xdr:spPr>
        <a:xfrm>
          <a:off x="11410950" y="104775"/>
          <a:ext cx="1552575" cy="62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Budget%20Legal%202020_29nov2017_mejorad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1002-40303-PS-SOA-0001%20I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Finanzas/1002-40303-PS-SOA-0001_Financ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Budget%20Legal%202018_25sep201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Budget%20Legal%202018_29nov2017%20(0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ZG6HJCZN/Formato%20Finanzas%20SubSumas%2024%20AGO_GA_Enviado%20(00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nuevaunionspa-my.sharepoint.com/Users/gineva.alcota/AppData/Local/Microsoft/Windows/INetCache/Content.Outlook/ZG6HJCZN/Formato%20Finanzas%20SubSumas%2024%20AGO_GA_Enviado%20(00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michaelleyton/Desktop/Users/michaelleyton/Desktop/Contract%20Register/C:/Users/gineva.alcota/AppData/Local/Microsoft/Windows/INetCache/Content.Outlook/ZG6HJCZN/Formato%20Finanzas%20SubSumas%2024%20AGO_GA_Enviado%20(0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Legal/Budget%20Legal%202018%20(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ZG6HJCZN/1002-40303-PS-SOA-0001_REV5%20%20Comunications%20and%20Government%20Relation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Sera/1002-40303-PS-SOA-0001_REV5%20%20Resettle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uevaUnion/00_AREA%20LEGAL/COSTOS%20%20AREA%20LEGAL/Preparacion%20Presupuesto%202018_jul2017/Budget%20Legal%202019_29nov2017mejorado.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Sera/1002-40303-PS-%20Community_Engagemen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ZG6HJCZN/Presupuesto%20201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Ingenier&#237;a/1002-40303-PS-SOA-0001_Total%20Eng.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ZG6HJCZN/1002-40303-PS-SOA-0001%20(00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Copia%20de%201002-40303-PS-SOA-0001_REV5-Operation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nuevaunionspa-my.sharepoint.com/Users/gineva.alcota/AppData/Local/Microsoft/Windows/INetCache/Content.Outlook/YCN3EFJG/1002-40303-PS-SOA-0001_REV7-Geology.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fernando.saavedra/Documents/Fernando%20GOST/1002-40303-PS-SOA-0001_REV5-Geotech.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1002-40303-PS-SOA-0001_REV7-Geology.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nuevaunionspa-my.sharepoint.com/Users/gineva.alcota/AppData/Local/Microsoft/Windows/INetCache/Content.Outlook/YCN3EFJG/1002-40303-PS-SOA-0001_REV7-Geotech.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Operations/1002-40303-PS-SOA-0001_REV5-Geolog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uevaUnion/00_AREA%20LEGAL/COSTOS%20%20AREA%20LEGAL/Preparacion%20Presupuesto%202018_jul2017/Budget%20Legal%202018_29nov2017.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1002-40303-PS-SOA-0001_REV7-Geotech.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ZG6HJCZN/1002-40303-PS-SOA-0001_Contratos.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nuevaunionspa-my.sharepoint.com/Users/gineva.alcota/AppData/Local/Microsoft/Windows/INetCache/Content.Outlook/ZG6HJCZN/1002-40303-PS-SOA-0001_Contrat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uevaUnion/00_AREA%20LEGAL/COSTOS%20%20AREA%20LEGAL/Preparacion%20Presupuesto%202018_jul2017/Budget%20Legal%202019_25sep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uevaUnion/00_AREA%20LEGAL/COSTOS%20%20AREA%20LEGAL/Preparacion%20Presupuesto%202018_jul2017/Budget%20Legal%202018_01sep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ineva.alcota/AppData/Local/Microsoft/Windows/INetCache/Content.Outlook/YCN3EFJG/Budget%20Legal%202019_29nov2017_mejorado%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ichael.leyton/Desktop/Proyectos%20Mes/201801/20171031%20Presupuesto%20y%20Contract%20Register%20R5_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ADM/Copia%20de%20Administraci&#243;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uevaunionspa-my.sharepoint.com/personal/gineva_alcota_nuevaunion_cl/Documents/40300%20Cost%20Control/40303%20Presupuestos/2018/ADM/1002-40303-PS-%20Community_Vallenar%20Off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sheetData sheetId="1"/>
      <sheetData sheetId="2"/>
      <sheetData sheetId="3"/>
      <sheetData sheetId="4">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 xml:space="preserve">1.1 Project Team </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refreshError="1"/>
      <sheetData sheetId="1" refreshError="1"/>
      <sheetData sheetId="2" refreshError="1">
        <row r="8">
          <cell r="B8" t="str">
            <v>Legal</v>
          </cell>
        </row>
        <row r="9">
          <cell r="N9">
            <v>43101</v>
          </cell>
        </row>
        <row r="10">
          <cell r="B10" t="str">
            <v>683 Legal</v>
          </cell>
          <cell r="D10" t="str">
            <v>Ariel Scharfstein</v>
          </cell>
        </row>
        <row r="12">
          <cell r="N12">
            <v>43465</v>
          </cell>
        </row>
        <row r="17">
          <cell r="A17" t="str">
            <v>3.1</v>
          </cell>
          <cell r="E17" t="str">
            <v>683 / 51-11-3337</v>
          </cell>
          <cell r="L17">
            <v>12</v>
          </cell>
        </row>
        <row r="18">
          <cell r="A18" t="str">
            <v>3.2</v>
          </cell>
          <cell r="E18" t="str">
            <v>683 / 51-11-3338</v>
          </cell>
          <cell r="L18">
            <v>12</v>
          </cell>
        </row>
        <row r="19">
          <cell r="A19" t="str">
            <v>3.3</v>
          </cell>
          <cell r="E19" t="str">
            <v>683 / 51-11-3339</v>
          </cell>
          <cell r="L19">
            <v>12</v>
          </cell>
        </row>
        <row r="20">
          <cell r="A20" t="str">
            <v>3.3.1</v>
          </cell>
          <cell r="E20" t="str">
            <v>683 / 51-11-3339</v>
          </cell>
          <cell r="L20">
            <v>12</v>
          </cell>
        </row>
        <row r="21">
          <cell r="A21" t="str">
            <v>3.3.2</v>
          </cell>
          <cell r="E21" t="str">
            <v>683 / 51-11-3339</v>
          </cell>
          <cell r="L21">
            <v>12</v>
          </cell>
        </row>
        <row r="22">
          <cell r="A22" t="str">
            <v>3.3.3</v>
          </cell>
          <cell r="E22" t="str">
            <v>683 / 51-11-3339</v>
          </cell>
          <cell r="L22">
            <v>12</v>
          </cell>
        </row>
        <row r="23">
          <cell r="A23" t="str">
            <v>3.3.4</v>
          </cell>
          <cell r="E23" t="str">
            <v>683 / 51-11-3339</v>
          </cell>
          <cell r="L23">
            <v>12</v>
          </cell>
        </row>
        <row r="24">
          <cell r="A24" t="str">
            <v>3.3.5</v>
          </cell>
          <cell r="E24" t="str">
            <v>683 / 51-11-3339</v>
          </cell>
          <cell r="L24">
            <v>12</v>
          </cell>
        </row>
        <row r="25">
          <cell r="A25" t="str">
            <v>3.3.6</v>
          </cell>
          <cell r="E25" t="str">
            <v>683 / 51-11-3339</v>
          </cell>
          <cell r="L25">
            <v>12</v>
          </cell>
        </row>
        <row r="26">
          <cell r="A26" t="str">
            <v>3.4</v>
          </cell>
          <cell r="E26" t="str">
            <v>683 / 51-11-3339</v>
          </cell>
          <cell r="L26">
            <v>12</v>
          </cell>
        </row>
        <row r="27">
          <cell r="A27" t="str">
            <v>3.5</v>
          </cell>
          <cell r="E27" t="str">
            <v>683 / 51-11-3340</v>
          </cell>
          <cell r="L27">
            <v>12</v>
          </cell>
        </row>
        <row r="29">
          <cell r="L29">
            <v>12</v>
          </cell>
        </row>
      </sheetData>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refreshError="1"/>
      <sheetData sheetId="1" refreshError="1"/>
      <sheetData sheetId="2" refreshError="1"/>
      <sheetData sheetId="3"/>
      <sheetData sheetId="4">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s>
    <sheetDataSet>
      <sheetData sheetId="0" refreshError="1"/>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 sheetId="1"/>
      <sheetData sheetId="2" refreshError="1"/>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s &amp; Accounts"/>
      <sheetName val="Lists"/>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Legal"/>
      <sheetName val="Hoja1"/>
    </sheetNames>
    <sheetDataSet>
      <sheetData sheetId="0">
        <row r="2">
          <cell r="E2" t="str">
            <v>Project Team</v>
          </cell>
        </row>
      </sheetData>
      <sheetData sheetId="1"/>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row>
      </sheetData>
      <sheetData sheetId="1"/>
      <sheetData sheetId="2" refreshError="1"/>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refreshError="1"/>
      <sheetData sheetId="1" refreshError="1"/>
      <sheetData sheetId="2" refreshError="1"/>
      <sheetData sheetId="3"/>
      <sheetData sheetId="4"/>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 xml:space="preserve">1.1 Project Team </v>
          </cell>
          <cell r="F2" t="str">
            <v xml:space="preserve">681 Project Team </v>
          </cell>
        </row>
        <row r="3">
          <cell r="E3" t="str">
            <v>2.1 General Expenses</v>
          </cell>
          <cell r="F3" t="str">
            <v>682 Administration</v>
          </cell>
        </row>
        <row r="4">
          <cell r="E4" t="str">
            <v>2.2 Travel International</v>
          </cell>
          <cell r="F4" t="str">
            <v>682 Administration</v>
          </cell>
        </row>
        <row r="5">
          <cell r="E5" t="str">
            <v>2.3 Travel Domestic</v>
          </cell>
          <cell r="F5" t="str">
            <v>682 Administration</v>
          </cell>
        </row>
        <row r="6">
          <cell r="E6" t="str">
            <v>2.4 Santiago Office</v>
          </cell>
          <cell r="F6" t="str">
            <v>682 Administration</v>
          </cell>
        </row>
        <row r="7">
          <cell r="E7" t="str">
            <v xml:space="preserve">2.5 IT Licensing, Services </v>
          </cell>
          <cell r="F7" t="str">
            <v>682 Administration</v>
          </cell>
        </row>
        <row r="8">
          <cell r="E8" t="str">
            <v>2.6 Corporate Charges</v>
          </cell>
          <cell r="F8" t="str">
            <v>682 Administration</v>
          </cell>
        </row>
        <row r="9">
          <cell r="E9" t="str">
            <v>2.7 Office Vallenar</v>
          </cell>
          <cell r="F9" t="str">
            <v>682 Administration</v>
          </cell>
        </row>
        <row r="10">
          <cell r="E10" t="str">
            <v>3.1 Re Mine Property</v>
          </cell>
          <cell r="F10" t="str">
            <v>683 Legal</v>
          </cell>
        </row>
        <row r="11">
          <cell r="E11" t="str">
            <v>3.2 EM Mine Property</v>
          </cell>
          <cell r="F11" t="str">
            <v>683 Legal</v>
          </cell>
        </row>
        <row r="12">
          <cell r="E12" t="str">
            <v>3.3 Legal/Consulting/Easments</v>
          </cell>
          <cell r="F12" t="str">
            <v>683 Legal</v>
          </cell>
        </row>
        <row r="13">
          <cell r="E13" t="str">
            <v>3.4 Permits Licences</v>
          </cell>
          <cell r="F13" t="str">
            <v>683 Legal</v>
          </cell>
        </row>
        <row r="14">
          <cell r="E14" t="str">
            <v>4.1 Communications and Government Relations</v>
          </cell>
          <cell r="F14" t="str">
            <v>684 SERA</v>
          </cell>
        </row>
        <row r="15">
          <cell r="E15" t="str">
            <v>4.2 Resettlement</v>
          </cell>
          <cell r="F15" t="str">
            <v>684 SERA</v>
          </cell>
        </row>
        <row r="16">
          <cell r="E16" t="str">
            <v>4.3 Community Development</v>
          </cell>
          <cell r="F16" t="str">
            <v>684 SERA</v>
          </cell>
        </row>
        <row r="17">
          <cell r="E17" t="str">
            <v>4.4 Community Engagement</v>
          </cell>
          <cell r="F17" t="str">
            <v>684 SERA</v>
          </cell>
        </row>
        <row r="18">
          <cell r="E18" t="str">
            <v>4.5 Environmental Studies</v>
          </cell>
          <cell r="F18" t="str">
            <v>684 SERA</v>
          </cell>
        </row>
        <row r="19">
          <cell r="E19" t="str">
            <v>4.6 Environmental Monitoring</v>
          </cell>
          <cell r="F19" t="str">
            <v>684 SERA</v>
          </cell>
        </row>
        <row r="20">
          <cell r="E20" t="str">
            <v>4.7 Environmental Permiting</v>
          </cell>
          <cell r="F20" t="str">
            <v>684 SERA</v>
          </cell>
        </row>
        <row r="21">
          <cell r="E21" t="str">
            <v>5.1 PFS Fluor (On shore/off shore)</v>
          </cell>
          <cell r="F21" t="str">
            <v>685 Engineering</v>
          </cell>
        </row>
        <row r="22">
          <cell r="E22" t="str">
            <v>5.2 PFS support and General Expenses</v>
          </cell>
          <cell r="F22" t="str">
            <v>685 Engineering</v>
          </cell>
        </row>
        <row r="23">
          <cell r="E23" t="str">
            <v>5.3 Third Parties</v>
          </cell>
          <cell r="F23" t="str">
            <v>685 Engineering</v>
          </cell>
        </row>
        <row r="24">
          <cell r="E24" t="str">
            <v>5.4 FS</v>
          </cell>
          <cell r="F24" t="str">
            <v>685 Engineering</v>
          </cell>
        </row>
        <row r="25">
          <cell r="E25" t="str">
            <v xml:space="preserve">5.5 Health and Safety  </v>
          </cell>
          <cell r="F25" t="str">
            <v>685 Engineering</v>
          </cell>
        </row>
        <row r="26">
          <cell r="E26" t="str">
            <v>5.6 Metallurgy</v>
          </cell>
          <cell r="F26" t="str">
            <v>685 Engineering</v>
          </cell>
        </row>
        <row r="27">
          <cell r="E27" t="str">
            <v>5.7 Drilling Campaign Relincho</v>
          </cell>
          <cell r="F27" t="str">
            <v>685 Engineering</v>
          </cell>
        </row>
        <row r="28">
          <cell r="E28" t="str">
            <v>5.8 Drilling Campaign La Fortuna</v>
          </cell>
          <cell r="F28" t="str">
            <v>685 Engineering</v>
          </cell>
        </row>
        <row r="29">
          <cell r="E29" t="str">
            <v>5.9 Camp</v>
          </cell>
          <cell r="F29" t="str">
            <v>685 Engineering</v>
          </cell>
        </row>
        <row r="30">
          <cell r="E30" t="str">
            <v>6.1 Mine planning external support</v>
          </cell>
          <cell r="F30" t="str">
            <v>687 Operations and Technical Services</v>
          </cell>
        </row>
        <row r="31">
          <cell r="E31" t="str">
            <v>6.2 Geology</v>
          </cell>
          <cell r="F31" t="str">
            <v>687 Operations and Technical Services</v>
          </cell>
        </row>
        <row r="32">
          <cell r="E32" t="str">
            <v>6.3 Geotechnical</v>
          </cell>
          <cell r="F32" t="str">
            <v>687 Operations and Technical Services</v>
          </cell>
        </row>
        <row r="33">
          <cell r="E33" t="str">
            <v>7.1 General Management</v>
          </cell>
          <cell r="F33" t="str">
            <v>688 Management</v>
          </cell>
        </row>
        <row r="34">
          <cell r="E34" t="str">
            <v>7.2 Service management</v>
          </cell>
          <cell r="F34" t="str">
            <v>688 Management</v>
          </cell>
        </row>
      </sheetData>
      <sheetData sheetId="1"/>
      <sheetData sheetId="2" refreshError="1"/>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ver"/>
      <sheetName val="Scope - Summary"/>
      <sheetName val="Details example"/>
      <sheetName val="CCs &amp; Accounts"/>
    </sheetNames>
    <sheetDataSet>
      <sheetData sheetId="0">
        <row r="2">
          <cell r="E2" t="str">
            <v>Project Team</v>
          </cell>
        </row>
      </sheetData>
      <sheetData sheetId="1" refreshError="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5.Engineering"/>
      <sheetName val="Hoja2"/>
      <sheetName val="5.6 Metallurgy"/>
    </sheetNames>
    <sheetDataSet>
      <sheetData sheetId="0">
        <row r="2">
          <cell r="E2" t="str">
            <v>Project Team</v>
          </cell>
        </row>
      </sheetData>
      <sheetData sheetId="1"/>
      <sheetData sheetId="2"/>
      <sheetData sheetId="3"/>
      <sheetData sheetId="4"/>
      <sheetData sheetId="5"/>
      <sheetData sheetId="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ver"/>
      <sheetName val="Scope - Summary"/>
      <sheetName val="Details example"/>
      <sheetName val="CCs &amp; Accounts"/>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Operations "/>
      <sheetName val="Mine"/>
      <sheetName val="Geology"/>
      <sheetName val="Geotechnical"/>
    </sheetNames>
    <sheetDataSet>
      <sheetData sheetId="0">
        <row r="2">
          <cell r="E2" t="str">
            <v>Project Team</v>
          </cell>
        </row>
      </sheetData>
      <sheetData sheetId="1"/>
      <sheetData sheetId="2"/>
      <sheetData sheetId="3"/>
      <sheetData sheetId="4"/>
      <sheetData sheetId="5"/>
      <sheetData sheetId="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Details example"/>
      <sheetName val="Geology G&amp;A"/>
      <sheetName val="CCs &amp; Accounts"/>
      <sheetName val="Lists"/>
    </sheetNames>
    <sheetDataSet>
      <sheetData sheetId="0"/>
      <sheetData sheetId="1"/>
      <sheetData sheetId="2"/>
      <sheetData sheetId="3"/>
      <sheetData sheetId="4" refreshError="1"/>
      <sheetData sheetId="5" refreshError="1">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ver"/>
      <sheetName val="Scope - Summary"/>
      <sheetName val="Details example"/>
      <sheetName val="CCs &amp; Accounts"/>
    </sheetNames>
    <sheetDataSet>
      <sheetData sheetId="0"/>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 val="Geology G&amp;A"/>
    </sheetNames>
    <sheetDataSet>
      <sheetData sheetId="0">
        <row r="2">
          <cell r="E2" t="str">
            <v>Project Team</v>
          </cell>
        </row>
      </sheetData>
      <sheetData sheetId="1"/>
      <sheetData sheetId="2"/>
      <sheetData sheetId="3"/>
      <sheetData sheetId="4"/>
      <sheetData sheetId="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Details example"/>
      <sheetName val="CCs &amp; Accounts"/>
      <sheetName val="Lists"/>
    </sheetNames>
    <sheetDataSet>
      <sheetData sheetId="0"/>
      <sheetData sheetId="1"/>
      <sheetData sheetId="2"/>
      <sheetData sheetId="3" refreshError="1"/>
      <sheetData sheetId="4" refreshError="1">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ver"/>
      <sheetName val="Scope - Summary"/>
      <sheetName val="Details example"/>
      <sheetName val="Geology G&amp;A"/>
      <sheetName val="CCs &amp; Account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sheetData sheetId="1"/>
      <sheetData sheetId="2"/>
      <sheetData sheetId="3"/>
      <sheetData sheetId="4"/>
      <sheetData sheetId="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cope - Summary"/>
      <sheetName val="Legal"/>
      <sheetName val="CCs &amp; Accounts"/>
      <sheetName val="Lists"/>
      <sheetName val="Hoja1"/>
    </sheetNames>
    <sheetDataSet>
      <sheetData sheetId="0"/>
      <sheetData sheetId="1"/>
      <sheetData sheetId="2"/>
      <sheetData sheetId="3"/>
      <sheetData sheetId="4">
        <row r="2">
          <cell r="E2" t="str">
            <v>Project Team</v>
          </cell>
          <cell r="F2" t="str">
            <v>Julio Retamal</v>
          </cell>
          <cell r="G2" t="str">
            <v xml:space="preserve">681 Project Team </v>
          </cell>
        </row>
        <row r="3">
          <cell r="E3" t="str">
            <v xml:space="preserve">1.1 Project Team </v>
          </cell>
          <cell r="F3" t="str">
            <v>Julio Retamal</v>
          </cell>
          <cell r="G3" t="str">
            <v xml:space="preserve">681 Project Team </v>
          </cell>
        </row>
        <row r="4">
          <cell r="E4" t="str">
            <v>Administration</v>
          </cell>
          <cell r="F4" t="str">
            <v>Julio Retamal</v>
          </cell>
          <cell r="G4" t="str">
            <v xml:space="preserve">681 Project Team </v>
          </cell>
        </row>
        <row r="5">
          <cell r="E5" t="str">
            <v>2.1 General Expenses</v>
          </cell>
          <cell r="F5" t="str">
            <v>Julio Retamal</v>
          </cell>
          <cell r="G5" t="str">
            <v>682 Administration</v>
          </cell>
        </row>
        <row r="6">
          <cell r="E6" t="str">
            <v>2.2 Travel International</v>
          </cell>
          <cell r="F6" t="str">
            <v>Julio Retamal</v>
          </cell>
          <cell r="G6" t="str">
            <v>682 Administration</v>
          </cell>
        </row>
        <row r="7">
          <cell r="E7" t="str">
            <v>2.3 Travel Domestic</v>
          </cell>
          <cell r="F7" t="str">
            <v>Julio Retamal</v>
          </cell>
          <cell r="G7" t="str">
            <v>682 Administration</v>
          </cell>
        </row>
        <row r="8">
          <cell r="E8" t="str">
            <v>2.4 Santiago Office</v>
          </cell>
          <cell r="F8" t="str">
            <v>Julio Retamal</v>
          </cell>
          <cell r="G8" t="str">
            <v>682 Administration</v>
          </cell>
        </row>
        <row r="9">
          <cell r="E9" t="str">
            <v xml:space="preserve">2.5 IT Licensing, Services </v>
          </cell>
          <cell r="F9" t="str">
            <v>Jeff LaFoy</v>
          </cell>
          <cell r="G9" t="str">
            <v>682 Administration</v>
          </cell>
        </row>
        <row r="10">
          <cell r="E10" t="str">
            <v>2.6 Finance</v>
          </cell>
          <cell r="F10" t="str">
            <v>Jeff LaFoy</v>
          </cell>
          <cell r="G10" t="str">
            <v>682 Administration</v>
          </cell>
        </row>
        <row r="11">
          <cell r="E11" t="str">
            <v>2.7 Office Vallenar</v>
          </cell>
          <cell r="F11" t="str">
            <v>Sergio Molina</v>
          </cell>
          <cell r="G11" t="str">
            <v>682 Administration</v>
          </cell>
        </row>
        <row r="12">
          <cell r="E12" t="str">
            <v>Legal</v>
          </cell>
          <cell r="F12" t="str">
            <v>Ariel Scharfstein</v>
          </cell>
          <cell r="G12" t="str">
            <v>683 Legal</v>
          </cell>
        </row>
        <row r="13">
          <cell r="E13" t="str">
            <v>3.1 Re Mine Property</v>
          </cell>
          <cell r="F13" t="str">
            <v>Ariel Scharfstein</v>
          </cell>
          <cell r="G13" t="str">
            <v>683 Legal</v>
          </cell>
        </row>
        <row r="14">
          <cell r="E14" t="str">
            <v>3.2 EM Mine Property</v>
          </cell>
          <cell r="F14" t="str">
            <v>Ariel Scharfstein</v>
          </cell>
          <cell r="G14" t="str">
            <v>683 Legal</v>
          </cell>
        </row>
        <row r="15">
          <cell r="E15" t="str">
            <v>3.3 Legal/Consulting/Easments</v>
          </cell>
          <cell r="F15" t="str">
            <v>Ariel Scharfstein</v>
          </cell>
          <cell r="G15" t="str">
            <v>683 Legal</v>
          </cell>
        </row>
        <row r="16">
          <cell r="E16" t="str">
            <v>3.4 Permits Licences</v>
          </cell>
          <cell r="F16" t="str">
            <v>Ariel Scharfstein</v>
          </cell>
          <cell r="G16" t="str">
            <v>683 Legal</v>
          </cell>
        </row>
        <row r="17">
          <cell r="E17" t="str">
            <v>4.1 Communications and Government Relations</v>
          </cell>
          <cell r="F17" t="str">
            <v>Petri Sopera</v>
          </cell>
          <cell r="G17" t="str">
            <v>684 SERA</v>
          </cell>
        </row>
        <row r="18">
          <cell r="E18" t="str">
            <v>4.2 Resettlement</v>
          </cell>
          <cell r="F18" t="str">
            <v>Petri Sopera</v>
          </cell>
          <cell r="G18" t="str">
            <v>684 SERA</v>
          </cell>
        </row>
        <row r="19">
          <cell r="E19" t="str">
            <v>Community</v>
          </cell>
          <cell r="F19" t="str">
            <v>Petri Sopera</v>
          </cell>
          <cell r="G19" t="str">
            <v>684 SERA</v>
          </cell>
        </row>
        <row r="20">
          <cell r="E20" t="str">
            <v>4.3 Community Development</v>
          </cell>
          <cell r="F20" t="str">
            <v>Petri Sopera</v>
          </cell>
          <cell r="G20" t="str">
            <v>684 SERA</v>
          </cell>
        </row>
        <row r="21">
          <cell r="E21" t="str">
            <v>4.4 Community Engagement</v>
          </cell>
          <cell r="F21" t="str">
            <v>Petri Sopera</v>
          </cell>
          <cell r="G21" t="str">
            <v>684 SERA</v>
          </cell>
        </row>
        <row r="22">
          <cell r="E22" t="str">
            <v>Environmental</v>
          </cell>
          <cell r="F22" t="str">
            <v>Petri Sopera</v>
          </cell>
          <cell r="G22" t="str">
            <v>684 SERA</v>
          </cell>
        </row>
        <row r="23">
          <cell r="E23" t="str">
            <v>4.5 Environmental Studies</v>
          </cell>
          <cell r="F23" t="str">
            <v>Petri Sopera</v>
          </cell>
          <cell r="G23" t="str">
            <v>684 SERA</v>
          </cell>
        </row>
        <row r="24">
          <cell r="E24" t="str">
            <v>4.6 Environmental Monitoring</v>
          </cell>
          <cell r="F24" t="str">
            <v>Petri Sopera</v>
          </cell>
          <cell r="G24" t="str">
            <v>684 SERA</v>
          </cell>
        </row>
        <row r="25">
          <cell r="E25" t="str">
            <v>4.7 Environmental Permiting</v>
          </cell>
          <cell r="F25" t="str">
            <v>Petri Sopera</v>
          </cell>
          <cell r="G25" t="str">
            <v>684 SERA</v>
          </cell>
        </row>
        <row r="26">
          <cell r="E26" t="str">
            <v>Engineering</v>
          </cell>
          <cell r="F26" t="str">
            <v>Walter Droppelmann</v>
          </cell>
          <cell r="G26" t="str">
            <v>685 Engineering</v>
          </cell>
        </row>
        <row r="27">
          <cell r="E27" t="str">
            <v>5.1 PFS Fluor (On shore/off shore)</v>
          </cell>
          <cell r="F27" t="str">
            <v>Walter Droppelmann</v>
          </cell>
          <cell r="G27" t="str">
            <v>685 Engineering</v>
          </cell>
        </row>
        <row r="28">
          <cell r="E28" t="str">
            <v>5.2 PFS support and General Expenses</v>
          </cell>
          <cell r="F28" t="str">
            <v>Walter Droppelmann</v>
          </cell>
          <cell r="G28" t="str">
            <v>685 Engineering</v>
          </cell>
        </row>
        <row r="29">
          <cell r="E29" t="str">
            <v>5.3 Third Parties</v>
          </cell>
          <cell r="F29" t="str">
            <v>Walter Droppelmann</v>
          </cell>
          <cell r="G29" t="str">
            <v>685 Engineering</v>
          </cell>
        </row>
        <row r="30">
          <cell r="E30" t="str">
            <v>5.4 FS</v>
          </cell>
          <cell r="F30" t="str">
            <v>Walter Droppelmann</v>
          </cell>
          <cell r="G30" t="str">
            <v>685 Engineering</v>
          </cell>
        </row>
        <row r="31">
          <cell r="E31" t="str">
            <v xml:space="preserve">5.5 Health and Safety  </v>
          </cell>
          <cell r="F31" t="str">
            <v>Walter Droppelmann</v>
          </cell>
          <cell r="G31" t="str">
            <v>685 Engineering</v>
          </cell>
        </row>
        <row r="32">
          <cell r="E32" t="str">
            <v>5.6 Metallurgy</v>
          </cell>
          <cell r="F32" t="str">
            <v>Walter Droppelmann</v>
          </cell>
          <cell r="G32" t="str">
            <v>685 Engineering</v>
          </cell>
        </row>
        <row r="33">
          <cell r="E33" t="str">
            <v>Drilling</v>
          </cell>
          <cell r="F33" t="str">
            <v>Walter Droppelmann</v>
          </cell>
          <cell r="G33" t="str">
            <v>685 Engineering</v>
          </cell>
        </row>
        <row r="34">
          <cell r="E34" t="str">
            <v>5.7 Drilling Campaign Relincho</v>
          </cell>
          <cell r="F34" t="str">
            <v>Walter Droppelmann</v>
          </cell>
          <cell r="G34" t="str">
            <v>685 Engineering</v>
          </cell>
        </row>
        <row r="35">
          <cell r="E35" t="str">
            <v>5.8 Drilling Campaign La Fortuna</v>
          </cell>
          <cell r="F35" t="str">
            <v>Walter Droppelmann</v>
          </cell>
          <cell r="G35" t="str">
            <v>685 Engineering</v>
          </cell>
        </row>
        <row r="36">
          <cell r="E36" t="str">
            <v>5.9 Camp</v>
          </cell>
          <cell r="F36" t="str">
            <v>Walter Droppelmann</v>
          </cell>
          <cell r="G36" t="str">
            <v>685 Engineering</v>
          </cell>
        </row>
        <row r="37">
          <cell r="E37" t="str">
            <v>6.1 Mine planning external support</v>
          </cell>
          <cell r="F37" t="str">
            <v>Fernando Saavedra</v>
          </cell>
          <cell r="G37" t="str">
            <v>687 Operations and Technical Services</v>
          </cell>
        </row>
        <row r="38">
          <cell r="E38" t="str">
            <v>6.2 Geology</v>
          </cell>
          <cell r="F38" t="str">
            <v>Fernando Saavedra</v>
          </cell>
          <cell r="G38" t="str">
            <v>687 Operations and Technical Services</v>
          </cell>
        </row>
        <row r="39">
          <cell r="E39" t="str">
            <v>6.3 Geotechnical</v>
          </cell>
          <cell r="F39" t="str">
            <v>Fernando Saavedra</v>
          </cell>
          <cell r="G39" t="str">
            <v>687 Operations and Technical Services</v>
          </cell>
        </row>
        <row r="40">
          <cell r="E40" t="str">
            <v>7.1 General Management</v>
          </cell>
          <cell r="F40" t="str">
            <v>Mike Hubbard</v>
          </cell>
          <cell r="G40" t="str">
            <v>688 Management</v>
          </cell>
        </row>
        <row r="41">
          <cell r="E41" t="str">
            <v>7.2 Service management</v>
          </cell>
          <cell r="F41" t="str">
            <v>Antonio Marambio</v>
          </cell>
          <cell r="G41" t="str">
            <v>688 Management</v>
          </cell>
        </row>
      </sheetData>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Cash+accruals"/>
      <sheetName val=" 683 Scope-Summary Legal"/>
      <sheetName val="Legal_1"/>
      <sheetName val="Hoja1"/>
      <sheetName val="BD CRegL"/>
      <sheetName val="BD CRegS"/>
      <sheetName val="BD CReg"/>
      <sheetName val="Contract Register (Val Enviado)"/>
      <sheetName val="682 Scope - Summary Adm"/>
      <sheetName val="Administration"/>
      <sheetName val="Scope - Summary Vallenar"/>
      <sheetName val="Office_Vallenar"/>
      <sheetName val="682 Scope-Summary IT"/>
      <sheetName val="IT"/>
      <sheetName val="682 Scope-Summary Business Serv"/>
      <sheetName val="Business_Service"/>
      <sheetName val="684Scope-Summary Environmental"/>
      <sheetName val="Environmental"/>
      <sheetName val="DSS"/>
      <sheetName val="683 Scope-Summary Legal"/>
      <sheetName val="Legal"/>
      <sheetName val="684 Scope-Summary Communication"/>
      <sheetName val="Communication"/>
      <sheetName val="684 Scope-Summary Resettlement"/>
      <sheetName val="Resettlement"/>
      <sheetName val="Scope - Summary Engagement"/>
      <sheetName val="Engagement"/>
      <sheetName val="684 Scope-Summary Development"/>
      <sheetName val="Development"/>
      <sheetName val="685 Scope -Summary Engineering"/>
      <sheetName val="Engineering"/>
      <sheetName val="Healt_and_saffety"/>
      <sheetName val="Metallurgy"/>
      <sheetName val="Drilling"/>
      <sheetName val="Camp"/>
      <sheetName val="687 Scope-Summary Operations "/>
      <sheetName val="Mine"/>
      <sheetName val="Geology"/>
      <sheetName val="Geotechnical"/>
      <sheetName val="688 Scope-Summary General Man"/>
      <sheetName val="General_Management"/>
      <sheetName val="688 Scope-Summary Management"/>
      <sheetName val="Service Management"/>
      <sheetName val="Scope - Summary Contract"/>
      <sheetName val="Contract"/>
      <sheetName val="Cost Report"/>
      <sheetName val="Lists"/>
      <sheetName val="TD CuentasBDG"/>
      <sheetName val="L_BD"/>
      <sheetName val="CCs &amp; Accou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5">
          <cell r="N5" t="str">
            <v>682-3302-18002</v>
          </cell>
          <cell r="O5">
            <v>12050.57726470588</v>
          </cell>
        </row>
        <row r="6">
          <cell r="N6" t="str">
            <v>682-3305-18001</v>
          </cell>
          <cell r="O6">
            <v>18529.411764705881</v>
          </cell>
        </row>
        <row r="7">
          <cell r="N7" t="str">
            <v>683-3339-18005</v>
          </cell>
          <cell r="O7">
            <v>203848.41176470582</v>
          </cell>
        </row>
        <row r="8">
          <cell r="N8" t="str">
            <v>684-3342-18001</v>
          </cell>
          <cell r="O8">
            <v>27614.147058823532</v>
          </cell>
        </row>
        <row r="9">
          <cell r="N9" t="str">
            <v>684-3344-18001</v>
          </cell>
          <cell r="O9">
            <v>3543657.6683382355</v>
          </cell>
        </row>
        <row r="10">
          <cell r="N10" t="str">
            <v>684-3344-18002</v>
          </cell>
          <cell r="O10">
            <v>242069.98897058819</v>
          </cell>
        </row>
        <row r="11">
          <cell r="N11" t="str">
            <v>684-3344-18005</v>
          </cell>
          <cell r="O11">
            <v>176611.12782352939</v>
          </cell>
        </row>
        <row r="12">
          <cell r="N12" t="str">
            <v>684-3344-18008</v>
          </cell>
          <cell r="O12">
            <v>23520.97058823529</v>
          </cell>
        </row>
        <row r="13">
          <cell r="N13" t="str">
            <v>684-3344-18011</v>
          </cell>
          <cell r="O13">
            <v>28235.294117647059</v>
          </cell>
        </row>
        <row r="14">
          <cell r="N14" t="str">
            <v>684-3344-18013</v>
          </cell>
          <cell r="O14">
            <v>4058.8235294117649</v>
          </cell>
        </row>
        <row r="15">
          <cell r="N15" t="str">
            <v>684-3345-18001</v>
          </cell>
          <cell r="O15">
            <v>356615.47647058818</v>
          </cell>
        </row>
        <row r="16">
          <cell r="N16" t="str">
            <v>684-3345-18002</v>
          </cell>
          <cell r="O16">
            <v>127926.3132352941</v>
          </cell>
        </row>
        <row r="17">
          <cell r="N17" t="str">
            <v>684-3360-18001</v>
          </cell>
          <cell r="O17">
            <v>112822.25558823529</v>
          </cell>
        </row>
        <row r="18">
          <cell r="N18" t="str">
            <v>684-3360-18002</v>
          </cell>
          <cell r="O18">
            <v>44100</v>
          </cell>
        </row>
        <row r="19">
          <cell r="N19" t="str">
            <v>687-3052-18050</v>
          </cell>
          <cell r="O19">
            <v>92163</v>
          </cell>
        </row>
        <row r="20">
          <cell r="N20" t="str">
            <v>687-3363-18001</v>
          </cell>
          <cell r="O20">
            <v>300000</v>
          </cell>
        </row>
        <row r="21">
          <cell r="N21" t="str">
            <v>687-3363-18008</v>
          </cell>
          <cell r="O21">
            <v>299788.15191176475</v>
          </cell>
        </row>
      </sheetData>
      <sheetData sheetId="50"/>
      <sheetData sheetId="5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 val="Viajes"/>
    </sheetNames>
    <sheetDataSet>
      <sheetData sheetId="0">
        <row r="2">
          <cell r="E2" t="str">
            <v>Project Team</v>
          </cell>
        </row>
      </sheetData>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Cs &amp; Accounts"/>
      <sheetName val="Cover"/>
      <sheetName val="Scope - Summary"/>
      <sheetName val="Details example"/>
    </sheetNames>
    <sheetDataSet>
      <sheetData sheetId="0"/>
      <sheetData sheetId="1"/>
      <sheetData sheetId="2" refreshError="1"/>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32"/>
  <sheetViews>
    <sheetView topLeftCell="A16" zoomScaleNormal="100" workbookViewId="0">
      <selection activeCell="F38" sqref="F38"/>
    </sheetView>
  </sheetViews>
  <sheetFormatPr baseColWidth="10" defaultColWidth="11.42578125" defaultRowHeight="15" x14ac:dyDescent="0.25"/>
  <sheetData>
    <row r="1" spans="1:9" x14ac:dyDescent="0.25">
      <c r="A1" s="113"/>
      <c r="B1" s="113"/>
      <c r="C1" s="113"/>
      <c r="D1" s="113"/>
      <c r="E1" s="113"/>
      <c r="F1" s="113"/>
      <c r="G1" s="113"/>
      <c r="H1" s="113"/>
      <c r="I1" s="113"/>
    </row>
    <row r="2" spans="1:9" x14ac:dyDescent="0.25">
      <c r="A2" s="113"/>
      <c r="B2" s="113"/>
      <c r="C2" s="113"/>
      <c r="D2" s="113"/>
      <c r="E2" s="113"/>
      <c r="F2" s="113"/>
      <c r="G2" s="113"/>
      <c r="H2" s="113"/>
      <c r="I2" s="113"/>
    </row>
    <row r="3" spans="1:9" x14ac:dyDescent="0.25">
      <c r="A3" s="113"/>
      <c r="B3" s="113"/>
      <c r="C3" s="113"/>
      <c r="D3" s="113"/>
      <c r="E3" s="113"/>
      <c r="F3" s="113"/>
      <c r="G3" s="113"/>
      <c r="H3" s="113"/>
      <c r="I3" s="113"/>
    </row>
    <row r="4" spans="1:9" x14ac:dyDescent="0.25">
      <c r="A4" s="113"/>
      <c r="B4" s="113"/>
      <c r="C4" s="113"/>
      <c r="D4" s="113"/>
      <c r="E4" s="113"/>
      <c r="F4" s="113"/>
      <c r="G4" s="113"/>
      <c r="H4" s="113"/>
      <c r="I4" s="113"/>
    </row>
    <row r="5" spans="1:9" x14ac:dyDescent="0.25">
      <c r="A5" s="113"/>
      <c r="B5" s="113"/>
      <c r="C5" s="113"/>
      <c r="D5" s="113"/>
      <c r="E5" s="113"/>
      <c r="F5" s="113"/>
      <c r="G5" s="113"/>
      <c r="H5" s="113"/>
      <c r="I5" s="113"/>
    </row>
    <row r="13" spans="1:9" x14ac:dyDescent="0.25">
      <c r="A13" s="123"/>
      <c r="B13" s="123"/>
      <c r="C13" s="123"/>
      <c r="D13" s="123"/>
      <c r="E13" s="123"/>
      <c r="F13" s="123"/>
      <c r="G13" s="123"/>
      <c r="H13" s="123"/>
      <c r="I13" s="123"/>
    </row>
    <row r="21" spans="1:9" ht="15.75" thickBot="1" x14ac:dyDescent="0.3"/>
    <row r="22" spans="1:9" ht="21" thickTop="1" x14ac:dyDescent="0.25">
      <c r="A22" s="987"/>
      <c r="B22" s="987"/>
      <c r="C22" s="987"/>
      <c r="D22" s="987"/>
      <c r="E22" s="987"/>
      <c r="F22" s="987"/>
      <c r="G22" s="987"/>
      <c r="H22" s="987"/>
      <c r="I22" s="987"/>
    </row>
    <row r="23" spans="1:9" ht="26.25" x14ac:dyDescent="0.25">
      <c r="A23" s="988" t="s">
        <v>0</v>
      </c>
      <c r="B23" s="988"/>
      <c r="C23" s="988"/>
      <c r="D23" s="988"/>
      <c r="E23" s="988"/>
      <c r="F23" s="988"/>
      <c r="G23" s="988"/>
      <c r="H23" s="988"/>
      <c r="I23" s="988"/>
    </row>
    <row r="24" spans="1:9" ht="15.75" x14ac:dyDescent="0.25">
      <c r="A24" s="114"/>
      <c r="B24" s="115"/>
      <c r="C24" s="114"/>
      <c r="D24" s="114"/>
      <c r="E24" s="116"/>
      <c r="F24" s="114"/>
      <c r="G24" s="114"/>
      <c r="H24" s="114"/>
      <c r="I24" s="117" t="s">
        <v>1</v>
      </c>
    </row>
    <row r="25" spans="1:9" ht="15.75" x14ac:dyDescent="0.25">
      <c r="A25" s="114"/>
      <c r="B25" s="115"/>
      <c r="C25" s="114"/>
      <c r="D25" s="114"/>
      <c r="E25" s="116"/>
      <c r="F25" s="114"/>
      <c r="G25" s="114"/>
      <c r="H25" s="114"/>
      <c r="I25" s="117"/>
    </row>
    <row r="26" spans="1:9" ht="15.75" x14ac:dyDescent="0.25">
      <c r="A26" s="114"/>
      <c r="B26" s="115"/>
      <c r="C26" s="114"/>
      <c r="D26" s="114"/>
      <c r="E26" s="114"/>
      <c r="F26" s="114"/>
      <c r="G26" s="114"/>
      <c r="H26" s="114"/>
      <c r="I26" s="118" t="s">
        <v>2</v>
      </c>
    </row>
    <row r="27" spans="1:9" ht="15.75" x14ac:dyDescent="0.25">
      <c r="A27" s="114"/>
      <c r="B27" s="115"/>
      <c r="C27" s="114"/>
      <c r="D27" s="114"/>
      <c r="E27" s="114"/>
      <c r="F27" s="114"/>
      <c r="G27" s="114"/>
      <c r="H27" s="114"/>
      <c r="I27" s="118"/>
    </row>
    <row r="28" spans="1:9" ht="15.75" x14ac:dyDescent="0.25">
      <c r="A28" s="114"/>
      <c r="B28" s="115"/>
      <c r="C28" s="114"/>
      <c r="D28" s="114"/>
      <c r="E28" s="114"/>
      <c r="F28" s="114"/>
      <c r="G28" s="114"/>
      <c r="H28" s="114"/>
      <c r="I28" s="118" t="s">
        <v>326</v>
      </c>
    </row>
    <row r="29" spans="1:9" ht="15.75" x14ac:dyDescent="0.25">
      <c r="A29" s="114"/>
      <c r="B29" s="115"/>
      <c r="C29" s="114"/>
      <c r="D29" s="114"/>
      <c r="E29" s="114"/>
      <c r="F29" s="114"/>
      <c r="G29" s="114"/>
      <c r="H29" s="114"/>
      <c r="I29" s="118"/>
    </row>
    <row r="30" spans="1:9" ht="15.75" x14ac:dyDescent="0.25">
      <c r="A30" s="114"/>
      <c r="B30" s="114"/>
      <c r="C30" s="114"/>
      <c r="D30" s="114"/>
      <c r="E30" s="114"/>
      <c r="F30" s="114"/>
      <c r="G30" s="114"/>
      <c r="H30" s="119"/>
      <c r="I30" s="120" t="s">
        <v>325</v>
      </c>
    </row>
    <row r="31" spans="1:9" ht="16.5" thickBot="1" x14ac:dyDescent="0.3">
      <c r="A31" s="121"/>
      <c r="B31" s="121"/>
      <c r="C31" s="121"/>
      <c r="D31" s="121"/>
      <c r="E31" s="121"/>
      <c r="F31" s="121"/>
      <c r="G31" s="121"/>
      <c r="H31" s="121"/>
      <c r="I31" s="122" t="s">
        <v>3</v>
      </c>
    </row>
    <row r="32" spans="1:9" ht="15.75" thickTop="1" x14ac:dyDescent="0.25"/>
  </sheetData>
  <mergeCells count="2">
    <mergeCell ref="A22:I22"/>
    <mergeCell ref="A23:I23"/>
  </mergeCells>
  <pageMargins left="0.7" right="0.7" top="0.75" bottom="0.75" header="0.3" footer="0.3"/>
  <pageSetup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theme="4" tint="0.39997558519241921"/>
    <pageSetUpPr fitToPage="1"/>
  </sheetPr>
  <dimension ref="A1:AZ422"/>
  <sheetViews>
    <sheetView zoomScale="50" zoomScaleNormal="50" zoomScalePageLayoutView="70" workbookViewId="0">
      <pane ySplit="1" topLeftCell="A308" activePane="bottomLeft" state="frozen"/>
      <selection pane="bottomLeft" activeCell="AA434" sqref="AA434"/>
    </sheetView>
  </sheetViews>
  <sheetFormatPr baseColWidth="10" defaultRowHeight="15" x14ac:dyDescent="0.25"/>
  <cols>
    <col min="1" max="1" width="18" style="930" customWidth="1"/>
    <col min="2" max="2" width="24.28515625" customWidth="1"/>
    <col min="3" max="3" width="15.85546875" style="931" customWidth="1"/>
    <col min="4" max="4" width="18.85546875" customWidth="1"/>
    <col min="5" max="5" width="9.42578125" customWidth="1"/>
    <col min="6" max="6" width="12" customWidth="1"/>
    <col min="7" max="7" width="30.42578125" style="931" customWidth="1"/>
    <col min="8" max="8" width="22.7109375" customWidth="1"/>
    <col min="9" max="9" width="44.85546875" customWidth="1"/>
    <col min="10" max="13" width="16.7109375" style="67" customWidth="1"/>
    <col min="14" max="14" width="34.42578125" customWidth="1"/>
    <col min="15" max="15" width="20.140625" customWidth="1"/>
    <col min="16" max="16" width="17.7109375" customWidth="1"/>
    <col min="17" max="17" width="15.7109375" customWidth="1"/>
    <col min="18" max="18" width="17.85546875" customWidth="1"/>
    <col min="19" max="19" width="21" customWidth="1"/>
    <col min="20" max="20" width="32.42578125" customWidth="1"/>
    <col min="21" max="21" width="18.85546875" customWidth="1"/>
    <col min="22" max="22" width="22.7109375" customWidth="1"/>
    <col min="23" max="23" width="22.85546875" customWidth="1" collapsed="1"/>
    <col min="24" max="24" width="30.42578125" customWidth="1"/>
    <col min="25" max="25" width="33" customWidth="1"/>
    <col min="26" max="26" width="17.28515625" customWidth="1"/>
    <col min="27" max="27" width="21.85546875" customWidth="1"/>
    <col min="28" max="28" width="11.42578125" customWidth="1"/>
    <col min="29" max="29" width="10.85546875" customWidth="1"/>
    <col min="30" max="30" width="14.42578125" style="932" customWidth="1"/>
    <col min="31" max="31" width="12.5703125" customWidth="1"/>
    <col min="32" max="32" width="13.5703125" customWidth="1"/>
    <col min="33" max="33" width="12.42578125" bestFit="1" customWidth="1"/>
    <col min="34" max="34" width="12" bestFit="1" customWidth="1"/>
    <col min="35" max="42" width="11.42578125" customWidth="1"/>
    <col min="43" max="43" width="14.5703125" customWidth="1"/>
    <col min="44" max="44" width="12.28515625" customWidth="1"/>
    <col min="45" max="45" width="15.28515625" customWidth="1"/>
    <col min="46" max="46" width="11.85546875" style="151" customWidth="1"/>
    <col min="47" max="47" width="17" style="151" customWidth="1"/>
    <col min="48" max="48" width="21.7109375" customWidth="1"/>
    <col min="49" max="49" width="31.28515625" customWidth="1"/>
    <col min="50" max="50" width="29.140625" customWidth="1"/>
    <col min="51" max="51" width="16.85546875" customWidth="1"/>
    <col min="52" max="52" width="17.140625" customWidth="1"/>
  </cols>
  <sheetData>
    <row r="1" spans="1:52" ht="43.5" customHeight="1" x14ac:dyDescent="0.25">
      <c r="A1" s="892" t="s">
        <v>261</v>
      </c>
      <c r="B1" s="893" t="s">
        <v>1616</v>
      </c>
      <c r="C1" s="893" t="s">
        <v>287</v>
      </c>
      <c r="D1" s="892" t="s">
        <v>1617</v>
      </c>
      <c r="E1" s="894" t="s">
        <v>1618</v>
      </c>
      <c r="F1" s="894" t="s">
        <v>1619</v>
      </c>
      <c r="G1" s="894" t="s">
        <v>1620</v>
      </c>
      <c r="H1" s="893" t="s">
        <v>1621</v>
      </c>
      <c r="I1" s="895" t="s">
        <v>1622</v>
      </c>
      <c r="J1" s="896" t="s">
        <v>1623</v>
      </c>
      <c r="K1" s="896" t="s">
        <v>1624</v>
      </c>
      <c r="L1" s="897" t="s">
        <v>1625</v>
      </c>
      <c r="M1" s="897" t="s">
        <v>1626</v>
      </c>
      <c r="N1" s="895" t="s">
        <v>1627</v>
      </c>
      <c r="O1" s="893" t="s">
        <v>1628</v>
      </c>
      <c r="P1" s="893" t="s">
        <v>1629</v>
      </c>
      <c r="Q1" s="893" t="s">
        <v>1630</v>
      </c>
      <c r="R1" s="898" t="s">
        <v>13</v>
      </c>
      <c r="S1" s="899" t="s">
        <v>14</v>
      </c>
      <c r="T1" s="900" t="s">
        <v>1631</v>
      </c>
      <c r="U1" s="900" t="s">
        <v>16</v>
      </c>
      <c r="V1" s="900" t="s">
        <v>1632</v>
      </c>
      <c r="W1" s="893" t="s">
        <v>39</v>
      </c>
      <c r="X1" s="901" t="s">
        <v>1633</v>
      </c>
      <c r="Y1" s="901" t="s">
        <v>784</v>
      </c>
      <c r="Z1" s="901" t="s">
        <v>1634</v>
      </c>
      <c r="AA1" s="902" t="s">
        <v>786</v>
      </c>
      <c r="AB1" s="902" t="s">
        <v>17</v>
      </c>
      <c r="AC1" s="903" t="s">
        <v>18</v>
      </c>
      <c r="AD1" s="904" t="s">
        <v>1635</v>
      </c>
      <c r="AE1" s="905" t="s">
        <v>42</v>
      </c>
      <c r="AF1" s="905" t="s">
        <v>43</v>
      </c>
      <c r="AG1" s="905" t="s">
        <v>44</v>
      </c>
      <c r="AH1" s="905" t="s">
        <v>45</v>
      </c>
      <c r="AI1" s="905" t="s">
        <v>195</v>
      </c>
      <c r="AJ1" s="905" t="s">
        <v>47</v>
      </c>
      <c r="AK1" s="905" t="s">
        <v>48</v>
      </c>
      <c r="AL1" s="905" t="s">
        <v>49</v>
      </c>
      <c r="AM1" s="905" t="s">
        <v>1636</v>
      </c>
      <c r="AN1" s="905" t="s">
        <v>207</v>
      </c>
      <c r="AO1" s="905" t="s">
        <v>210</v>
      </c>
      <c r="AP1" s="905" t="s">
        <v>55</v>
      </c>
      <c r="AQ1" s="906" t="s">
        <v>1637</v>
      </c>
      <c r="AR1" s="907" t="s">
        <v>1638</v>
      </c>
      <c r="AS1" s="906" t="s">
        <v>1639</v>
      </c>
      <c r="AT1" s="908" t="s">
        <v>825</v>
      </c>
      <c r="AU1" s="909" t="s">
        <v>1177</v>
      </c>
      <c r="AV1" s="910" t="s">
        <v>1640</v>
      </c>
      <c r="AW1" s="910" t="s">
        <v>1641</v>
      </c>
      <c r="AX1" s="910" t="s">
        <v>1642</v>
      </c>
      <c r="AY1" s="910" t="s">
        <v>1643</v>
      </c>
      <c r="AZ1" s="910" t="s">
        <v>1644</v>
      </c>
    </row>
    <row r="2" spans="1:52" ht="45" x14ac:dyDescent="0.25">
      <c r="A2" s="508" t="s">
        <v>1645</v>
      </c>
      <c r="B2" s="508" t="s">
        <v>1646</v>
      </c>
      <c r="C2" s="508" t="s">
        <v>335</v>
      </c>
      <c r="D2" s="508" t="s">
        <v>335</v>
      </c>
      <c r="E2" s="508"/>
      <c r="F2" s="508"/>
      <c r="G2" s="508" t="s">
        <v>1647</v>
      </c>
      <c r="H2" s="508" t="s">
        <v>1648</v>
      </c>
      <c r="I2" s="508" t="s">
        <v>1649</v>
      </c>
      <c r="J2" s="555" t="s">
        <v>1650</v>
      </c>
      <c r="K2" s="555" t="s">
        <v>1651</v>
      </c>
      <c r="L2" s="911">
        <f ca="1">IFERROR(INDEX(Lists!$O$2:$Z$2,MATCH(TRUE,INDEX((AE2:AP2&lt;&gt;0),0),0)),DATE(2018,1,1))</f>
        <v>43102</v>
      </c>
      <c r="M2" s="911">
        <f ca="1">IFERROR(INDEX(Lists!$O$3:$Z$3, VALUE(SUBSTITUTE(TEXT(ADDRESS(SUMPRODUCT(MAX((COLUMN(AE2:AP2)*(AE2:AP2&gt;0)))),1),),"$A$",""))-30),DATE(2018,1,1))</f>
        <v>43465</v>
      </c>
      <c r="N2" s="508" t="s">
        <v>1652</v>
      </c>
      <c r="O2" s="508" t="s">
        <v>1653</v>
      </c>
      <c r="P2" s="508" t="s">
        <v>1071</v>
      </c>
      <c r="Q2" s="508" t="s">
        <v>1071</v>
      </c>
      <c r="R2" s="508">
        <f ca="1">VLOOKUP($A2,INDIRECT($D2&amp;"!$A$1:$Z$300"),2,FALSE)</f>
        <v>0</v>
      </c>
      <c r="S2" s="508" t="str">
        <f ca="1">VLOOKUP($A2,INDIRECT($D2&amp;"!$A$1:$Z$300"),3,FALSE)</f>
        <v>Santiago Office</v>
      </c>
      <c r="T2" s="508" t="str">
        <f ca="1">VLOOKUP($A2,INDIRECT($D2&amp;"!$A$1:$Z$300"),4,FALSE)</f>
        <v>Office Rent - Common expenses, parking - utilities - commercial permit</v>
      </c>
      <c r="U2" s="508">
        <f ca="1">VLOOKUP($A2,INDIRECT($D2&amp;"!$A$1:$Z$300"),5,FALSE)</f>
        <v>0</v>
      </c>
      <c r="V2" s="508">
        <f ca="1">VLOOKUP($A2,INDIRECT($D2&amp;"!$A$1:$Z$300"),6,FALSE)</f>
        <v>0</v>
      </c>
      <c r="W2" s="508">
        <f ca="1">VLOOKUP($A2,INDIRECT($D2&amp;"!$A$1:$Z$300"),7,FALSE)</f>
        <v>0</v>
      </c>
      <c r="X2" s="508">
        <f ca="1">VLOOKUP($A2,INDIRECT($D2&amp;"!$A$1:$Z$300"),8,FALSE)</f>
        <v>0</v>
      </c>
      <c r="Y2" s="508">
        <f ca="1">VLOOKUP($A2,INDIRECT($D2&amp;"!$A$1:$Z$300"),9,FALSE)</f>
        <v>0</v>
      </c>
      <c r="Z2" s="508">
        <f ca="1">VLOOKUP($A2,INDIRECT($D2&amp;"!$A$1:$Z$300"),10,FALSE)</f>
        <v>0</v>
      </c>
      <c r="AA2" s="508" t="str">
        <f ca="1">VLOOKUP($A2,INDIRECT($D2&amp;"!$A$1:$Z$300"),11,FALSE)</f>
        <v>Ene</v>
      </c>
      <c r="AB2" s="508">
        <f ca="1">MONTH(M2)-MONTH(L2)+1</f>
        <v>12</v>
      </c>
      <c r="AC2" s="508">
        <f ca="1">VLOOKUP($A2,INDIRECT($D2&amp;"!$A$1:$Z$300"),13,FALSE)</f>
        <v>12</v>
      </c>
      <c r="AD2" s="912">
        <f ca="1">VLOOKUP($A2,INDIRECT($D2&amp;"!$A$1:$Z$300"),14,FALSE)</f>
        <v>426000</v>
      </c>
      <c r="AE2" s="512">
        <f ca="1">VLOOKUP($A2,INDIRECT($D2&amp;"!$A$1:$Z$300"),15,FALSE)</f>
        <v>35500</v>
      </c>
      <c r="AF2" s="512">
        <f ca="1">VLOOKUP($A2,INDIRECT($D2&amp;"!$A$1:$Z$300"),16,FALSE)</f>
        <v>35500</v>
      </c>
      <c r="AG2" s="512">
        <f ca="1">VLOOKUP($A2,INDIRECT($D2&amp;"!$A$1:$Z$300"),17,FALSE)</f>
        <v>35500</v>
      </c>
      <c r="AH2" s="512">
        <f ca="1">VLOOKUP($A2,INDIRECT($D2&amp;"!$A$1:$Z$300"),18,FALSE)</f>
        <v>35500</v>
      </c>
      <c r="AI2" s="512">
        <f ca="1">VLOOKUP($A2,INDIRECT($D2&amp;"!$A$1:$Z$300"),19,FALSE)</f>
        <v>35500</v>
      </c>
      <c r="AJ2" s="512">
        <f ca="1">VLOOKUP($A2,INDIRECT($D2&amp;"!$A$1:$Z$300"),20,FALSE)</f>
        <v>35500</v>
      </c>
      <c r="AK2" s="512">
        <f ca="1">VLOOKUP($A2,INDIRECT($D2&amp;"!$A$1:$Z$300"),21,FALSE)</f>
        <v>35500</v>
      </c>
      <c r="AL2" s="512">
        <f ca="1">VLOOKUP($A2,INDIRECT($D2&amp;"!$A$1:$Z$300"),22,FALSE)</f>
        <v>35500</v>
      </c>
      <c r="AM2" s="512">
        <f ca="1">VLOOKUP($A2,INDIRECT($D2&amp;"!$A$1:$Z$300"),23,FALSE)</f>
        <v>35500</v>
      </c>
      <c r="AN2" s="512">
        <f ca="1">VLOOKUP($A2,INDIRECT($D2&amp;"!$A$1:$Z$300"),24,FALSE)</f>
        <v>35500</v>
      </c>
      <c r="AO2" s="512">
        <f ca="1">VLOOKUP($A2,INDIRECT($D2&amp;"!$A$1:$Z$300"),25,FALSE)</f>
        <v>35500</v>
      </c>
      <c r="AP2" s="512">
        <f ca="1">VLOOKUP($A2,INDIRECT($D2&amp;"!$A$1:$Z$300"),26,FALSE)</f>
        <v>35500</v>
      </c>
      <c r="AQ2" s="512" t="str">
        <f ca="1">IF(G2="Contrato/Orden de Servicio",IF(AND(Q2&lt;&gt;"Si",AD2&lt;100000),"Orden de Servicio Sin Terreno",IF(AND(Q2="Si",AD2&lt;50000),IF(AB2&lt;=3,"Orden de Servicio Con Terreno","Contrato"),"Contrato")),"")</f>
        <v>Contrato</v>
      </c>
      <c r="AR2" s="512"/>
      <c r="AS2" s="512" t="str">
        <f ca="1">IF(G2="Contrato/Orden de Servicio",IF(AND(AD2&gt;50000,OR(N2="Renovación de Contrato",N2="Adjudicación Directa")),"Si","No"),"")</f>
        <v>Si</v>
      </c>
      <c r="AT2" s="151">
        <f ca="1">IF(G2="Contrato/Orden de Servicio",AD2,0)</f>
        <v>426000</v>
      </c>
      <c r="AU2" s="151">
        <f>IFERROR(VLOOKUP(A2,'[7]TD CuentasBDG'!$N$5:$O$21,2,0),0)</f>
        <v>0</v>
      </c>
      <c r="AV2" t="str">
        <f>IF(N2="Licitación/Cotización",IF(AT2&lt;50000,"Licitación Corta","Licitación"),N2)</f>
        <v>Renovación de Contrato</v>
      </c>
      <c r="AW2" t="s">
        <v>1654</v>
      </c>
      <c r="AX2" t="s">
        <v>1655</v>
      </c>
      <c r="AY2" t="s">
        <v>1656</v>
      </c>
    </row>
    <row r="3" spans="1:52" ht="45" x14ac:dyDescent="0.25">
      <c r="A3" s="508" t="s">
        <v>1657</v>
      </c>
      <c r="B3" s="508" t="s">
        <v>1646</v>
      </c>
      <c r="C3" s="508" t="s">
        <v>335</v>
      </c>
      <c r="D3" s="508" t="s">
        <v>335</v>
      </c>
      <c r="E3" s="508"/>
      <c r="F3" s="508"/>
      <c r="G3" s="508" t="s">
        <v>1647</v>
      </c>
      <c r="H3" s="508" t="s">
        <v>1658</v>
      </c>
      <c r="I3" s="508" t="s">
        <v>1659</v>
      </c>
      <c r="J3" s="555" t="s">
        <v>1650</v>
      </c>
      <c r="K3" s="555" t="s">
        <v>1651</v>
      </c>
      <c r="L3" s="911">
        <f ca="1">IFERROR(INDEX(Lists!$O$2:$Z$2,MATCH(TRUE,INDEX((AE3:AP3&lt;&gt;0),0),0)),DATE(2018,1,1))</f>
        <v>43102</v>
      </c>
      <c r="M3" s="911">
        <f ca="1">IFERROR(INDEX(Lists!$O$3:$Z$3, VALUE(SUBSTITUTE(TEXT(ADDRESS(SUMPRODUCT(MAX((COLUMN(AE3:AP3)*(AE3:AP3&gt;0)))),1),),"$A$",""))-30),DATE(2018,1,1))</f>
        <v>43465</v>
      </c>
      <c r="N3" s="508" t="s">
        <v>1652</v>
      </c>
      <c r="O3" s="508" t="s">
        <v>1653</v>
      </c>
      <c r="P3" s="508" t="s">
        <v>1071</v>
      </c>
      <c r="Q3" s="508" t="s">
        <v>1071</v>
      </c>
      <c r="R3" s="508">
        <f t="shared" ref="R3:R66" ca="1" si="0">VLOOKUP($A3,INDIRECT($D3&amp;"!$A$1:$Z$300"),2,FALSE)</f>
        <v>0</v>
      </c>
      <c r="S3" s="508">
        <f t="shared" ref="S3:S66" ca="1" si="1">VLOOKUP($A3,INDIRECT($D3&amp;"!$A$1:$Z$300"),3,FALSE)</f>
        <v>0</v>
      </c>
      <c r="T3" s="508" t="str">
        <f t="shared" ref="T3:T66" ca="1" si="2">VLOOKUP($A3,INDIRECT($D3&amp;"!$A$1:$Z$300"),4,FALSE)</f>
        <v>Cleaning</v>
      </c>
      <c r="U3" s="508">
        <f t="shared" ref="U3:U66" ca="1" si="3">VLOOKUP($A3,INDIRECT($D3&amp;"!$A$1:$Z$300"),5,FALSE)</f>
        <v>0</v>
      </c>
      <c r="V3" s="508">
        <f t="shared" ref="V3:V66" ca="1" si="4">VLOOKUP($A3,INDIRECT($D3&amp;"!$A$1:$Z$300"),6,FALSE)</f>
        <v>0</v>
      </c>
      <c r="W3" s="508">
        <f t="shared" ref="W3:W66" ca="1" si="5">VLOOKUP($A3,INDIRECT($D3&amp;"!$A$1:$Z$300"),7,FALSE)</f>
        <v>0</v>
      </c>
      <c r="X3" s="508">
        <f t="shared" ref="X3:X66" ca="1" si="6">VLOOKUP($A3,INDIRECT($D3&amp;"!$A$1:$Z$300"),8,FALSE)</f>
        <v>0</v>
      </c>
      <c r="Y3" s="508">
        <f t="shared" ref="Y3:Y66" ca="1" si="7">VLOOKUP($A3,INDIRECT($D3&amp;"!$A$1:$Z$300"),9,FALSE)</f>
        <v>0</v>
      </c>
      <c r="Z3" s="508">
        <f t="shared" ref="Z3:Z66" ca="1" si="8">VLOOKUP($A3,INDIRECT($D3&amp;"!$A$1:$Z$300"),10,FALSE)</f>
        <v>0</v>
      </c>
      <c r="AA3" s="508" t="str">
        <f t="shared" ref="AA3:AA66" ca="1" si="9">VLOOKUP($A3,INDIRECT($D3&amp;"!$A$1:$Z$300"),11,FALSE)</f>
        <v>Ene</v>
      </c>
      <c r="AB3" s="508">
        <f t="shared" ref="AB3:AB66" ca="1" si="10">MONTH(M3)-MONTH(L3)+1</f>
        <v>12</v>
      </c>
      <c r="AC3" s="508">
        <f t="shared" ref="AC3:AC66" ca="1" si="11">VLOOKUP($A3,INDIRECT($D3&amp;"!$A$1:$Z$300"),13,FALSE)</f>
        <v>12</v>
      </c>
      <c r="AD3" s="912">
        <f t="shared" ref="AD3:AD66" ca="1" si="12">VLOOKUP($A3,INDIRECT($D3&amp;"!$A$1:$Z$300"),14,FALSE)</f>
        <v>40800</v>
      </c>
      <c r="AE3" s="512">
        <f t="shared" ref="AE3:AE66" ca="1" si="13">VLOOKUP($A3,INDIRECT($D3&amp;"!$A$1:$Z$300"),15,FALSE)</f>
        <v>3400</v>
      </c>
      <c r="AF3" s="512">
        <f t="shared" ref="AF3:AF66" ca="1" si="14">VLOOKUP($A3,INDIRECT($D3&amp;"!$A$1:$Z$300"),16,FALSE)</f>
        <v>3400</v>
      </c>
      <c r="AG3" s="512">
        <f t="shared" ref="AG3:AG66" ca="1" si="15">VLOOKUP($A3,INDIRECT($D3&amp;"!$A$1:$Z$300"),17,FALSE)</f>
        <v>3400</v>
      </c>
      <c r="AH3" s="512">
        <f t="shared" ref="AH3:AH66" ca="1" si="16">VLOOKUP($A3,INDIRECT($D3&amp;"!$A$1:$Z$300"),18,FALSE)</f>
        <v>3400</v>
      </c>
      <c r="AI3" s="512">
        <f t="shared" ref="AI3:AI66" ca="1" si="17">VLOOKUP($A3,INDIRECT($D3&amp;"!$A$1:$Z$300"),19,FALSE)</f>
        <v>3400</v>
      </c>
      <c r="AJ3" s="512">
        <f t="shared" ref="AJ3:AJ66" ca="1" si="18">VLOOKUP($A3,INDIRECT($D3&amp;"!$A$1:$Z$300"),20,FALSE)</f>
        <v>3400</v>
      </c>
      <c r="AK3" s="512">
        <f t="shared" ref="AK3:AK66" ca="1" si="19">VLOOKUP($A3,INDIRECT($D3&amp;"!$A$1:$Z$300"),21,FALSE)</f>
        <v>3400</v>
      </c>
      <c r="AL3" s="512">
        <f t="shared" ref="AL3:AL66" ca="1" si="20">VLOOKUP($A3,INDIRECT($D3&amp;"!$A$1:$Z$300"),22,FALSE)</f>
        <v>3400</v>
      </c>
      <c r="AM3" s="512">
        <f t="shared" ref="AM3:AM66" ca="1" si="21">VLOOKUP($A3,INDIRECT($D3&amp;"!$A$1:$Z$300"),23,FALSE)</f>
        <v>3400</v>
      </c>
      <c r="AN3" s="512">
        <f t="shared" ref="AN3:AN66" ca="1" si="22">VLOOKUP($A3,INDIRECT($D3&amp;"!$A$1:$Z$300"),24,FALSE)</f>
        <v>3400</v>
      </c>
      <c r="AO3" s="512">
        <f t="shared" ref="AO3:AO66" ca="1" si="23">VLOOKUP($A3,INDIRECT($D3&amp;"!$A$1:$Z$300"),25,FALSE)</f>
        <v>3400</v>
      </c>
      <c r="AP3" s="512">
        <f t="shared" ref="AP3:AP66" ca="1" si="24">VLOOKUP($A3,INDIRECT($D3&amp;"!$A$1:$Z$300"),26,FALSE)</f>
        <v>3400</v>
      </c>
      <c r="AQ3" s="512" t="str">
        <f t="shared" ref="AQ3:AQ66" ca="1" si="25">IF(G3="Contrato/Orden de Servicio",IF(AND(Q3&lt;&gt;"Si",AD3&lt;100000),"Orden de Servicio Sin Terreno",IF(AND(Q3="Si",AD3&lt;50000),IF(AB3&lt;=3,"Orden de Servicio Con Terreno","Contrato"),"Contrato")),"")</f>
        <v>Orden de Servicio Sin Terreno</v>
      </c>
      <c r="AR3" s="512"/>
      <c r="AS3" s="512" t="str">
        <f t="shared" ref="AS3:AS66" ca="1" si="26">IF(G3="Contrato/Orden de Servicio",IF(AND(AD3&gt;50000,OR(N3="Renovación de Contrato",N3="Adjudicación Directa")),"Si","No"),"")</f>
        <v>No</v>
      </c>
      <c r="AT3" s="151">
        <f t="shared" ref="AT3:AT66" ca="1" si="27">IF(G3="Contrato/Orden de Servicio",AD3,0)</f>
        <v>40800</v>
      </c>
      <c r="AU3" s="151">
        <f>IFERROR(VLOOKUP(A3,'[7]TD CuentasBDG'!$N$5:$O$21,2,0),0)</f>
        <v>0</v>
      </c>
      <c r="AV3" t="str">
        <f t="shared" ref="AV3:AV66" si="28">IF(N3="Licitación/Cotización",IF(AT3&lt;50000,"Licitación Corta","Licitación"),N3)</f>
        <v>Renovación de Contrato</v>
      </c>
      <c r="AW3" t="s">
        <v>1660</v>
      </c>
      <c r="AX3" t="s">
        <v>1655</v>
      </c>
      <c r="AY3" t="s">
        <v>1656</v>
      </c>
    </row>
    <row r="4" spans="1:52" ht="45" x14ac:dyDescent="0.25">
      <c r="A4" s="508" t="s">
        <v>1661</v>
      </c>
      <c r="B4" s="508" t="s">
        <v>1646</v>
      </c>
      <c r="C4" s="508" t="s">
        <v>335</v>
      </c>
      <c r="D4" s="508" t="s">
        <v>335</v>
      </c>
      <c r="E4" s="508"/>
      <c r="F4" s="508"/>
      <c r="G4" s="508" t="s">
        <v>1647</v>
      </c>
      <c r="H4" s="508" t="s">
        <v>1662</v>
      </c>
      <c r="I4" s="508" t="s">
        <v>1663</v>
      </c>
      <c r="J4" s="555" t="s">
        <v>1650</v>
      </c>
      <c r="K4" s="555" t="s">
        <v>1651</v>
      </c>
      <c r="L4" s="911">
        <f ca="1">IFERROR(INDEX(Lists!$O$2:$Z$2,MATCH(TRUE,INDEX((AE4:AP4&lt;&gt;0),0),0)),DATE(2018,1,1))</f>
        <v>43102</v>
      </c>
      <c r="M4" s="911">
        <f ca="1">IFERROR(INDEX(Lists!$O$3:$Z$3, VALUE(SUBSTITUTE(TEXT(ADDRESS(SUMPRODUCT(MAX((COLUMN(AE4:AP4)*(AE4:AP4&gt;0)))),1),),"$A$",""))-30),DATE(2018,1,1))</f>
        <v>43465</v>
      </c>
      <c r="N4" s="508" t="s">
        <v>1652</v>
      </c>
      <c r="O4" s="508" t="s">
        <v>1653</v>
      </c>
      <c r="P4" s="508" t="s">
        <v>1071</v>
      </c>
      <c r="Q4" s="508" t="s">
        <v>1071</v>
      </c>
      <c r="R4" s="508">
        <f t="shared" ca="1" si="0"/>
        <v>0</v>
      </c>
      <c r="S4" s="508">
        <f t="shared" ca="1" si="1"/>
        <v>0</v>
      </c>
      <c r="T4" s="508" t="str">
        <f t="shared" ca="1" si="2"/>
        <v>Maintenance</v>
      </c>
      <c r="U4" s="508">
        <f t="shared" ca="1" si="3"/>
        <v>0</v>
      </c>
      <c r="V4" s="508">
        <f t="shared" ca="1" si="4"/>
        <v>0</v>
      </c>
      <c r="W4" s="508">
        <f t="shared" ca="1" si="5"/>
        <v>0</v>
      </c>
      <c r="X4" s="508">
        <f t="shared" ca="1" si="6"/>
        <v>0</v>
      </c>
      <c r="Y4" s="508">
        <f t="shared" ca="1" si="7"/>
        <v>0</v>
      </c>
      <c r="Z4" s="508">
        <f t="shared" ca="1" si="8"/>
        <v>0</v>
      </c>
      <c r="AA4" s="508" t="str">
        <f t="shared" ca="1" si="9"/>
        <v>Ene</v>
      </c>
      <c r="AB4" s="508">
        <f t="shared" ca="1" si="10"/>
        <v>12</v>
      </c>
      <c r="AC4" s="508">
        <f t="shared" ca="1" si="11"/>
        <v>12</v>
      </c>
      <c r="AD4" s="912">
        <f t="shared" ca="1" si="12"/>
        <v>18000</v>
      </c>
      <c r="AE4" s="512">
        <f t="shared" ca="1" si="13"/>
        <v>1500</v>
      </c>
      <c r="AF4" s="512">
        <f t="shared" ca="1" si="14"/>
        <v>1500</v>
      </c>
      <c r="AG4" s="512">
        <f t="shared" ca="1" si="15"/>
        <v>1500</v>
      </c>
      <c r="AH4" s="512">
        <f t="shared" ca="1" si="16"/>
        <v>1500</v>
      </c>
      <c r="AI4" s="512">
        <f t="shared" ca="1" si="17"/>
        <v>1500</v>
      </c>
      <c r="AJ4" s="512">
        <f t="shared" ca="1" si="18"/>
        <v>1500</v>
      </c>
      <c r="AK4" s="512">
        <f t="shared" ca="1" si="19"/>
        <v>1500</v>
      </c>
      <c r="AL4" s="512">
        <f t="shared" ca="1" si="20"/>
        <v>1500</v>
      </c>
      <c r="AM4" s="512">
        <f t="shared" ca="1" si="21"/>
        <v>1500</v>
      </c>
      <c r="AN4" s="512">
        <f t="shared" ca="1" si="22"/>
        <v>1500</v>
      </c>
      <c r="AO4" s="512">
        <f t="shared" ca="1" si="23"/>
        <v>1500</v>
      </c>
      <c r="AP4" s="512">
        <f t="shared" ca="1" si="24"/>
        <v>1500</v>
      </c>
      <c r="AQ4" s="512" t="str">
        <f t="shared" ca="1" si="25"/>
        <v>Orden de Servicio Sin Terreno</v>
      </c>
      <c r="AR4" s="512"/>
      <c r="AS4" s="512" t="str">
        <f t="shared" ca="1" si="26"/>
        <v>No</v>
      </c>
      <c r="AT4" s="151">
        <f t="shared" ca="1" si="27"/>
        <v>18000</v>
      </c>
      <c r="AU4" s="151">
        <f>IFERROR(VLOOKUP(A4,'[7]TD CuentasBDG'!$N$5:$O$21,2,0),0)</f>
        <v>0</v>
      </c>
      <c r="AV4" t="str">
        <f t="shared" si="28"/>
        <v>Renovación de Contrato</v>
      </c>
      <c r="AW4" t="s">
        <v>1660</v>
      </c>
      <c r="AX4" t="s">
        <v>1655</v>
      </c>
      <c r="AY4" t="s">
        <v>1656</v>
      </c>
    </row>
    <row r="5" spans="1:52" ht="45" x14ac:dyDescent="0.25">
      <c r="A5" s="508" t="s">
        <v>1664</v>
      </c>
      <c r="B5" s="508" t="s">
        <v>1646</v>
      </c>
      <c r="C5" s="508" t="s">
        <v>335</v>
      </c>
      <c r="D5" s="508" t="s">
        <v>335</v>
      </c>
      <c r="E5" s="508"/>
      <c r="F5" s="508"/>
      <c r="G5" s="508" t="s">
        <v>1665</v>
      </c>
      <c r="H5" s="508"/>
      <c r="I5" s="508"/>
      <c r="J5" s="555" t="s">
        <v>1650</v>
      </c>
      <c r="K5" s="555" t="s">
        <v>1651</v>
      </c>
      <c r="L5" s="911">
        <f ca="1">IFERROR(INDEX(Lists!$O$2:$Z$2,MATCH(TRUE,INDEX((AE5:AP5&lt;&gt;0),0),0)),DATE(2018,1,1))</f>
        <v>43102</v>
      </c>
      <c r="M5" s="911">
        <f ca="1">IFERROR(INDEX(Lists!$O$3:$Z$3, VALUE(SUBSTITUTE(TEXT(ADDRESS(SUMPRODUCT(MAX((COLUMN(AE5:AP5)*(AE5:AP5&gt;0)))),1),),"$A$",""))-30),DATE(2018,1,1))</f>
        <v>43465</v>
      </c>
      <c r="N5" s="508" t="s">
        <v>1652</v>
      </c>
      <c r="O5" s="508" t="s">
        <v>1653</v>
      </c>
      <c r="P5" s="508" t="s">
        <v>1071</v>
      </c>
      <c r="Q5" s="508" t="s">
        <v>1071</v>
      </c>
      <c r="R5" s="508">
        <f t="shared" ca="1" si="0"/>
        <v>0</v>
      </c>
      <c r="S5" s="508">
        <f t="shared" ca="1" si="1"/>
        <v>0</v>
      </c>
      <c r="T5" s="508" t="str">
        <f t="shared" ca="1" si="2"/>
        <v>office supplies  ( Cafeteria - office supplies - water - food - caja chica  )</v>
      </c>
      <c r="U5" s="508">
        <f t="shared" ca="1" si="3"/>
        <v>0</v>
      </c>
      <c r="V5" s="508">
        <f t="shared" ca="1" si="4"/>
        <v>0</v>
      </c>
      <c r="W5" s="508">
        <f t="shared" ca="1" si="5"/>
        <v>0</v>
      </c>
      <c r="X5" s="508">
        <f t="shared" ca="1" si="6"/>
        <v>0</v>
      </c>
      <c r="Y5" s="508">
        <f t="shared" ca="1" si="7"/>
        <v>0</v>
      </c>
      <c r="Z5" s="508">
        <f t="shared" ca="1" si="8"/>
        <v>0</v>
      </c>
      <c r="AA5" s="508" t="str">
        <f t="shared" ca="1" si="9"/>
        <v>Ene</v>
      </c>
      <c r="AB5" s="508">
        <f t="shared" ca="1" si="10"/>
        <v>12</v>
      </c>
      <c r="AC5" s="508">
        <f t="shared" ca="1" si="11"/>
        <v>12</v>
      </c>
      <c r="AD5" s="912">
        <f t="shared" ca="1" si="12"/>
        <v>63600</v>
      </c>
      <c r="AE5" s="512">
        <f t="shared" ca="1" si="13"/>
        <v>5300</v>
      </c>
      <c r="AF5" s="512">
        <f t="shared" ca="1" si="14"/>
        <v>5300</v>
      </c>
      <c r="AG5" s="512">
        <f t="shared" ca="1" si="15"/>
        <v>5300</v>
      </c>
      <c r="AH5" s="512">
        <f t="shared" ca="1" si="16"/>
        <v>5300</v>
      </c>
      <c r="AI5" s="512">
        <f t="shared" ca="1" si="17"/>
        <v>5300</v>
      </c>
      <c r="AJ5" s="512">
        <f t="shared" ca="1" si="18"/>
        <v>5300</v>
      </c>
      <c r="AK5" s="512">
        <f t="shared" ca="1" si="19"/>
        <v>5300</v>
      </c>
      <c r="AL5" s="512">
        <f t="shared" ca="1" si="20"/>
        <v>5300</v>
      </c>
      <c r="AM5" s="512">
        <f t="shared" ca="1" si="21"/>
        <v>5300</v>
      </c>
      <c r="AN5" s="512">
        <f t="shared" ca="1" si="22"/>
        <v>5300</v>
      </c>
      <c r="AO5" s="512">
        <f t="shared" ca="1" si="23"/>
        <v>5300</v>
      </c>
      <c r="AP5" s="512">
        <f t="shared" ca="1" si="24"/>
        <v>5300</v>
      </c>
      <c r="AQ5" s="512" t="str">
        <f t="shared" si="25"/>
        <v/>
      </c>
      <c r="AR5" s="512"/>
      <c r="AS5" s="512" t="str">
        <f t="shared" si="26"/>
        <v/>
      </c>
      <c r="AT5" s="151">
        <f t="shared" si="27"/>
        <v>0</v>
      </c>
      <c r="AU5" s="151">
        <f>IFERROR(VLOOKUP(A5,'[7]TD CuentasBDG'!$N$5:$O$21,2,0),0)</f>
        <v>0</v>
      </c>
      <c r="AV5" t="str">
        <f t="shared" si="28"/>
        <v>Renovación de Contrato</v>
      </c>
    </row>
    <row r="6" spans="1:52" ht="45" x14ac:dyDescent="0.25">
      <c r="A6" s="508" t="s">
        <v>1666</v>
      </c>
      <c r="B6" s="508" t="s">
        <v>1646</v>
      </c>
      <c r="C6" s="508" t="s">
        <v>335</v>
      </c>
      <c r="D6" s="508" t="s">
        <v>335</v>
      </c>
      <c r="E6" s="508"/>
      <c r="F6" s="508"/>
      <c r="G6" s="508" t="s">
        <v>1647</v>
      </c>
      <c r="H6" s="508" t="s">
        <v>1667</v>
      </c>
      <c r="I6" s="508" t="s">
        <v>1667</v>
      </c>
      <c r="J6" s="555" t="s">
        <v>1650</v>
      </c>
      <c r="K6" s="555" t="s">
        <v>1651</v>
      </c>
      <c r="L6" s="911">
        <f ca="1">IFERROR(INDEX(Lists!$O$2:$Z$2,MATCH(TRUE,INDEX((AE6:AP6&lt;&gt;0),0),0)),DATE(2018,1,1))</f>
        <v>43102</v>
      </c>
      <c r="M6" s="911">
        <f ca="1">IFERROR(INDEX(Lists!$O$3:$Z$3, VALUE(SUBSTITUTE(TEXT(ADDRESS(SUMPRODUCT(MAX((COLUMN(AE6:AP6)*(AE6:AP6&gt;0)))),1),),"$A$",""))-30),DATE(2018,1,1))</f>
        <v>43465</v>
      </c>
      <c r="N6" s="508" t="s">
        <v>1668</v>
      </c>
      <c r="O6" s="508" t="s">
        <v>1653</v>
      </c>
      <c r="P6" s="508" t="s">
        <v>1071</v>
      </c>
      <c r="Q6" s="508" t="s">
        <v>1071</v>
      </c>
      <c r="R6" s="508">
        <f t="shared" ca="1" si="0"/>
        <v>0</v>
      </c>
      <c r="S6" s="508">
        <f t="shared" ca="1" si="1"/>
        <v>0</v>
      </c>
      <c r="T6" s="508" t="str">
        <f t="shared" ca="1" si="2"/>
        <v>Translations</v>
      </c>
      <c r="U6" s="508">
        <f t="shared" ca="1" si="3"/>
        <v>0</v>
      </c>
      <c r="V6" s="508">
        <f t="shared" ca="1" si="4"/>
        <v>0</v>
      </c>
      <c r="W6" s="508">
        <f t="shared" ca="1" si="5"/>
        <v>0</v>
      </c>
      <c r="X6" s="508">
        <f t="shared" ca="1" si="6"/>
        <v>0</v>
      </c>
      <c r="Y6" s="508">
        <f t="shared" ca="1" si="7"/>
        <v>0</v>
      </c>
      <c r="Z6" s="508">
        <f t="shared" ca="1" si="8"/>
        <v>0</v>
      </c>
      <c r="AA6" s="508" t="str">
        <f t="shared" ca="1" si="9"/>
        <v>Ene</v>
      </c>
      <c r="AB6" s="508">
        <f t="shared" ca="1" si="10"/>
        <v>12</v>
      </c>
      <c r="AC6" s="508">
        <f t="shared" ca="1" si="11"/>
        <v>12</v>
      </c>
      <c r="AD6" s="912">
        <f t="shared" ca="1" si="12"/>
        <v>36000</v>
      </c>
      <c r="AE6" s="512">
        <f t="shared" ca="1" si="13"/>
        <v>3000</v>
      </c>
      <c r="AF6" s="512">
        <f t="shared" ca="1" si="14"/>
        <v>3000</v>
      </c>
      <c r="AG6" s="512">
        <f t="shared" ca="1" si="15"/>
        <v>3000</v>
      </c>
      <c r="AH6" s="512">
        <f t="shared" ca="1" si="16"/>
        <v>3000</v>
      </c>
      <c r="AI6" s="512">
        <f t="shared" ca="1" si="17"/>
        <v>3000</v>
      </c>
      <c r="AJ6" s="512">
        <f t="shared" ca="1" si="18"/>
        <v>3000</v>
      </c>
      <c r="AK6" s="512">
        <f t="shared" ca="1" si="19"/>
        <v>3000</v>
      </c>
      <c r="AL6" s="512">
        <f t="shared" ca="1" si="20"/>
        <v>3000</v>
      </c>
      <c r="AM6" s="512">
        <f t="shared" ca="1" si="21"/>
        <v>3000</v>
      </c>
      <c r="AN6" s="512">
        <f t="shared" ca="1" si="22"/>
        <v>3000</v>
      </c>
      <c r="AO6" s="512">
        <f t="shared" ca="1" si="23"/>
        <v>3000</v>
      </c>
      <c r="AP6" s="512">
        <f t="shared" ca="1" si="24"/>
        <v>3000</v>
      </c>
      <c r="AQ6" s="512" t="str">
        <f t="shared" ca="1" si="25"/>
        <v>Orden de Servicio Sin Terreno</v>
      </c>
      <c r="AR6" s="512"/>
      <c r="AS6" s="512" t="str">
        <f t="shared" ca="1" si="26"/>
        <v>No</v>
      </c>
      <c r="AT6" s="151">
        <f t="shared" ca="1" si="27"/>
        <v>36000</v>
      </c>
      <c r="AU6" s="151">
        <f>IFERROR(VLOOKUP(A6,'[7]TD CuentasBDG'!$N$5:$O$21,2,0),0)</f>
        <v>0</v>
      </c>
      <c r="AV6" t="str">
        <f t="shared" ca="1" si="28"/>
        <v>Licitación Corta</v>
      </c>
      <c r="AW6" t="s">
        <v>1669</v>
      </c>
      <c r="AX6" t="s">
        <v>1655</v>
      </c>
    </row>
    <row r="7" spans="1:52" ht="45" x14ac:dyDescent="0.25">
      <c r="A7" s="508" t="s">
        <v>1670</v>
      </c>
      <c r="B7" s="508" t="s">
        <v>1646</v>
      </c>
      <c r="C7" s="508" t="s">
        <v>335</v>
      </c>
      <c r="D7" s="508" t="s">
        <v>335</v>
      </c>
      <c r="E7" s="508"/>
      <c r="F7" s="508"/>
      <c r="G7" s="508" t="s">
        <v>1647</v>
      </c>
      <c r="H7" s="508" t="s">
        <v>1545</v>
      </c>
      <c r="I7" s="508" t="s">
        <v>1545</v>
      </c>
      <c r="J7" s="555" t="s">
        <v>1650</v>
      </c>
      <c r="K7" s="555" t="s">
        <v>1651</v>
      </c>
      <c r="L7" s="911">
        <f ca="1">IFERROR(INDEX(Lists!$O$2:$Z$2,MATCH(TRUE,INDEX((AE7:AP7&lt;&gt;0),0),0)),DATE(2018,1,1))</f>
        <v>43102</v>
      </c>
      <c r="M7" s="911">
        <f ca="1">IFERROR(INDEX(Lists!$O$3:$Z$3, VALUE(SUBSTITUTE(TEXT(ADDRESS(SUMPRODUCT(MAX((COLUMN(AE7:AP7)*(AE7:AP7&gt;0)))),1),),"$A$",""))-30),DATE(2018,1,1))</f>
        <v>43220</v>
      </c>
      <c r="N7" s="508" t="s">
        <v>1652</v>
      </c>
      <c r="O7" s="508" t="s">
        <v>1653</v>
      </c>
      <c r="P7" s="508" t="s">
        <v>1071</v>
      </c>
      <c r="Q7" s="508" t="s">
        <v>1071</v>
      </c>
      <c r="R7" s="508">
        <f t="shared" ca="1" si="0"/>
        <v>0</v>
      </c>
      <c r="S7" s="508">
        <f t="shared" ca="1" si="1"/>
        <v>0</v>
      </c>
      <c r="T7" s="508" t="str">
        <f t="shared" ca="1" si="2"/>
        <v>Office Rent-Contingence</v>
      </c>
      <c r="U7" s="508">
        <f t="shared" ca="1" si="3"/>
        <v>0</v>
      </c>
      <c r="V7" s="508">
        <f t="shared" ca="1" si="4"/>
        <v>0</v>
      </c>
      <c r="W7" s="508">
        <f t="shared" ca="1" si="5"/>
        <v>0</v>
      </c>
      <c r="X7" s="508">
        <f t="shared" ca="1" si="6"/>
        <v>0</v>
      </c>
      <c r="Y7" s="508">
        <f t="shared" ca="1" si="7"/>
        <v>0</v>
      </c>
      <c r="Z7" s="508">
        <f t="shared" ca="1" si="8"/>
        <v>0</v>
      </c>
      <c r="AA7" s="508">
        <f t="shared" ca="1" si="9"/>
        <v>0</v>
      </c>
      <c r="AB7" s="508">
        <f t="shared" ca="1" si="10"/>
        <v>4</v>
      </c>
      <c r="AC7" s="508">
        <f t="shared" ca="1" si="11"/>
        <v>0</v>
      </c>
      <c r="AD7" s="912">
        <f t="shared" ca="1" si="12"/>
        <v>50000</v>
      </c>
      <c r="AE7" s="512">
        <f t="shared" ca="1" si="13"/>
        <v>12500</v>
      </c>
      <c r="AF7" s="512">
        <f t="shared" ca="1" si="14"/>
        <v>12500</v>
      </c>
      <c r="AG7" s="512">
        <f t="shared" ca="1" si="15"/>
        <v>12500</v>
      </c>
      <c r="AH7" s="512">
        <f t="shared" ca="1" si="16"/>
        <v>12500</v>
      </c>
      <c r="AI7" s="512">
        <f t="shared" ca="1" si="17"/>
        <v>0</v>
      </c>
      <c r="AJ7" s="512">
        <f t="shared" ca="1" si="18"/>
        <v>0</v>
      </c>
      <c r="AK7" s="512">
        <f t="shared" ca="1" si="19"/>
        <v>0</v>
      </c>
      <c r="AL7" s="512">
        <f t="shared" ca="1" si="20"/>
        <v>0</v>
      </c>
      <c r="AM7" s="512">
        <f t="shared" ca="1" si="21"/>
        <v>0</v>
      </c>
      <c r="AN7" s="512">
        <f t="shared" ca="1" si="22"/>
        <v>0</v>
      </c>
      <c r="AO7" s="512">
        <f t="shared" ca="1" si="23"/>
        <v>0</v>
      </c>
      <c r="AP7" s="512">
        <f t="shared" ca="1" si="24"/>
        <v>0</v>
      </c>
      <c r="AQ7" s="512" t="str">
        <f t="shared" ca="1" si="25"/>
        <v>Orden de Servicio Sin Terreno</v>
      </c>
      <c r="AR7" s="512"/>
      <c r="AS7" s="512" t="str">
        <f t="shared" ca="1" si="26"/>
        <v>No</v>
      </c>
      <c r="AT7" s="151">
        <f t="shared" ca="1" si="27"/>
        <v>50000</v>
      </c>
      <c r="AU7" s="151">
        <f>IFERROR(VLOOKUP(A7,'[7]TD CuentasBDG'!$N$5:$O$21,2,0),0)</f>
        <v>0</v>
      </c>
      <c r="AV7" t="str">
        <f t="shared" si="28"/>
        <v>Renovación de Contrato</v>
      </c>
      <c r="AW7" t="s">
        <v>1654</v>
      </c>
      <c r="AX7" t="s">
        <v>1655</v>
      </c>
    </row>
    <row r="8" spans="1:52" ht="30" x14ac:dyDescent="0.25">
      <c r="A8" s="508" t="s">
        <v>1671</v>
      </c>
      <c r="B8" s="508" t="s">
        <v>1646</v>
      </c>
      <c r="C8" s="508" t="s">
        <v>335</v>
      </c>
      <c r="D8" s="508" t="s">
        <v>335</v>
      </c>
      <c r="E8" s="508"/>
      <c r="F8" s="508"/>
      <c r="G8" s="508" t="s">
        <v>1665</v>
      </c>
      <c r="H8" s="508"/>
      <c r="I8" s="508"/>
      <c r="J8" s="555"/>
      <c r="K8" s="555"/>
      <c r="L8" s="911">
        <f ca="1">IFERROR(INDEX(Lists!$O$2:$Z$2,MATCH(TRUE,INDEX((AE8:AP8&lt;&gt;0),0),0)),DATE(2018,1,1))</f>
        <v>43102</v>
      </c>
      <c r="M8" s="911">
        <f ca="1">IFERROR(INDEX(Lists!$O$3:$Z$3, VALUE(SUBSTITUTE(TEXT(ADDRESS(SUMPRODUCT(MAX((COLUMN(AE8:AP8)*(AE8:AP8&gt;0)))),1),),"$A$",""))-30),DATE(2018,1,1))</f>
        <v>43465</v>
      </c>
      <c r="N8" s="508"/>
      <c r="O8" s="508"/>
      <c r="P8" s="508"/>
      <c r="Q8" s="508"/>
      <c r="R8" s="508">
        <f t="shared" ca="1" si="0"/>
        <v>0</v>
      </c>
      <c r="S8" s="508" t="str">
        <f t="shared" ca="1" si="1"/>
        <v>Labor Relations</v>
      </c>
      <c r="T8" s="508" t="str">
        <f t="shared" ca="1" si="2"/>
        <v>Recruitment - psicological exams - medical exams</v>
      </c>
      <c r="U8" s="508">
        <f t="shared" ca="1" si="3"/>
        <v>0</v>
      </c>
      <c r="V8" s="508">
        <f t="shared" ca="1" si="4"/>
        <v>0</v>
      </c>
      <c r="W8" s="508">
        <f t="shared" ca="1" si="5"/>
        <v>0</v>
      </c>
      <c r="X8" s="508">
        <f t="shared" ca="1" si="6"/>
        <v>0</v>
      </c>
      <c r="Y8" s="508">
        <f t="shared" ca="1" si="7"/>
        <v>0</v>
      </c>
      <c r="Z8" s="508">
        <f t="shared" ca="1" si="8"/>
        <v>0</v>
      </c>
      <c r="AA8" s="508" t="str">
        <f t="shared" ca="1" si="9"/>
        <v>Ene</v>
      </c>
      <c r="AB8" s="508">
        <f t="shared" ca="1" si="10"/>
        <v>12</v>
      </c>
      <c r="AC8" s="508">
        <f t="shared" ca="1" si="11"/>
        <v>12</v>
      </c>
      <c r="AD8" s="912">
        <f t="shared" ca="1" si="12"/>
        <v>150000</v>
      </c>
      <c r="AE8" s="512">
        <f t="shared" ca="1" si="13"/>
        <v>20000</v>
      </c>
      <c r="AF8" s="512">
        <f t="shared" ca="1" si="14"/>
        <v>20000</v>
      </c>
      <c r="AG8" s="512">
        <f t="shared" ca="1" si="15"/>
        <v>20000</v>
      </c>
      <c r="AH8" s="512">
        <f t="shared" ca="1" si="16"/>
        <v>8000</v>
      </c>
      <c r="AI8" s="512">
        <f t="shared" ca="1" si="17"/>
        <v>8000</v>
      </c>
      <c r="AJ8" s="512">
        <f t="shared" ca="1" si="18"/>
        <v>8000</v>
      </c>
      <c r="AK8" s="512">
        <f t="shared" ca="1" si="19"/>
        <v>8000</v>
      </c>
      <c r="AL8" s="512">
        <f t="shared" ca="1" si="20"/>
        <v>9000</v>
      </c>
      <c r="AM8" s="512">
        <f t="shared" ca="1" si="21"/>
        <v>20000</v>
      </c>
      <c r="AN8" s="512">
        <f t="shared" ca="1" si="22"/>
        <v>10000</v>
      </c>
      <c r="AO8" s="512">
        <f t="shared" ca="1" si="23"/>
        <v>10000</v>
      </c>
      <c r="AP8" s="512">
        <f t="shared" ca="1" si="24"/>
        <v>9000</v>
      </c>
      <c r="AQ8" s="512" t="str">
        <f t="shared" si="25"/>
        <v/>
      </c>
      <c r="AR8" s="512"/>
      <c r="AS8" s="512" t="str">
        <f t="shared" si="26"/>
        <v/>
      </c>
      <c r="AT8" s="151">
        <f t="shared" si="27"/>
        <v>0</v>
      </c>
      <c r="AU8" s="151">
        <f>IFERROR(VLOOKUP(A8,'[7]TD CuentasBDG'!$N$5:$O$21,2,0),0)</f>
        <v>0</v>
      </c>
      <c r="AV8">
        <f t="shared" si="28"/>
        <v>0</v>
      </c>
    </row>
    <row r="9" spans="1:52" ht="30" x14ac:dyDescent="0.25">
      <c r="A9" s="508" t="s">
        <v>1672</v>
      </c>
      <c r="B9" s="508" t="s">
        <v>1646</v>
      </c>
      <c r="C9" s="508" t="s">
        <v>335</v>
      </c>
      <c r="D9" s="508" t="s">
        <v>335</v>
      </c>
      <c r="E9" s="508" t="s">
        <v>1673</v>
      </c>
      <c r="F9" s="508" t="s">
        <v>1674</v>
      </c>
      <c r="G9" s="508" t="s">
        <v>1647</v>
      </c>
      <c r="H9" s="508" t="s">
        <v>1675</v>
      </c>
      <c r="I9" s="508" t="s">
        <v>1675</v>
      </c>
      <c r="J9" s="555" t="s">
        <v>1650</v>
      </c>
      <c r="K9" s="555" t="s">
        <v>1651</v>
      </c>
      <c r="L9" s="911">
        <f ca="1">IFERROR(INDEX(Lists!$O$2:$Z$2,MATCH(TRUE,INDEX((AE9:AP9&lt;&gt;0),0),0)),DATE(2018,1,1))</f>
        <v>43102</v>
      </c>
      <c r="M9" s="911">
        <f ca="1">IFERROR(INDEX(Lists!$O$3:$Z$3, VALUE(SUBSTITUTE(TEXT(ADDRESS(SUMPRODUCT(MAX((COLUMN(AE9:AP9)*(AE9:AP9&gt;0)))),1),),"$A$",""))-30),DATE(2018,1,1))</f>
        <v>43465</v>
      </c>
      <c r="N9" s="508" t="s">
        <v>1652</v>
      </c>
      <c r="O9" s="508" t="s">
        <v>1653</v>
      </c>
      <c r="P9" s="508" t="s">
        <v>1676</v>
      </c>
      <c r="Q9" s="508" t="s">
        <v>1071</v>
      </c>
      <c r="R9" s="508">
        <f t="shared" ca="1" si="0"/>
        <v>0</v>
      </c>
      <c r="S9" s="508">
        <f t="shared" ca="1" si="1"/>
        <v>0</v>
      </c>
      <c r="T9" s="508" t="str">
        <f t="shared" ca="1" si="2"/>
        <v>Certification and Labor Audits for Contract companies</v>
      </c>
      <c r="U9" s="508">
        <f t="shared" ca="1" si="3"/>
        <v>0</v>
      </c>
      <c r="V9" s="508">
        <f t="shared" ca="1" si="4"/>
        <v>0</v>
      </c>
      <c r="W9" s="508">
        <f t="shared" ca="1" si="5"/>
        <v>0</v>
      </c>
      <c r="X9" s="508">
        <f t="shared" ca="1" si="6"/>
        <v>0</v>
      </c>
      <c r="Y9" s="508">
        <f t="shared" ca="1" si="7"/>
        <v>0</v>
      </c>
      <c r="Z9" s="508">
        <f t="shared" ca="1" si="8"/>
        <v>0</v>
      </c>
      <c r="AA9" s="508" t="str">
        <f t="shared" ca="1" si="9"/>
        <v>Ene</v>
      </c>
      <c r="AB9" s="508">
        <f t="shared" ca="1" si="10"/>
        <v>12</v>
      </c>
      <c r="AC9" s="508">
        <f t="shared" ca="1" si="11"/>
        <v>12</v>
      </c>
      <c r="AD9" s="912">
        <f t="shared" ca="1" si="12"/>
        <v>120000</v>
      </c>
      <c r="AE9" s="512">
        <f t="shared" ca="1" si="13"/>
        <v>10000</v>
      </c>
      <c r="AF9" s="512">
        <f t="shared" ca="1" si="14"/>
        <v>10000</v>
      </c>
      <c r="AG9" s="512">
        <f t="shared" ca="1" si="15"/>
        <v>10000</v>
      </c>
      <c r="AH9" s="512">
        <f t="shared" ca="1" si="16"/>
        <v>10000</v>
      </c>
      <c r="AI9" s="512">
        <f t="shared" ca="1" si="17"/>
        <v>10000</v>
      </c>
      <c r="AJ9" s="512">
        <f t="shared" ca="1" si="18"/>
        <v>10000</v>
      </c>
      <c r="AK9" s="512">
        <f t="shared" ca="1" si="19"/>
        <v>10000</v>
      </c>
      <c r="AL9" s="512">
        <f t="shared" ca="1" si="20"/>
        <v>10000</v>
      </c>
      <c r="AM9" s="512">
        <f t="shared" ca="1" si="21"/>
        <v>10000</v>
      </c>
      <c r="AN9" s="512">
        <f t="shared" ca="1" si="22"/>
        <v>10000</v>
      </c>
      <c r="AO9" s="512">
        <f t="shared" ca="1" si="23"/>
        <v>10000</v>
      </c>
      <c r="AP9" s="512">
        <f t="shared" ca="1" si="24"/>
        <v>10000</v>
      </c>
      <c r="AQ9" s="512" t="str">
        <f t="shared" ca="1" si="25"/>
        <v>Contrato</v>
      </c>
      <c r="AR9" s="512"/>
      <c r="AS9" s="512" t="str">
        <f t="shared" ca="1" si="26"/>
        <v>Si</v>
      </c>
      <c r="AT9" s="151">
        <f t="shared" ca="1" si="27"/>
        <v>120000</v>
      </c>
      <c r="AU9" s="151">
        <f>IFERROR(VLOOKUP(A9,'[7]TD CuentasBDG'!$N$5:$O$21,2,0),0)</f>
        <v>12050.57726470588</v>
      </c>
      <c r="AV9" t="str">
        <f t="shared" si="28"/>
        <v>Renovación de Contrato</v>
      </c>
      <c r="AW9" t="s">
        <v>1669</v>
      </c>
      <c r="AX9" t="s">
        <v>1655</v>
      </c>
    </row>
    <row r="10" spans="1:52" ht="30" x14ac:dyDescent="0.25">
      <c r="A10" s="508" t="s">
        <v>1677</v>
      </c>
      <c r="B10" s="508" t="s">
        <v>1646</v>
      </c>
      <c r="C10" s="508" t="s">
        <v>335</v>
      </c>
      <c r="D10" s="508" t="s">
        <v>335</v>
      </c>
      <c r="E10" s="508"/>
      <c r="F10" s="508"/>
      <c r="G10" s="508" t="s">
        <v>1665</v>
      </c>
      <c r="H10" s="508"/>
      <c r="I10" s="508"/>
      <c r="J10" s="555"/>
      <c r="K10" s="555"/>
      <c r="L10" s="911">
        <f ca="1">IFERROR(INDEX(Lists!$O$2:$Z$2,MATCH(TRUE,INDEX((AE10:AP10&lt;&gt;0),0),0)),DATE(2018,1,1))</f>
        <v>43313</v>
      </c>
      <c r="M10" s="911">
        <f ca="1">IFERROR(INDEX(Lists!$O$3:$Z$3, VALUE(SUBSTITUTE(TEXT(ADDRESS(SUMPRODUCT(MAX((COLUMN(AE10:AP10)*(AE10:AP10&gt;0)))),1),),"$A$",""))-30),DATE(2018,1,1))</f>
        <v>43465</v>
      </c>
      <c r="N10" s="508"/>
      <c r="O10" s="508"/>
      <c r="P10" s="508"/>
      <c r="Q10" s="508"/>
      <c r="R10" s="508">
        <f t="shared" ca="1" si="0"/>
        <v>0</v>
      </c>
      <c r="S10" s="508">
        <f t="shared" ca="1" si="1"/>
        <v>0</v>
      </c>
      <c r="T10" s="508" t="str">
        <f t="shared" ca="1" si="2"/>
        <v>Miner's Day - Chilean National Celebration - Christmas</v>
      </c>
      <c r="U10" s="508">
        <f t="shared" ca="1" si="3"/>
        <v>0</v>
      </c>
      <c r="V10" s="508">
        <f t="shared" ca="1" si="4"/>
        <v>0</v>
      </c>
      <c r="W10" s="508">
        <f t="shared" ca="1" si="5"/>
        <v>0</v>
      </c>
      <c r="X10" s="508">
        <f t="shared" ca="1" si="6"/>
        <v>0</v>
      </c>
      <c r="Y10" s="508">
        <f t="shared" ca="1" si="7"/>
        <v>0</v>
      </c>
      <c r="Z10" s="508">
        <f t="shared" ca="1" si="8"/>
        <v>0</v>
      </c>
      <c r="AA10" s="508" t="str">
        <f t="shared" ca="1" si="9"/>
        <v>Ene</v>
      </c>
      <c r="AB10" s="508">
        <f t="shared" ca="1" si="10"/>
        <v>5</v>
      </c>
      <c r="AC10" s="508">
        <f t="shared" ca="1" si="11"/>
        <v>12</v>
      </c>
      <c r="AD10" s="912">
        <f t="shared" ca="1" si="12"/>
        <v>78000</v>
      </c>
      <c r="AE10" s="512">
        <f t="shared" ca="1" si="13"/>
        <v>0</v>
      </c>
      <c r="AF10" s="512">
        <f t="shared" ca="1" si="14"/>
        <v>0</v>
      </c>
      <c r="AG10" s="512">
        <f t="shared" ca="1" si="15"/>
        <v>0</v>
      </c>
      <c r="AH10" s="512">
        <f t="shared" ca="1" si="16"/>
        <v>0</v>
      </c>
      <c r="AI10" s="512">
        <f t="shared" ca="1" si="17"/>
        <v>0</v>
      </c>
      <c r="AJ10" s="512">
        <f t="shared" ca="1" si="18"/>
        <v>0</v>
      </c>
      <c r="AK10" s="512">
        <f t="shared" ca="1" si="19"/>
        <v>0</v>
      </c>
      <c r="AL10" s="512">
        <f t="shared" ca="1" si="20"/>
        <v>15000</v>
      </c>
      <c r="AM10" s="512">
        <f t="shared" ca="1" si="21"/>
        <v>8000</v>
      </c>
      <c r="AN10" s="512">
        <f t="shared" ca="1" si="22"/>
        <v>0</v>
      </c>
      <c r="AO10" s="512">
        <f t="shared" ca="1" si="23"/>
        <v>0</v>
      </c>
      <c r="AP10" s="512">
        <f t="shared" ca="1" si="24"/>
        <v>55000</v>
      </c>
      <c r="AQ10" s="512" t="str">
        <f t="shared" si="25"/>
        <v/>
      </c>
      <c r="AR10" s="512"/>
      <c r="AS10" s="512" t="str">
        <f t="shared" si="26"/>
        <v/>
      </c>
      <c r="AT10" s="151">
        <f t="shared" si="27"/>
        <v>0</v>
      </c>
      <c r="AU10" s="151">
        <f>IFERROR(VLOOKUP(A10,'[7]TD CuentasBDG'!$N$5:$O$21,2,0),0)</f>
        <v>0</v>
      </c>
      <c r="AV10">
        <f t="shared" si="28"/>
        <v>0</v>
      </c>
    </row>
    <row r="11" spans="1:52" x14ac:dyDescent="0.25">
      <c r="A11" s="508" t="s">
        <v>1678</v>
      </c>
      <c r="B11" s="508" t="s">
        <v>1646</v>
      </c>
      <c r="C11" s="508" t="s">
        <v>335</v>
      </c>
      <c r="D11" s="508" t="s">
        <v>335</v>
      </c>
      <c r="E11" s="508"/>
      <c r="F11" s="508"/>
      <c r="G11" s="508" t="s">
        <v>1665</v>
      </c>
      <c r="H11" s="508"/>
      <c r="I11" s="508"/>
      <c r="J11" s="555"/>
      <c r="K11" s="555"/>
      <c r="L11" s="911">
        <f ca="1">IFERROR(INDEX(Lists!$O$2:$Z$2,MATCH(TRUE,INDEX((AE11:AP11&lt;&gt;0),0),0)),DATE(2018,1,1))</f>
        <v>43102</v>
      </c>
      <c r="M11" s="911">
        <f ca="1">IFERROR(INDEX(Lists!$O$3:$Z$3, VALUE(SUBSTITUTE(TEXT(ADDRESS(SUMPRODUCT(MAX((COLUMN(AE11:AP11)*(AE11:AP11&gt;0)))),1),),"$A$",""))-30),DATE(2018,1,1))</f>
        <v>43465</v>
      </c>
      <c r="N11" s="508"/>
      <c r="O11" s="508"/>
      <c r="P11" s="508"/>
      <c r="Q11" s="508"/>
      <c r="R11" s="508">
        <f t="shared" ca="1" si="0"/>
        <v>0</v>
      </c>
      <c r="S11" s="508">
        <f t="shared" ca="1" si="1"/>
        <v>0</v>
      </c>
      <c r="T11" s="508" t="str">
        <f t="shared" ca="1" si="2"/>
        <v>Relocation</v>
      </c>
      <c r="U11" s="508">
        <f t="shared" ca="1" si="3"/>
        <v>0</v>
      </c>
      <c r="V11" s="508">
        <f t="shared" ca="1" si="4"/>
        <v>0</v>
      </c>
      <c r="W11" s="508">
        <f t="shared" ca="1" si="5"/>
        <v>0</v>
      </c>
      <c r="X11" s="508">
        <f t="shared" ca="1" si="6"/>
        <v>0</v>
      </c>
      <c r="Y11" s="508">
        <f t="shared" ca="1" si="7"/>
        <v>0</v>
      </c>
      <c r="Z11" s="508">
        <f t="shared" ca="1" si="8"/>
        <v>0</v>
      </c>
      <c r="AA11" s="508" t="str">
        <f t="shared" ca="1" si="9"/>
        <v>Ene</v>
      </c>
      <c r="AB11" s="508">
        <f t="shared" ca="1" si="10"/>
        <v>12</v>
      </c>
      <c r="AC11" s="508">
        <f t="shared" ca="1" si="11"/>
        <v>12</v>
      </c>
      <c r="AD11" s="912">
        <f t="shared" ca="1" si="12"/>
        <v>69600</v>
      </c>
      <c r="AE11" s="512">
        <f t="shared" ca="1" si="13"/>
        <v>5800</v>
      </c>
      <c r="AF11" s="512">
        <f t="shared" ca="1" si="14"/>
        <v>5800</v>
      </c>
      <c r="AG11" s="512">
        <f t="shared" ca="1" si="15"/>
        <v>5800</v>
      </c>
      <c r="AH11" s="512">
        <f t="shared" ca="1" si="16"/>
        <v>5800</v>
      </c>
      <c r="AI11" s="512">
        <f t="shared" ca="1" si="17"/>
        <v>5800</v>
      </c>
      <c r="AJ11" s="512">
        <f t="shared" ca="1" si="18"/>
        <v>5800</v>
      </c>
      <c r="AK11" s="512">
        <f t="shared" ca="1" si="19"/>
        <v>5800</v>
      </c>
      <c r="AL11" s="512">
        <f t="shared" ca="1" si="20"/>
        <v>5800</v>
      </c>
      <c r="AM11" s="512">
        <f t="shared" ca="1" si="21"/>
        <v>5800</v>
      </c>
      <c r="AN11" s="512">
        <f t="shared" ca="1" si="22"/>
        <v>5800</v>
      </c>
      <c r="AO11" s="512">
        <f t="shared" ca="1" si="23"/>
        <v>5800</v>
      </c>
      <c r="AP11" s="512">
        <f t="shared" ca="1" si="24"/>
        <v>5800</v>
      </c>
      <c r="AQ11" s="512" t="str">
        <f t="shared" si="25"/>
        <v/>
      </c>
      <c r="AR11" s="512"/>
      <c r="AS11" s="512" t="str">
        <f t="shared" si="26"/>
        <v/>
      </c>
      <c r="AT11" s="151">
        <f t="shared" si="27"/>
        <v>0</v>
      </c>
      <c r="AU11" s="151">
        <f>IFERROR(VLOOKUP(A11,'[7]TD CuentasBDG'!$N$5:$O$21,2,0),0)</f>
        <v>0</v>
      </c>
      <c r="AV11">
        <f t="shared" si="28"/>
        <v>0</v>
      </c>
    </row>
    <row r="12" spans="1:52" ht="30" x14ac:dyDescent="0.25">
      <c r="A12" s="508" t="s">
        <v>1679</v>
      </c>
      <c r="B12" s="508" t="s">
        <v>1646</v>
      </c>
      <c r="C12" s="508" t="s">
        <v>335</v>
      </c>
      <c r="D12" s="508" t="s">
        <v>335</v>
      </c>
      <c r="E12" s="508"/>
      <c r="F12" s="508"/>
      <c r="G12" s="508" t="s">
        <v>1665</v>
      </c>
      <c r="H12" s="508"/>
      <c r="I12" s="508"/>
      <c r="J12" s="555"/>
      <c r="K12" s="555"/>
      <c r="L12" s="911">
        <f ca="1">IFERROR(INDEX(Lists!$O$2:$Z$2,MATCH(TRUE,INDEX((AE12:AP12&lt;&gt;0),0),0)),DATE(2018,1,1))</f>
        <v>43102</v>
      </c>
      <c r="M12" s="911">
        <f ca="1">IFERROR(INDEX(Lists!$O$3:$Z$3, VALUE(SUBSTITUTE(TEXT(ADDRESS(SUMPRODUCT(MAX((COLUMN(AE12:AP12)*(AE12:AP12&gt;0)))),1),),"$A$",""))-30),DATE(2018,1,1))</f>
        <v>43465</v>
      </c>
      <c r="N12" s="508"/>
      <c r="O12" s="508"/>
      <c r="P12" s="508"/>
      <c r="Q12" s="508"/>
      <c r="R12" s="508">
        <f t="shared" ca="1" si="0"/>
        <v>0</v>
      </c>
      <c r="S12" s="508">
        <f t="shared" ca="1" si="1"/>
        <v>0</v>
      </c>
      <c r="T12" s="508" t="str">
        <f t="shared" ca="1" si="2"/>
        <v>Training - Vallenar and Santiago offices</v>
      </c>
      <c r="U12" s="508">
        <f t="shared" ca="1" si="3"/>
        <v>0</v>
      </c>
      <c r="V12" s="508">
        <f t="shared" ca="1" si="4"/>
        <v>0</v>
      </c>
      <c r="W12" s="508">
        <f t="shared" ca="1" si="5"/>
        <v>0</v>
      </c>
      <c r="X12" s="508">
        <f t="shared" ca="1" si="6"/>
        <v>0</v>
      </c>
      <c r="Y12" s="508">
        <f t="shared" ca="1" si="7"/>
        <v>0</v>
      </c>
      <c r="Z12" s="508">
        <f t="shared" ca="1" si="8"/>
        <v>0</v>
      </c>
      <c r="AA12" s="508" t="str">
        <f t="shared" ca="1" si="9"/>
        <v>Ene</v>
      </c>
      <c r="AB12" s="508">
        <f t="shared" ca="1" si="10"/>
        <v>12</v>
      </c>
      <c r="AC12" s="508">
        <f t="shared" ca="1" si="11"/>
        <v>12</v>
      </c>
      <c r="AD12" s="912">
        <f t="shared" ca="1" si="12"/>
        <v>57600</v>
      </c>
      <c r="AE12" s="512">
        <f t="shared" ca="1" si="13"/>
        <v>4800</v>
      </c>
      <c r="AF12" s="512">
        <f t="shared" ca="1" si="14"/>
        <v>4800</v>
      </c>
      <c r="AG12" s="512">
        <f t="shared" ca="1" si="15"/>
        <v>4800</v>
      </c>
      <c r="AH12" s="512">
        <f t="shared" ca="1" si="16"/>
        <v>4800</v>
      </c>
      <c r="AI12" s="512">
        <f t="shared" ca="1" si="17"/>
        <v>4800</v>
      </c>
      <c r="AJ12" s="512">
        <f t="shared" ca="1" si="18"/>
        <v>4800</v>
      </c>
      <c r="AK12" s="512">
        <f t="shared" ca="1" si="19"/>
        <v>4800</v>
      </c>
      <c r="AL12" s="512">
        <f t="shared" ca="1" si="20"/>
        <v>4800</v>
      </c>
      <c r="AM12" s="512">
        <f t="shared" ca="1" si="21"/>
        <v>4800</v>
      </c>
      <c r="AN12" s="512">
        <f t="shared" ca="1" si="22"/>
        <v>4800</v>
      </c>
      <c r="AO12" s="512">
        <f t="shared" ca="1" si="23"/>
        <v>4800</v>
      </c>
      <c r="AP12" s="512">
        <f t="shared" ca="1" si="24"/>
        <v>4800</v>
      </c>
      <c r="AQ12" s="512" t="str">
        <f t="shared" si="25"/>
        <v/>
      </c>
      <c r="AR12" s="512"/>
      <c r="AS12" s="512" t="str">
        <f t="shared" si="26"/>
        <v/>
      </c>
      <c r="AT12" s="151">
        <f t="shared" si="27"/>
        <v>0</v>
      </c>
      <c r="AU12" s="151">
        <f>IFERROR(VLOOKUP(A12,'[7]TD CuentasBDG'!$N$5:$O$21,2,0),0)</f>
        <v>0</v>
      </c>
      <c r="AV12">
        <f t="shared" si="28"/>
        <v>0</v>
      </c>
    </row>
    <row r="13" spans="1:52" ht="30" x14ac:dyDescent="0.25">
      <c r="A13" s="508" t="s">
        <v>1680</v>
      </c>
      <c r="B13" s="508" t="s">
        <v>1646</v>
      </c>
      <c r="C13" s="508" t="s">
        <v>335</v>
      </c>
      <c r="D13" s="508" t="s">
        <v>335</v>
      </c>
      <c r="E13" s="508"/>
      <c r="F13" s="508"/>
      <c r="G13" s="508" t="s">
        <v>1665</v>
      </c>
      <c r="H13" s="508"/>
      <c r="I13" s="508"/>
      <c r="J13" s="555"/>
      <c r="K13" s="555"/>
      <c r="L13" s="911">
        <f ca="1">IFERROR(INDEX(Lists!$O$2:$Z$2,MATCH(TRUE,INDEX((AE13:AP13&lt;&gt;0),0),0)),DATE(2018,1,1))</f>
        <v>43160</v>
      </c>
      <c r="M13" s="911">
        <f ca="1">IFERROR(INDEX(Lists!$O$3:$Z$3, VALUE(SUBSTITUTE(TEXT(ADDRESS(SUMPRODUCT(MAX((COLUMN(AE13:AP13)*(AE13:AP13&gt;0)))),1),),"$A$",""))-30),DATE(2018,1,1))</f>
        <v>43343</v>
      </c>
      <c r="N13" s="508"/>
      <c r="O13" s="508"/>
      <c r="P13" s="508"/>
      <c r="Q13" s="508"/>
      <c r="R13" s="508">
        <f t="shared" ca="1" si="0"/>
        <v>0</v>
      </c>
      <c r="S13" s="508">
        <f t="shared" ca="1" si="1"/>
        <v>0</v>
      </c>
      <c r="T13" s="508" t="str">
        <f t="shared" ca="1" si="2"/>
        <v>Recruiting Plan Consulting - Training Plan (FS)</v>
      </c>
      <c r="U13" s="508">
        <f t="shared" ca="1" si="3"/>
        <v>0</v>
      </c>
      <c r="V13" s="508">
        <f t="shared" ca="1" si="4"/>
        <v>0</v>
      </c>
      <c r="W13" s="508">
        <f t="shared" ca="1" si="5"/>
        <v>0</v>
      </c>
      <c r="X13" s="508">
        <f t="shared" ca="1" si="6"/>
        <v>0</v>
      </c>
      <c r="Y13" s="508">
        <f t="shared" ca="1" si="7"/>
        <v>0</v>
      </c>
      <c r="Z13" s="508">
        <f t="shared" ca="1" si="8"/>
        <v>0</v>
      </c>
      <c r="AA13" s="508" t="str">
        <f t="shared" ca="1" si="9"/>
        <v>Ene</v>
      </c>
      <c r="AB13" s="508">
        <f t="shared" ca="1" si="10"/>
        <v>6</v>
      </c>
      <c r="AC13" s="508">
        <f t="shared" ca="1" si="11"/>
        <v>12</v>
      </c>
      <c r="AD13" s="912">
        <f t="shared" ca="1" si="12"/>
        <v>120000</v>
      </c>
      <c r="AE13" s="512">
        <f t="shared" ca="1" si="13"/>
        <v>0</v>
      </c>
      <c r="AF13" s="512">
        <f t="shared" ca="1" si="14"/>
        <v>0</v>
      </c>
      <c r="AG13" s="512">
        <f t="shared" ca="1" si="15"/>
        <v>60000</v>
      </c>
      <c r="AH13" s="512">
        <f t="shared" ca="1" si="16"/>
        <v>0</v>
      </c>
      <c r="AI13" s="512">
        <f t="shared" ca="1" si="17"/>
        <v>0</v>
      </c>
      <c r="AJ13" s="512">
        <f t="shared" ca="1" si="18"/>
        <v>0</v>
      </c>
      <c r="AK13" s="512">
        <f t="shared" ca="1" si="19"/>
        <v>0</v>
      </c>
      <c r="AL13" s="512">
        <f t="shared" ca="1" si="20"/>
        <v>60000</v>
      </c>
      <c r="AM13" s="512">
        <f t="shared" ca="1" si="21"/>
        <v>0</v>
      </c>
      <c r="AN13" s="512">
        <f t="shared" ca="1" si="22"/>
        <v>0</v>
      </c>
      <c r="AO13" s="512">
        <f t="shared" ca="1" si="23"/>
        <v>0</v>
      </c>
      <c r="AP13" s="512">
        <f t="shared" ca="1" si="24"/>
        <v>0</v>
      </c>
      <c r="AQ13" s="512" t="str">
        <f t="shared" si="25"/>
        <v/>
      </c>
      <c r="AR13" s="512"/>
      <c r="AS13" s="512" t="str">
        <f t="shared" si="26"/>
        <v/>
      </c>
      <c r="AT13" s="151">
        <f t="shared" si="27"/>
        <v>0</v>
      </c>
      <c r="AU13" s="151">
        <f>IFERROR(VLOOKUP(A13,'[7]TD CuentasBDG'!$N$5:$O$21,2,0),0)</f>
        <v>0</v>
      </c>
      <c r="AV13">
        <f t="shared" si="28"/>
        <v>0</v>
      </c>
    </row>
    <row r="14" spans="1:52" ht="45" x14ac:dyDescent="0.25">
      <c r="A14" s="508" t="s">
        <v>1681</v>
      </c>
      <c r="B14" s="508" t="s">
        <v>1646</v>
      </c>
      <c r="C14" s="508" t="s">
        <v>335</v>
      </c>
      <c r="D14" s="508" t="s">
        <v>335</v>
      </c>
      <c r="E14" s="508"/>
      <c r="F14" s="508"/>
      <c r="G14" s="508" t="s">
        <v>1647</v>
      </c>
      <c r="H14" s="913" t="s">
        <v>1682</v>
      </c>
      <c r="I14" s="914" t="s">
        <v>1682</v>
      </c>
      <c r="J14" s="555" t="s">
        <v>1650</v>
      </c>
      <c r="K14" s="555" t="s">
        <v>1651</v>
      </c>
      <c r="L14" s="911">
        <f ca="1">IFERROR(INDEX(Lists!$O$2:$Z$2,MATCH(TRUE,INDEX((AE14:AP14&lt;&gt;0),0),0)),DATE(2018,1,1))</f>
        <v>43102</v>
      </c>
      <c r="M14" s="911">
        <f ca="1">IFERROR(INDEX(Lists!$O$3:$Z$3, VALUE(SUBSTITUTE(TEXT(ADDRESS(SUMPRODUCT(MAX((COLUMN(AE14:AP14)*(AE14:AP14&gt;0)))),1),),"$A$",""))-30),DATE(2018,1,1))</f>
        <v>43465</v>
      </c>
      <c r="N14" s="508" t="s">
        <v>1683</v>
      </c>
      <c r="O14" s="508" t="s">
        <v>1653</v>
      </c>
      <c r="P14" s="508" t="s">
        <v>1071</v>
      </c>
      <c r="Q14" s="508" t="s">
        <v>1071</v>
      </c>
      <c r="R14" s="508">
        <f t="shared" ca="1" si="0"/>
        <v>0</v>
      </c>
      <c r="S14" s="508">
        <f t="shared" ca="1" si="1"/>
        <v>0</v>
      </c>
      <c r="T14" s="508" t="str">
        <f t="shared" ca="1" si="2"/>
        <v>Payroll KPMG</v>
      </c>
      <c r="U14" s="508">
        <f t="shared" ca="1" si="3"/>
        <v>0</v>
      </c>
      <c r="V14" s="508">
        <f t="shared" ca="1" si="4"/>
        <v>0</v>
      </c>
      <c r="W14" s="508">
        <f t="shared" ca="1" si="5"/>
        <v>0</v>
      </c>
      <c r="X14" s="508">
        <f t="shared" ca="1" si="6"/>
        <v>0</v>
      </c>
      <c r="Y14" s="508">
        <f t="shared" ca="1" si="7"/>
        <v>0</v>
      </c>
      <c r="Z14" s="508">
        <f t="shared" ca="1" si="8"/>
        <v>0</v>
      </c>
      <c r="AA14" s="508" t="str">
        <f t="shared" ca="1" si="9"/>
        <v>Ene</v>
      </c>
      <c r="AB14" s="508">
        <f t="shared" ca="1" si="10"/>
        <v>12</v>
      </c>
      <c r="AC14" s="508">
        <f t="shared" ca="1" si="11"/>
        <v>12</v>
      </c>
      <c r="AD14" s="912">
        <f t="shared" ca="1" si="12"/>
        <v>14700</v>
      </c>
      <c r="AE14" s="512">
        <f t="shared" ca="1" si="13"/>
        <v>1000</v>
      </c>
      <c r="AF14" s="512">
        <f t="shared" ca="1" si="14"/>
        <v>1000</v>
      </c>
      <c r="AG14" s="512">
        <f t="shared" ca="1" si="15"/>
        <v>1000</v>
      </c>
      <c r="AH14" s="512">
        <f t="shared" ca="1" si="16"/>
        <v>1300</v>
      </c>
      <c r="AI14" s="512">
        <f t="shared" ca="1" si="17"/>
        <v>1300</v>
      </c>
      <c r="AJ14" s="512">
        <f t="shared" ca="1" si="18"/>
        <v>1300</v>
      </c>
      <c r="AK14" s="512">
        <f t="shared" ca="1" si="19"/>
        <v>1300</v>
      </c>
      <c r="AL14" s="512">
        <f t="shared" ca="1" si="20"/>
        <v>1300</v>
      </c>
      <c r="AM14" s="512">
        <f t="shared" ca="1" si="21"/>
        <v>1300</v>
      </c>
      <c r="AN14" s="512">
        <f t="shared" ca="1" si="22"/>
        <v>1300</v>
      </c>
      <c r="AO14" s="512">
        <f t="shared" ca="1" si="23"/>
        <v>1300</v>
      </c>
      <c r="AP14" s="512">
        <f t="shared" ca="1" si="24"/>
        <v>1300</v>
      </c>
      <c r="AQ14" s="512" t="str">
        <f t="shared" ca="1" si="25"/>
        <v>Orden de Servicio Sin Terreno</v>
      </c>
      <c r="AR14" s="512"/>
      <c r="AS14" s="512" t="str">
        <f t="shared" ca="1" si="26"/>
        <v>No</v>
      </c>
      <c r="AT14" s="151">
        <f t="shared" ca="1" si="27"/>
        <v>14700</v>
      </c>
      <c r="AU14" s="151">
        <f>IFERROR(VLOOKUP(A14,'[7]TD CuentasBDG'!$N$5:$O$21,2,0),0)</f>
        <v>0</v>
      </c>
      <c r="AV14" t="str">
        <f t="shared" si="28"/>
        <v>Adjudicación Directa</v>
      </c>
      <c r="AW14" t="s">
        <v>1669</v>
      </c>
      <c r="AX14" t="s">
        <v>1655</v>
      </c>
    </row>
    <row r="15" spans="1:52" x14ac:dyDescent="0.25">
      <c r="A15" s="508" t="s">
        <v>1684</v>
      </c>
      <c r="B15" s="508" t="s">
        <v>1646</v>
      </c>
      <c r="C15" s="508" t="s">
        <v>335</v>
      </c>
      <c r="D15" s="508" t="s">
        <v>335</v>
      </c>
      <c r="E15" s="508"/>
      <c r="F15" s="508"/>
      <c r="G15" s="508" t="s">
        <v>1665</v>
      </c>
      <c r="H15" s="508"/>
      <c r="I15" s="508"/>
      <c r="J15" s="555"/>
      <c r="K15" s="555"/>
      <c r="L15" s="911">
        <f ca="1">IFERROR(INDEX(Lists!$O$2:$Z$2,MATCH(TRUE,INDEX((AE15:AP15&lt;&gt;0),0),0)),DATE(2018,1,1))</f>
        <v>43102</v>
      </c>
      <c r="M15" s="911">
        <f ca="1">IFERROR(INDEX(Lists!$O$3:$Z$3, VALUE(SUBSTITUTE(TEXT(ADDRESS(SUMPRODUCT(MAX((COLUMN(AE15:AP15)*(AE15:AP15&gt;0)))),1),),"$A$",""))-30),DATE(2018,1,1))</f>
        <v>43465</v>
      </c>
      <c r="N15" s="508"/>
      <c r="O15" s="508"/>
      <c r="P15" s="508"/>
      <c r="Q15" s="508"/>
      <c r="R15" s="508">
        <f t="shared" ca="1" si="0"/>
        <v>0</v>
      </c>
      <c r="S15" s="508">
        <f t="shared" ca="1" si="1"/>
        <v>0</v>
      </c>
      <c r="T15" s="508" t="str">
        <f t="shared" ca="1" si="2"/>
        <v>Executive Medical Controls</v>
      </c>
      <c r="U15" s="508">
        <f t="shared" ca="1" si="3"/>
        <v>0</v>
      </c>
      <c r="V15" s="508">
        <f t="shared" ca="1" si="4"/>
        <v>0</v>
      </c>
      <c r="W15" s="508">
        <f t="shared" ca="1" si="5"/>
        <v>0</v>
      </c>
      <c r="X15" s="508">
        <f t="shared" ca="1" si="6"/>
        <v>0</v>
      </c>
      <c r="Y15" s="508">
        <f t="shared" ca="1" si="7"/>
        <v>0</v>
      </c>
      <c r="Z15" s="508">
        <f t="shared" ca="1" si="8"/>
        <v>0</v>
      </c>
      <c r="AA15" s="508" t="str">
        <f t="shared" ca="1" si="9"/>
        <v>Ene</v>
      </c>
      <c r="AB15" s="508">
        <f t="shared" ca="1" si="10"/>
        <v>12</v>
      </c>
      <c r="AC15" s="508">
        <f t="shared" ca="1" si="11"/>
        <v>12</v>
      </c>
      <c r="AD15" s="912">
        <f t="shared" ca="1" si="12"/>
        <v>24000</v>
      </c>
      <c r="AE15" s="512">
        <f t="shared" ca="1" si="13"/>
        <v>2000</v>
      </c>
      <c r="AF15" s="512">
        <f t="shared" ca="1" si="14"/>
        <v>2000</v>
      </c>
      <c r="AG15" s="512">
        <f t="shared" ca="1" si="15"/>
        <v>2000</v>
      </c>
      <c r="AH15" s="512">
        <f t="shared" ca="1" si="16"/>
        <v>2000</v>
      </c>
      <c r="AI15" s="512">
        <f t="shared" ca="1" si="17"/>
        <v>2000</v>
      </c>
      <c r="AJ15" s="512">
        <f t="shared" ca="1" si="18"/>
        <v>2000</v>
      </c>
      <c r="AK15" s="512">
        <f t="shared" ca="1" si="19"/>
        <v>2000</v>
      </c>
      <c r="AL15" s="512">
        <f t="shared" ca="1" si="20"/>
        <v>2000</v>
      </c>
      <c r="AM15" s="512">
        <f t="shared" ca="1" si="21"/>
        <v>2000</v>
      </c>
      <c r="AN15" s="512">
        <f t="shared" ca="1" si="22"/>
        <v>2000</v>
      </c>
      <c r="AO15" s="512">
        <f t="shared" ca="1" si="23"/>
        <v>2000</v>
      </c>
      <c r="AP15" s="512">
        <f t="shared" ca="1" si="24"/>
        <v>2000</v>
      </c>
      <c r="AQ15" s="512" t="str">
        <f t="shared" si="25"/>
        <v/>
      </c>
      <c r="AR15" s="512"/>
      <c r="AS15" s="512" t="str">
        <f t="shared" si="26"/>
        <v/>
      </c>
      <c r="AT15" s="151">
        <f t="shared" si="27"/>
        <v>0</v>
      </c>
      <c r="AU15" s="151">
        <f>IFERROR(VLOOKUP(A15,'[7]TD CuentasBDG'!$N$5:$O$21,2,0),0)</f>
        <v>0</v>
      </c>
      <c r="AV15">
        <f t="shared" si="28"/>
        <v>0</v>
      </c>
    </row>
    <row r="16" spans="1:52" x14ac:dyDescent="0.25">
      <c r="A16" s="508" t="s">
        <v>1685</v>
      </c>
      <c r="B16" s="508" t="s">
        <v>1646</v>
      </c>
      <c r="C16" s="508" t="s">
        <v>335</v>
      </c>
      <c r="D16" s="508" t="s">
        <v>335</v>
      </c>
      <c r="E16" s="508"/>
      <c r="F16" s="508"/>
      <c r="G16" s="508" t="s">
        <v>1665</v>
      </c>
      <c r="H16" s="508"/>
      <c r="I16" s="508"/>
      <c r="J16" s="555"/>
      <c r="K16" s="555"/>
      <c r="L16" s="911">
        <f ca="1">IFERROR(INDEX(Lists!$O$2:$Z$2,MATCH(TRUE,INDEX((AE16:AP16&lt;&gt;0),0),0)),DATE(2018,1,1))</f>
        <v>43102</v>
      </c>
      <c r="M16" s="911">
        <f ca="1">IFERROR(INDEX(Lists!$O$3:$Z$3, VALUE(SUBSTITUTE(TEXT(ADDRESS(SUMPRODUCT(MAX((COLUMN(AE16:AP16)*(AE16:AP16&gt;0)))),1),),"$A$",""))-30),DATE(2018,1,1))</f>
        <v>43465</v>
      </c>
      <c r="N16" s="508"/>
      <c r="O16" s="508"/>
      <c r="P16" s="508"/>
      <c r="Q16" s="508"/>
      <c r="R16" s="508">
        <f t="shared" ca="1" si="0"/>
        <v>0</v>
      </c>
      <c r="S16" s="508">
        <f t="shared" ca="1" si="1"/>
        <v>0</v>
      </c>
      <c r="T16" s="508" t="str">
        <f t="shared" ca="1" si="2"/>
        <v>Health Program for Santiago Office</v>
      </c>
      <c r="U16" s="508">
        <f t="shared" ca="1" si="3"/>
        <v>0</v>
      </c>
      <c r="V16" s="508">
        <f t="shared" ca="1" si="4"/>
        <v>0</v>
      </c>
      <c r="W16" s="508">
        <f t="shared" ca="1" si="5"/>
        <v>0</v>
      </c>
      <c r="X16" s="508">
        <f t="shared" ca="1" si="6"/>
        <v>0</v>
      </c>
      <c r="Y16" s="508">
        <f t="shared" ca="1" si="7"/>
        <v>0</v>
      </c>
      <c r="Z16" s="508">
        <f t="shared" ca="1" si="8"/>
        <v>0</v>
      </c>
      <c r="AA16" s="508" t="str">
        <f t="shared" ca="1" si="9"/>
        <v>Ene</v>
      </c>
      <c r="AB16" s="508">
        <f t="shared" ca="1" si="10"/>
        <v>12</v>
      </c>
      <c r="AC16" s="508">
        <f t="shared" ca="1" si="11"/>
        <v>12</v>
      </c>
      <c r="AD16" s="912">
        <f t="shared" ca="1" si="12"/>
        <v>30000</v>
      </c>
      <c r="AE16" s="512">
        <f t="shared" ca="1" si="13"/>
        <v>2500</v>
      </c>
      <c r="AF16" s="512">
        <f t="shared" ca="1" si="14"/>
        <v>2500</v>
      </c>
      <c r="AG16" s="512">
        <f t="shared" ca="1" si="15"/>
        <v>2500</v>
      </c>
      <c r="AH16" s="512">
        <f t="shared" ca="1" si="16"/>
        <v>2500</v>
      </c>
      <c r="AI16" s="512">
        <f t="shared" ca="1" si="17"/>
        <v>2500</v>
      </c>
      <c r="AJ16" s="512">
        <f t="shared" ca="1" si="18"/>
        <v>2500</v>
      </c>
      <c r="AK16" s="512">
        <f t="shared" ca="1" si="19"/>
        <v>2500</v>
      </c>
      <c r="AL16" s="512">
        <f t="shared" ca="1" si="20"/>
        <v>2500</v>
      </c>
      <c r="AM16" s="512">
        <f t="shared" ca="1" si="21"/>
        <v>2500</v>
      </c>
      <c r="AN16" s="512">
        <f t="shared" ca="1" si="22"/>
        <v>2500</v>
      </c>
      <c r="AO16" s="512">
        <f t="shared" ca="1" si="23"/>
        <v>2500</v>
      </c>
      <c r="AP16" s="512">
        <f t="shared" ca="1" si="24"/>
        <v>2500</v>
      </c>
      <c r="AQ16" s="512" t="str">
        <f t="shared" si="25"/>
        <v/>
      </c>
      <c r="AR16" s="512"/>
      <c r="AS16" s="512" t="str">
        <f t="shared" si="26"/>
        <v/>
      </c>
      <c r="AT16" s="151">
        <f t="shared" si="27"/>
        <v>0</v>
      </c>
      <c r="AU16" s="151">
        <f>IFERROR(VLOOKUP(A16,'[7]TD CuentasBDG'!$N$5:$O$21,2,0),0)</f>
        <v>0</v>
      </c>
      <c r="AV16">
        <f t="shared" si="28"/>
        <v>0</v>
      </c>
    </row>
    <row r="17" spans="1:50" ht="30" x14ac:dyDescent="0.25">
      <c r="A17" s="508" t="s">
        <v>1686</v>
      </c>
      <c r="B17" s="508" t="s">
        <v>1646</v>
      </c>
      <c r="C17" s="508" t="s">
        <v>335</v>
      </c>
      <c r="D17" s="508" t="s">
        <v>335</v>
      </c>
      <c r="E17" s="508"/>
      <c r="F17" s="508"/>
      <c r="G17" s="508" t="s">
        <v>1665</v>
      </c>
      <c r="H17" s="508"/>
      <c r="I17" s="508"/>
      <c r="J17" s="555"/>
      <c r="K17" s="555"/>
      <c r="L17" s="911">
        <f ca="1">IFERROR(INDEX(Lists!$O$2:$Z$2,MATCH(TRUE,INDEX((AE17:AP17&lt;&gt;0),0),0)),DATE(2018,1,1))</f>
        <v>43160</v>
      </c>
      <c r="M17" s="911">
        <f ca="1">IFERROR(INDEX(Lists!$O$3:$Z$3, VALUE(SUBSTITUTE(TEXT(ADDRESS(SUMPRODUCT(MAX((COLUMN(AE17:AP17)*(AE17:AP17&gt;0)))),1),),"$A$",""))-30),DATE(2018,1,1))</f>
        <v>43190</v>
      </c>
      <c r="N17" s="508"/>
      <c r="O17" s="508"/>
      <c r="P17" s="508"/>
      <c r="Q17" s="508"/>
      <c r="R17" s="508">
        <f t="shared" ca="1" si="0"/>
        <v>0</v>
      </c>
      <c r="S17" s="508">
        <f t="shared" ca="1" si="1"/>
        <v>0</v>
      </c>
      <c r="T17" s="508" t="str">
        <f t="shared" ca="1" si="2"/>
        <v>Implementation of  Diversity and inclusion Policy</v>
      </c>
      <c r="U17" s="508">
        <f t="shared" ca="1" si="3"/>
        <v>0</v>
      </c>
      <c r="V17" s="508">
        <f t="shared" ca="1" si="4"/>
        <v>0</v>
      </c>
      <c r="W17" s="508">
        <f t="shared" ca="1" si="5"/>
        <v>0</v>
      </c>
      <c r="X17" s="508">
        <f t="shared" ca="1" si="6"/>
        <v>0</v>
      </c>
      <c r="Y17" s="508">
        <f t="shared" ca="1" si="7"/>
        <v>0</v>
      </c>
      <c r="Z17" s="508">
        <f t="shared" ca="1" si="8"/>
        <v>0</v>
      </c>
      <c r="AA17" s="508">
        <f t="shared" ca="1" si="9"/>
        <v>0</v>
      </c>
      <c r="AB17" s="508">
        <f t="shared" ca="1" si="10"/>
        <v>1</v>
      </c>
      <c r="AC17" s="508">
        <f t="shared" ca="1" si="11"/>
        <v>0</v>
      </c>
      <c r="AD17" s="912">
        <f t="shared" ca="1" si="12"/>
        <v>12000</v>
      </c>
      <c r="AE17" s="512">
        <f t="shared" ca="1" si="13"/>
        <v>0</v>
      </c>
      <c r="AF17" s="512">
        <f t="shared" ca="1" si="14"/>
        <v>0</v>
      </c>
      <c r="AG17" s="512">
        <f t="shared" ca="1" si="15"/>
        <v>12000</v>
      </c>
      <c r="AH17" s="512">
        <f t="shared" ca="1" si="16"/>
        <v>0</v>
      </c>
      <c r="AI17" s="512">
        <f t="shared" ca="1" si="17"/>
        <v>0</v>
      </c>
      <c r="AJ17" s="512">
        <f t="shared" ca="1" si="18"/>
        <v>0</v>
      </c>
      <c r="AK17" s="512">
        <f t="shared" ca="1" si="19"/>
        <v>0</v>
      </c>
      <c r="AL17" s="512">
        <f t="shared" ca="1" si="20"/>
        <v>0</v>
      </c>
      <c r="AM17" s="512">
        <f t="shared" ca="1" si="21"/>
        <v>0</v>
      </c>
      <c r="AN17" s="512">
        <f t="shared" ca="1" si="22"/>
        <v>0</v>
      </c>
      <c r="AO17" s="512">
        <f t="shared" ca="1" si="23"/>
        <v>0</v>
      </c>
      <c r="AP17" s="512">
        <f t="shared" ca="1" si="24"/>
        <v>0</v>
      </c>
      <c r="AQ17" s="512" t="str">
        <f t="shared" si="25"/>
        <v/>
      </c>
      <c r="AR17" s="512"/>
      <c r="AS17" s="512" t="str">
        <f t="shared" si="26"/>
        <v/>
      </c>
      <c r="AT17" s="151">
        <f t="shared" si="27"/>
        <v>0</v>
      </c>
      <c r="AU17" s="151">
        <f>IFERROR(VLOOKUP(A17,'[7]TD CuentasBDG'!$N$5:$O$21,2,0),0)</f>
        <v>0</v>
      </c>
      <c r="AV17">
        <f t="shared" si="28"/>
        <v>0</v>
      </c>
    </row>
    <row r="18" spans="1:50" ht="30" x14ac:dyDescent="0.25">
      <c r="A18" s="508" t="s">
        <v>1687</v>
      </c>
      <c r="B18" s="508" t="s">
        <v>1646</v>
      </c>
      <c r="C18" s="508" t="s">
        <v>335</v>
      </c>
      <c r="D18" s="508" t="s">
        <v>335</v>
      </c>
      <c r="E18" s="508"/>
      <c r="F18" s="508"/>
      <c r="G18" s="508" t="s">
        <v>1647</v>
      </c>
      <c r="H18" s="508" t="s">
        <v>1688</v>
      </c>
      <c r="I18" s="508" t="s">
        <v>1688</v>
      </c>
      <c r="J18" s="555" t="s">
        <v>1650</v>
      </c>
      <c r="K18" s="555" t="s">
        <v>1689</v>
      </c>
      <c r="L18" s="911">
        <f ca="1">IFERROR(INDEX(Lists!$O$2:$Z$2,MATCH(TRUE,INDEX((AE18:AP18&lt;&gt;0),0),0)),DATE(2018,1,1))</f>
        <v>43102</v>
      </c>
      <c r="M18" s="911">
        <f ca="1">IFERROR(INDEX(Lists!$O$3:$Z$3, VALUE(SUBSTITUTE(TEXT(ADDRESS(SUMPRODUCT(MAX((COLUMN(AE18:AP18)*(AE18:AP18&gt;0)))),1),),"$A$",""))-30),DATE(2018,1,1))</f>
        <v>43465</v>
      </c>
      <c r="N18" s="508" t="s">
        <v>1652</v>
      </c>
      <c r="O18" s="508" t="s">
        <v>1653</v>
      </c>
      <c r="P18" s="508" t="s">
        <v>1071</v>
      </c>
      <c r="Q18" s="508" t="s">
        <v>1071</v>
      </c>
      <c r="R18" s="508">
        <f t="shared" ca="1" si="0"/>
        <v>0</v>
      </c>
      <c r="S18" s="508">
        <f t="shared" ca="1" si="1"/>
        <v>0</v>
      </c>
      <c r="T18" s="508" t="str">
        <f t="shared" ca="1" si="2"/>
        <v>Culture Development</v>
      </c>
      <c r="U18" s="508">
        <f t="shared" ca="1" si="3"/>
        <v>0</v>
      </c>
      <c r="V18" s="508">
        <f t="shared" ca="1" si="4"/>
        <v>0</v>
      </c>
      <c r="W18" s="508">
        <f t="shared" ca="1" si="5"/>
        <v>0</v>
      </c>
      <c r="X18" s="508">
        <f t="shared" ca="1" si="6"/>
        <v>0</v>
      </c>
      <c r="Y18" s="508">
        <f t="shared" ca="1" si="7"/>
        <v>0</v>
      </c>
      <c r="Z18" s="508">
        <f t="shared" ca="1" si="8"/>
        <v>0</v>
      </c>
      <c r="AA18" s="508" t="str">
        <f t="shared" ca="1" si="9"/>
        <v>Ene</v>
      </c>
      <c r="AB18" s="508">
        <f t="shared" ca="1" si="10"/>
        <v>12</v>
      </c>
      <c r="AC18" s="508">
        <f t="shared" ca="1" si="11"/>
        <v>12</v>
      </c>
      <c r="AD18" s="912">
        <f t="shared" ca="1" si="12"/>
        <v>348000</v>
      </c>
      <c r="AE18" s="512">
        <f t="shared" ca="1" si="13"/>
        <v>29000</v>
      </c>
      <c r="AF18" s="512">
        <f t="shared" ca="1" si="14"/>
        <v>29000</v>
      </c>
      <c r="AG18" s="512">
        <f t="shared" ca="1" si="15"/>
        <v>29000</v>
      </c>
      <c r="AH18" s="512">
        <f t="shared" ca="1" si="16"/>
        <v>29000</v>
      </c>
      <c r="AI18" s="512">
        <f t="shared" ca="1" si="17"/>
        <v>29000</v>
      </c>
      <c r="AJ18" s="512">
        <f t="shared" ca="1" si="18"/>
        <v>29000</v>
      </c>
      <c r="AK18" s="512">
        <f t="shared" ca="1" si="19"/>
        <v>29000</v>
      </c>
      <c r="AL18" s="512">
        <f t="shared" ca="1" si="20"/>
        <v>29000</v>
      </c>
      <c r="AM18" s="512">
        <f t="shared" ca="1" si="21"/>
        <v>29000</v>
      </c>
      <c r="AN18" s="512">
        <f t="shared" ca="1" si="22"/>
        <v>29000</v>
      </c>
      <c r="AO18" s="512">
        <f t="shared" ca="1" si="23"/>
        <v>29000</v>
      </c>
      <c r="AP18" s="512">
        <f t="shared" ca="1" si="24"/>
        <v>29000</v>
      </c>
      <c r="AQ18" s="512" t="str">
        <f t="shared" ca="1" si="25"/>
        <v>Contrato</v>
      </c>
      <c r="AR18" s="512"/>
      <c r="AS18" s="512" t="str">
        <f t="shared" ca="1" si="26"/>
        <v>Si</v>
      </c>
      <c r="AT18" s="151">
        <f t="shared" ca="1" si="27"/>
        <v>348000</v>
      </c>
      <c r="AU18" s="151">
        <f>IFERROR(VLOOKUP(A18,'[7]TD CuentasBDG'!$N$5:$O$21,2,0),0)</f>
        <v>0</v>
      </c>
      <c r="AV18" t="str">
        <f t="shared" si="28"/>
        <v>Renovación de Contrato</v>
      </c>
      <c r="AW18" t="s">
        <v>1690</v>
      </c>
      <c r="AX18" t="s">
        <v>1655</v>
      </c>
    </row>
    <row r="19" spans="1:50" x14ac:dyDescent="0.25">
      <c r="A19" s="508" t="s">
        <v>1691</v>
      </c>
      <c r="B19" s="508" t="s">
        <v>1646</v>
      </c>
      <c r="C19" s="508" t="s">
        <v>335</v>
      </c>
      <c r="D19" s="508" t="s">
        <v>335</v>
      </c>
      <c r="E19" s="508"/>
      <c r="F19" s="508"/>
      <c r="G19" s="508" t="s">
        <v>1665</v>
      </c>
      <c r="H19" s="508"/>
      <c r="I19" s="508"/>
      <c r="J19" s="555"/>
      <c r="K19" s="555"/>
      <c r="L19" s="911">
        <f ca="1">IFERROR(INDEX(Lists!$O$2:$Z$2,MATCH(TRUE,INDEX((AE19:AP19&lt;&gt;0),0),0)),DATE(2018,1,1))</f>
        <v>43102</v>
      </c>
      <c r="M19" s="911">
        <f ca="1">IFERROR(INDEX(Lists!$O$3:$Z$3, VALUE(SUBSTITUTE(TEXT(ADDRESS(SUMPRODUCT(MAX((COLUMN(AE19:AP19)*(AE19:AP19&gt;0)))),1),),"$A$",""))-30),DATE(2018,1,1))</f>
        <v>43465</v>
      </c>
      <c r="N19" s="508"/>
      <c r="O19" s="508"/>
      <c r="P19" s="508"/>
      <c r="Q19" s="508"/>
      <c r="R19" s="508">
        <f t="shared" ca="1" si="0"/>
        <v>0</v>
      </c>
      <c r="S19" s="508">
        <f t="shared" ca="1" si="1"/>
        <v>0</v>
      </c>
      <c r="T19" s="508" t="str">
        <f t="shared" ca="1" si="2"/>
        <v>Compartiendo nuestra cultura</v>
      </c>
      <c r="U19" s="508">
        <f t="shared" ca="1" si="3"/>
        <v>0</v>
      </c>
      <c r="V19" s="508">
        <f t="shared" ca="1" si="4"/>
        <v>0</v>
      </c>
      <c r="W19" s="508">
        <f t="shared" ca="1" si="5"/>
        <v>0</v>
      </c>
      <c r="X19" s="508">
        <f t="shared" ca="1" si="6"/>
        <v>0</v>
      </c>
      <c r="Y19" s="508">
        <f t="shared" ca="1" si="7"/>
        <v>0</v>
      </c>
      <c r="Z19" s="508">
        <f t="shared" ca="1" si="8"/>
        <v>0</v>
      </c>
      <c r="AA19" s="508">
        <f t="shared" ca="1" si="9"/>
        <v>0</v>
      </c>
      <c r="AB19" s="508">
        <f t="shared" ca="1" si="10"/>
        <v>12</v>
      </c>
      <c r="AC19" s="508">
        <f t="shared" ca="1" si="11"/>
        <v>12</v>
      </c>
      <c r="AD19" s="912">
        <f t="shared" ca="1" si="12"/>
        <v>73000</v>
      </c>
      <c r="AE19" s="512">
        <f t="shared" ca="1" si="13"/>
        <v>2000</v>
      </c>
      <c r="AF19" s="512">
        <f t="shared" ca="1" si="14"/>
        <v>2000</v>
      </c>
      <c r="AG19" s="512">
        <f t="shared" ca="1" si="15"/>
        <v>2000</v>
      </c>
      <c r="AH19" s="512">
        <f t="shared" ca="1" si="16"/>
        <v>2000</v>
      </c>
      <c r="AI19" s="512">
        <f t="shared" ca="1" si="17"/>
        <v>2000</v>
      </c>
      <c r="AJ19" s="512">
        <f t="shared" ca="1" si="18"/>
        <v>2000</v>
      </c>
      <c r="AK19" s="512">
        <f t="shared" ca="1" si="19"/>
        <v>2000</v>
      </c>
      <c r="AL19" s="512">
        <f t="shared" ca="1" si="20"/>
        <v>2000</v>
      </c>
      <c r="AM19" s="512">
        <f t="shared" ca="1" si="21"/>
        <v>2000</v>
      </c>
      <c r="AN19" s="512">
        <f t="shared" ca="1" si="22"/>
        <v>13000</v>
      </c>
      <c r="AO19" s="512">
        <f t="shared" ca="1" si="23"/>
        <v>40000</v>
      </c>
      <c r="AP19" s="512">
        <f t="shared" ca="1" si="24"/>
        <v>2000</v>
      </c>
      <c r="AQ19" s="512" t="str">
        <f t="shared" si="25"/>
        <v/>
      </c>
      <c r="AR19" s="512"/>
      <c r="AS19" s="512" t="str">
        <f t="shared" si="26"/>
        <v/>
      </c>
      <c r="AT19" s="151">
        <f t="shared" si="27"/>
        <v>0</v>
      </c>
      <c r="AU19" s="151">
        <f>IFERROR(VLOOKUP(A19,'[7]TD CuentasBDG'!$N$5:$O$21,2,0),0)</f>
        <v>0</v>
      </c>
      <c r="AV19">
        <f t="shared" si="28"/>
        <v>0</v>
      </c>
    </row>
    <row r="20" spans="1:50" x14ac:dyDescent="0.25">
      <c r="A20" s="508" t="s">
        <v>1692</v>
      </c>
      <c r="B20" s="508" t="s">
        <v>1646</v>
      </c>
      <c r="C20" s="508" t="s">
        <v>335</v>
      </c>
      <c r="D20" s="508" t="s">
        <v>335</v>
      </c>
      <c r="E20" s="508"/>
      <c r="F20" s="508"/>
      <c r="G20" s="508" t="s">
        <v>1693</v>
      </c>
      <c r="H20" s="508"/>
      <c r="I20" s="508"/>
      <c r="J20" s="555"/>
      <c r="K20" s="555"/>
      <c r="L20" s="911">
        <f ca="1">IFERROR(INDEX(Lists!$O$2:$Z$2,MATCH(TRUE,INDEX((AE20:AP20&lt;&gt;0),0),0)),DATE(2018,1,1))</f>
        <v>43102</v>
      </c>
      <c r="M20" s="911">
        <f ca="1">IFERROR(INDEX(Lists!$O$3:$Z$3, VALUE(SUBSTITUTE(TEXT(ADDRESS(SUMPRODUCT(MAX((COLUMN(AE20:AP20)*(AE20:AP20&gt;0)))),1),),"$A$",""))-30),DATE(2018,1,1))</f>
        <v>43465</v>
      </c>
      <c r="N20" s="508"/>
      <c r="O20" s="508"/>
      <c r="P20" s="508"/>
      <c r="Q20" s="508"/>
      <c r="R20" s="508">
        <f t="shared" ca="1" si="0"/>
        <v>0</v>
      </c>
      <c r="S20" s="508">
        <f t="shared" ca="1" si="1"/>
        <v>0</v>
      </c>
      <c r="T20" s="508" t="str">
        <f t="shared" ca="1" si="2"/>
        <v>International Travel</v>
      </c>
      <c r="U20" s="508">
        <f t="shared" ca="1" si="3"/>
        <v>0</v>
      </c>
      <c r="V20" s="508">
        <f t="shared" ca="1" si="4"/>
        <v>0</v>
      </c>
      <c r="W20" s="508">
        <f t="shared" ca="1" si="5"/>
        <v>0</v>
      </c>
      <c r="X20" s="508">
        <f t="shared" ca="1" si="6"/>
        <v>0</v>
      </c>
      <c r="Y20" s="508">
        <f t="shared" ca="1" si="7"/>
        <v>0</v>
      </c>
      <c r="Z20" s="508">
        <f t="shared" ca="1" si="8"/>
        <v>0</v>
      </c>
      <c r="AA20" s="508" t="str">
        <f t="shared" ca="1" si="9"/>
        <v>Ene</v>
      </c>
      <c r="AB20" s="508">
        <f t="shared" ca="1" si="10"/>
        <v>12</v>
      </c>
      <c r="AC20" s="508">
        <f t="shared" ca="1" si="11"/>
        <v>12</v>
      </c>
      <c r="AD20" s="912">
        <f t="shared" ca="1" si="12"/>
        <v>1500000</v>
      </c>
      <c r="AE20" s="512">
        <f t="shared" ca="1" si="13"/>
        <v>91121.495327102806</v>
      </c>
      <c r="AF20" s="512">
        <f t="shared" ca="1" si="14"/>
        <v>119158.87850467289</v>
      </c>
      <c r="AG20" s="512">
        <f t="shared" ca="1" si="15"/>
        <v>161214.95327102803</v>
      </c>
      <c r="AH20" s="512">
        <f t="shared" ca="1" si="16"/>
        <v>119158.87850467289</v>
      </c>
      <c r="AI20" s="512">
        <f t="shared" ca="1" si="17"/>
        <v>133177.57009345794</v>
      </c>
      <c r="AJ20" s="512">
        <f t="shared" ca="1" si="18"/>
        <v>84112.149532710275</v>
      </c>
      <c r="AK20" s="512">
        <f t="shared" ca="1" si="19"/>
        <v>175233.6448598131</v>
      </c>
      <c r="AL20" s="512">
        <f t="shared" ca="1" si="20"/>
        <v>112149.53271028037</v>
      </c>
      <c r="AM20" s="512">
        <f t="shared" ca="1" si="21"/>
        <v>168224.29906542055</v>
      </c>
      <c r="AN20" s="512">
        <f t="shared" ca="1" si="22"/>
        <v>105140.18691588784</v>
      </c>
      <c r="AO20" s="512">
        <f t="shared" ca="1" si="23"/>
        <v>154205.60747663552</v>
      </c>
      <c r="AP20" s="512">
        <f t="shared" ca="1" si="24"/>
        <v>77102.803738317758</v>
      </c>
      <c r="AQ20" s="512" t="str">
        <f t="shared" si="25"/>
        <v/>
      </c>
      <c r="AR20" s="512"/>
      <c r="AS20" s="512" t="str">
        <f t="shared" si="26"/>
        <v/>
      </c>
      <c r="AT20" s="151">
        <f t="shared" si="27"/>
        <v>0</v>
      </c>
      <c r="AU20" s="151">
        <f>IFERROR(VLOOKUP(A20,'[7]TD CuentasBDG'!$N$5:$O$21,2,0),0)</f>
        <v>0</v>
      </c>
      <c r="AV20">
        <f t="shared" si="28"/>
        <v>0</v>
      </c>
    </row>
    <row r="21" spans="1:50" x14ac:dyDescent="0.25">
      <c r="A21" s="508" t="s">
        <v>1694</v>
      </c>
      <c r="B21" s="508" t="s">
        <v>1646</v>
      </c>
      <c r="C21" s="508" t="s">
        <v>335</v>
      </c>
      <c r="D21" s="508" t="s">
        <v>335</v>
      </c>
      <c r="E21" s="508"/>
      <c r="F21" s="508"/>
      <c r="G21" s="508" t="s">
        <v>1695</v>
      </c>
      <c r="H21" s="508"/>
      <c r="I21" s="508"/>
      <c r="J21" s="555"/>
      <c r="K21" s="555"/>
      <c r="L21" s="911">
        <f ca="1">IFERROR(INDEX(Lists!$O$2:$Z$2,MATCH(TRUE,INDEX((AE21:AP21&lt;&gt;0),0),0)),DATE(2018,1,1))</f>
        <v>43102</v>
      </c>
      <c r="M21" s="911">
        <f ca="1">IFERROR(INDEX(Lists!$O$3:$Z$3, VALUE(SUBSTITUTE(TEXT(ADDRESS(SUMPRODUCT(MAX((COLUMN(AE21:AP21)*(AE21:AP21&gt;0)))),1),),"$A$",""))-30),DATE(2018,1,1))</f>
        <v>43465</v>
      </c>
      <c r="N21" s="508"/>
      <c r="O21" s="508"/>
      <c r="P21" s="508"/>
      <c r="Q21" s="508"/>
      <c r="R21" s="508">
        <f t="shared" ca="1" si="0"/>
        <v>0</v>
      </c>
      <c r="S21" s="508">
        <f t="shared" ca="1" si="1"/>
        <v>0</v>
      </c>
      <c r="T21" s="508" t="str">
        <f t="shared" ca="1" si="2"/>
        <v>Domestic Travel</v>
      </c>
      <c r="U21" s="508">
        <f t="shared" ca="1" si="3"/>
        <v>0</v>
      </c>
      <c r="V21" s="508">
        <f t="shared" ca="1" si="4"/>
        <v>0</v>
      </c>
      <c r="W21" s="508">
        <f t="shared" ca="1" si="5"/>
        <v>0</v>
      </c>
      <c r="X21" s="508">
        <f t="shared" ca="1" si="6"/>
        <v>0</v>
      </c>
      <c r="Y21" s="508">
        <f t="shared" ca="1" si="7"/>
        <v>0</v>
      </c>
      <c r="Z21" s="508">
        <f t="shared" ca="1" si="8"/>
        <v>0</v>
      </c>
      <c r="AA21" s="508" t="str">
        <f t="shared" ca="1" si="9"/>
        <v>Ene</v>
      </c>
      <c r="AB21" s="508">
        <f t="shared" ca="1" si="10"/>
        <v>12</v>
      </c>
      <c r="AC21" s="508">
        <f t="shared" ca="1" si="11"/>
        <v>12</v>
      </c>
      <c r="AD21" s="912">
        <f t="shared" ca="1" si="12"/>
        <v>414784.61538461549</v>
      </c>
      <c r="AE21" s="512">
        <f t="shared" ca="1" si="13"/>
        <v>33076.923076923085</v>
      </c>
      <c r="AF21" s="512">
        <f t="shared" ca="1" si="14"/>
        <v>32415.384615384617</v>
      </c>
      <c r="AG21" s="512">
        <f t="shared" ca="1" si="15"/>
        <v>38369.23076923078</v>
      </c>
      <c r="AH21" s="512">
        <f t="shared" ca="1" si="16"/>
        <v>31092.307692307699</v>
      </c>
      <c r="AI21" s="512">
        <f t="shared" ca="1" si="17"/>
        <v>37046.153846153858</v>
      </c>
      <c r="AJ21" s="512">
        <f t="shared" ca="1" si="18"/>
        <v>31092.307692307691</v>
      </c>
      <c r="AK21" s="512">
        <f t="shared" ca="1" si="19"/>
        <v>38369.23076923078</v>
      </c>
      <c r="AL21" s="512">
        <f t="shared" ca="1" si="20"/>
        <v>28446.153846153848</v>
      </c>
      <c r="AM21" s="512">
        <f t="shared" ca="1" si="21"/>
        <v>34400.000000000007</v>
      </c>
      <c r="AN21" s="512">
        <f t="shared" ca="1" si="22"/>
        <v>35061.538461538476</v>
      </c>
      <c r="AO21" s="512">
        <f t="shared" ca="1" si="23"/>
        <v>35723.076923076922</v>
      </c>
      <c r="AP21" s="512">
        <f t="shared" ca="1" si="24"/>
        <v>39692.307692307717</v>
      </c>
      <c r="AQ21" s="512" t="str">
        <f t="shared" si="25"/>
        <v/>
      </c>
      <c r="AR21" s="512"/>
      <c r="AS21" s="512" t="str">
        <f t="shared" si="26"/>
        <v/>
      </c>
      <c r="AT21" s="151">
        <f t="shared" si="27"/>
        <v>0</v>
      </c>
      <c r="AU21" s="151">
        <f>IFERROR(VLOOKUP(A21,'[7]TD CuentasBDG'!$N$5:$O$21,2,0),0)</f>
        <v>0</v>
      </c>
      <c r="AV21">
        <f t="shared" si="28"/>
        <v>0</v>
      </c>
    </row>
    <row r="22" spans="1:50" ht="60" x14ac:dyDescent="0.25">
      <c r="A22" s="508" t="s">
        <v>1696</v>
      </c>
      <c r="B22" s="508" t="s">
        <v>1646</v>
      </c>
      <c r="C22" s="508" t="s">
        <v>81</v>
      </c>
      <c r="D22" s="508" t="s">
        <v>81</v>
      </c>
      <c r="E22" s="508" t="s">
        <v>1697</v>
      </c>
      <c r="F22" s="508" t="s">
        <v>1698</v>
      </c>
      <c r="G22" s="508" t="s">
        <v>1647</v>
      </c>
      <c r="H22" s="508" t="s">
        <v>1699</v>
      </c>
      <c r="I22" s="508" t="s">
        <v>1700</v>
      </c>
      <c r="J22" s="555" t="s">
        <v>1650</v>
      </c>
      <c r="K22" s="555" t="s">
        <v>1651</v>
      </c>
      <c r="L22" s="911">
        <f ca="1">IFERROR(INDEX(Lists!$O$2:$Z$2,MATCH(TRUE,INDEX((AE22:AP22&lt;&gt;0),0),0)),DATE(2018,1,1))</f>
        <v>43102</v>
      </c>
      <c r="M22" s="911">
        <f ca="1">IFERROR(INDEX(Lists!$O$3:$Z$3, VALUE(SUBSTITUTE(TEXT(ADDRESS(SUMPRODUCT(MAX((COLUMN(AE22:AP22)*(AE22:AP22&gt;0)))),1),),"$A$",""))-30),DATE(2018,1,1))</f>
        <v>43465</v>
      </c>
      <c r="N22" s="508" t="s">
        <v>1652</v>
      </c>
      <c r="O22" s="508" t="s">
        <v>1653</v>
      </c>
      <c r="P22" s="508" t="s">
        <v>1071</v>
      </c>
      <c r="Q22" s="508" t="s">
        <v>1676</v>
      </c>
      <c r="R22" s="508" t="str">
        <f t="shared" ca="1" si="0"/>
        <v>RESOURCES</v>
      </c>
      <c r="S22" s="508" t="str">
        <f t="shared" ca="1" si="1"/>
        <v>Arriendo sistema comunicación Radial camino Vallenar- El Morro</v>
      </c>
      <c r="T22" s="508" t="str">
        <f t="shared" ca="1" si="2"/>
        <v xml:space="preserve">Mantención y costo mensual para la campaña de sondaje y mantener el servicio el resto del año / </v>
      </c>
      <c r="U22" s="508" t="str">
        <f t="shared" ca="1" si="3"/>
        <v>685 / 51-11-3314</v>
      </c>
      <c r="V22" s="508" t="str">
        <f t="shared" ca="1" si="4"/>
        <v>Active Ct</v>
      </c>
      <c r="W22" s="508" t="str">
        <f t="shared" ca="1" si="5"/>
        <v>ZetaEco</v>
      </c>
      <c r="X22" s="508" t="str">
        <f t="shared" ca="1" si="6"/>
        <v>N/A</v>
      </c>
      <c r="Y22" s="508" t="str">
        <f t="shared" ca="1" si="7"/>
        <v>N/A</v>
      </c>
      <c r="Z22" s="508" t="str">
        <f t="shared" ca="1" si="8"/>
        <v>N/A</v>
      </c>
      <c r="AA22" s="508" t="str">
        <f t="shared" ca="1" si="9"/>
        <v>N/A</v>
      </c>
      <c r="AB22" s="508">
        <f t="shared" ca="1" si="10"/>
        <v>12</v>
      </c>
      <c r="AC22" s="508">
        <f t="shared" ca="1" si="11"/>
        <v>0</v>
      </c>
      <c r="AD22" s="912">
        <f t="shared" ca="1" si="12"/>
        <v>75223.880597014941</v>
      </c>
      <c r="AE22" s="512">
        <f t="shared" ca="1" si="13"/>
        <v>6268.6567164179105</v>
      </c>
      <c r="AF22" s="512">
        <f t="shared" ca="1" si="14"/>
        <v>6268.6567164179105</v>
      </c>
      <c r="AG22" s="512">
        <f t="shared" ca="1" si="15"/>
        <v>6268.6567164179105</v>
      </c>
      <c r="AH22" s="512">
        <f t="shared" ca="1" si="16"/>
        <v>6268.6567164179105</v>
      </c>
      <c r="AI22" s="512">
        <f t="shared" ca="1" si="17"/>
        <v>6268.6567164179105</v>
      </c>
      <c r="AJ22" s="512">
        <f t="shared" ca="1" si="18"/>
        <v>6268.6567164179105</v>
      </c>
      <c r="AK22" s="512">
        <f t="shared" ca="1" si="19"/>
        <v>6268.6567164179105</v>
      </c>
      <c r="AL22" s="512">
        <f t="shared" ca="1" si="20"/>
        <v>6268.6567164179105</v>
      </c>
      <c r="AM22" s="512">
        <f t="shared" ca="1" si="21"/>
        <v>6268.6567164179105</v>
      </c>
      <c r="AN22" s="512">
        <f t="shared" ca="1" si="22"/>
        <v>6268.6567164179105</v>
      </c>
      <c r="AO22" s="512">
        <f t="shared" ca="1" si="23"/>
        <v>6268.6567164179105</v>
      </c>
      <c r="AP22" s="512">
        <f t="shared" ca="1" si="24"/>
        <v>6268.6567164179105</v>
      </c>
      <c r="AQ22" s="512" t="str">
        <f t="shared" ca="1" si="25"/>
        <v>Contrato</v>
      </c>
      <c r="AR22" s="512"/>
      <c r="AS22" s="512" t="str">
        <f t="shared" ca="1" si="26"/>
        <v>Si</v>
      </c>
      <c r="AT22" s="151">
        <f t="shared" ca="1" si="27"/>
        <v>75223.880597014941</v>
      </c>
      <c r="AU22" s="151">
        <f>IFERROR(VLOOKUP(A22,'[7]TD CuentasBDG'!$N$5:$O$21,2,0),0)</f>
        <v>18529.411764705881</v>
      </c>
      <c r="AV22" t="str">
        <f t="shared" si="28"/>
        <v>Renovación de Contrato</v>
      </c>
      <c r="AW22" t="s">
        <v>1701</v>
      </c>
      <c r="AX22" t="s">
        <v>1702</v>
      </c>
    </row>
    <row r="23" spans="1:50" ht="75" x14ac:dyDescent="0.25">
      <c r="A23" s="508" t="s">
        <v>1703</v>
      </c>
      <c r="B23" s="508" t="s">
        <v>1646</v>
      </c>
      <c r="C23" s="508" t="s">
        <v>81</v>
      </c>
      <c r="D23" s="508" t="s">
        <v>81</v>
      </c>
      <c r="E23" s="508"/>
      <c r="F23" s="508"/>
      <c r="G23" s="508" t="s">
        <v>1647</v>
      </c>
      <c r="H23" s="508" t="s">
        <v>699</v>
      </c>
      <c r="I23" s="508" t="s">
        <v>787</v>
      </c>
      <c r="J23" s="555" t="s">
        <v>1650</v>
      </c>
      <c r="K23" s="555" t="s">
        <v>1651</v>
      </c>
      <c r="L23" s="911">
        <f ca="1">IFERROR(INDEX(Lists!$O$2:$Z$2,MATCH(TRUE,INDEX((AE23:AP23&lt;&gt;0),0),0)),DATE(2018,1,1))</f>
        <v>43102</v>
      </c>
      <c r="M23" s="911">
        <f ca="1">IFERROR(INDEX(Lists!$O$3:$Z$3, VALUE(SUBSTITUTE(TEXT(ADDRESS(SUMPRODUCT(MAX((COLUMN(AE23:AP23)*(AE23:AP23&gt;0)))),1),),"$A$",""))-30),DATE(2018,1,1))</f>
        <v>43465</v>
      </c>
      <c r="N23" s="508" t="s">
        <v>1652</v>
      </c>
      <c r="O23" s="508" t="s">
        <v>1653</v>
      </c>
      <c r="P23" s="508" t="s">
        <v>1071</v>
      </c>
      <c r="Q23" s="508" t="s">
        <v>1071</v>
      </c>
      <c r="R23" s="508" t="str">
        <f t="shared" ca="1" si="0"/>
        <v>RESOURCES</v>
      </c>
      <c r="S23" s="508" t="str">
        <f t="shared" ca="1" si="1"/>
        <v>Enlaces satelital sondaje fortuna  (telefonía e internet)</v>
      </c>
      <c r="T23" s="508" t="str">
        <f t="shared" ca="1" si="2"/>
        <v xml:space="preserve">Costo mensual 2 enlaces (2 megasc/u) y 4 líneas telefónicas. Al cerrar la campaña de sondaje se mantendrá la mitad del servicio por un año : 1 antena - 2 líneas. / </v>
      </c>
      <c r="U23" s="508" t="str">
        <f t="shared" ca="1" si="3"/>
        <v>685 / 51-11-3314</v>
      </c>
      <c r="V23" s="508" t="str">
        <f t="shared" ca="1" si="4"/>
        <v>Active Ct</v>
      </c>
      <c r="W23" s="508" t="str">
        <f t="shared" ca="1" si="5"/>
        <v>Claro</v>
      </c>
      <c r="X23" s="508" t="str">
        <f t="shared" ca="1" si="6"/>
        <v>N/A</v>
      </c>
      <c r="Y23" s="508" t="str">
        <f t="shared" ca="1" si="7"/>
        <v>N/A</v>
      </c>
      <c r="Z23" s="508" t="str">
        <f t="shared" ca="1" si="8"/>
        <v>N/A</v>
      </c>
      <c r="AA23" s="508" t="str">
        <f t="shared" ca="1" si="9"/>
        <v>N/A</v>
      </c>
      <c r="AB23" s="508">
        <f t="shared" ca="1" si="10"/>
        <v>12</v>
      </c>
      <c r="AC23" s="508">
        <f t="shared" ca="1" si="11"/>
        <v>0</v>
      </c>
      <c r="AD23" s="912">
        <f t="shared" ca="1" si="12"/>
        <v>42555.223880597026</v>
      </c>
      <c r="AE23" s="512">
        <f t="shared" ca="1" si="13"/>
        <v>5319.4029850746265</v>
      </c>
      <c r="AF23" s="512">
        <f t="shared" ca="1" si="14"/>
        <v>5319.4029850746265</v>
      </c>
      <c r="AG23" s="512">
        <f t="shared" ca="1" si="15"/>
        <v>5319.4029850746265</v>
      </c>
      <c r="AH23" s="512">
        <f t="shared" ca="1" si="16"/>
        <v>5319.4029850746265</v>
      </c>
      <c r="AI23" s="512">
        <f t="shared" ca="1" si="17"/>
        <v>2659.7014925373132</v>
      </c>
      <c r="AJ23" s="512">
        <f t="shared" ca="1" si="18"/>
        <v>2659.7014925373132</v>
      </c>
      <c r="AK23" s="512">
        <f t="shared" ca="1" si="19"/>
        <v>2659.7014925373132</v>
      </c>
      <c r="AL23" s="512">
        <f t="shared" ca="1" si="20"/>
        <v>2659.7014925373132</v>
      </c>
      <c r="AM23" s="512">
        <f t="shared" ca="1" si="21"/>
        <v>2659.7014925373132</v>
      </c>
      <c r="AN23" s="512">
        <f t="shared" ca="1" si="22"/>
        <v>2659.7014925373132</v>
      </c>
      <c r="AO23" s="512">
        <f t="shared" ca="1" si="23"/>
        <v>2659.7014925373132</v>
      </c>
      <c r="AP23" s="512">
        <f t="shared" ca="1" si="24"/>
        <v>2659.7014925373132</v>
      </c>
      <c r="AQ23" s="512" t="str">
        <f t="shared" ca="1" si="25"/>
        <v>Orden de Servicio Sin Terreno</v>
      </c>
      <c r="AR23" s="512"/>
      <c r="AS23" s="512" t="str">
        <f t="shared" ca="1" si="26"/>
        <v>No</v>
      </c>
      <c r="AT23" s="151">
        <f t="shared" ca="1" si="27"/>
        <v>42555.223880597026</v>
      </c>
      <c r="AU23" s="151">
        <f>IFERROR(VLOOKUP(A23,'[7]TD CuentasBDG'!$N$5:$O$21,2,0),0)</f>
        <v>0</v>
      </c>
      <c r="AV23" t="str">
        <f t="shared" si="28"/>
        <v>Renovación de Contrato</v>
      </c>
      <c r="AW23" t="s">
        <v>1701</v>
      </c>
      <c r="AX23" t="s">
        <v>1702</v>
      </c>
    </row>
    <row r="24" spans="1:50" ht="60" x14ac:dyDescent="0.25">
      <c r="A24" s="508" t="s">
        <v>1704</v>
      </c>
      <c r="B24" s="508" t="s">
        <v>1646</v>
      </c>
      <c r="C24" s="508" t="s">
        <v>81</v>
      </c>
      <c r="D24" s="508" t="s">
        <v>81</v>
      </c>
      <c r="E24" s="508"/>
      <c r="F24" s="508"/>
      <c r="G24" s="508" t="s">
        <v>1647</v>
      </c>
      <c r="H24" s="508" t="s">
        <v>701</v>
      </c>
      <c r="I24" s="508" t="s">
        <v>1705</v>
      </c>
      <c r="J24" s="555" t="s">
        <v>1650</v>
      </c>
      <c r="K24" s="555" t="s">
        <v>1651</v>
      </c>
      <c r="L24" s="911">
        <f ca="1">IFERROR(INDEX(Lists!$O$2:$Z$2,MATCH(TRUE,INDEX((AE24:AP24&lt;&gt;0),0),0)),DATE(2018,1,1))</f>
        <v>43102</v>
      </c>
      <c r="M24" s="911">
        <f ca="1">IFERROR(INDEX(Lists!$O$3:$Z$3, VALUE(SUBSTITUTE(TEXT(ADDRESS(SUMPRODUCT(MAX((COLUMN(AE24:AP24)*(AE24:AP24&gt;0)))),1),),"$A$",""))-30),DATE(2018,1,1))</f>
        <v>43373</v>
      </c>
      <c r="N24" s="508" t="s">
        <v>1652</v>
      </c>
      <c r="O24" s="508" t="s">
        <v>1653</v>
      </c>
      <c r="P24" s="508" t="s">
        <v>1071</v>
      </c>
      <c r="Q24" s="508" t="s">
        <v>1071</v>
      </c>
      <c r="R24" s="508" t="str">
        <f t="shared" ca="1" si="0"/>
        <v>RESOURCES</v>
      </c>
      <c r="S24" s="508" t="str">
        <f t="shared" ca="1" si="1"/>
        <v>CATV Campamento Fortuna - TV satelital con cables a cada punto</v>
      </c>
      <c r="T24" s="508" t="str">
        <f t="shared" ca="1" si="2"/>
        <v xml:space="preserve">HEAD END ANALOGO 48  CANALES PARA 60 PUNTOS, a 12 meses inciando en Oct 2017 / </v>
      </c>
      <c r="U24" s="508" t="str">
        <f t="shared" ca="1" si="3"/>
        <v>685 / 51-11-3350</v>
      </c>
      <c r="V24" s="508" t="str">
        <f t="shared" ca="1" si="4"/>
        <v>Active Ct</v>
      </c>
      <c r="W24" s="508" t="str">
        <f t="shared" ca="1" si="5"/>
        <v>Claro</v>
      </c>
      <c r="X24" s="508" t="str">
        <f t="shared" ca="1" si="6"/>
        <v>N/A</v>
      </c>
      <c r="Y24" s="508" t="str">
        <f t="shared" ca="1" si="7"/>
        <v>N/A</v>
      </c>
      <c r="Z24" s="508" t="str">
        <f t="shared" ca="1" si="8"/>
        <v>N/A</v>
      </c>
      <c r="AA24" s="508" t="str">
        <f t="shared" ca="1" si="9"/>
        <v>N/A</v>
      </c>
      <c r="AB24" s="508">
        <f t="shared" ca="1" si="10"/>
        <v>9</v>
      </c>
      <c r="AC24" s="508">
        <f t="shared" ca="1" si="11"/>
        <v>0</v>
      </c>
      <c r="AD24" s="912">
        <f t="shared" ca="1" si="12"/>
        <v>24916.567164179109</v>
      </c>
      <c r="AE24" s="512">
        <f t="shared" ca="1" si="13"/>
        <v>2768.5074626865671</v>
      </c>
      <c r="AF24" s="512">
        <f t="shared" ca="1" si="14"/>
        <v>2768.5074626865671</v>
      </c>
      <c r="AG24" s="512">
        <f t="shared" ca="1" si="15"/>
        <v>2768.5074626865671</v>
      </c>
      <c r="AH24" s="512">
        <f t="shared" ca="1" si="16"/>
        <v>2768.5074626865671</v>
      </c>
      <c r="AI24" s="512">
        <f t="shared" ca="1" si="17"/>
        <v>2768.5074626865671</v>
      </c>
      <c r="AJ24" s="512">
        <f t="shared" ca="1" si="18"/>
        <v>2768.5074626865671</v>
      </c>
      <c r="AK24" s="512">
        <f t="shared" ca="1" si="19"/>
        <v>2768.5074626865671</v>
      </c>
      <c r="AL24" s="512">
        <f t="shared" ca="1" si="20"/>
        <v>2768.5074626865671</v>
      </c>
      <c r="AM24" s="512">
        <f t="shared" ca="1" si="21"/>
        <v>2768.5074626865671</v>
      </c>
      <c r="AN24" s="512">
        <f t="shared" ca="1" si="22"/>
        <v>0</v>
      </c>
      <c r="AO24" s="512">
        <f t="shared" ca="1" si="23"/>
        <v>0</v>
      </c>
      <c r="AP24" s="512">
        <f t="shared" ca="1" si="24"/>
        <v>0</v>
      </c>
      <c r="AQ24" s="512" t="str">
        <f t="shared" ca="1" si="25"/>
        <v>Orden de Servicio Sin Terreno</v>
      </c>
      <c r="AR24" s="512"/>
      <c r="AS24" s="512" t="str">
        <f t="shared" ca="1" si="26"/>
        <v>No</v>
      </c>
      <c r="AT24" s="151">
        <f t="shared" ca="1" si="27"/>
        <v>24916.567164179109</v>
      </c>
      <c r="AU24" s="151">
        <f>IFERROR(VLOOKUP(A24,'[7]TD CuentasBDG'!$N$5:$O$21,2,0),0)</f>
        <v>0</v>
      </c>
      <c r="AV24" t="str">
        <f t="shared" si="28"/>
        <v>Renovación de Contrato</v>
      </c>
      <c r="AW24" t="s">
        <v>1669</v>
      </c>
      <c r="AX24" t="s">
        <v>1702</v>
      </c>
    </row>
    <row r="25" spans="1:50" ht="30" x14ac:dyDescent="0.25">
      <c r="A25" s="508" t="s">
        <v>1706</v>
      </c>
      <c r="B25" s="508" t="s">
        <v>1646</v>
      </c>
      <c r="C25" s="508" t="s">
        <v>81</v>
      </c>
      <c r="D25" s="508" t="s">
        <v>81</v>
      </c>
      <c r="E25" s="508"/>
      <c r="F25" s="508"/>
      <c r="G25" s="508" t="s">
        <v>1707</v>
      </c>
      <c r="H25" s="508"/>
      <c r="I25" s="508"/>
      <c r="J25" s="555"/>
      <c r="K25" s="555"/>
      <c r="L25" s="911">
        <f ca="1">IFERROR(INDEX(Lists!$O$2:$Z$2,MATCH(TRUE,INDEX((AE25:AP25&lt;&gt;0),0),0)),DATE(2018,1,1))</f>
        <v>43132</v>
      </c>
      <c r="M25" s="911">
        <f ca="1">IFERROR(INDEX(Lists!$O$3:$Z$3, VALUE(SUBSTITUTE(TEXT(ADDRESS(SUMPRODUCT(MAX((COLUMN(AE25:AP25)*(AE25:AP25&gt;0)))),1),),"$A$",""))-30),DATE(2018,1,1))</f>
        <v>43159</v>
      </c>
      <c r="N25" s="508"/>
      <c r="O25" s="508"/>
      <c r="P25" s="508"/>
      <c r="Q25" s="508"/>
      <c r="R25" s="508" t="str">
        <f t="shared" ca="1" si="0"/>
        <v>RESOURCES</v>
      </c>
      <c r="S25" s="508" t="str">
        <f t="shared" ca="1" si="1"/>
        <v>Alto del Carmen: Access point</v>
      </c>
      <c r="T25" s="508" t="str">
        <f t="shared" ca="1" si="2"/>
        <v>Mejorar red inalámbrica de Alto del Carmen / quotation</v>
      </c>
      <c r="U25" s="508" t="str">
        <f t="shared" ca="1" si="3"/>
        <v>685 / 51-11-3314</v>
      </c>
      <c r="V25" s="508" t="str">
        <f t="shared" ca="1" si="4"/>
        <v>Sole Source OC</v>
      </c>
      <c r="W25" s="508" t="str">
        <f t="shared" ca="1" si="5"/>
        <v>comdiel</v>
      </c>
      <c r="X25" s="508" t="str">
        <f t="shared" ca="1" si="6"/>
        <v>N/A</v>
      </c>
      <c r="Y25" s="508" t="str">
        <f t="shared" ca="1" si="7"/>
        <v>N/A</v>
      </c>
      <c r="Z25" s="508" t="str">
        <f t="shared" ca="1" si="8"/>
        <v>N/A</v>
      </c>
      <c r="AA25" s="508" t="str">
        <f t="shared" ca="1" si="9"/>
        <v>N/A</v>
      </c>
      <c r="AB25" s="508">
        <f t="shared" ca="1" si="10"/>
        <v>1</v>
      </c>
      <c r="AC25" s="508">
        <f t="shared" ca="1" si="11"/>
        <v>0</v>
      </c>
      <c r="AD25" s="912">
        <f t="shared" ca="1" si="12"/>
        <v>238.80597014925374</v>
      </c>
      <c r="AE25" s="512">
        <f t="shared" ca="1" si="13"/>
        <v>0</v>
      </c>
      <c r="AF25" s="512">
        <f t="shared" ca="1" si="14"/>
        <v>238.80597014925374</v>
      </c>
      <c r="AG25" s="512">
        <f t="shared" ca="1" si="15"/>
        <v>0</v>
      </c>
      <c r="AH25" s="512">
        <f t="shared" ca="1" si="16"/>
        <v>0</v>
      </c>
      <c r="AI25" s="512">
        <f t="shared" ca="1" si="17"/>
        <v>0</v>
      </c>
      <c r="AJ25" s="512">
        <f t="shared" ca="1" si="18"/>
        <v>0</v>
      </c>
      <c r="AK25" s="512">
        <f t="shared" ca="1" si="19"/>
        <v>0</v>
      </c>
      <c r="AL25" s="512">
        <f t="shared" ca="1" si="20"/>
        <v>0</v>
      </c>
      <c r="AM25" s="512">
        <f t="shared" ca="1" si="21"/>
        <v>0</v>
      </c>
      <c r="AN25" s="512">
        <f t="shared" ca="1" si="22"/>
        <v>0</v>
      </c>
      <c r="AO25" s="512">
        <f t="shared" ca="1" si="23"/>
        <v>0</v>
      </c>
      <c r="AP25" s="512">
        <f t="shared" ca="1" si="24"/>
        <v>0</v>
      </c>
      <c r="AQ25" s="512" t="str">
        <f t="shared" si="25"/>
        <v/>
      </c>
      <c r="AR25" s="512"/>
      <c r="AS25" s="512" t="str">
        <f t="shared" si="26"/>
        <v/>
      </c>
      <c r="AT25" s="151">
        <f t="shared" si="27"/>
        <v>0</v>
      </c>
      <c r="AU25" s="151">
        <f>IFERROR(VLOOKUP(A25,'[7]TD CuentasBDG'!$N$5:$O$21,2,0),0)</f>
        <v>0</v>
      </c>
      <c r="AV25">
        <f t="shared" si="28"/>
        <v>0</v>
      </c>
    </row>
    <row r="26" spans="1:50" ht="60" x14ac:dyDescent="0.25">
      <c r="A26" s="508" t="s">
        <v>1708</v>
      </c>
      <c r="B26" s="508" t="s">
        <v>1646</v>
      </c>
      <c r="C26" s="508" t="s">
        <v>81</v>
      </c>
      <c r="D26" s="508" t="s">
        <v>81</v>
      </c>
      <c r="E26" s="508"/>
      <c r="F26" s="508"/>
      <c r="G26" s="508" t="s">
        <v>1707</v>
      </c>
      <c r="H26" s="508"/>
      <c r="I26" s="508"/>
      <c r="J26" s="555"/>
      <c r="K26" s="555"/>
      <c r="L26" s="911">
        <f ca="1">IFERROR(INDEX(Lists!$O$2:$Z$2,MATCH(TRUE,INDEX((AE26:AP26&lt;&gt;0),0),0)),DATE(2018,1,1))</f>
        <v>43132</v>
      </c>
      <c r="M26" s="911">
        <f ca="1">IFERROR(INDEX(Lists!$O$3:$Z$3, VALUE(SUBSTITUTE(TEXT(ADDRESS(SUMPRODUCT(MAX((COLUMN(AE26:AP26)*(AE26:AP26&gt;0)))),1),),"$A$",""))-30),DATE(2018,1,1))</f>
        <v>43159</v>
      </c>
      <c r="N26" s="508"/>
      <c r="O26" s="508"/>
      <c r="P26" s="508"/>
      <c r="Q26" s="508"/>
      <c r="R26" s="508" t="str">
        <f t="shared" ca="1" si="0"/>
        <v>RESOURCES</v>
      </c>
      <c r="S26" s="508" t="str">
        <f t="shared" ca="1" si="1"/>
        <v xml:space="preserve">Alto del Carmen: Dar seguridad y rápida restauración a PCs cibercafe </v>
      </c>
      <c r="T26" s="508" t="str">
        <f t="shared" ca="1" si="2"/>
        <v>10 discos PC, migrar a imagen NU: 10 discos  / quotation</v>
      </c>
      <c r="U26" s="508" t="str">
        <f t="shared" ca="1" si="3"/>
        <v>685 / 51-11-3350</v>
      </c>
      <c r="V26" s="508" t="str">
        <f t="shared" ca="1" si="4"/>
        <v>Sole Source OC</v>
      </c>
      <c r="W26" s="508" t="str">
        <f t="shared" ca="1" si="5"/>
        <v>pcfactory</v>
      </c>
      <c r="X26" s="508" t="str">
        <f t="shared" ca="1" si="6"/>
        <v>N/A</v>
      </c>
      <c r="Y26" s="508" t="str">
        <f t="shared" ca="1" si="7"/>
        <v>N/A</v>
      </c>
      <c r="Z26" s="508" t="str">
        <f t="shared" ca="1" si="8"/>
        <v>N/A</v>
      </c>
      <c r="AA26" s="508" t="str">
        <f t="shared" ca="1" si="9"/>
        <v>N/A</v>
      </c>
      <c r="AB26" s="508">
        <f t="shared" ca="1" si="10"/>
        <v>1</v>
      </c>
      <c r="AC26" s="508">
        <f t="shared" ca="1" si="11"/>
        <v>0</v>
      </c>
      <c r="AD26" s="912">
        <f t="shared" ca="1" si="12"/>
        <v>943.1343283582089</v>
      </c>
      <c r="AE26" s="512">
        <f t="shared" ca="1" si="13"/>
        <v>0</v>
      </c>
      <c r="AF26" s="512">
        <f t="shared" ca="1" si="14"/>
        <v>943.1343283582089</v>
      </c>
      <c r="AG26" s="512">
        <f t="shared" ca="1" si="15"/>
        <v>0</v>
      </c>
      <c r="AH26" s="512">
        <f t="shared" ca="1" si="16"/>
        <v>0</v>
      </c>
      <c r="AI26" s="512">
        <f t="shared" ca="1" si="17"/>
        <v>0</v>
      </c>
      <c r="AJ26" s="512">
        <f t="shared" ca="1" si="18"/>
        <v>0</v>
      </c>
      <c r="AK26" s="512">
        <f t="shared" ca="1" si="19"/>
        <v>0</v>
      </c>
      <c r="AL26" s="512">
        <f t="shared" ca="1" si="20"/>
        <v>0</v>
      </c>
      <c r="AM26" s="512">
        <f t="shared" ca="1" si="21"/>
        <v>0</v>
      </c>
      <c r="AN26" s="512">
        <f t="shared" ca="1" si="22"/>
        <v>0</v>
      </c>
      <c r="AO26" s="512">
        <f t="shared" ca="1" si="23"/>
        <v>0</v>
      </c>
      <c r="AP26" s="512">
        <f t="shared" ca="1" si="24"/>
        <v>0</v>
      </c>
      <c r="AQ26" s="512" t="str">
        <f t="shared" si="25"/>
        <v/>
      </c>
      <c r="AR26" s="512"/>
      <c r="AS26" s="512" t="str">
        <f t="shared" si="26"/>
        <v/>
      </c>
      <c r="AT26" s="151">
        <f t="shared" si="27"/>
        <v>0</v>
      </c>
      <c r="AU26" s="151">
        <f>IFERROR(VLOOKUP(A26,'[7]TD CuentasBDG'!$N$5:$O$21,2,0),0)</f>
        <v>0</v>
      </c>
      <c r="AV26">
        <f t="shared" si="28"/>
        <v>0</v>
      </c>
    </row>
    <row r="27" spans="1:50" ht="45" x14ac:dyDescent="0.25">
      <c r="A27" s="508" t="s">
        <v>1709</v>
      </c>
      <c r="B27" s="508" t="s">
        <v>1646</v>
      </c>
      <c r="C27" s="508" t="s">
        <v>81</v>
      </c>
      <c r="D27" s="508" t="s">
        <v>81</v>
      </c>
      <c r="E27" s="508"/>
      <c r="F27" s="508"/>
      <c r="G27" s="508" t="s">
        <v>1707</v>
      </c>
      <c r="H27" s="508"/>
      <c r="I27" s="508"/>
      <c r="J27" s="555"/>
      <c r="K27" s="555"/>
      <c r="L27" s="911">
        <f ca="1">IFERROR(INDEX(Lists!$O$2:$Z$2,MATCH(TRUE,INDEX((AE27:AP27&lt;&gt;0),0),0)),DATE(2018,1,1))</f>
        <v>43160</v>
      </c>
      <c r="M27" s="911">
        <f ca="1">IFERROR(INDEX(Lists!$O$3:$Z$3, VALUE(SUBSTITUTE(TEXT(ADDRESS(SUMPRODUCT(MAX((COLUMN(AE27:AP27)*(AE27:AP27&gt;0)))),1),),"$A$",""))-30),DATE(2018,1,1))</f>
        <v>43190</v>
      </c>
      <c r="N27" s="508"/>
      <c r="O27" s="508"/>
      <c r="P27" s="508"/>
      <c r="Q27" s="508"/>
      <c r="R27" s="508" t="str">
        <f t="shared" ca="1" si="0"/>
        <v>RESOURCES</v>
      </c>
      <c r="S27" s="508" t="str">
        <f t="shared" ca="1" si="1"/>
        <v>Technical equipment to support security for 15 trucks</v>
      </c>
      <c r="T27" s="508" t="str">
        <f t="shared" ca="1" si="2"/>
        <v>15  Sensores de retroseso - dash cam+ instalación / quotation</v>
      </c>
      <c r="U27" s="508" t="str">
        <f t="shared" ca="1" si="3"/>
        <v>685 / 51-11-3314</v>
      </c>
      <c r="V27" s="508" t="str">
        <f t="shared" ca="1" si="4"/>
        <v>Sole Source OC</v>
      </c>
      <c r="W27" s="508" t="str">
        <f t="shared" ca="1" si="5"/>
        <v>wificentro</v>
      </c>
      <c r="X27" s="508" t="str">
        <f t="shared" ca="1" si="6"/>
        <v>N/A</v>
      </c>
      <c r="Y27" s="508" t="str">
        <f t="shared" ca="1" si="7"/>
        <v>N/A</v>
      </c>
      <c r="Z27" s="508" t="str">
        <f t="shared" ca="1" si="8"/>
        <v>N/A</v>
      </c>
      <c r="AA27" s="508" t="str">
        <f t="shared" ca="1" si="9"/>
        <v>N/A</v>
      </c>
      <c r="AB27" s="508">
        <f t="shared" ca="1" si="10"/>
        <v>1</v>
      </c>
      <c r="AC27" s="508">
        <f t="shared" ca="1" si="11"/>
        <v>0</v>
      </c>
      <c r="AD27" s="912">
        <f t="shared" ca="1" si="12"/>
        <v>2529.8507462686566</v>
      </c>
      <c r="AE27" s="512">
        <f t="shared" ca="1" si="13"/>
        <v>0</v>
      </c>
      <c r="AF27" s="512">
        <f t="shared" ca="1" si="14"/>
        <v>0</v>
      </c>
      <c r="AG27" s="512">
        <f t="shared" ca="1" si="15"/>
        <v>2529.8507462686566</v>
      </c>
      <c r="AH27" s="512">
        <f t="shared" ca="1" si="16"/>
        <v>0</v>
      </c>
      <c r="AI27" s="512">
        <f t="shared" ca="1" si="17"/>
        <v>0</v>
      </c>
      <c r="AJ27" s="512">
        <f t="shared" ca="1" si="18"/>
        <v>0</v>
      </c>
      <c r="AK27" s="512">
        <f t="shared" ca="1" si="19"/>
        <v>0</v>
      </c>
      <c r="AL27" s="512">
        <f t="shared" ca="1" si="20"/>
        <v>0</v>
      </c>
      <c r="AM27" s="512">
        <f t="shared" ca="1" si="21"/>
        <v>0</v>
      </c>
      <c r="AN27" s="512">
        <f t="shared" ca="1" si="22"/>
        <v>0</v>
      </c>
      <c r="AO27" s="512">
        <f t="shared" ca="1" si="23"/>
        <v>0</v>
      </c>
      <c r="AP27" s="512">
        <f t="shared" ca="1" si="24"/>
        <v>0</v>
      </c>
      <c r="AQ27" s="512" t="str">
        <f t="shared" si="25"/>
        <v/>
      </c>
      <c r="AR27" s="512"/>
      <c r="AS27" s="512" t="str">
        <f t="shared" si="26"/>
        <v/>
      </c>
      <c r="AT27" s="151">
        <f t="shared" si="27"/>
        <v>0</v>
      </c>
      <c r="AU27" s="151">
        <f>IFERROR(VLOOKUP(A27,'[7]TD CuentasBDG'!$N$5:$O$21,2,0),0)</f>
        <v>0</v>
      </c>
      <c r="AV27">
        <f t="shared" si="28"/>
        <v>0</v>
      </c>
    </row>
    <row r="28" spans="1:50" ht="45" x14ac:dyDescent="0.25">
      <c r="A28" s="508" t="s">
        <v>1710</v>
      </c>
      <c r="B28" s="508" t="s">
        <v>1646</v>
      </c>
      <c r="C28" s="508" t="s">
        <v>81</v>
      </c>
      <c r="D28" s="508" t="s">
        <v>81</v>
      </c>
      <c r="E28" s="508"/>
      <c r="F28" s="508"/>
      <c r="G28" s="508" t="s">
        <v>1707</v>
      </c>
      <c r="H28" s="508"/>
      <c r="I28" s="508"/>
      <c r="J28" s="555"/>
      <c r="K28" s="555"/>
      <c r="L28" s="911">
        <f ca="1">IFERROR(INDEX(Lists!$O$2:$Z$2,MATCH(TRUE,INDEX((AE28:AP28&lt;&gt;0),0),0)),DATE(2018,1,1))</f>
        <v>43132</v>
      </c>
      <c r="M28" s="911">
        <f ca="1">IFERROR(INDEX(Lists!$O$3:$Z$3, VALUE(SUBSTITUTE(TEXT(ADDRESS(SUMPRODUCT(MAX((COLUMN(AE28:AP28)*(AE28:AP28&gt;0)))),1),),"$A$",""))-30),DATE(2018,1,1))</f>
        <v>43159</v>
      </c>
      <c r="N28" s="508"/>
      <c r="O28" s="508"/>
      <c r="P28" s="508"/>
      <c r="Q28" s="508"/>
      <c r="R28" s="508" t="str">
        <f t="shared" ca="1" si="0"/>
        <v>RESOURCES</v>
      </c>
      <c r="S28" s="508" t="str">
        <f t="shared" ca="1" si="1"/>
        <v>Asegurar continuidad servicios comunicaciones</v>
      </c>
      <c r="T28" s="508" t="str">
        <f t="shared" ca="1" si="2"/>
        <v>Equipos back up de comunicaciones: 2 switsh y 1 router / quotation</v>
      </c>
      <c r="U28" s="508" t="str">
        <f t="shared" ca="1" si="3"/>
        <v>685 / 51-11-3314</v>
      </c>
      <c r="V28" s="508" t="str">
        <f t="shared" ca="1" si="4"/>
        <v>Sole Source OC</v>
      </c>
      <c r="W28" s="508" t="str">
        <f t="shared" ca="1" si="5"/>
        <v>Cisco</v>
      </c>
      <c r="X28" s="508" t="str">
        <f t="shared" ca="1" si="6"/>
        <v>N/A</v>
      </c>
      <c r="Y28" s="508" t="str">
        <f t="shared" ca="1" si="7"/>
        <v>N/A</v>
      </c>
      <c r="Z28" s="508" t="str">
        <f t="shared" ca="1" si="8"/>
        <v>N/A</v>
      </c>
      <c r="AA28" s="508" t="str">
        <f t="shared" ca="1" si="9"/>
        <v>N/A</v>
      </c>
      <c r="AB28" s="508">
        <f t="shared" ca="1" si="10"/>
        <v>1</v>
      </c>
      <c r="AC28" s="508">
        <f t="shared" ca="1" si="11"/>
        <v>0</v>
      </c>
      <c r="AD28" s="912">
        <f t="shared" ca="1" si="12"/>
        <v>11220</v>
      </c>
      <c r="AE28" s="512">
        <f t="shared" ca="1" si="13"/>
        <v>0</v>
      </c>
      <c r="AF28" s="512">
        <f t="shared" ca="1" si="14"/>
        <v>11220</v>
      </c>
      <c r="AG28" s="512">
        <f t="shared" ca="1" si="15"/>
        <v>0</v>
      </c>
      <c r="AH28" s="512">
        <f t="shared" ca="1" si="16"/>
        <v>0</v>
      </c>
      <c r="AI28" s="512">
        <f t="shared" ca="1" si="17"/>
        <v>0</v>
      </c>
      <c r="AJ28" s="512">
        <f t="shared" ca="1" si="18"/>
        <v>0</v>
      </c>
      <c r="AK28" s="512">
        <f t="shared" ca="1" si="19"/>
        <v>0</v>
      </c>
      <c r="AL28" s="512">
        <f t="shared" ca="1" si="20"/>
        <v>0</v>
      </c>
      <c r="AM28" s="512">
        <f t="shared" ca="1" si="21"/>
        <v>0</v>
      </c>
      <c r="AN28" s="512">
        <f t="shared" ca="1" si="22"/>
        <v>0</v>
      </c>
      <c r="AO28" s="512">
        <f t="shared" ca="1" si="23"/>
        <v>0</v>
      </c>
      <c r="AP28" s="512">
        <f t="shared" ca="1" si="24"/>
        <v>0</v>
      </c>
      <c r="AQ28" s="512" t="str">
        <f t="shared" si="25"/>
        <v/>
      </c>
      <c r="AR28" s="512"/>
      <c r="AS28" s="512" t="str">
        <f t="shared" si="26"/>
        <v/>
      </c>
      <c r="AT28" s="151">
        <f t="shared" si="27"/>
        <v>0</v>
      </c>
      <c r="AU28" s="151">
        <f>IFERROR(VLOOKUP(A28,'[7]TD CuentasBDG'!$N$5:$O$21,2,0),0)</f>
        <v>0</v>
      </c>
      <c r="AV28">
        <f t="shared" si="28"/>
        <v>0</v>
      </c>
    </row>
    <row r="29" spans="1:50" ht="75" x14ac:dyDescent="0.25">
      <c r="A29" s="508" t="s">
        <v>1711</v>
      </c>
      <c r="B29" s="508" t="s">
        <v>1646</v>
      </c>
      <c r="C29" s="508" t="s">
        <v>81</v>
      </c>
      <c r="D29" s="508" t="s">
        <v>81</v>
      </c>
      <c r="E29" s="508"/>
      <c r="F29" s="508"/>
      <c r="G29" s="508" t="s">
        <v>1707</v>
      </c>
      <c r="H29" s="508"/>
      <c r="I29" s="508"/>
      <c r="J29" s="555"/>
      <c r="K29" s="555"/>
      <c r="L29" s="911">
        <f ca="1">IFERROR(INDEX(Lists!$O$2:$Z$2,MATCH(TRUE,INDEX((AE29:AP29&lt;&gt;0),0),0)),DATE(2018,1,1))</f>
        <v>43160</v>
      </c>
      <c r="M29" s="911">
        <f ca="1">IFERROR(INDEX(Lists!$O$3:$Z$3, VALUE(SUBSTITUTE(TEXT(ADDRESS(SUMPRODUCT(MAX((COLUMN(AE29:AP29)*(AE29:AP29&gt;0)))),1),),"$A$",""))-30),DATE(2018,1,1))</f>
        <v>43190</v>
      </c>
      <c r="N29" s="508"/>
      <c r="O29" s="508"/>
      <c r="P29" s="508"/>
      <c r="Q29" s="508"/>
      <c r="R29" s="508" t="str">
        <f t="shared" ca="1" si="0"/>
        <v>RESOURCES</v>
      </c>
      <c r="S29" s="508" t="str">
        <f t="shared" ca="1" si="1"/>
        <v>3 UPS de recambio: 2 of Santiago, 1 Vallenar y 1 Alto del Carmen</v>
      </c>
      <c r="T29" s="508" t="str">
        <f t="shared" ca="1" si="2"/>
        <v xml:space="preserve">Quotation APC 
Considera comprar # 3 UPS para recambio de 2 de Stgo, 1 Vallenar y 1Alto del carmen, usando una de las 2 que hay hoy de resguardo. / </v>
      </c>
      <c r="U29" s="508">
        <f t="shared" ca="1" si="3"/>
        <v>0</v>
      </c>
      <c r="V29" s="508">
        <f t="shared" ca="1" si="4"/>
        <v>0</v>
      </c>
      <c r="W29" s="508">
        <f t="shared" ca="1" si="5"/>
        <v>0</v>
      </c>
      <c r="X29" s="508">
        <f t="shared" ca="1" si="6"/>
        <v>0</v>
      </c>
      <c r="Y29" s="508">
        <f t="shared" ca="1" si="7"/>
        <v>0</v>
      </c>
      <c r="Z29" s="508">
        <f t="shared" ca="1" si="8"/>
        <v>0</v>
      </c>
      <c r="AA29" s="508">
        <f t="shared" ca="1" si="9"/>
        <v>0</v>
      </c>
      <c r="AB29" s="508">
        <f t="shared" ca="1" si="10"/>
        <v>1</v>
      </c>
      <c r="AC29" s="508">
        <f t="shared" ca="1" si="11"/>
        <v>0</v>
      </c>
      <c r="AD29" s="912">
        <f t="shared" ca="1" si="12"/>
        <v>8955</v>
      </c>
      <c r="AE29" s="512">
        <f t="shared" ca="1" si="13"/>
        <v>0</v>
      </c>
      <c r="AF29" s="512">
        <f t="shared" ca="1" si="14"/>
        <v>0</v>
      </c>
      <c r="AG29" s="512">
        <f t="shared" ca="1" si="15"/>
        <v>8955</v>
      </c>
      <c r="AH29" s="512">
        <f t="shared" ca="1" si="16"/>
        <v>0</v>
      </c>
      <c r="AI29" s="512">
        <f t="shared" ca="1" si="17"/>
        <v>0</v>
      </c>
      <c r="AJ29" s="512">
        <f t="shared" ca="1" si="18"/>
        <v>0</v>
      </c>
      <c r="AK29" s="512">
        <f t="shared" ca="1" si="19"/>
        <v>0</v>
      </c>
      <c r="AL29" s="512">
        <f t="shared" ca="1" si="20"/>
        <v>0</v>
      </c>
      <c r="AM29" s="512">
        <f t="shared" ca="1" si="21"/>
        <v>0</v>
      </c>
      <c r="AN29" s="512">
        <f t="shared" ca="1" si="22"/>
        <v>0</v>
      </c>
      <c r="AO29" s="512">
        <f t="shared" ca="1" si="23"/>
        <v>0</v>
      </c>
      <c r="AP29" s="512">
        <f t="shared" ca="1" si="24"/>
        <v>0</v>
      </c>
      <c r="AQ29" s="512" t="str">
        <f t="shared" si="25"/>
        <v/>
      </c>
      <c r="AR29" s="512"/>
      <c r="AS29" s="512" t="str">
        <f t="shared" si="26"/>
        <v/>
      </c>
      <c r="AT29" s="151">
        <f t="shared" si="27"/>
        <v>0</v>
      </c>
      <c r="AU29" s="151">
        <f>IFERROR(VLOOKUP(A29,'[7]TD CuentasBDG'!$N$5:$O$21,2,0),0)</f>
        <v>0</v>
      </c>
      <c r="AV29">
        <f t="shared" si="28"/>
        <v>0</v>
      </c>
    </row>
    <row r="30" spans="1:50" ht="150" x14ac:dyDescent="0.25">
      <c r="A30" s="508" t="s">
        <v>1712</v>
      </c>
      <c r="B30" s="508" t="s">
        <v>1646</v>
      </c>
      <c r="C30" s="508" t="s">
        <v>81</v>
      </c>
      <c r="D30" s="508" t="s">
        <v>81</v>
      </c>
      <c r="E30" s="508"/>
      <c r="F30" s="508"/>
      <c r="G30" s="508" t="s">
        <v>1707</v>
      </c>
      <c r="H30" s="508"/>
      <c r="I30" s="508"/>
      <c r="J30" s="555"/>
      <c r="K30" s="555"/>
      <c r="L30" s="911">
        <f ca="1">IFERROR(INDEX(Lists!$O$2:$Z$2,MATCH(TRUE,INDEX((AE30:AP30&lt;&gt;0),0),0)),DATE(2018,1,1))</f>
        <v>43160</v>
      </c>
      <c r="M30" s="911">
        <f ca="1">IFERROR(INDEX(Lists!$O$3:$Z$3, VALUE(SUBSTITUTE(TEXT(ADDRESS(SUMPRODUCT(MAX((COLUMN(AE30:AP30)*(AE30:AP30&gt;0)))),1),),"$A$",""))-30),DATE(2018,1,1))</f>
        <v>43312</v>
      </c>
      <c r="N30" s="508"/>
      <c r="O30" s="508"/>
      <c r="P30" s="508"/>
      <c r="Q30" s="508"/>
      <c r="R30" s="508" t="str">
        <f t="shared" ca="1" si="0"/>
        <v>RESOURCES</v>
      </c>
      <c r="S30" s="508" t="str">
        <f t="shared" ca="1" si="1"/>
        <v>Office remodel</v>
      </c>
      <c r="T30" s="508" t="str">
        <f t="shared" ca="1" si="2"/>
        <v>Adapt the connections, wifi, etc for new or additional desktops at Apoquindo's or Vallenar's offices . This considers one small changes to current office of apoquindo and another small change to the Vallenar office, this does not include new offices or big changes to the current ones) / Apoquindo's office remodel 2017</v>
      </c>
      <c r="U30" s="508" t="str">
        <f t="shared" ca="1" si="3"/>
        <v>685 / 51-11-3314</v>
      </c>
      <c r="V30" s="508" t="str">
        <f t="shared" ca="1" si="4"/>
        <v>Sole Source OC</v>
      </c>
      <c r="W30" s="508">
        <f t="shared" ca="1" si="5"/>
        <v>0</v>
      </c>
      <c r="X30" s="508" t="str">
        <f t="shared" ca="1" si="6"/>
        <v>N/A</v>
      </c>
      <c r="Y30" s="508" t="str">
        <f t="shared" ca="1" si="7"/>
        <v>N/A</v>
      </c>
      <c r="Z30" s="508" t="str">
        <f t="shared" ca="1" si="8"/>
        <v>N/A</v>
      </c>
      <c r="AA30" s="508" t="str">
        <f t="shared" ca="1" si="9"/>
        <v>N/A</v>
      </c>
      <c r="AB30" s="508">
        <f t="shared" ca="1" si="10"/>
        <v>5</v>
      </c>
      <c r="AC30" s="508">
        <f t="shared" ca="1" si="11"/>
        <v>0</v>
      </c>
      <c r="AD30" s="912">
        <f t="shared" ca="1" si="12"/>
        <v>7800</v>
      </c>
      <c r="AE30" s="512">
        <f t="shared" ca="1" si="13"/>
        <v>0</v>
      </c>
      <c r="AF30" s="512">
        <f t="shared" ca="1" si="14"/>
        <v>0</v>
      </c>
      <c r="AG30" s="512">
        <f t="shared" ca="1" si="15"/>
        <v>5200</v>
      </c>
      <c r="AH30" s="512">
        <f t="shared" ca="1" si="16"/>
        <v>0</v>
      </c>
      <c r="AI30" s="512">
        <f t="shared" ca="1" si="17"/>
        <v>0</v>
      </c>
      <c r="AJ30" s="512">
        <f t="shared" ca="1" si="18"/>
        <v>0</v>
      </c>
      <c r="AK30" s="512">
        <f t="shared" ca="1" si="19"/>
        <v>2600</v>
      </c>
      <c r="AL30" s="512">
        <f t="shared" ca="1" si="20"/>
        <v>0</v>
      </c>
      <c r="AM30" s="512">
        <f t="shared" ca="1" si="21"/>
        <v>0</v>
      </c>
      <c r="AN30" s="512">
        <f t="shared" ca="1" si="22"/>
        <v>0</v>
      </c>
      <c r="AO30" s="512">
        <f t="shared" ca="1" si="23"/>
        <v>0</v>
      </c>
      <c r="AP30" s="512">
        <f t="shared" ca="1" si="24"/>
        <v>0</v>
      </c>
      <c r="AQ30" s="512" t="str">
        <f t="shared" si="25"/>
        <v/>
      </c>
      <c r="AR30" s="512"/>
      <c r="AS30" s="512" t="str">
        <f t="shared" si="26"/>
        <v/>
      </c>
      <c r="AT30" s="151">
        <f t="shared" si="27"/>
        <v>0</v>
      </c>
      <c r="AU30" s="151">
        <f>IFERROR(VLOOKUP(A30,'[7]TD CuentasBDG'!$N$5:$O$21,2,0),0)</f>
        <v>0</v>
      </c>
      <c r="AV30">
        <f t="shared" si="28"/>
        <v>0</v>
      </c>
    </row>
    <row r="31" spans="1:50" ht="90" x14ac:dyDescent="0.25">
      <c r="A31" s="508" t="s">
        <v>1713</v>
      </c>
      <c r="B31" s="508" t="s">
        <v>1646</v>
      </c>
      <c r="C31" s="508" t="s">
        <v>81</v>
      </c>
      <c r="D31" s="508" t="s">
        <v>81</v>
      </c>
      <c r="E31" s="508"/>
      <c r="F31" s="508"/>
      <c r="G31" s="508" t="s">
        <v>1647</v>
      </c>
      <c r="H31" s="508" t="s">
        <v>1714</v>
      </c>
      <c r="I31" s="508" t="s">
        <v>1715</v>
      </c>
      <c r="J31" s="555" t="s">
        <v>1650</v>
      </c>
      <c r="K31" s="555" t="s">
        <v>1651</v>
      </c>
      <c r="L31" s="911">
        <f ca="1">IFERROR(INDEX(Lists!$O$2:$Z$2,MATCH(TRUE,INDEX((AE31:AP31&lt;&gt;0),0),0)),DATE(2018,1,1))</f>
        <v>43102</v>
      </c>
      <c r="M31" s="911">
        <f ca="1">IFERROR(INDEX(Lists!$O$3:$Z$3, VALUE(SUBSTITUTE(TEXT(ADDRESS(SUMPRODUCT(MAX((COLUMN(AE31:AP31)*(AE31:AP31&gt;0)))),1),),"$A$",""))-30),DATE(2018,1,1))</f>
        <v>43465</v>
      </c>
      <c r="N31" s="508" t="s">
        <v>1652</v>
      </c>
      <c r="O31" s="508" t="s">
        <v>1653</v>
      </c>
      <c r="P31" s="508" t="s">
        <v>1071</v>
      </c>
      <c r="Q31" s="508" t="s">
        <v>1676</v>
      </c>
      <c r="R31" s="508" t="str">
        <f t="shared" ca="1" si="0"/>
        <v>RESOURCES</v>
      </c>
      <c r="S31" s="508" t="str">
        <f t="shared" ca="1" si="1"/>
        <v>Mantenciónequipos multifucionales( impresoras) Ricoh  (SC252)</v>
      </c>
      <c r="T31" s="508" t="str">
        <f t="shared" ca="1" si="2"/>
        <v>Mantención y reparación 9 impresoras en Stgo, Vallenar, La Fortuna,  Relincho, Alto del Carmen / proposal 2018- Ricoh- Servicios -Carlos Alfredo Lagos- SERVICIOS TECNOLOGICOS SPA</v>
      </c>
      <c r="U31" s="508" t="str">
        <f t="shared" ca="1" si="3"/>
        <v>685 / 51-11-3314</v>
      </c>
      <c r="V31" s="508" t="str">
        <f t="shared" ca="1" si="4"/>
        <v>Active Ct</v>
      </c>
      <c r="W31" s="508" t="str">
        <f t="shared" ca="1" si="5"/>
        <v>SERVICIOS TECNOLOGICOS SPA</v>
      </c>
      <c r="X31" s="508" t="str">
        <f t="shared" ca="1" si="6"/>
        <v>N/A</v>
      </c>
      <c r="Y31" s="508" t="str">
        <f t="shared" ca="1" si="7"/>
        <v>N/A</v>
      </c>
      <c r="Z31" s="508" t="str">
        <f t="shared" ca="1" si="8"/>
        <v>N/A</v>
      </c>
      <c r="AA31" s="508" t="str">
        <f t="shared" ca="1" si="9"/>
        <v>N/A</v>
      </c>
      <c r="AB31" s="508">
        <f t="shared" ca="1" si="10"/>
        <v>12</v>
      </c>
      <c r="AC31" s="508">
        <f t="shared" ca="1" si="11"/>
        <v>0</v>
      </c>
      <c r="AD31" s="912">
        <f t="shared" ca="1" si="12"/>
        <v>44221.744477611937</v>
      </c>
      <c r="AE31" s="512">
        <f t="shared" ca="1" si="13"/>
        <v>3685.1453731343281</v>
      </c>
      <c r="AF31" s="512">
        <f t="shared" ca="1" si="14"/>
        <v>3685.1453731343281</v>
      </c>
      <c r="AG31" s="512">
        <f t="shared" ca="1" si="15"/>
        <v>3685.1453731343281</v>
      </c>
      <c r="AH31" s="512">
        <f t="shared" ca="1" si="16"/>
        <v>3685.1453731343281</v>
      </c>
      <c r="AI31" s="512">
        <f t="shared" ca="1" si="17"/>
        <v>3685.1453731343281</v>
      </c>
      <c r="AJ31" s="512">
        <f t="shared" ca="1" si="18"/>
        <v>3685.1453731343281</v>
      </c>
      <c r="AK31" s="512">
        <f t="shared" ca="1" si="19"/>
        <v>3685.1453731343281</v>
      </c>
      <c r="AL31" s="512">
        <f t="shared" ca="1" si="20"/>
        <v>3685.1453731343281</v>
      </c>
      <c r="AM31" s="512">
        <f t="shared" ca="1" si="21"/>
        <v>3685.1453731343281</v>
      </c>
      <c r="AN31" s="512">
        <f t="shared" ca="1" si="22"/>
        <v>3685.1453731343281</v>
      </c>
      <c r="AO31" s="512">
        <f t="shared" ca="1" si="23"/>
        <v>3685.1453731343281</v>
      </c>
      <c r="AP31" s="512">
        <f t="shared" ca="1" si="24"/>
        <v>3685.1453731343281</v>
      </c>
      <c r="AQ31" s="512" t="str">
        <f t="shared" ca="1" si="25"/>
        <v>Contrato</v>
      </c>
      <c r="AR31" s="512"/>
      <c r="AS31" s="512" t="str">
        <f t="shared" ca="1" si="26"/>
        <v>No</v>
      </c>
      <c r="AT31" s="151">
        <f t="shared" ca="1" si="27"/>
        <v>44221.744477611937</v>
      </c>
      <c r="AU31" s="151">
        <f>IFERROR(VLOOKUP(A31,'[7]TD CuentasBDG'!$N$5:$O$21,2,0),0)</f>
        <v>0</v>
      </c>
      <c r="AV31" t="str">
        <f t="shared" si="28"/>
        <v>Renovación de Contrato</v>
      </c>
      <c r="AW31" t="s">
        <v>1669</v>
      </c>
      <c r="AX31" t="s">
        <v>1655</v>
      </c>
    </row>
    <row r="32" spans="1:50" ht="60" x14ac:dyDescent="0.25">
      <c r="A32" s="508" t="s">
        <v>1716</v>
      </c>
      <c r="B32" s="508" t="s">
        <v>1646</v>
      </c>
      <c r="C32" s="508" t="s">
        <v>81</v>
      </c>
      <c r="D32" s="508" t="s">
        <v>81</v>
      </c>
      <c r="E32" s="508"/>
      <c r="F32" s="508"/>
      <c r="G32" s="508" t="s">
        <v>1707</v>
      </c>
      <c r="H32" s="508"/>
      <c r="I32" s="508"/>
      <c r="J32" s="555"/>
      <c r="K32" s="555"/>
      <c r="L32" s="911">
        <f ca="1">IFERROR(INDEX(Lists!$O$2:$Z$2,MATCH(TRUE,INDEX((AE32:AP32&lt;&gt;0),0),0)),DATE(2018,1,1))</f>
        <v>43160</v>
      </c>
      <c r="M32" s="911">
        <f ca="1">IFERROR(INDEX(Lists!$O$3:$Z$3, VALUE(SUBSTITUTE(TEXT(ADDRESS(SUMPRODUCT(MAX((COLUMN(AE32:AP32)*(AE32:AP32&gt;0)))),1),),"$A$",""))-30),DATE(2018,1,1))</f>
        <v>43373</v>
      </c>
      <c r="N32" s="508"/>
      <c r="O32" s="508"/>
      <c r="P32" s="508"/>
      <c r="Q32" s="508"/>
      <c r="R32" s="508" t="str">
        <f t="shared" ca="1" si="0"/>
        <v>RESOURCES</v>
      </c>
      <c r="S32" s="508" t="str">
        <f t="shared" ca="1" si="1"/>
        <v>Suministros impresoras 9 Ricoh y desktops</v>
      </c>
      <c r="T32" s="508" t="str">
        <f t="shared" ca="1" si="2"/>
        <v>tonels, cartuchos tintas, repuestos, etc / proposal 2018: reponer toner 4  stgo printers c/3 meses y las 5 restantes c/4meses</v>
      </c>
      <c r="U32" s="508" t="str">
        <f t="shared" ca="1" si="3"/>
        <v>685 / 51-11-3314</v>
      </c>
      <c r="V32" s="508" t="str">
        <f t="shared" ca="1" si="4"/>
        <v>Sole Source OC</v>
      </c>
      <c r="W32" s="508" t="str">
        <f t="shared" ca="1" si="5"/>
        <v>SERVICIOS TECNOLOGICOS SPA</v>
      </c>
      <c r="X32" s="508" t="str">
        <f t="shared" ca="1" si="6"/>
        <v>N/A</v>
      </c>
      <c r="Y32" s="508" t="str">
        <f t="shared" ca="1" si="7"/>
        <v>N/A</v>
      </c>
      <c r="Z32" s="508" t="str">
        <f t="shared" ca="1" si="8"/>
        <v>N/A</v>
      </c>
      <c r="AA32" s="508" t="str">
        <f t="shared" ca="1" si="9"/>
        <v>N/A</v>
      </c>
      <c r="AB32" s="508">
        <f t="shared" ca="1" si="10"/>
        <v>7</v>
      </c>
      <c r="AC32" s="508">
        <f t="shared" ca="1" si="11"/>
        <v>0</v>
      </c>
      <c r="AD32" s="912">
        <f t="shared" ca="1" si="12"/>
        <v>22079.125373134328</v>
      </c>
      <c r="AE32" s="512">
        <f t="shared" ca="1" si="13"/>
        <v>0</v>
      </c>
      <c r="AF32" s="512">
        <f t="shared" ca="1" si="14"/>
        <v>0</v>
      </c>
      <c r="AG32" s="512">
        <f t="shared" ca="1" si="15"/>
        <v>12820.137313432835</v>
      </c>
      <c r="AH32" s="512">
        <f t="shared" ca="1" si="16"/>
        <v>0</v>
      </c>
      <c r="AI32" s="512">
        <f t="shared" ca="1" si="17"/>
        <v>0</v>
      </c>
      <c r="AJ32" s="512">
        <f t="shared" ca="1" si="18"/>
        <v>0</v>
      </c>
      <c r="AK32" s="512">
        <f t="shared" ca="1" si="19"/>
        <v>0</v>
      </c>
      <c r="AL32" s="512">
        <f t="shared" ca="1" si="20"/>
        <v>0</v>
      </c>
      <c r="AM32" s="512">
        <f t="shared" ca="1" si="21"/>
        <v>9258.9880597014926</v>
      </c>
      <c r="AN32" s="512">
        <f t="shared" ca="1" si="22"/>
        <v>0</v>
      </c>
      <c r="AO32" s="512">
        <f t="shared" ca="1" si="23"/>
        <v>0</v>
      </c>
      <c r="AP32" s="512">
        <f t="shared" ca="1" si="24"/>
        <v>0</v>
      </c>
      <c r="AQ32" s="512" t="str">
        <f t="shared" si="25"/>
        <v/>
      </c>
      <c r="AR32" s="512"/>
      <c r="AS32" s="512" t="str">
        <f t="shared" si="26"/>
        <v/>
      </c>
      <c r="AT32" s="151">
        <f t="shared" si="27"/>
        <v>0</v>
      </c>
      <c r="AU32" s="151">
        <f>IFERROR(VLOOKUP(A32,'[7]TD CuentasBDG'!$N$5:$O$21,2,0),0)</f>
        <v>0</v>
      </c>
      <c r="AV32">
        <f t="shared" si="28"/>
        <v>0</v>
      </c>
    </row>
    <row r="33" spans="1:48" ht="60" x14ac:dyDescent="0.25">
      <c r="A33" s="508" t="s">
        <v>1717</v>
      </c>
      <c r="B33" s="508" t="s">
        <v>1646</v>
      </c>
      <c r="C33" s="508" t="s">
        <v>81</v>
      </c>
      <c r="D33" s="508" t="s">
        <v>81</v>
      </c>
      <c r="E33" s="508"/>
      <c r="F33" s="508"/>
      <c r="G33" s="508" t="s">
        <v>1707</v>
      </c>
      <c r="H33" s="508"/>
      <c r="I33" s="508"/>
      <c r="J33" s="555"/>
      <c r="K33" s="555"/>
      <c r="L33" s="911">
        <f ca="1">IFERROR(INDEX(Lists!$O$2:$Z$2,MATCH(TRUE,INDEX((AE33:AP33&lt;&gt;0),0),0)),DATE(2018,1,1))</f>
        <v>43160</v>
      </c>
      <c r="M33" s="911">
        <f ca="1">IFERROR(INDEX(Lists!$O$3:$Z$3, VALUE(SUBSTITUTE(TEXT(ADDRESS(SUMPRODUCT(MAX((COLUMN(AE33:AP33)*(AE33:AP33&gt;0)))),1),),"$A$",""))-30),DATE(2018,1,1))</f>
        <v>43190</v>
      </c>
      <c r="N33" s="508"/>
      <c r="O33" s="508"/>
      <c r="P33" s="508"/>
      <c r="Q33" s="508"/>
      <c r="R33" s="508" t="str">
        <f t="shared" ca="1" si="0"/>
        <v>RESOURCES</v>
      </c>
      <c r="S33" s="508" t="str">
        <f t="shared" ca="1" si="1"/>
        <v>Suministros 5 impresoras gtes</v>
      </c>
      <c r="T33" s="508" t="str">
        <f t="shared" ca="1" si="2"/>
        <v>tonels, cartuchos tintas, repuestos, etc, 2 reposiciones al año / proposal 2017: reponer cartuchos 5 printers c/6 meses</v>
      </c>
      <c r="U33" s="508" t="str">
        <f t="shared" ca="1" si="3"/>
        <v>685 / 51-11-3314</v>
      </c>
      <c r="V33" s="508" t="str">
        <f t="shared" ca="1" si="4"/>
        <v>Sole Source OC</v>
      </c>
      <c r="W33" s="508" t="str">
        <f t="shared" ca="1" si="5"/>
        <v>dimacofiequipos</v>
      </c>
      <c r="X33" s="508" t="str">
        <f t="shared" ca="1" si="6"/>
        <v>N/A</v>
      </c>
      <c r="Y33" s="508" t="str">
        <f t="shared" ca="1" si="7"/>
        <v>N/A</v>
      </c>
      <c r="Z33" s="508" t="str">
        <f t="shared" ca="1" si="8"/>
        <v>N/A</v>
      </c>
      <c r="AA33" s="508" t="str">
        <f t="shared" ca="1" si="9"/>
        <v>N/A</v>
      </c>
      <c r="AB33" s="508">
        <f t="shared" ca="1" si="10"/>
        <v>1</v>
      </c>
      <c r="AC33" s="508">
        <f t="shared" ca="1" si="11"/>
        <v>0</v>
      </c>
      <c r="AD33" s="912">
        <f t="shared" ca="1" si="12"/>
        <v>2711.0447761194032</v>
      </c>
      <c r="AE33" s="512">
        <f t="shared" ca="1" si="13"/>
        <v>0</v>
      </c>
      <c r="AF33" s="512">
        <f t="shared" ca="1" si="14"/>
        <v>0</v>
      </c>
      <c r="AG33" s="512">
        <f t="shared" ca="1" si="15"/>
        <v>2711.0447761194032</v>
      </c>
      <c r="AH33" s="512">
        <f t="shared" ca="1" si="16"/>
        <v>0</v>
      </c>
      <c r="AI33" s="512">
        <f t="shared" ca="1" si="17"/>
        <v>0</v>
      </c>
      <c r="AJ33" s="512">
        <f t="shared" ca="1" si="18"/>
        <v>0</v>
      </c>
      <c r="AK33" s="512">
        <f t="shared" ca="1" si="19"/>
        <v>0</v>
      </c>
      <c r="AL33" s="512">
        <f t="shared" ca="1" si="20"/>
        <v>0</v>
      </c>
      <c r="AM33" s="512">
        <f t="shared" ca="1" si="21"/>
        <v>0</v>
      </c>
      <c r="AN33" s="512">
        <f t="shared" ca="1" si="22"/>
        <v>0</v>
      </c>
      <c r="AO33" s="512">
        <f t="shared" ca="1" si="23"/>
        <v>0</v>
      </c>
      <c r="AP33" s="512">
        <f t="shared" ca="1" si="24"/>
        <v>0</v>
      </c>
      <c r="AQ33" s="512" t="str">
        <f t="shared" si="25"/>
        <v/>
      </c>
      <c r="AR33" s="512"/>
      <c r="AS33" s="512" t="str">
        <f t="shared" si="26"/>
        <v/>
      </c>
      <c r="AT33" s="151">
        <f t="shared" si="27"/>
        <v>0</v>
      </c>
      <c r="AU33" s="151">
        <f>IFERROR(VLOOKUP(A33,'[7]TD CuentasBDG'!$N$5:$O$21,2,0),0)</f>
        <v>0</v>
      </c>
      <c r="AV33">
        <f t="shared" si="28"/>
        <v>0</v>
      </c>
    </row>
    <row r="34" spans="1:48" ht="60" x14ac:dyDescent="0.25">
      <c r="A34" s="508" t="s">
        <v>1718</v>
      </c>
      <c r="B34" s="508" t="s">
        <v>1646</v>
      </c>
      <c r="C34" s="508" t="s">
        <v>81</v>
      </c>
      <c r="D34" s="508" t="s">
        <v>81</v>
      </c>
      <c r="E34" s="508"/>
      <c r="F34" s="508"/>
      <c r="G34" s="508" t="s">
        <v>1707</v>
      </c>
      <c r="H34" s="508"/>
      <c r="I34" s="508"/>
      <c r="J34" s="555"/>
      <c r="K34" s="555"/>
      <c r="L34" s="911">
        <f ca="1">IFERROR(INDEX(Lists!$O$2:$Z$2,MATCH(TRUE,INDEX((AE34:AP34&lt;&gt;0),0),0)),DATE(2018,1,1))</f>
        <v>43102</v>
      </c>
      <c r="M34" s="911">
        <f ca="1">IFERROR(INDEX(Lists!$O$3:$Z$3, VALUE(SUBSTITUTE(TEXT(ADDRESS(SUMPRODUCT(MAX((COLUMN(AE34:AP34)*(AE34:AP34&gt;0)))),1),),"$A$",""))-30),DATE(2018,1,1))</f>
        <v>43465</v>
      </c>
      <c r="N34" s="508"/>
      <c r="O34" s="508"/>
      <c r="P34" s="508"/>
      <c r="Q34" s="508"/>
      <c r="R34" s="508" t="str">
        <f t="shared" ca="1" si="0"/>
        <v>RESOURCES</v>
      </c>
      <c r="S34" s="508" t="str">
        <f t="shared" ca="1" si="1"/>
        <v xml:space="preserve"> Servicios de video conf Zoom</v>
      </c>
      <c r="T34" s="508" t="str">
        <f t="shared" ca="1" si="2"/>
        <v>5 standard Pro monthly $14,99 + 5 room connector monthly US$ 49+ audio conferencing US$ 200 / current contract</v>
      </c>
      <c r="U34" s="508" t="str">
        <f t="shared" ca="1" si="3"/>
        <v>686 / 51-11-3314</v>
      </c>
      <c r="V34" s="508" t="str">
        <f t="shared" ca="1" si="4"/>
        <v>Active Ct</v>
      </c>
      <c r="W34" s="508" t="str">
        <f t="shared" ca="1" si="5"/>
        <v>zoom</v>
      </c>
      <c r="X34" s="508" t="str">
        <f t="shared" ca="1" si="6"/>
        <v>N/A</v>
      </c>
      <c r="Y34" s="508" t="str">
        <f t="shared" ca="1" si="7"/>
        <v>N/A</v>
      </c>
      <c r="Z34" s="508" t="str">
        <f t="shared" ca="1" si="8"/>
        <v>N/A</v>
      </c>
      <c r="AA34" s="508" t="str">
        <f t="shared" ca="1" si="9"/>
        <v>N/A</v>
      </c>
      <c r="AB34" s="508">
        <f t="shared" ca="1" si="10"/>
        <v>12</v>
      </c>
      <c r="AC34" s="508">
        <f t="shared" ca="1" si="11"/>
        <v>0</v>
      </c>
      <c r="AD34" s="912">
        <f t="shared" ca="1" si="12"/>
        <v>6239.3999999999987</v>
      </c>
      <c r="AE34" s="512">
        <f t="shared" ca="1" si="13"/>
        <v>519.95000000000005</v>
      </c>
      <c r="AF34" s="512">
        <f t="shared" ca="1" si="14"/>
        <v>519.95000000000005</v>
      </c>
      <c r="AG34" s="512">
        <f t="shared" ca="1" si="15"/>
        <v>519.95000000000005</v>
      </c>
      <c r="AH34" s="512">
        <f t="shared" ca="1" si="16"/>
        <v>519.95000000000005</v>
      </c>
      <c r="AI34" s="512">
        <f t="shared" ca="1" si="17"/>
        <v>519.95000000000005</v>
      </c>
      <c r="AJ34" s="512">
        <f t="shared" ca="1" si="18"/>
        <v>519.95000000000005</v>
      </c>
      <c r="AK34" s="512">
        <f t="shared" ca="1" si="19"/>
        <v>519.95000000000005</v>
      </c>
      <c r="AL34" s="512">
        <f t="shared" ca="1" si="20"/>
        <v>519.95000000000005</v>
      </c>
      <c r="AM34" s="512">
        <f t="shared" ca="1" si="21"/>
        <v>519.95000000000005</v>
      </c>
      <c r="AN34" s="512">
        <f t="shared" ca="1" si="22"/>
        <v>519.95000000000005</v>
      </c>
      <c r="AO34" s="512">
        <f t="shared" ca="1" si="23"/>
        <v>519.95000000000005</v>
      </c>
      <c r="AP34" s="512">
        <f t="shared" ca="1" si="24"/>
        <v>519.95000000000005</v>
      </c>
      <c r="AQ34" s="512" t="str">
        <f t="shared" si="25"/>
        <v/>
      </c>
      <c r="AR34" s="512"/>
      <c r="AS34" s="512" t="str">
        <f t="shared" si="26"/>
        <v/>
      </c>
      <c r="AT34" s="151">
        <f t="shared" si="27"/>
        <v>0</v>
      </c>
      <c r="AU34" s="151">
        <f>IFERROR(VLOOKUP(A34,'[7]TD CuentasBDG'!$N$5:$O$21,2,0),0)</f>
        <v>0</v>
      </c>
      <c r="AV34">
        <f t="shared" si="28"/>
        <v>0</v>
      </c>
    </row>
    <row r="35" spans="1:48" ht="45" x14ac:dyDescent="0.25">
      <c r="A35" s="508" t="s">
        <v>1719</v>
      </c>
      <c r="B35" s="508" t="s">
        <v>1646</v>
      </c>
      <c r="C35" s="508" t="s">
        <v>81</v>
      </c>
      <c r="D35" s="508" t="s">
        <v>81</v>
      </c>
      <c r="E35" s="508"/>
      <c r="F35" s="508"/>
      <c r="G35" s="508" t="s">
        <v>1707</v>
      </c>
      <c r="H35" s="508"/>
      <c r="I35" s="508"/>
      <c r="J35" s="555"/>
      <c r="K35" s="555"/>
      <c r="L35" s="911">
        <f ca="1">IFERROR(INDEX(Lists!$O$2:$Z$2,MATCH(TRUE,INDEX((AE35:AP35&lt;&gt;0),0),0)),DATE(2018,1,1))</f>
        <v>43102</v>
      </c>
      <c r="M35" s="911">
        <f ca="1">IFERROR(INDEX(Lists!$O$3:$Z$3, VALUE(SUBSTITUTE(TEXT(ADDRESS(SUMPRODUCT(MAX((COLUMN(AE35:AP35)*(AE35:AP35&gt;0)))),1),),"$A$",""))-30),DATE(2018,1,1))</f>
        <v>43465</v>
      </c>
      <c r="N35" s="508"/>
      <c r="O35" s="508"/>
      <c r="P35" s="508"/>
      <c r="Q35" s="508"/>
      <c r="R35" s="508" t="str">
        <f t="shared" ca="1" si="0"/>
        <v>RESOURCES</v>
      </c>
      <c r="S35" s="508" t="str">
        <f t="shared" ca="1" si="1"/>
        <v>Servicio TV satelital - Relincho</v>
      </c>
      <c r="T35" s="508" t="str">
        <f t="shared" ca="1" si="2"/>
        <v>2 planes Nexus con 7 decodificadores C/U / current contract</v>
      </c>
      <c r="U35" s="508" t="str">
        <f t="shared" ca="1" si="3"/>
        <v>687 / 51-11-3314</v>
      </c>
      <c r="V35" s="508" t="str">
        <f t="shared" ca="1" si="4"/>
        <v>Active Ct</v>
      </c>
      <c r="W35" s="508" t="str">
        <f t="shared" ca="1" si="5"/>
        <v>direcTV</v>
      </c>
      <c r="X35" s="508" t="str">
        <f t="shared" ca="1" si="6"/>
        <v>N/A</v>
      </c>
      <c r="Y35" s="508" t="str">
        <f t="shared" ca="1" si="7"/>
        <v>N/A</v>
      </c>
      <c r="Z35" s="508" t="str">
        <f t="shared" ca="1" si="8"/>
        <v>N/A</v>
      </c>
      <c r="AA35" s="508" t="str">
        <f t="shared" ca="1" si="9"/>
        <v>N/A</v>
      </c>
      <c r="AB35" s="508">
        <f t="shared" ca="1" si="10"/>
        <v>12</v>
      </c>
      <c r="AC35" s="508">
        <f t="shared" ca="1" si="11"/>
        <v>0</v>
      </c>
      <c r="AD35" s="912">
        <f t="shared" ca="1" si="12"/>
        <v>2691.5820895522393</v>
      </c>
      <c r="AE35" s="512">
        <f t="shared" ca="1" si="13"/>
        <v>224.29850746268656</v>
      </c>
      <c r="AF35" s="512">
        <f t="shared" ca="1" si="14"/>
        <v>224.29850746268656</v>
      </c>
      <c r="AG35" s="512">
        <f t="shared" ca="1" si="15"/>
        <v>224.29850746268656</v>
      </c>
      <c r="AH35" s="512">
        <f t="shared" ca="1" si="16"/>
        <v>224.29850746268656</v>
      </c>
      <c r="AI35" s="512">
        <f t="shared" ca="1" si="17"/>
        <v>224.29850746268656</v>
      </c>
      <c r="AJ35" s="512">
        <f t="shared" ca="1" si="18"/>
        <v>224.29850746268656</v>
      </c>
      <c r="AK35" s="512">
        <f t="shared" ca="1" si="19"/>
        <v>224.29850746268656</v>
      </c>
      <c r="AL35" s="512">
        <f t="shared" ca="1" si="20"/>
        <v>224.29850746268656</v>
      </c>
      <c r="AM35" s="512">
        <f t="shared" ca="1" si="21"/>
        <v>224.29850746268656</v>
      </c>
      <c r="AN35" s="512">
        <f t="shared" ca="1" si="22"/>
        <v>224.29850746268656</v>
      </c>
      <c r="AO35" s="512">
        <f t="shared" ca="1" si="23"/>
        <v>224.29850746268656</v>
      </c>
      <c r="AP35" s="512">
        <f t="shared" ca="1" si="24"/>
        <v>224.29850746268656</v>
      </c>
      <c r="AQ35" s="512" t="str">
        <f t="shared" si="25"/>
        <v/>
      </c>
      <c r="AR35" s="512"/>
      <c r="AS35" s="512" t="str">
        <f t="shared" si="26"/>
        <v/>
      </c>
      <c r="AT35" s="151">
        <f t="shared" si="27"/>
        <v>0</v>
      </c>
      <c r="AU35" s="151">
        <f>IFERROR(VLOOKUP(A35,'[7]TD CuentasBDG'!$N$5:$O$21,2,0),0)</f>
        <v>0</v>
      </c>
      <c r="AV35">
        <f t="shared" si="28"/>
        <v>0</v>
      </c>
    </row>
    <row r="36" spans="1:48" ht="30" x14ac:dyDescent="0.25">
      <c r="A36" s="508" t="s">
        <v>1720</v>
      </c>
      <c r="B36" s="508" t="s">
        <v>1646</v>
      </c>
      <c r="C36" s="508" t="s">
        <v>81</v>
      </c>
      <c r="D36" s="508" t="s">
        <v>81</v>
      </c>
      <c r="E36" s="508"/>
      <c r="F36" s="508"/>
      <c r="G36" s="508" t="s">
        <v>1707</v>
      </c>
      <c r="H36" s="508"/>
      <c r="I36" s="508"/>
      <c r="J36" s="555"/>
      <c r="K36" s="555"/>
      <c r="L36" s="911">
        <f ca="1">IFERROR(INDEX(Lists!$O$2:$Z$2,MATCH(TRUE,INDEX((AE36:AP36&lt;&gt;0),0),0)),DATE(2018,1,1))</f>
        <v>43101</v>
      </c>
      <c r="M36" s="911">
        <f ca="1">IFERROR(INDEX(Lists!$O$3:$Z$3, VALUE(SUBSTITUTE(TEXT(ADDRESS(SUMPRODUCT(MAX((COLUMN(AE36:AP36)*(AE36:AP36&gt;0)))),1),),"$A$",""))-30),DATE(2018,1,1))</f>
        <v>43101</v>
      </c>
      <c r="N36" s="508"/>
      <c r="O36" s="508"/>
      <c r="P36" s="508"/>
      <c r="Q36" s="508"/>
      <c r="R36" s="508" t="str">
        <f t="shared" ca="1" si="0"/>
        <v>RESOURCES</v>
      </c>
      <c r="S36" s="508" t="str">
        <f t="shared" ca="1" si="1"/>
        <v>TV cable Casa huespedes Vallenar</v>
      </c>
      <c r="T36" s="508" t="str">
        <f t="shared" ca="1" si="2"/>
        <v xml:space="preserve">(esto lo paga adm Vallenar…debe  ser de IS? ) / </v>
      </c>
      <c r="U36" s="508" t="str">
        <f t="shared" ca="1" si="3"/>
        <v>688 / 51-11-3314</v>
      </c>
      <c r="V36" s="508" t="str">
        <f t="shared" ca="1" si="4"/>
        <v>Active Ct</v>
      </c>
      <c r="W36" s="508" t="str">
        <f t="shared" ca="1" si="5"/>
        <v>Movistar/Telefónica</v>
      </c>
      <c r="X36" s="508" t="str">
        <f t="shared" ca="1" si="6"/>
        <v>N/A</v>
      </c>
      <c r="Y36" s="508" t="str">
        <f t="shared" ca="1" si="7"/>
        <v>N/A</v>
      </c>
      <c r="Z36" s="508" t="str">
        <f t="shared" ca="1" si="8"/>
        <v>N/A</v>
      </c>
      <c r="AA36" s="508" t="str">
        <f t="shared" ca="1" si="9"/>
        <v>N/A</v>
      </c>
      <c r="AB36" s="508">
        <f t="shared" ca="1" si="10"/>
        <v>1</v>
      </c>
      <c r="AC36" s="508">
        <f t="shared" ca="1" si="11"/>
        <v>0</v>
      </c>
      <c r="AD36" s="912">
        <f t="shared" ca="1" si="12"/>
        <v>0</v>
      </c>
      <c r="AE36" s="512">
        <f t="shared" ca="1" si="13"/>
        <v>0</v>
      </c>
      <c r="AF36" s="512">
        <f t="shared" ca="1" si="14"/>
        <v>0</v>
      </c>
      <c r="AG36" s="512">
        <f t="shared" ca="1" si="15"/>
        <v>0</v>
      </c>
      <c r="AH36" s="512">
        <f t="shared" ca="1" si="16"/>
        <v>0</v>
      </c>
      <c r="AI36" s="512">
        <f t="shared" ca="1" si="17"/>
        <v>0</v>
      </c>
      <c r="AJ36" s="512">
        <f t="shared" ca="1" si="18"/>
        <v>0</v>
      </c>
      <c r="AK36" s="512">
        <f t="shared" ca="1" si="19"/>
        <v>0</v>
      </c>
      <c r="AL36" s="512">
        <f t="shared" ca="1" si="20"/>
        <v>0</v>
      </c>
      <c r="AM36" s="512">
        <f t="shared" ca="1" si="21"/>
        <v>0</v>
      </c>
      <c r="AN36" s="512">
        <f t="shared" ca="1" si="22"/>
        <v>0</v>
      </c>
      <c r="AO36" s="512">
        <f t="shared" ca="1" si="23"/>
        <v>0</v>
      </c>
      <c r="AP36" s="512">
        <f t="shared" ca="1" si="24"/>
        <v>0</v>
      </c>
      <c r="AQ36" s="512" t="str">
        <f t="shared" si="25"/>
        <v/>
      </c>
      <c r="AR36" s="512"/>
      <c r="AS36" s="512" t="str">
        <f t="shared" si="26"/>
        <v/>
      </c>
      <c r="AT36" s="151">
        <f t="shared" si="27"/>
        <v>0</v>
      </c>
      <c r="AU36" s="151">
        <f>IFERROR(VLOOKUP(A36,'[7]TD CuentasBDG'!$N$5:$O$21,2,0),0)</f>
        <v>0</v>
      </c>
      <c r="AV36">
        <f t="shared" si="28"/>
        <v>0</v>
      </c>
    </row>
    <row r="37" spans="1:48" ht="90" x14ac:dyDescent="0.25">
      <c r="A37" s="508" t="s">
        <v>1721</v>
      </c>
      <c r="B37" s="508" t="s">
        <v>1646</v>
      </c>
      <c r="C37" s="508" t="s">
        <v>81</v>
      </c>
      <c r="D37" s="508" t="s">
        <v>81</v>
      </c>
      <c r="E37" s="508"/>
      <c r="F37" s="508"/>
      <c r="G37" s="508" t="s">
        <v>1707</v>
      </c>
      <c r="H37" s="508"/>
      <c r="I37" s="508"/>
      <c r="J37" s="555"/>
      <c r="K37" s="555"/>
      <c r="L37" s="911">
        <f ca="1">IFERROR(INDEX(Lists!$O$2:$Z$2,MATCH(TRUE,INDEX((AE37:AP37&lt;&gt;0),0),0)),DATE(2018,1,1))</f>
        <v>43102</v>
      </c>
      <c r="M37" s="911">
        <f ca="1">IFERROR(INDEX(Lists!$O$3:$Z$3, VALUE(SUBSTITUTE(TEXT(ADDRESS(SUMPRODUCT(MAX((COLUMN(AE37:AP37)*(AE37:AP37&gt;0)))),1),),"$A$",""))-30),DATE(2018,1,1))</f>
        <v>43465</v>
      </c>
      <c r="N37" s="508"/>
      <c r="O37" s="508"/>
      <c r="P37" s="508"/>
      <c r="Q37" s="508"/>
      <c r="R37" s="508" t="str">
        <f t="shared" ca="1" si="0"/>
        <v>RESOURCES</v>
      </c>
      <c r="S37" s="508" t="str">
        <f t="shared" ca="1" si="1"/>
        <v>Cell phones - Entel PCS</v>
      </c>
      <c r="T37" s="508" t="str">
        <f t="shared" ca="1" si="2"/>
        <v>Entel PCS contract (Teck) for 120 cell phones cl$ 20000 + SMS others CL$ 5000+5 roaming mes 50 MB CL$ 80.000 - min ilimitados + 3 g+ roaming + g ilimitados gtes / current contract Entel PCS</v>
      </c>
      <c r="U37" s="508" t="str">
        <f t="shared" ca="1" si="3"/>
        <v>685 / 51-11-3314</v>
      </c>
      <c r="V37" s="508" t="str">
        <f t="shared" ca="1" si="4"/>
        <v>Active Ct</v>
      </c>
      <c r="W37" s="508" t="str">
        <f t="shared" ca="1" si="5"/>
        <v>Entel PCS</v>
      </c>
      <c r="X37" s="508" t="str">
        <f t="shared" ca="1" si="6"/>
        <v>N/A</v>
      </c>
      <c r="Y37" s="508" t="str">
        <f t="shared" ca="1" si="7"/>
        <v>N/A</v>
      </c>
      <c r="Z37" s="508" t="str">
        <f t="shared" ca="1" si="8"/>
        <v>N/A</v>
      </c>
      <c r="AA37" s="508" t="str">
        <f t="shared" ca="1" si="9"/>
        <v>N/A</v>
      </c>
      <c r="AB37" s="508">
        <f t="shared" ca="1" si="10"/>
        <v>12</v>
      </c>
      <c r="AC37" s="508">
        <f t="shared" ca="1" si="11"/>
        <v>0</v>
      </c>
      <c r="AD37" s="912">
        <f t="shared" ca="1" si="12"/>
        <v>51940.29850746267</v>
      </c>
      <c r="AE37" s="512">
        <f t="shared" ca="1" si="13"/>
        <v>4328.3582089552237</v>
      </c>
      <c r="AF37" s="512">
        <f t="shared" ca="1" si="14"/>
        <v>4328.3582089552237</v>
      </c>
      <c r="AG37" s="512">
        <f t="shared" ca="1" si="15"/>
        <v>4328.3582089552237</v>
      </c>
      <c r="AH37" s="512">
        <f t="shared" ca="1" si="16"/>
        <v>4328.3582089552237</v>
      </c>
      <c r="AI37" s="512">
        <f t="shared" ca="1" si="17"/>
        <v>4328.3582089552237</v>
      </c>
      <c r="AJ37" s="512">
        <f t="shared" ca="1" si="18"/>
        <v>4328.3582089552237</v>
      </c>
      <c r="AK37" s="512">
        <f t="shared" ca="1" si="19"/>
        <v>4328.3582089552237</v>
      </c>
      <c r="AL37" s="512">
        <f t="shared" ca="1" si="20"/>
        <v>4328.3582089552237</v>
      </c>
      <c r="AM37" s="512">
        <f t="shared" ca="1" si="21"/>
        <v>4328.3582089552237</v>
      </c>
      <c r="AN37" s="512">
        <f t="shared" ca="1" si="22"/>
        <v>4328.3582089552237</v>
      </c>
      <c r="AO37" s="512">
        <f t="shared" ca="1" si="23"/>
        <v>4328.3582089552237</v>
      </c>
      <c r="AP37" s="512">
        <f t="shared" ca="1" si="24"/>
        <v>4328.3582089552237</v>
      </c>
      <c r="AQ37" s="512" t="str">
        <f t="shared" si="25"/>
        <v/>
      </c>
      <c r="AR37" s="512"/>
      <c r="AS37" s="512" t="str">
        <f t="shared" si="26"/>
        <v/>
      </c>
      <c r="AT37" s="151">
        <f t="shared" si="27"/>
        <v>0</v>
      </c>
      <c r="AU37" s="151">
        <f>IFERROR(VLOOKUP(A37,'[7]TD CuentasBDG'!$N$5:$O$21,2,0),0)</f>
        <v>0</v>
      </c>
      <c r="AV37">
        <f t="shared" si="28"/>
        <v>0</v>
      </c>
    </row>
    <row r="38" spans="1:48" ht="45" x14ac:dyDescent="0.25">
      <c r="A38" s="508" t="s">
        <v>1722</v>
      </c>
      <c r="B38" s="508" t="s">
        <v>1646</v>
      </c>
      <c r="C38" s="508" t="s">
        <v>81</v>
      </c>
      <c r="D38" s="508" t="s">
        <v>81</v>
      </c>
      <c r="E38" s="508"/>
      <c r="F38" s="508"/>
      <c r="G38" s="508" t="s">
        <v>1707</v>
      </c>
      <c r="H38" s="508"/>
      <c r="I38" s="508"/>
      <c r="J38" s="555"/>
      <c r="K38" s="555"/>
      <c r="L38" s="911">
        <f ca="1">IFERROR(INDEX(Lists!$O$2:$Z$2,MATCH(TRUE,INDEX((AE38:AP38&lt;&gt;0),0),0)),DATE(2018,1,1))</f>
        <v>43102</v>
      </c>
      <c r="M38" s="911">
        <f ca="1">IFERROR(INDEX(Lists!$O$3:$Z$3, VALUE(SUBSTITUTE(TEXT(ADDRESS(SUMPRODUCT(MAX((COLUMN(AE38:AP38)*(AE38:AP38&gt;0)))),1),),"$A$",""))-30),DATE(2018,1,1))</f>
        <v>43465</v>
      </c>
      <c r="N38" s="508"/>
      <c r="O38" s="508"/>
      <c r="P38" s="508"/>
      <c r="Q38" s="508"/>
      <c r="R38" s="508" t="str">
        <f t="shared" ca="1" si="0"/>
        <v>RESOURCES</v>
      </c>
      <c r="S38" s="508" t="str">
        <f t="shared" ca="1" si="1"/>
        <v>Telefonía fija oficinas Vallenar-Alto del Carmen</v>
      </c>
      <c r="T38" s="508" t="str">
        <f t="shared" ca="1" si="2"/>
        <v>Contrato Teléfonica (El Morro) / current contract  Telefónica</v>
      </c>
      <c r="U38" s="508" t="str">
        <f t="shared" ca="1" si="3"/>
        <v>685 / 51-11-3314</v>
      </c>
      <c r="V38" s="508" t="str">
        <f t="shared" ca="1" si="4"/>
        <v>Active Ct</v>
      </c>
      <c r="W38" s="508" t="str">
        <f t="shared" ca="1" si="5"/>
        <v>Telefonica</v>
      </c>
      <c r="X38" s="508" t="str">
        <f t="shared" ca="1" si="6"/>
        <v>N/A</v>
      </c>
      <c r="Y38" s="508" t="str">
        <f t="shared" ca="1" si="7"/>
        <v>N/A</v>
      </c>
      <c r="Z38" s="508" t="str">
        <f t="shared" ca="1" si="8"/>
        <v>N/A</v>
      </c>
      <c r="AA38" s="508" t="str">
        <f t="shared" ca="1" si="9"/>
        <v>N/A</v>
      </c>
      <c r="AB38" s="508">
        <f t="shared" ca="1" si="10"/>
        <v>12</v>
      </c>
      <c r="AC38" s="508">
        <f t="shared" ca="1" si="11"/>
        <v>0</v>
      </c>
      <c r="AD38" s="912">
        <f t="shared" ca="1" si="12"/>
        <v>24000</v>
      </c>
      <c r="AE38" s="512">
        <f t="shared" ca="1" si="13"/>
        <v>2000</v>
      </c>
      <c r="AF38" s="512">
        <f t="shared" ca="1" si="14"/>
        <v>2000</v>
      </c>
      <c r="AG38" s="512">
        <f t="shared" ca="1" si="15"/>
        <v>2000</v>
      </c>
      <c r="AH38" s="512">
        <f t="shared" ca="1" si="16"/>
        <v>2000</v>
      </c>
      <c r="AI38" s="512">
        <f t="shared" ca="1" si="17"/>
        <v>2000</v>
      </c>
      <c r="AJ38" s="512">
        <f t="shared" ca="1" si="18"/>
        <v>2000</v>
      </c>
      <c r="AK38" s="512">
        <f t="shared" ca="1" si="19"/>
        <v>2000</v>
      </c>
      <c r="AL38" s="512">
        <f t="shared" ca="1" si="20"/>
        <v>2000</v>
      </c>
      <c r="AM38" s="512">
        <f t="shared" ca="1" si="21"/>
        <v>2000</v>
      </c>
      <c r="AN38" s="512">
        <f t="shared" ca="1" si="22"/>
        <v>2000</v>
      </c>
      <c r="AO38" s="512">
        <f t="shared" ca="1" si="23"/>
        <v>2000</v>
      </c>
      <c r="AP38" s="512">
        <f t="shared" ca="1" si="24"/>
        <v>2000</v>
      </c>
      <c r="AQ38" s="512" t="str">
        <f t="shared" si="25"/>
        <v/>
      </c>
      <c r="AR38" s="512"/>
      <c r="AS38" s="512" t="str">
        <f t="shared" si="26"/>
        <v/>
      </c>
      <c r="AT38" s="151">
        <f t="shared" si="27"/>
        <v>0</v>
      </c>
      <c r="AU38" s="151">
        <f>IFERROR(VLOOKUP(A38,'[7]TD CuentasBDG'!$N$5:$O$21,2,0),0)</f>
        <v>0</v>
      </c>
      <c r="AV38">
        <f t="shared" si="28"/>
        <v>0</v>
      </c>
    </row>
    <row r="39" spans="1:48" ht="60" x14ac:dyDescent="0.25">
      <c r="A39" s="508" t="s">
        <v>1723</v>
      </c>
      <c r="B39" s="508" t="s">
        <v>1646</v>
      </c>
      <c r="C39" s="508" t="s">
        <v>81</v>
      </c>
      <c r="D39" s="508" t="s">
        <v>81</v>
      </c>
      <c r="E39" s="508"/>
      <c r="F39" s="508"/>
      <c r="G39" s="508" t="s">
        <v>1707</v>
      </c>
      <c r="H39" s="508"/>
      <c r="I39" s="508"/>
      <c r="J39" s="555"/>
      <c r="K39" s="555"/>
      <c r="L39" s="911">
        <f ca="1">IFERROR(INDEX(Lists!$O$2:$Z$2,MATCH(TRUE,INDEX((AE39:AP39&lt;&gt;0),0),0)),DATE(2018,1,1))</f>
        <v>43102</v>
      </c>
      <c r="M39" s="911">
        <f ca="1">IFERROR(INDEX(Lists!$O$3:$Z$3, VALUE(SUBSTITUTE(TEXT(ADDRESS(SUMPRODUCT(MAX((COLUMN(AE39:AP39)*(AE39:AP39&gt;0)))),1),),"$A$",""))-30),DATE(2018,1,1))</f>
        <v>43465</v>
      </c>
      <c r="N39" s="508"/>
      <c r="O39" s="508"/>
      <c r="P39" s="508"/>
      <c r="Q39" s="508"/>
      <c r="R39" s="508" t="str">
        <f t="shared" ca="1" si="0"/>
        <v>RESOURCES</v>
      </c>
      <c r="S39" s="508" t="str">
        <f t="shared" ca="1" si="1"/>
        <v>Consumo Telefonía fija  IP- E1:  of. Apoquindo 1 línea y vallenar</v>
      </c>
      <c r="T39" s="508" t="str">
        <f t="shared" ca="1" si="2"/>
        <v>Contrato Claro ( El Morro) / current contract Claro</v>
      </c>
      <c r="U39" s="508" t="str">
        <f t="shared" ca="1" si="3"/>
        <v>685 / 51-11-3314</v>
      </c>
      <c r="V39" s="508" t="str">
        <f t="shared" ca="1" si="4"/>
        <v>Active Ct</v>
      </c>
      <c r="W39" s="508" t="str">
        <f t="shared" ca="1" si="5"/>
        <v>Claro</v>
      </c>
      <c r="X39" s="508" t="str">
        <f t="shared" ca="1" si="6"/>
        <v>N/A</v>
      </c>
      <c r="Y39" s="508" t="str">
        <f t="shared" ca="1" si="7"/>
        <v>N/A</v>
      </c>
      <c r="Z39" s="508" t="str">
        <f t="shared" ca="1" si="8"/>
        <v>N/A</v>
      </c>
      <c r="AA39" s="508" t="str">
        <f t="shared" ca="1" si="9"/>
        <v>N/A</v>
      </c>
      <c r="AB39" s="508">
        <f t="shared" ca="1" si="10"/>
        <v>12</v>
      </c>
      <c r="AC39" s="508">
        <f t="shared" ca="1" si="11"/>
        <v>0</v>
      </c>
      <c r="AD39" s="912">
        <f t="shared" ca="1" si="12"/>
        <v>22200</v>
      </c>
      <c r="AE39" s="512">
        <f t="shared" ca="1" si="13"/>
        <v>1850</v>
      </c>
      <c r="AF39" s="512">
        <f t="shared" ca="1" si="14"/>
        <v>1850</v>
      </c>
      <c r="AG39" s="512">
        <f t="shared" ca="1" si="15"/>
        <v>1850</v>
      </c>
      <c r="AH39" s="512">
        <f t="shared" ca="1" si="16"/>
        <v>1850</v>
      </c>
      <c r="AI39" s="512">
        <f t="shared" ca="1" si="17"/>
        <v>1850</v>
      </c>
      <c r="AJ39" s="512">
        <f t="shared" ca="1" si="18"/>
        <v>1850</v>
      </c>
      <c r="AK39" s="512">
        <f t="shared" ca="1" si="19"/>
        <v>1850</v>
      </c>
      <c r="AL39" s="512">
        <f t="shared" ca="1" si="20"/>
        <v>1850</v>
      </c>
      <c r="AM39" s="512">
        <f t="shared" ca="1" si="21"/>
        <v>1850</v>
      </c>
      <c r="AN39" s="512">
        <f t="shared" ca="1" si="22"/>
        <v>1850</v>
      </c>
      <c r="AO39" s="512">
        <f t="shared" ca="1" si="23"/>
        <v>1850</v>
      </c>
      <c r="AP39" s="512">
        <f t="shared" ca="1" si="24"/>
        <v>1850</v>
      </c>
      <c r="AQ39" s="512" t="str">
        <f t="shared" si="25"/>
        <v/>
      </c>
      <c r="AR39" s="512"/>
      <c r="AS39" s="512" t="str">
        <f t="shared" si="26"/>
        <v/>
      </c>
      <c r="AT39" s="151">
        <f t="shared" si="27"/>
        <v>0</v>
      </c>
      <c r="AU39" s="151">
        <f>IFERROR(VLOOKUP(A39,'[7]TD CuentasBDG'!$N$5:$O$21,2,0),0)</f>
        <v>0</v>
      </c>
      <c r="AV39">
        <f t="shared" si="28"/>
        <v>0</v>
      </c>
    </row>
    <row r="40" spans="1:48" ht="45" x14ac:dyDescent="0.25">
      <c r="A40" s="508" t="s">
        <v>1724</v>
      </c>
      <c r="B40" s="508" t="s">
        <v>1646</v>
      </c>
      <c r="C40" s="508" t="s">
        <v>81</v>
      </c>
      <c r="D40" s="508" t="s">
        <v>81</v>
      </c>
      <c r="E40" s="508"/>
      <c r="F40" s="508"/>
      <c r="G40" s="508" t="s">
        <v>1707</v>
      </c>
      <c r="H40" s="508"/>
      <c r="I40" s="508"/>
      <c r="J40" s="555"/>
      <c r="K40" s="555"/>
      <c r="L40" s="911">
        <f ca="1">IFERROR(INDEX(Lists!$O$2:$Z$2,MATCH(TRUE,INDEX((AE40:AP40&lt;&gt;0),0),0)),DATE(2018,1,1))</f>
        <v>43102</v>
      </c>
      <c r="M40" s="911">
        <f ca="1">IFERROR(INDEX(Lists!$O$3:$Z$3, VALUE(SUBSTITUTE(TEXT(ADDRESS(SUMPRODUCT(MAX((COLUMN(AE40:AP40)*(AE40:AP40&gt;0)))),1),),"$A$",""))-30),DATE(2018,1,1))</f>
        <v>43465</v>
      </c>
      <c r="N40" s="508"/>
      <c r="O40" s="508"/>
      <c r="P40" s="508"/>
      <c r="Q40" s="508"/>
      <c r="R40" s="508" t="str">
        <f t="shared" ca="1" si="0"/>
        <v>RESOURCES</v>
      </c>
      <c r="S40" s="508" t="str">
        <f t="shared" ca="1" si="1"/>
        <v>Satellital link ) to communities office at Alto Del Carmen</v>
      </c>
      <c r="T40" s="508" t="str">
        <f t="shared" ca="1" si="2"/>
        <v>Contrato Claro Vsat (El Morro) / current contract Claro</v>
      </c>
      <c r="U40" s="508" t="str">
        <f t="shared" ca="1" si="3"/>
        <v>686 / 51-11-3314</v>
      </c>
      <c r="V40" s="508" t="str">
        <f t="shared" ca="1" si="4"/>
        <v>Active Ct</v>
      </c>
      <c r="W40" s="508" t="str">
        <f t="shared" ca="1" si="5"/>
        <v>Claro</v>
      </c>
      <c r="X40" s="508" t="str">
        <f t="shared" ca="1" si="6"/>
        <v>N/A</v>
      </c>
      <c r="Y40" s="508" t="str">
        <f t="shared" ca="1" si="7"/>
        <v>N/A</v>
      </c>
      <c r="Z40" s="508" t="str">
        <f t="shared" ca="1" si="8"/>
        <v>N/A</v>
      </c>
      <c r="AA40" s="508" t="str">
        <f t="shared" ca="1" si="9"/>
        <v>N/A</v>
      </c>
      <c r="AB40" s="508">
        <f t="shared" ca="1" si="10"/>
        <v>12</v>
      </c>
      <c r="AC40" s="508">
        <f t="shared" ca="1" si="11"/>
        <v>0</v>
      </c>
      <c r="AD40" s="912">
        <f t="shared" ca="1" si="12"/>
        <v>29982.089552238813</v>
      </c>
      <c r="AE40" s="512">
        <f t="shared" ca="1" si="13"/>
        <v>2498.5074626865671</v>
      </c>
      <c r="AF40" s="512">
        <f t="shared" ca="1" si="14"/>
        <v>2498.5074626865671</v>
      </c>
      <c r="AG40" s="512">
        <f t="shared" ca="1" si="15"/>
        <v>2498.5074626865671</v>
      </c>
      <c r="AH40" s="512">
        <f t="shared" ca="1" si="16"/>
        <v>2498.5074626865671</v>
      </c>
      <c r="AI40" s="512">
        <f t="shared" ca="1" si="17"/>
        <v>2498.5074626865671</v>
      </c>
      <c r="AJ40" s="512">
        <f t="shared" ca="1" si="18"/>
        <v>2498.5074626865671</v>
      </c>
      <c r="AK40" s="512">
        <f t="shared" ca="1" si="19"/>
        <v>2498.5074626865671</v>
      </c>
      <c r="AL40" s="512">
        <f t="shared" ca="1" si="20"/>
        <v>2498.5074626865671</v>
      </c>
      <c r="AM40" s="512">
        <f t="shared" ca="1" si="21"/>
        <v>2498.5074626865671</v>
      </c>
      <c r="AN40" s="512">
        <f t="shared" ca="1" si="22"/>
        <v>2498.5074626865671</v>
      </c>
      <c r="AO40" s="512">
        <f t="shared" ca="1" si="23"/>
        <v>2498.5074626865671</v>
      </c>
      <c r="AP40" s="512">
        <f t="shared" ca="1" si="24"/>
        <v>2498.5074626865671</v>
      </c>
      <c r="AQ40" s="512" t="str">
        <f t="shared" si="25"/>
        <v/>
      </c>
      <c r="AR40" s="512"/>
      <c r="AS40" s="512" t="str">
        <f t="shared" si="26"/>
        <v/>
      </c>
      <c r="AT40" s="151">
        <f t="shared" si="27"/>
        <v>0</v>
      </c>
      <c r="AU40" s="151">
        <f>IFERROR(VLOOKUP(A40,'[7]TD CuentasBDG'!$N$5:$O$21,2,0),0)</f>
        <v>0</v>
      </c>
      <c r="AV40">
        <f t="shared" si="28"/>
        <v>0</v>
      </c>
    </row>
    <row r="41" spans="1:48" ht="45" x14ac:dyDescent="0.25">
      <c r="A41" s="508" t="s">
        <v>1725</v>
      </c>
      <c r="B41" s="508" t="s">
        <v>1646</v>
      </c>
      <c r="C41" s="508" t="s">
        <v>81</v>
      </c>
      <c r="D41" s="508" t="s">
        <v>81</v>
      </c>
      <c r="E41" s="508"/>
      <c r="F41" s="508"/>
      <c r="G41" s="508" t="s">
        <v>1707</v>
      </c>
      <c r="H41" s="508"/>
      <c r="I41" s="508"/>
      <c r="J41" s="555"/>
      <c r="K41" s="555"/>
      <c r="L41" s="911">
        <f ca="1">IFERROR(INDEX(Lists!$O$2:$Z$2,MATCH(TRUE,INDEX((AE41:AP41&lt;&gt;0),0),0)),DATE(2018,1,1))</f>
        <v>43102</v>
      </c>
      <c r="M41" s="911">
        <f ca="1">IFERROR(INDEX(Lists!$O$3:$Z$3, VALUE(SUBSTITUTE(TEXT(ADDRESS(SUMPRODUCT(MAX((COLUMN(AE41:AP41)*(AE41:AP41&gt;0)))),1),),"$A$",""))-30),DATE(2018,1,1))</f>
        <v>43465</v>
      </c>
      <c r="N41" s="508"/>
      <c r="O41" s="508"/>
      <c r="P41" s="508"/>
      <c r="Q41" s="508"/>
      <c r="R41" s="508" t="str">
        <f t="shared" ca="1" si="0"/>
        <v>RESOURCES</v>
      </c>
      <c r="S41" s="508" t="str">
        <f t="shared" ca="1" si="1"/>
        <v>Telefonía satelital IRIDIUM - todos los sitios</v>
      </c>
      <c r="T41" s="508" t="str">
        <f t="shared" ca="1" si="2"/>
        <v>14  permanent phones - Contrato IRIDIUM / current contract Iridium</v>
      </c>
      <c r="U41" s="508" t="str">
        <f t="shared" ca="1" si="3"/>
        <v>687 / 51-11-3314</v>
      </c>
      <c r="V41" s="508" t="str">
        <f t="shared" ca="1" si="4"/>
        <v>Active Ct</v>
      </c>
      <c r="W41" s="508" t="str">
        <f t="shared" ca="1" si="5"/>
        <v>IRIDIUM</v>
      </c>
      <c r="X41" s="508" t="str">
        <f t="shared" ca="1" si="6"/>
        <v>N/A</v>
      </c>
      <c r="Y41" s="508" t="str">
        <f t="shared" ca="1" si="7"/>
        <v>N/A</v>
      </c>
      <c r="Z41" s="508" t="str">
        <f t="shared" ca="1" si="8"/>
        <v>N/A</v>
      </c>
      <c r="AA41" s="508" t="str">
        <f t="shared" ca="1" si="9"/>
        <v>N/A</v>
      </c>
      <c r="AB41" s="508">
        <f t="shared" ca="1" si="10"/>
        <v>12</v>
      </c>
      <c r="AC41" s="508">
        <f t="shared" ca="1" si="11"/>
        <v>0</v>
      </c>
      <c r="AD41" s="912">
        <f t="shared" ca="1" si="12"/>
        <v>26400</v>
      </c>
      <c r="AE41" s="512">
        <f t="shared" ca="1" si="13"/>
        <v>2200</v>
      </c>
      <c r="AF41" s="512">
        <f t="shared" ca="1" si="14"/>
        <v>2200</v>
      </c>
      <c r="AG41" s="512">
        <f t="shared" ca="1" si="15"/>
        <v>2200</v>
      </c>
      <c r="AH41" s="512">
        <f t="shared" ca="1" si="16"/>
        <v>2200</v>
      </c>
      <c r="AI41" s="512">
        <f t="shared" ca="1" si="17"/>
        <v>2200</v>
      </c>
      <c r="AJ41" s="512">
        <f t="shared" ca="1" si="18"/>
        <v>2200</v>
      </c>
      <c r="AK41" s="512">
        <f t="shared" ca="1" si="19"/>
        <v>2200</v>
      </c>
      <c r="AL41" s="512">
        <f t="shared" ca="1" si="20"/>
        <v>2200</v>
      </c>
      <c r="AM41" s="512">
        <f t="shared" ca="1" si="21"/>
        <v>2200</v>
      </c>
      <c r="AN41" s="512">
        <f t="shared" ca="1" si="22"/>
        <v>2200</v>
      </c>
      <c r="AO41" s="512">
        <f t="shared" ca="1" si="23"/>
        <v>2200</v>
      </c>
      <c r="AP41" s="512">
        <f t="shared" ca="1" si="24"/>
        <v>2200</v>
      </c>
      <c r="AQ41" s="512" t="str">
        <f t="shared" si="25"/>
        <v/>
      </c>
      <c r="AR41" s="512"/>
      <c r="AS41" s="512" t="str">
        <f t="shared" si="26"/>
        <v/>
      </c>
      <c r="AT41" s="151">
        <f t="shared" si="27"/>
        <v>0</v>
      </c>
      <c r="AU41" s="151">
        <f>IFERROR(VLOOKUP(A41,'[7]TD CuentasBDG'!$N$5:$O$21,2,0),0)</f>
        <v>0</v>
      </c>
      <c r="AV41">
        <f t="shared" si="28"/>
        <v>0</v>
      </c>
    </row>
    <row r="42" spans="1:48" ht="60" x14ac:dyDescent="0.25">
      <c r="A42" s="508" t="s">
        <v>1726</v>
      </c>
      <c r="B42" s="508" t="s">
        <v>1646</v>
      </c>
      <c r="C42" s="508" t="s">
        <v>81</v>
      </c>
      <c r="D42" s="508" t="s">
        <v>81</v>
      </c>
      <c r="E42" s="508"/>
      <c r="F42" s="508"/>
      <c r="G42" s="508" t="s">
        <v>1707</v>
      </c>
      <c r="H42" s="508"/>
      <c r="I42" s="508"/>
      <c r="J42" s="555"/>
      <c r="K42" s="555"/>
      <c r="L42" s="911">
        <f ca="1">IFERROR(INDEX(Lists!$O$2:$Z$2,MATCH(TRUE,INDEX((AE42:AP42&lt;&gt;0),0),0)),DATE(2018,1,1))</f>
        <v>43102</v>
      </c>
      <c r="M42" s="911">
        <f ca="1">IFERROR(INDEX(Lists!$O$3:$Z$3, VALUE(SUBSTITUTE(TEXT(ADDRESS(SUMPRODUCT(MAX((COLUMN(AE42:AP42)*(AE42:AP42&gt;0)))),1),),"$A$",""))-30),DATE(2018,1,1))</f>
        <v>43465</v>
      </c>
      <c r="N42" s="508"/>
      <c r="O42" s="508"/>
      <c r="P42" s="508"/>
      <c r="Q42" s="508"/>
      <c r="R42" s="508" t="str">
        <f t="shared" ca="1" si="0"/>
        <v>RESOURCES</v>
      </c>
      <c r="S42" s="508" t="str">
        <f t="shared" ca="1" si="1"/>
        <v>Servicios telefonía e internet satelital Campamento El Pingo</v>
      </c>
      <c r="T42" s="508" t="str">
        <f t="shared" ca="1" si="2"/>
        <v>1 Enlace Internet - Tradicional 1024-512 - 24 meses + 2 líneas telefónicas y router mickotik Wifi / current contract Axexat</v>
      </c>
      <c r="U42" s="508" t="str">
        <f t="shared" ca="1" si="3"/>
        <v>687 / 51-11-3314</v>
      </c>
      <c r="V42" s="508" t="str">
        <f t="shared" ca="1" si="4"/>
        <v>Active Ct</v>
      </c>
      <c r="W42" s="508" t="str">
        <f t="shared" ca="1" si="5"/>
        <v>Axexat</v>
      </c>
      <c r="X42" s="508" t="str">
        <f t="shared" ca="1" si="6"/>
        <v>N/A</v>
      </c>
      <c r="Y42" s="508" t="str">
        <f t="shared" ca="1" si="7"/>
        <v>N/A</v>
      </c>
      <c r="Z42" s="508" t="str">
        <f t="shared" ca="1" si="8"/>
        <v>N/A</v>
      </c>
      <c r="AA42" s="508" t="str">
        <f t="shared" ca="1" si="9"/>
        <v>N/A</v>
      </c>
      <c r="AB42" s="508">
        <f t="shared" ca="1" si="10"/>
        <v>12</v>
      </c>
      <c r="AC42" s="508">
        <f t="shared" ca="1" si="11"/>
        <v>0</v>
      </c>
      <c r="AD42" s="912">
        <f t="shared" ca="1" si="12"/>
        <v>15552</v>
      </c>
      <c r="AE42" s="512">
        <f t="shared" ca="1" si="13"/>
        <v>1296</v>
      </c>
      <c r="AF42" s="512">
        <f t="shared" ca="1" si="14"/>
        <v>1296</v>
      </c>
      <c r="AG42" s="512">
        <f t="shared" ca="1" si="15"/>
        <v>1296</v>
      </c>
      <c r="AH42" s="512">
        <f t="shared" ca="1" si="16"/>
        <v>1296</v>
      </c>
      <c r="AI42" s="512">
        <f t="shared" ca="1" si="17"/>
        <v>1296</v>
      </c>
      <c r="AJ42" s="512">
        <f t="shared" ca="1" si="18"/>
        <v>1296</v>
      </c>
      <c r="AK42" s="512">
        <f t="shared" ca="1" si="19"/>
        <v>1296</v>
      </c>
      <c r="AL42" s="512">
        <f t="shared" ca="1" si="20"/>
        <v>1296</v>
      </c>
      <c r="AM42" s="512">
        <f t="shared" ca="1" si="21"/>
        <v>1296</v>
      </c>
      <c r="AN42" s="512">
        <f t="shared" ca="1" si="22"/>
        <v>1296</v>
      </c>
      <c r="AO42" s="512">
        <f t="shared" ca="1" si="23"/>
        <v>1296</v>
      </c>
      <c r="AP42" s="512">
        <f t="shared" ca="1" si="24"/>
        <v>1296</v>
      </c>
      <c r="AQ42" s="512" t="str">
        <f t="shared" si="25"/>
        <v/>
      </c>
      <c r="AR42" s="512"/>
      <c r="AS42" s="512" t="str">
        <f t="shared" si="26"/>
        <v/>
      </c>
      <c r="AT42" s="151">
        <f t="shared" si="27"/>
        <v>0</v>
      </c>
      <c r="AU42" s="151">
        <f>IFERROR(VLOOKUP(A42,'[7]TD CuentasBDG'!$N$5:$O$21,2,0),0)</f>
        <v>0</v>
      </c>
      <c r="AV42">
        <f t="shared" si="28"/>
        <v>0</v>
      </c>
    </row>
    <row r="43" spans="1:48" ht="45" x14ac:dyDescent="0.25">
      <c r="A43" s="508" t="s">
        <v>1727</v>
      </c>
      <c r="B43" s="508" t="s">
        <v>1646</v>
      </c>
      <c r="C43" s="508" t="s">
        <v>81</v>
      </c>
      <c r="D43" s="508" t="s">
        <v>81</v>
      </c>
      <c r="E43" s="508"/>
      <c r="F43" s="508"/>
      <c r="G43" s="508" t="s">
        <v>1707</v>
      </c>
      <c r="H43" s="508"/>
      <c r="I43" s="508"/>
      <c r="J43" s="555"/>
      <c r="K43" s="555"/>
      <c r="L43" s="911">
        <f ca="1">IFERROR(INDEX(Lists!$O$2:$Z$2,MATCH(TRUE,INDEX((AE43:AP43&lt;&gt;0),0),0)),DATE(2018,1,1))</f>
        <v>43102</v>
      </c>
      <c r="M43" s="911">
        <f ca="1">IFERROR(INDEX(Lists!$O$3:$Z$3, VALUE(SUBSTITUTE(TEXT(ADDRESS(SUMPRODUCT(MAX((COLUMN(AE43:AP43)*(AE43:AP43&gt;0)))),1),),"$A$",""))-30),DATE(2018,1,1))</f>
        <v>43465</v>
      </c>
      <c r="N43" s="508"/>
      <c r="O43" s="508"/>
      <c r="P43" s="508"/>
      <c r="Q43" s="508"/>
      <c r="R43" s="508" t="str">
        <f t="shared" ca="1" si="0"/>
        <v>RESOURCES</v>
      </c>
      <c r="S43" s="508" t="str">
        <f t="shared" ca="1" si="1"/>
        <v>MPLS- internet Vallenar -  Apoquindo - CDLVC</v>
      </c>
      <c r="T43" s="508" t="str">
        <f t="shared" ca="1" si="2"/>
        <v>costo mensual / current contract Entel</v>
      </c>
      <c r="U43" s="508" t="str">
        <f t="shared" ca="1" si="3"/>
        <v>687 / 51-11-3314</v>
      </c>
      <c r="V43" s="508" t="str">
        <f t="shared" ca="1" si="4"/>
        <v>Active Ct</v>
      </c>
      <c r="W43" s="508" t="str">
        <f t="shared" ca="1" si="5"/>
        <v>Entel</v>
      </c>
      <c r="X43" s="508" t="str">
        <f t="shared" ca="1" si="6"/>
        <v>N/A</v>
      </c>
      <c r="Y43" s="508" t="str">
        <f t="shared" ca="1" si="7"/>
        <v>N/A</v>
      </c>
      <c r="Z43" s="508" t="str">
        <f t="shared" ca="1" si="8"/>
        <v>N/A</v>
      </c>
      <c r="AA43" s="508" t="str">
        <f t="shared" ca="1" si="9"/>
        <v>N/A</v>
      </c>
      <c r="AB43" s="508">
        <f t="shared" ca="1" si="10"/>
        <v>12</v>
      </c>
      <c r="AC43" s="508">
        <f t="shared" ca="1" si="11"/>
        <v>0</v>
      </c>
      <c r="AD43" s="912">
        <f t="shared" ca="1" si="12"/>
        <v>30949.253731343288</v>
      </c>
      <c r="AE43" s="512">
        <f t="shared" ca="1" si="13"/>
        <v>2579.1044776119402</v>
      </c>
      <c r="AF43" s="512">
        <f t="shared" ca="1" si="14"/>
        <v>2579.1044776119402</v>
      </c>
      <c r="AG43" s="512">
        <f t="shared" ca="1" si="15"/>
        <v>2579.1044776119402</v>
      </c>
      <c r="AH43" s="512">
        <f t="shared" ca="1" si="16"/>
        <v>2579.1044776119402</v>
      </c>
      <c r="AI43" s="512">
        <f t="shared" ca="1" si="17"/>
        <v>2579.1044776119402</v>
      </c>
      <c r="AJ43" s="512">
        <f t="shared" ca="1" si="18"/>
        <v>2579.1044776119402</v>
      </c>
      <c r="AK43" s="512">
        <f t="shared" ca="1" si="19"/>
        <v>2579.1044776119402</v>
      </c>
      <c r="AL43" s="512">
        <f t="shared" ca="1" si="20"/>
        <v>2579.1044776119402</v>
      </c>
      <c r="AM43" s="512">
        <f t="shared" ca="1" si="21"/>
        <v>2579.1044776119402</v>
      </c>
      <c r="AN43" s="512">
        <f t="shared" ca="1" si="22"/>
        <v>2579.1044776119402</v>
      </c>
      <c r="AO43" s="512">
        <f t="shared" ca="1" si="23"/>
        <v>2579.1044776119402</v>
      </c>
      <c r="AP43" s="512">
        <f t="shared" ca="1" si="24"/>
        <v>2579.1044776119402</v>
      </c>
      <c r="AQ43" s="512" t="str">
        <f t="shared" si="25"/>
        <v/>
      </c>
      <c r="AR43" s="512"/>
      <c r="AS43" s="512" t="str">
        <f t="shared" si="26"/>
        <v/>
      </c>
      <c r="AT43" s="151">
        <f t="shared" si="27"/>
        <v>0</v>
      </c>
      <c r="AU43" s="151">
        <f>IFERROR(VLOOKUP(A43,'[7]TD CuentasBDG'!$N$5:$O$21,2,0),0)</f>
        <v>0</v>
      </c>
      <c r="AV43">
        <f t="shared" si="28"/>
        <v>0</v>
      </c>
    </row>
    <row r="44" spans="1:48" ht="30" x14ac:dyDescent="0.25">
      <c r="A44" s="508" t="s">
        <v>1728</v>
      </c>
      <c r="B44" s="508" t="s">
        <v>1646</v>
      </c>
      <c r="C44" s="508" t="s">
        <v>81</v>
      </c>
      <c r="D44" s="508" t="s">
        <v>81</v>
      </c>
      <c r="E44" s="508"/>
      <c r="F44" s="508"/>
      <c r="G44" s="508" t="s">
        <v>1707</v>
      </c>
      <c r="H44" s="508"/>
      <c r="I44" s="508"/>
      <c r="J44" s="555"/>
      <c r="K44" s="555"/>
      <c r="L44" s="911">
        <f ca="1">IFERROR(INDEX(Lists!$O$2:$Z$2,MATCH(TRUE,INDEX((AE44:AP44&lt;&gt;0),0),0)),DATE(2018,1,1))</f>
        <v>43102</v>
      </c>
      <c r="M44" s="911">
        <f ca="1">IFERROR(INDEX(Lists!$O$3:$Z$3, VALUE(SUBSTITUTE(TEXT(ADDRESS(SUMPRODUCT(MAX((COLUMN(AE44:AP44)*(AE44:AP44&gt;0)))),1),),"$A$",""))-30),DATE(2018,1,1))</f>
        <v>43465</v>
      </c>
      <c r="N44" s="508"/>
      <c r="O44" s="508"/>
      <c r="P44" s="508"/>
      <c r="Q44" s="508"/>
      <c r="R44" s="508" t="str">
        <f t="shared" ca="1" si="0"/>
        <v>RESOURCES</v>
      </c>
      <c r="S44" s="508" t="str">
        <f t="shared" ca="1" si="1"/>
        <v>Link Relincho (datos y telefonía) 2 mg</v>
      </c>
      <c r="T44" s="508" t="str">
        <f t="shared" ca="1" si="2"/>
        <v>costo mensual / current contract Entel</v>
      </c>
      <c r="U44" s="508" t="str">
        <f t="shared" ca="1" si="3"/>
        <v>687 / 51-11-3314</v>
      </c>
      <c r="V44" s="508" t="str">
        <f t="shared" ca="1" si="4"/>
        <v>Active Ct</v>
      </c>
      <c r="W44" s="508" t="str">
        <f t="shared" ca="1" si="5"/>
        <v>Entel</v>
      </c>
      <c r="X44" s="508" t="str">
        <f t="shared" ca="1" si="6"/>
        <v>N/A</v>
      </c>
      <c r="Y44" s="508" t="str">
        <f t="shared" ca="1" si="7"/>
        <v>N/A</v>
      </c>
      <c r="Z44" s="508" t="str">
        <f t="shared" ca="1" si="8"/>
        <v>N/A</v>
      </c>
      <c r="AA44" s="508" t="str">
        <f t="shared" ca="1" si="9"/>
        <v>N/A</v>
      </c>
      <c r="AB44" s="508">
        <f t="shared" ca="1" si="10"/>
        <v>12</v>
      </c>
      <c r="AC44" s="508">
        <f t="shared" ca="1" si="11"/>
        <v>0</v>
      </c>
      <c r="AD44" s="912">
        <f t="shared" ca="1" si="12"/>
        <v>6141.4925373134347</v>
      </c>
      <c r="AE44" s="512">
        <f t="shared" ca="1" si="13"/>
        <v>511.79104477611941</v>
      </c>
      <c r="AF44" s="512">
        <f t="shared" ca="1" si="14"/>
        <v>511.79104477611941</v>
      </c>
      <c r="AG44" s="512">
        <f t="shared" ca="1" si="15"/>
        <v>511.79104477611941</v>
      </c>
      <c r="AH44" s="512">
        <f t="shared" ca="1" si="16"/>
        <v>511.79104477611941</v>
      </c>
      <c r="AI44" s="512">
        <f t="shared" ca="1" si="17"/>
        <v>511.79104477611941</v>
      </c>
      <c r="AJ44" s="512">
        <f t="shared" ca="1" si="18"/>
        <v>511.79104477611941</v>
      </c>
      <c r="AK44" s="512">
        <f t="shared" ca="1" si="19"/>
        <v>511.79104477611941</v>
      </c>
      <c r="AL44" s="512">
        <f t="shared" ca="1" si="20"/>
        <v>511.79104477611941</v>
      </c>
      <c r="AM44" s="512">
        <f t="shared" ca="1" si="21"/>
        <v>511.79104477611941</v>
      </c>
      <c r="AN44" s="512">
        <f t="shared" ca="1" si="22"/>
        <v>511.79104477611941</v>
      </c>
      <c r="AO44" s="512">
        <f t="shared" ca="1" si="23"/>
        <v>511.79104477611941</v>
      </c>
      <c r="AP44" s="512">
        <f t="shared" ca="1" si="24"/>
        <v>511.79104477611941</v>
      </c>
      <c r="AQ44" s="512" t="str">
        <f t="shared" si="25"/>
        <v/>
      </c>
      <c r="AR44" s="512"/>
      <c r="AS44" s="512" t="str">
        <f t="shared" si="26"/>
        <v/>
      </c>
      <c r="AT44" s="151">
        <f t="shared" si="27"/>
        <v>0</v>
      </c>
      <c r="AU44" s="151">
        <f>IFERROR(VLOOKUP(A44,'[7]TD CuentasBDG'!$N$5:$O$21,2,0),0)</f>
        <v>0</v>
      </c>
      <c r="AV44">
        <f t="shared" si="28"/>
        <v>0</v>
      </c>
    </row>
    <row r="45" spans="1:48" ht="45" x14ac:dyDescent="0.25">
      <c r="A45" s="508" t="s">
        <v>1729</v>
      </c>
      <c r="B45" s="508" t="s">
        <v>1646</v>
      </c>
      <c r="C45" s="508" t="s">
        <v>81</v>
      </c>
      <c r="D45" s="508" t="s">
        <v>81</v>
      </c>
      <c r="E45" s="508"/>
      <c r="F45" s="508"/>
      <c r="G45" s="508" t="s">
        <v>1707</v>
      </c>
      <c r="H45" s="508"/>
      <c r="I45" s="508"/>
      <c r="J45" s="555"/>
      <c r="K45" s="555"/>
      <c r="L45" s="911">
        <f ca="1">IFERROR(INDEX(Lists!$O$2:$Z$2,MATCH(TRUE,INDEX((AE45:AP45&lt;&gt;0),0),0)),DATE(2018,1,1))</f>
        <v>43102</v>
      </c>
      <c r="M45" s="911">
        <f ca="1">IFERROR(INDEX(Lists!$O$3:$Z$3, VALUE(SUBSTITUTE(TEXT(ADDRESS(SUMPRODUCT(MAX((COLUMN(AE45:AP45)*(AE45:AP45&gt;0)))),1),),"$A$",""))-30),DATE(2018,1,1))</f>
        <v>43465</v>
      </c>
      <c r="N45" s="508"/>
      <c r="O45" s="508"/>
      <c r="P45" s="508"/>
      <c r="Q45" s="508"/>
      <c r="R45" s="508" t="str">
        <f t="shared" ca="1" si="0"/>
        <v>RESOURCES</v>
      </c>
      <c r="S45" s="508" t="str">
        <f t="shared" ca="1" si="1"/>
        <v>Acceso MPLS</v>
      </c>
      <c r="T45" s="508" t="str">
        <f t="shared" ca="1" si="2"/>
        <v xml:space="preserve">  1% del total facturado a Teck Chile, facturado directamente a NU / current contract Entel</v>
      </c>
      <c r="U45" s="508" t="str">
        <f t="shared" ca="1" si="3"/>
        <v>687 / 51-11-3314</v>
      </c>
      <c r="V45" s="508" t="str">
        <f t="shared" ca="1" si="4"/>
        <v>Active Ct</v>
      </c>
      <c r="W45" s="508" t="str">
        <f t="shared" ca="1" si="5"/>
        <v>Entel</v>
      </c>
      <c r="X45" s="508" t="str">
        <f t="shared" ca="1" si="6"/>
        <v>N/A</v>
      </c>
      <c r="Y45" s="508" t="str">
        <f t="shared" ca="1" si="7"/>
        <v>N/A</v>
      </c>
      <c r="Z45" s="508" t="str">
        <f t="shared" ca="1" si="8"/>
        <v>N/A</v>
      </c>
      <c r="AA45" s="508" t="str">
        <f t="shared" ca="1" si="9"/>
        <v>N/A</v>
      </c>
      <c r="AB45" s="508">
        <f t="shared" ca="1" si="10"/>
        <v>12</v>
      </c>
      <c r="AC45" s="508">
        <f t="shared" ca="1" si="11"/>
        <v>0</v>
      </c>
      <c r="AD45" s="912">
        <f t="shared" ca="1" si="12"/>
        <v>1920</v>
      </c>
      <c r="AE45" s="512">
        <f t="shared" ca="1" si="13"/>
        <v>160</v>
      </c>
      <c r="AF45" s="512">
        <f t="shared" ca="1" si="14"/>
        <v>160</v>
      </c>
      <c r="AG45" s="512">
        <f t="shared" ca="1" si="15"/>
        <v>160</v>
      </c>
      <c r="AH45" s="512">
        <f t="shared" ca="1" si="16"/>
        <v>160</v>
      </c>
      <c r="AI45" s="512">
        <f t="shared" ca="1" si="17"/>
        <v>160</v>
      </c>
      <c r="AJ45" s="512">
        <f t="shared" ca="1" si="18"/>
        <v>160</v>
      </c>
      <c r="AK45" s="512">
        <f t="shared" ca="1" si="19"/>
        <v>160</v>
      </c>
      <c r="AL45" s="512">
        <f t="shared" ca="1" si="20"/>
        <v>160</v>
      </c>
      <c r="AM45" s="512">
        <f t="shared" ca="1" si="21"/>
        <v>160</v>
      </c>
      <c r="AN45" s="512">
        <f t="shared" ca="1" si="22"/>
        <v>160</v>
      </c>
      <c r="AO45" s="512">
        <f t="shared" ca="1" si="23"/>
        <v>160</v>
      </c>
      <c r="AP45" s="512">
        <f t="shared" ca="1" si="24"/>
        <v>160</v>
      </c>
      <c r="AQ45" s="512" t="str">
        <f t="shared" si="25"/>
        <v/>
      </c>
      <c r="AR45" s="512"/>
      <c r="AS45" s="512" t="str">
        <f t="shared" si="26"/>
        <v/>
      </c>
      <c r="AT45" s="151">
        <f t="shared" si="27"/>
        <v>0</v>
      </c>
      <c r="AU45" s="151">
        <f>IFERROR(VLOOKUP(A45,'[7]TD CuentasBDG'!$N$5:$O$21,2,0),0)</f>
        <v>0</v>
      </c>
      <c r="AV45">
        <f t="shared" si="28"/>
        <v>0</v>
      </c>
    </row>
    <row r="46" spans="1:48" ht="45" x14ac:dyDescent="0.25">
      <c r="A46" s="508" t="s">
        <v>1730</v>
      </c>
      <c r="B46" s="508" t="s">
        <v>1646</v>
      </c>
      <c r="C46" s="508" t="s">
        <v>81</v>
      </c>
      <c r="D46" s="508" t="s">
        <v>81</v>
      </c>
      <c r="E46" s="508"/>
      <c r="F46" s="508"/>
      <c r="G46" s="508" t="s">
        <v>1707</v>
      </c>
      <c r="H46" s="508"/>
      <c r="I46" s="508"/>
      <c r="J46" s="555"/>
      <c r="K46" s="555"/>
      <c r="L46" s="911">
        <f ca="1">IFERROR(INDEX(Lists!$O$2:$Z$2,MATCH(TRUE,INDEX((AE46:AP46&lt;&gt;0),0),0)),DATE(2018,1,1))</f>
        <v>43102</v>
      </c>
      <c r="M46" s="911">
        <f ca="1">IFERROR(INDEX(Lists!$O$3:$Z$3, VALUE(SUBSTITUTE(TEXT(ADDRESS(SUMPRODUCT(MAX((COLUMN(AE46:AP46)*(AE46:AP46&gt;0)))),1),),"$A$",""))-30),DATE(2018,1,1))</f>
        <v>43465</v>
      </c>
      <c r="N46" s="508"/>
      <c r="O46" s="508"/>
      <c r="P46" s="508"/>
      <c r="Q46" s="508"/>
      <c r="R46" s="508" t="str">
        <f t="shared" ca="1" si="0"/>
        <v>RESOURCES</v>
      </c>
      <c r="S46" s="508" t="str">
        <f t="shared" ca="1" si="1"/>
        <v>Uso CDLV</v>
      </c>
      <c r="T46" s="508" t="str">
        <f t="shared" ca="1" si="2"/>
        <v>Cobro por % de uso de sala de servidores y comunicaciones CDLV / current contract Entel</v>
      </c>
      <c r="U46" s="508" t="str">
        <f t="shared" ca="1" si="3"/>
        <v>687 / 51-11-3314</v>
      </c>
      <c r="V46" s="508" t="str">
        <f t="shared" ca="1" si="4"/>
        <v>Active Ct</v>
      </c>
      <c r="W46" s="508" t="str">
        <f t="shared" ca="1" si="5"/>
        <v>Entel</v>
      </c>
      <c r="X46" s="508" t="str">
        <f t="shared" ca="1" si="6"/>
        <v>N/A</v>
      </c>
      <c r="Y46" s="508" t="str">
        <f t="shared" ca="1" si="7"/>
        <v>N/A</v>
      </c>
      <c r="Z46" s="508" t="str">
        <f t="shared" ca="1" si="8"/>
        <v>N/A</v>
      </c>
      <c r="AA46" s="508" t="str">
        <f t="shared" ca="1" si="9"/>
        <v>N/A</v>
      </c>
      <c r="AB46" s="508">
        <f t="shared" ca="1" si="10"/>
        <v>12</v>
      </c>
      <c r="AC46" s="508">
        <f t="shared" ca="1" si="11"/>
        <v>0</v>
      </c>
      <c r="AD46" s="912">
        <f t="shared" ca="1" si="12"/>
        <v>1560</v>
      </c>
      <c r="AE46" s="512">
        <f t="shared" ca="1" si="13"/>
        <v>130</v>
      </c>
      <c r="AF46" s="512">
        <f t="shared" ca="1" si="14"/>
        <v>130</v>
      </c>
      <c r="AG46" s="512">
        <f t="shared" ca="1" si="15"/>
        <v>130</v>
      </c>
      <c r="AH46" s="512">
        <f t="shared" ca="1" si="16"/>
        <v>130</v>
      </c>
      <c r="AI46" s="512">
        <f t="shared" ca="1" si="17"/>
        <v>130</v>
      </c>
      <c r="AJ46" s="512">
        <f t="shared" ca="1" si="18"/>
        <v>130</v>
      </c>
      <c r="AK46" s="512">
        <f t="shared" ca="1" si="19"/>
        <v>130</v>
      </c>
      <c r="AL46" s="512">
        <f t="shared" ca="1" si="20"/>
        <v>130</v>
      </c>
      <c r="AM46" s="512">
        <f t="shared" ca="1" si="21"/>
        <v>130</v>
      </c>
      <c r="AN46" s="512">
        <f t="shared" ca="1" si="22"/>
        <v>130</v>
      </c>
      <c r="AO46" s="512">
        <f t="shared" ca="1" si="23"/>
        <v>130</v>
      </c>
      <c r="AP46" s="512">
        <f t="shared" ca="1" si="24"/>
        <v>130</v>
      </c>
      <c r="AQ46" s="512" t="str">
        <f t="shared" si="25"/>
        <v/>
      </c>
      <c r="AR46" s="512"/>
      <c r="AS46" s="512" t="str">
        <f t="shared" si="26"/>
        <v/>
      </c>
      <c r="AT46" s="151">
        <f t="shared" si="27"/>
        <v>0</v>
      </c>
      <c r="AU46" s="151">
        <f>IFERROR(VLOOKUP(A46,'[7]TD CuentasBDG'!$N$5:$O$21,2,0),0)</f>
        <v>0</v>
      </c>
      <c r="AV46">
        <f t="shared" si="28"/>
        <v>0</v>
      </c>
    </row>
    <row r="47" spans="1:48" ht="60" x14ac:dyDescent="0.25">
      <c r="A47" s="508" t="s">
        <v>1731</v>
      </c>
      <c r="B47" s="508" t="s">
        <v>1646</v>
      </c>
      <c r="C47" s="508" t="s">
        <v>81</v>
      </c>
      <c r="D47" s="508" t="s">
        <v>81</v>
      </c>
      <c r="E47" s="508"/>
      <c r="F47" s="508"/>
      <c r="G47" s="508" t="s">
        <v>1707</v>
      </c>
      <c r="H47" s="508"/>
      <c r="I47" s="508"/>
      <c r="J47" s="555"/>
      <c r="K47" s="555"/>
      <c r="L47" s="911">
        <f ca="1">IFERROR(INDEX(Lists!$O$2:$Z$2,MATCH(TRUE,INDEX((AE47:AP47&lt;&gt;0),0),0)),DATE(2018,1,1))</f>
        <v>43102</v>
      </c>
      <c r="M47" s="911">
        <f ca="1">IFERROR(INDEX(Lists!$O$3:$Z$3, VALUE(SUBSTITUTE(TEXT(ADDRESS(SUMPRODUCT(MAX((COLUMN(AE47:AP47)*(AE47:AP47&gt;0)))),1),),"$A$",""))-30),DATE(2018,1,1))</f>
        <v>43465</v>
      </c>
      <c r="N47" s="508"/>
      <c r="O47" s="508"/>
      <c r="P47" s="508"/>
      <c r="Q47" s="508"/>
      <c r="R47" s="508" t="str">
        <f t="shared" ca="1" si="0"/>
        <v>RESOURCES</v>
      </c>
      <c r="S47" s="508" t="str">
        <f t="shared" ca="1" si="1"/>
        <v>Internet backup Apoquindo y Vallenar</v>
      </c>
      <c r="T47" s="508" t="str">
        <f t="shared" ca="1" si="2"/>
        <v>Apoquindo BW 100/30 Mbps;  Vallenar BW 10/2 Mbps ; Enlace E1 a costo cero, se cobra tráfico mensual / current contract Claro</v>
      </c>
      <c r="U47" s="508" t="str">
        <f t="shared" ca="1" si="3"/>
        <v>688 / 51-11-3314</v>
      </c>
      <c r="V47" s="508" t="str">
        <f t="shared" ca="1" si="4"/>
        <v>Active Ct</v>
      </c>
      <c r="W47" s="508" t="str">
        <f t="shared" ca="1" si="5"/>
        <v>Claro</v>
      </c>
      <c r="X47" s="508" t="str">
        <f t="shared" ca="1" si="6"/>
        <v>N/A</v>
      </c>
      <c r="Y47" s="508" t="str">
        <f t="shared" ca="1" si="7"/>
        <v>N/A</v>
      </c>
      <c r="Z47" s="508" t="str">
        <f t="shared" ca="1" si="8"/>
        <v>N/A</v>
      </c>
      <c r="AA47" s="508" t="str">
        <f t="shared" ca="1" si="9"/>
        <v>N/A</v>
      </c>
      <c r="AB47" s="508">
        <f t="shared" ca="1" si="10"/>
        <v>12</v>
      </c>
      <c r="AC47" s="508">
        <f t="shared" ca="1" si="11"/>
        <v>0</v>
      </c>
      <c r="AD47" s="912">
        <f t="shared" ca="1" si="12"/>
        <v>16925.373134328354</v>
      </c>
      <c r="AE47" s="512">
        <f t="shared" ca="1" si="13"/>
        <v>1410.4477611940299</v>
      </c>
      <c r="AF47" s="512">
        <f t="shared" ca="1" si="14"/>
        <v>1410.4477611940299</v>
      </c>
      <c r="AG47" s="512">
        <f t="shared" ca="1" si="15"/>
        <v>1410.4477611940299</v>
      </c>
      <c r="AH47" s="512">
        <f t="shared" ca="1" si="16"/>
        <v>1410.4477611940299</v>
      </c>
      <c r="AI47" s="512">
        <f t="shared" ca="1" si="17"/>
        <v>1410.4477611940299</v>
      </c>
      <c r="AJ47" s="512">
        <f t="shared" ca="1" si="18"/>
        <v>1410.4477611940299</v>
      </c>
      <c r="AK47" s="512">
        <f t="shared" ca="1" si="19"/>
        <v>1410.4477611940299</v>
      </c>
      <c r="AL47" s="512">
        <f t="shared" ca="1" si="20"/>
        <v>1410.4477611940299</v>
      </c>
      <c r="AM47" s="512">
        <f t="shared" ca="1" si="21"/>
        <v>1410.4477611940299</v>
      </c>
      <c r="AN47" s="512">
        <f t="shared" ca="1" si="22"/>
        <v>1410.4477611940299</v>
      </c>
      <c r="AO47" s="512">
        <f t="shared" ca="1" si="23"/>
        <v>1410.4477611940299</v>
      </c>
      <c r="AP47" s="512">
        <f t="shared" ca="1" si="24"/>
        <v>1410.4477611940299</v>
      </c>
      <c r="AQ47" s="512" t="str">
        <f t="shared" si="25"/>
        <v/>
      </c>
      <c r="AR47" s="512"/>
      <c r="AS47" s="512" t="str">
        <f t="shared" si="26"/>
        <v/>
      </c>
      <c r="AT47" s="151">
        <f t="shared" si="27"/>
        <v>0</v>
      </c>
      <c r="AU47" s="151">
        <f>IFERROR(VLOOKUP(A47,'[7]TD CuentasBDG'!$N$5:$O$21,2,0),0)</f>
        <v>0</v>
      </c>
      <c r="AV47">
        <f t="shared" si="28"/>
        <v>0</v>
      </c>
    </row>
    <row r="48" spans="1:48" ht="60" x14ac:dyDescent="0.25">
      <c r="A48" s="508" t="s">
        <v>1732</v>
      </c>
      <c r="B48" s="508" t="s">
        <v>1646</v>
      </c>
      <c r="C48" s="508" t="s">
        <v>81</v>
      </c>
      <c r="D48" s="508" t="s">
        <v>81</v>
      </c>
      <c r="E48" s="508"/>
      <c r="F48" s="508"/>
      <c r="G48" s="508" t="s">
        <v>1707</v>
      </c>
      <c r="H48" s="508"/>
      <c r="I48" s="508"/>
      <c r="J48" s="555"/>
      <c r="K48" s="555"/>
      <c r="L48" s="911">
        <f ca="1">IFERROR(INDEX(Lists!$O$2:$Z$2,MATCH(TRUE,INDEX((AE48:AP48&lt;&gt;0),0),0)),DATE(2018,1,1))</f>
        <v>43102</v>
      </c>
      <c r="M48" s="911">
        <f ca="1">IFERROR(INDEX(Lists!$O$3:$Z$3, VALUE(SUBSTITUTE(TEXT(ADDRESS(SUMPRODUCT(MAX((COLUMN(AE48:AP48)*(AE48:AP48&gt;0)))),1),),"$A$",""))-30),DATE(2018,1,1))</f>
        <v>43465</v>
      </c>
      <c r="N48" s="508"/>
      <c r="O48" s="508"/>
      <c r="P48" s="508"/>
      <c r="Q48" s="508"/>
      <c r="R48" s="508" t="str">
        <f t="shared" ca="1" si="0"/>
        <v>RESOURCES</v>
      </c>
      <c r="S48" s="508" t="str">
        <f t="shared" ca="1" si="1"/>
        <v>Internet  domestica Vallenar IMG</v>
      </c>
      <c r="T48" s="508" t="str">
        <f t="shared" ca="1" si="2"/>
        <v>Internet domestica para geologos en IMG- contrato 12 meses / current contract Empresas Vallenar y CIA</v>
      </c>
      <c r="U48" s="508" t="str">
        <f t="shared" ca="1" si="3"/>
        <v>689 / 51-11-3314</v>
      </c>
      <c r="V48" s="508" t="str">
        <f t="shared" ca="1" si="4"/>
        <v>Active Ct</v>
      </c>
      <c r="W48" s="508" t="str">
        <f t="shared" ca="1" si="5"/>
        <v>Empresas Vallenar y CIA</v>
      </c>
      <c r="X48" s="508" t="str">
        <f t="shared" ca="1" si="6"/>
        <v>N/A</v>
      </c>
      <c r="Y48" s="508" t="str">
        <f t="shared" ca="1" si="7"/>
        <v>N/A</v>
      </c>
      <c r="Z48" s="508" t="str">
        <f t="shared" ca="1" si="8"/>
        <v>N/A</v>
      </c>
      <c r="AA48" s="508" t="str">
        <f t="shared" ca="1" si="9"/>
        <v>N/A</v>
      </c>
      <c r="AB48" s="508">
        <f t="shared" ca="1" si="10"/>
        <v>12</v>
      </c>
      <c r="AC48" s="508">
        <f t="shared" ca="1" si="11"/>
        <v>0</v>
      </c>
      <c r="AD48" s="912">
        <f t="shared" ca="1" si="12"/>
        <v>2880</v>
      </c>
      <c r="AE48" s="512">
        <f t="shared" ca="1" si="13"/>
        <v>240</v>
      </c>
      <c r="AF48" s="512">
        <f t="shared" ca="1" si="14"/>
        <v>240</v>
      </c>
      <c r="AG48" s="512">
        <f t="shared" ca="1" si="15"/>
        <v>240</v>
      </c>
      <c r="AH48" s="512">
        <f t="shared" ca="1" si="16"/>
        <v>240</v>
      </c>
      <c r="AI48" s="512">
        <f t="shared" ca="1" si="17"/>
        <v>240</v>
      </c>
      <c r="AJ48" s="512">
        <f t="shared" ca="1" si="18"/>
        <v>240</v>
      </c>
      <c r="AK48" s="512">
        <f t="shared" ca="1" si="19"/>
        <v>240</v>
      </c>
      <c r="AL48" s="512">
        <f t="shared" ca="1" si="20"/>
        <v>240</v>
      </c>
      <c r="AM48" s="512">
        <f t="shared" ca="1" si="21"/>
        <v>240</v>
      </c>
      <c r="AN48" s="512">
        <f t="shared" ca="1" si="22"/>
        <v>240</v>
      </c>
      <c r="AO48" s="512">
        <f t="shared" ca="1" si="23"/>
        <v>240</v>
      </c>
      <c r="AP48" s="512">
        <f t="shared" ca="1" si="24"/>
        <v>240</v>
      </c>
      <c r="AQ48" s="512" t="str">
        <f t="shared" si="25"/>
        <v/>
      </c>
      <c r="AR48" s="512"/>
      <c r="AS48" s="512" t="str">
        <f t="shared" si="26"/>
        <v/>
      </c>
      <c r="AT48" s="151">
        <f t="shared" si="27"/>
        <v>0</v>
      </c>
      <c r="AU48" s="151">
        <f>IFERROR(VLOOKUP(A48,'[7]TD CuentasBDG'!$N$5:$O$21,2,0),0)</f>
        <v>0</v>
      </c>
      <c r="AV48">
        <f t="shared" si="28"/>
        <v>0</v>
      </c>
    </row>
    <row r="49" spans="1:48" ht="45" x14ac:dyDescent="0.25">
      <c r="A49" s="508" t="s">
        <v>1733</v>
      </c>
      <c r="B49" s="508" t="s">
        <v>1646</v>
      </c>
      <c r="C49" s="508" t="s">
        <v>81</v>
      </c>
      <c r="D49" s="508" t="s">
        <v>81</v>
      </c>
      <c r="E49" s="508"/>
      <c r="F49" s="508"/>
      <c r="G49" s="508" t="s">
        <v>1707</v>
      </c>
      <c r="H49" s="508"/>
      <c r="I49" s="508"/>
      <c r="J49" s="555"/>
      <c r="K49" s="555"/>
      <c r="L49" s="911">
        <f ca="1">IFERROR(INDEX(Lists!$O$2:$Z$2,MATCH(TRUE,INDEX((AE49:AP49&lt;&gt;0),0),0)),DATE(2018,1,1))</f>
        <v>43102</v>
      </c>
      <c r="M49" s="911">
        <f ca="1">IFERROR(INDEX(Lists!$O$3:$Z$3, VALUE(SUBSTITUTE(TEXT(ADDRESS(SUMPRODUCT(MAX((COLUMN(AE49:AP49)*(AE49:AP49&gt;0)))),1),),"$A$",""))-30),DATE(2018,1,1))</f>
        <v>43131</v>
      </c>
      <c r="N49" s="508"/>
      <c r="O49" s="508"/>
      <c r="P49" s="508"/>
      <c r="Q49" s="508"/>
      <c r="R49" s="508">
        <f t="shared" ca="1" si="0"/>
        <v>0</v>
      </c>
      <c r="S49" s="508" t="str">
        <f t="shared" ca="1" si="1"/>
        <v>Arriendo Espectro radial</v>
      </c>
      <c r="T49" s="508" t="str">
        <f t="shared" ca="1" si="2"/>
        <v xml:space="preserve">Arriendo a subtel - Tesorería general de la republica de espectro radial (radio frecuencia) / </v>
      </c>
      <c r="U49" s="508">
        <f t="shared" ca="1" si="3"/>
        <v>0</v>
      </c>
      <c r="V49" s="508">
        <f t="shared" ca="1" si="4"/>
        <v>0</v>
      </c>
      <c r="W49" s="508">
        <f t="shared" ca="1" si="5"/>
        <v>0</v>
      </c>
      <c r="X49" s="508">
        <f t="shared" ca="1" si="6"/>
        <v>0</v>
      </c>
      <c r="Y49" s="508">
        <f t="shared" ca="1" si="7"/>
        <v>0</v>
      </c>
      <c r="Z49" s="508">
        <f t="shared" ca="1" si="8"/>
        <v>0</v>
      </c>
      <c r="AA49" s="508">
        <f t="shared" ca="1" si="9"/>
        <v>0</v>
      </c>
      <c r="AB49" s="508">
        <f t="shared" ca="1" si="10"/>
        <v>1</v>
      </c>
      <c r="AC49" s="508">
        <f t="shared" ca="1" si="11"/>
        <v>0</v>
      </c>
      <c r="AD49" s="912">
        <f t="shared" ca="1" si="12"/>
        <v>3591.6417910447763</v>
      </c>
      <c r="AE49" s="512">
        <f t="shared" ca="1" si="13"/>
        <v>3591.6417910447763</v>
      </c>
      <c r="AF49" s="512">
        <f t="shared" ca="1" si="14"/>
        <v>0</v>
      </c>
      <c r="AG49" s="512">
        <f t="shared" ca="1" si="15"/>
        <v>0</v>
      </c>
      <c r="AH49" s="512">
        <f t="shared" ca="1" si="16"/>
        <v>0</v>
      </c>
      <c r="AI49" s="512">
        <f t="shared" ca="1" si="17"/>
        <v>0</v>
      </c>
      <c r="AJ49" s="512">
        <f t="shared" ca="1" si="18"/>
        <v>0</v>
      </c>
      <c r="AK49" s="512">
        <f t="shared" ca="1" si="19"/>
        <v>0</v>
      </c>
      <c r="AL49" s="512">
        <f t="shared" ca="1" si="20"/>
        <v>0</v>
      </c>
      <c r="AM49" s="512">
        <f t="shared" ca="1" si="21"/>
        <v>0</v>
      </c>
      <c r="AN49" s="512">
        <f t="shared" ca="1" si="22"/>
        <v>0</v>
      </c>
      <c r="AO49" s="512">
        <f t="shared" ca="1" si="23"/>
        <v>0</v>
      </c>
      <c r="AP49" s="512">
        <f t="shared" ca="1" si="24"/>
        <v>0</v>
      </c>
      <c r="AQ49" s="512" t="str">
        <f t="shared" si="25"/>
        <v/>
      </c>
      <c r="AR49" s="512"/>
      <c r="AS49" s="512" t="str">
        <f t="shared" si="26"/>
        <v/>
      </c>
      <c r="AT49" s="151">
        <f t="shared" si="27"/>
        <v>0</v>
      </c>
      <c r="AU49" s="151">
        <f>IFERROR(VLOOKUP(A49,'[7]TD CuentasBDG'!$N$5:$O$21,2,0),0)</f>
        <v>0</v>
      </c>
      <c r="AV49">
        <f t="shared" si="28"/>
        <v>0</v>
      </c>
    </row>
    <row r="50" spans="1:48" ht="345" x14ac:dyDescent="0.25">
      <c r="A50" s="508" t="s">
        <v>1734</v>
      </c>
      <c r="B50" s="508" t="s">
        <v>1646</v>
      </c>
      <c r="C50" s="508" t="s">
        <v>81</v>
      </c>
      <c r="D50" s="508" t="s">
        <v>81</v>
      </c>
      <c r="E50" s="508"/>
      <c r="F50" s="508"/>
      <c r="G50" s="508" t="s">
        <v>1707</v>
      </c>
      <c r="H50" s="508"/>
      <c r="I50" s="508"/>
      <c r="J50" s="555"/>
      <c r="K50" s="555"/>
      <c r="L50" s="911">
        <f ca="1">IFERROR(INDEX(Lists!$O$2:$Z$2,MATCH(TRUE,INDEX((AE50:AP50&lt;&gt;0),0),0)),DATE(2018,1,1))</f>
        <v>43102</v>
      </c>
      <c r="M50" s="911">
        <f ca="1">IFERROR(INDEX(Lists!$O$3:$Z$3, VALUE(SUBSTITUTE(TEXT(ADDRESS(SUMPRODUCT(MAX((COLUMN(AE50:AP50)*(AE50:AP50&gt;0)))),1),),"$A$",""))-30),DATE(2018,1,1))</f>
        <v>43131</v>
      </c>
      <c r="N50" s="508"/>
      <c r="O50" s="508"/>
      <c r="P50" s="508"/>
      <c r="Q50" s="508"/>
      <c r="R50" s="508" t="str">
        <f t="shared" ca="1" si="0"/>
        <v>RESOURCES</v>
      </c>
      <c r="S50" s="508" t="str">
        <f t="shared" ca="1" si="1"/>
        <v>Workstations: PC, Screen, Docking station, keyboard, mouse, Backpack, Cisco phones</v>
      </c>
      <c r="T50" s="508" t="str">
        <f t="shared" ca="1" si="2"/>
        <v>Equipments for new employees, special services. Assumption:
1.Managers: notebooks Ultrabook: Executive Ultrabook LAT7370 CL$1402017
2. Engineers &amp; geologist:  notebooks Workstation: Extreme Ultrabook Precission 5520 CL$ 1686689
3. Administratives :  standard notebook : Standard wFull KBLAT 5580: CL$1104412
Dell Docking station-WD 15 130 W  CL$ 136993
Monitors Standard 23" P2317H CL$ 106929 -  CL$ 140000
Dell Professional Back Pack 15.6 CL$ 27743
KM714 Wireless keyboard and mouse combo $42813
CISCO CP-7942 TELÉFONO IP: US$ 455.71
 / Dell quotation</v>
      </c>
      <c r="U50" s="508" t="str">
        <f t="shared" ca="1" si="3"/>
        <v>685 / 51-11-3314</v>
      </c>
      <c r="V50" s="508" t="str">
        <f t="shared" ca="1" si="4"/>
        <v>Sole Source Ct</v>
      </c>
      <c r="W50" s="508" t="str">
        <f t="shared" ca="1" si="5"/>
        <v>Dell</v>
      </c>
      <c r="X50" s="508" t="str">
        <f t="shared" ca="1" si="6"/>
        <v>N/A</v>
      </c>
      <c r="Y50" s="508" t="str">
        <f t="shared" ca="1" si="7"/>
        <v>N/A</v>
      </c>
      <c r="Z50" s="508" t="str">
        <f t="shared" ca="1" si="8"/>
        <v>N/A</v>
      </c>
      <c r="AA50" s="508" t="str">
        <f t="shared" ca="1" si="9"/>
        <v>N/A</v>
      </c>
      <c r="AB50" s="508">
        <f t="shared" ca="1" si="10"/>
        <v>1</v>
      </c>
      <c r="AC50" s="508">
        <f t="shared" ca="1" si="11"/>
        <v>0</v>
      </c>
      <c r="AD50" s="912">
        <f t="shared" ca="1" si="12"/>
        <v>67364.617910447763</v>
      </c>
      <c r="AE50" s="512">
        <f t="shared" ca="1" si="13"/>
        <v>67364.617910447763</v>
      </c>
      <c r="AF50" s="512">
        <f t="shared" ca="1" si="14"/>
        <v>0</v>
      </c>
      <c r="AG50" s="512">
        <f t="shared" ca="1" si="15"/>
        <v>0</v>
      </c>
      <c r="AH50" s="512">
        <f t="shared" ca="1" si="16"/>
        <v>0</v>
      </c>
      <c r="AI50" s="512">
        <f t="shared" ca="1" si="17"/>
        <v>0</v>
      </c>
      <c r="AJ50" s="512">
        <f t="shared" ca="1" si="18"/>
        <v>0</v>
      </c>
      <c r="AK50" s="512">
        <f t="shared" ca="1" si="19"/>
        <v>0</v>
      </c>
      <c r="AL50" s="512">
        <f t="shared" ca="1" si="20"/>
        <v>0</v>
      </c>
      <c r="AM50" s="512">
        <f t="shared" ca="1" si="21"/>
        <v>0</v>
      </c>
      <c r="AN50" s="512">
        <f t="shared" ca="1" si="22"/>
        <v>0</v>
      </c>
      <c r="AO50" s="512">
        <f t="shared" ca="1" si="23"/>
        <v>0</v>
      </c>
      <c r="AP50" s="512">
        <f t="shared" ca="1" si="24"/>
        <v>0</v>
      </c>
      <c r="AQ50" s="512" t="str">
        <f t="shared" si="25"/>
        <v/>
      </c>
      <c r="AR50" s="512"/>
      <c r="AS50" s="512" t="str">
        <f t="shared" si="26"/>
        <v/>
      </c>
      <c r="AT50" s="151">
        <f t="shared" si="27"/>
        <v>0</v>
      </c>
      <c r="AU50" s="151">
        <f>IFERROR(VLOOKUP(A50,'[7]TD CuentasBDG'!$N$5:$O$21,2,0),0)</f>
        <v>0</v>
      </c>
      <c r="AV50">
        <f t="shared" si="28"/>
        <v>0</v>
      </c>
    </row>
    <row r="51" spans="1:48" ht="120" x14ac:dyDescent="0.25">
      <c r="A51" s="508" t="s">
        <v>1735</v>
      </c>
      <c r="B51" s="508" t="s">
        <v>1646</v>
      </c>
      <c r="C51" s="508" t="s">
        <v>81</v>
      </c>
      <c r="D51" s="508" t="s">
        <v>81</v>
      </c>
      <c r="E51" s="508"/>
      <c r="F51" s="508"/>
      <c r="G51" s="508" t="s">
        <v>1707</v>
      </c>
      <c r="H51" s="508"/>
      <c r="I51" s="508"/>
      <c r="J51" s="555"/>
      <c r="K51" s="555"/>
      <c r="L51" s="911">
        <f ca="1">IFERROR(INDEX(Lists!$O$2:$Z$2,MATCH(TRUE,INDEX((AE51:AP51&lt;&gt;0),0),0)),DATE(2018,1,1))</f>
        <v>43132</v>
      </c>
      <c r="M51" s="911">
        <f ca="1">IFERROR(INDEX(Lists!$O$3:$Z$3, VALUE(SUBSTITUTE(TEXT(ADDRESS(SUMPRODUCT(MAX((COLUMN(AE51:AP51)*(AE51:AP51&gt;0)))),1),),"$A$",""))-30),DATE(2018,1,1))</f>
        <v>43159</v>
      </c>
      <c r="N51" s="508"/>
      <c r="O51" s="508"/>
      <c r="P51" s="508"/>
      <c r="Q51" s="508"/>
      <c r="R51" s="508" t="str">
        <f t="shared" ca="1" si="0"/>
        <v>RESOURCES</v>
      </c>
      <c r="S51" s="508" t="str">
        <f t="shared" ca="1" si="1"/>
        <v>Replace old Equipment Employees</v>
      </c>
      <c r="T51" s="508" t="str">
        <f t="shared" ca="1" si="2"/>
        <v xml:space="preserve"> # 10 Administratives :  standard notebook : Standard wFull KBLAT 5580: CL$1104412
#  10 Monitors Standard 23" P2317H CL$ 106929 -  CL$ 140000
# 15 Mouse+keyboard CL$ 40000
# 5 Dell Docking station-USB 3.0, US  CL$ 82536 / Dell quotation</v>
      </c>
      <c r="U51" s="508" t="str">
        <f t="shared" ca="1" si="3"/>
        <v>685 / 51-11-3314</v>
      </c>
      <c r="V51" s="508" t="str">
        <f t="shared" ca="1" si="4"/>
        <v>Sole Source OC</v>
      </c>
      <c r="W51" s="508" t="str">
        <f t="shared" ca="1" si="5"/>
        <v>Dell</v>
      </c>
      <c r="X51" s="508" t="str">
        <f t="shared" ca="1" si="6"/>
        <v>N/A</v>
      </c>
      <c r="Y51" s="508" t="str">
        <f t="shared" ca="1" si="7"/>
        <v>N/A</v>
      </c>
      <c r="Z51" s="508" t="str">
        <f t="shared" ca="1" si="8"/>
        <v>N/A</v>
      </c>
      <c r="AA51" s="508" t="str">
        <f t="shared" ca="1" si="9"/>
        <v>N/A</v>
      </c>
      <c r="AB51" s="508">
        <f t="shared" ca="1" si="10"/>
        <v>1</v>
      </c>
      <c r="AC51" s="508">
        <f t="shared" ca="1" si="11"/>
        <v>0</v>
      </c>
      <c r="AD51" s="912">
        <f t="shared" ca="1" si="12"/>
        <v>20085</v>
      </c>
      <c r="AE51" s="512">
        <f t="shared" ca="1" si="13"/>
        <v>0</v>
      </c>
      <c r="AF51" s="512">
        <f t="shared" ca="1" si="14"/>
        <v>20085</v>
      </c>
      <c r="AG51" s="512">
        <f t="shared" ca="1" si="15"/>
        <v>0</v>
      </c>
      <c r="AH51" s="512">
        <f t="shared" ca="1" si="16"/>
        <v>0</v>
      </c>
      <c r="AI51" s="512">
        <f t="shared" ca="1" si="17"/>
        <v>0</v>
      </c>
      <c r="AJ51" s="512">
        <f t="shared" ca="1" si="18"/>
        <v>0</v>
      </c>
      <c r="AK51" s="512">
        <f t="shared" ca="1" si="19"/>
        <v>0</v>
      </c>
      <c r="AL51" s="512">
        <f t="shared" ca="1" si="20"/>
        <v>0</v>
      </c>
      <c r="AM51" s="512">
        <f t="shared" ca="1" si="21"/>
        <v>0</v>
      </c>
      <c r="AN51" s="512">
        <f t="shared" ca="1" si="22"/>
        <v>0</v>
      </c>
      <c r="AO51" s="512">
        <f t="shared" ca="1" si="23"/>
        <v>0</v>
      </c>
      <c r="AP51" s="512">
        <f t="shared" ca="1" si="24"/>
        <v>0</v>
      </c>
      <c r="AQ51" s="512" t="str">
        <f t="shared" si="25"/>
        <v/>
      </c>
      <c r="AR51" s="512"/>
      <c r="AS51" s="512" t="str">
        <f t="shared" si="26"/>
        <v/>
      </c>
      <c r="AT51" s="151">
        <f t="shared" si="27"/>
        <v>0</v>
      </c>
      <c r="AU51" s="151">
        <f>IFERROR(VLOOKUP(A51,'[7]TD CuentasBDG'!$N$5:$O$21,2,0),0)</f>
        <v>0</v>
      </c>
      <c r="AV51">
        <f t="shared" si="28"/>
        <v>0</v>
      </c>
    </row>
    <row r="52" spans="1:48" ht="30" x14ac:dyDescent="0.25">
      <c r="A52" s="508" t="s">
        <v>1736</v>
      </c>
      <c r="B52" s="508" t="s">
        <v>1646</v>
      </c>
      <c r="C52" s="508" t="s">
        <v>81</v>
      </c>
      <c r="D52" s="508" t="s">
        <v>81</v>
      </c>
      <c r="E52" s="508"/>
      <c r="F52" s="508"/>
      <c r="G52" s="508" t="s">
        <v>1707</v>
      </c>
      <c r="H52" s="508"/>
      <c r="I52" s="508"/>
      <c r="J52" s="555"/>
      <c r="K52" s="555"/>
      <c r="L52" s="911">
        <f ca="1">IFERROR(INDEX(Lists!$O$2:$Z$2,MATCH(TRUE,INDEX((AE52:AP52&lt;&gt;0),0),0)),DATE(2018,1,1))</f>
        <v>43102</v>
      </c>
      <c r="M52" s="911">
        <f ca="1">IFERROR(INDEX(Lists!$O$3:$Z$3, VALUE(SUBSTITUTE(TEXT(ADDRESS(SUMPRODUCT(MAX((COLUMN(AE52:AP52)*(AE52:AP52&gt;0)))),1),),"$A$",""))-30),DATE(2018,1,1))</f>
        <v>43465</v>
      </c>
      <c r="N52" s="508"/>
      <c r="O52" s="508"/>
      <c r="P52" s="508"/>
      <c r="Q52" s="508"/>
      <c r="R52" s="508" t="str">
        <f t="shared" ca="1" si="0"/>
        <v>RESOURCES</v>
      </c>
      <c r="S52" s="508" t="str">
        <f t="shared" ca="1" si="1"/>
        <v xml:space="preserve">Other perifical equipment: </v>
      </c>
      <c r="T52" s="508" t="str">
        <f t="shared" ca="1" si="2"/>
        <v xml:space="preserve">wires, headphones, chains, etc / </v>
      </c>
      <c r="U52" s="508" t="str">
        <f t="shared" ca="1" si="3"/>
        <v>685 / 51-11-3314</v>
      </c>
      <c r="V52" s="508" t="str">
        <f t="shared" ca="1" si="4"/>
        <v>Sole Source OC</v>
      </c>
      <c r="W52" s="508">
        <f t="shared" ca="1" si="5"/>
        <v>0</v>
      </c>
      <c r="X52" s="508" t="str">
        <f t="shared" ca="1" si="6"/>
        <v>N/A</v>
      </c>
      <c r="Y52" s="508" t="str">
        <f t="shared" ca="1" si="7"/>
        <v>N/A</v>
      </c>
      <c r="Z52" s="508" t="str">
        <f t="shared" ca="1" si="8"/>
        <v>N/A</v>
      </c>
      <c r="AA52" s="508" t="str">
        <f t="shared" ca="1" si="9"/>
        <v>N/A</v>
      </c>
      <c r="AB52" s="508">
        <f t="shared" ca="1" si="10"/>
        <v>12</v>
      </c>
      <c r="AC52" s="508">
        <f t="shared" ca="1" si="11"/>
        <v>0</v>
      </c>
      <c r="AD52" s="912">
        <f t="shared" ca="1" si="12"/>
        <v>7300</v>
      </c>
      <c r="AE52" s="512">
        <f t="shared" ca="1" si="13"/>
        <v>600</v>
      </c>
      <c r="AF52" s="512">
        <f t="shared" ca="1" si="14"/>
        <v>700</v>
      </c>
      <c r="AG52" s="512">
        <f t="shared" ca="1" si="15"/>
        <v>600</v>
      </c>
      <c r="AH52" s="512">
        <f t="shared" ca="1" si="16"/>
        <v>600</v>
      </c>
      <c r="AI52" s="512">
        <f t="shared" ca="1" si="17"/>
        <v>600</v>
      </c>
      <c r="AJ52" s="512">
        <f t="shared" ca="1" si="18"/>
        <v>600</v>
      </c>
      <c r="AK52" s="512">
        <f t="shared" ca="1" si="19"/>
        <v>600</v>
      </c>
      <c r="AL52" s="512">
        <f t="shared" ca="1" si="20"/>
        <v>600</v>
      </c>
      <c r="AM52" s="512">
        <f t="shared" ca="1" si="21"/>
        <v>600</v>
      </c>
      <c r="AN52" s="512">
        <f t="shared" ca="1" si="22"/>
        <v>600</v>
      </c>
      <c r="AO52" s="512">
        <f t="shared" ca="1" si="23"/>
        <v>600</v>
      </c>
      <c r="AP52" s="512">
        <f t="shared" ca="1" si="24"/>
        <v>600</v>
      </c>
      <c r="AQ52" s="512" t="str">
        <f t="shared" si="25"/>
        <v/>
      </c>
      <c r="AR52" s="512"/>
      <c r="AS52" s="512" t="str">
        <f t="shared" si="26"/>
        <v/>
      </c>
      <c r="AT52" s="151">
        <f t="shared" si="27"/>
        <v>0</v>
      </c>
      <c r="AU52" s="151">
        <f>IFERROR(VLOOKUP(A52,'[7]TD CuentasBDG'!$N$5:$O$21,2,0),0)</f>
        <v>0</v>
      </c>
      <c r="AV52">
        <f t="shared" si="28"/>
        <v>0</v>
      </c>
    </row>
    <row r="53" spans="1:48" ht="150" x14ac:dyDescent="0.25">
      <c r="A53" s="508" t="s">
        <v>1737</v>
      </c>
      <c r="B53" s="508" t="s">
        <v>1646</v>
      </c>
      <c r="C53" s="508" t="s">
        <v>81</v>
      </c>
      <c r="D53" s="508" t="s">
        <v>81</v>
      </c>
      <c r="E53" s="508"/>
      <c r="F53" s="508"/>
      <c r="G53" s="508" t="s">
        <v>1707</v>
      </c>
      <c r="H53" s="508"/>
      <c r="I53" s="508"/>
      <c r="J53" s="555"/>
      <c r="K53" s="555"/>
      <c r="L53" s="911">
        <f ca="1">IFERROR(INDEX(Lists!$O$2:$Z$2,MATCH(TRUE,INDEX((AE53:AP53&lt;&gt;0),0),0)),DATE(2018,1,1))</f>
        <v>43132</v>
      </c>
      <c r="M53" s="911">
        <f ca="1">IFERROR(INDEX(Lists!$O$3:$Z$3, VALUE(SUBSTITUTE(TEXT(ADDRESS(SUMPRODUCT(MAX((COLUMN(AE53:AP53)*(AE53:AP53&gt;0)))),1),),"$A$",""))-30),DATE(2018,1,1))</f>
        <v>43434</v>
      </c>
      <c r="N53" s="508"/>
      <c r="O53" s="508"/>
      <c r="P53" s="508"/>
      <c r="Q53" s="508"/>
      <c r="R53" s="508" t="str">
        <f t="shared" ca="1" si="0"/>
        <v>RESOURCES</v>
      </c>
      <c r="S53" s="508" t="str">
        <f t="shared" ca="1" si="1"/>
        <v>Cell phones - Entel PCS - for  new employees &amp; replacement of old equipments</v>
      </c>
      <c r="T53" s="508" t="str">
        <f t="shared" ca="1" si="2"/>
        <v>Cell phones for new employees + replacement old equipments: iPhone 6 32gb  CL$ 130.993
All New managers, engineers and half of the administratives + 20 equipment replacements (the replacement equipements cost more then the new ones CL$ 500.000) /  Current contract Entel PCS</v>
      </c>
      <c r="U53" s="508" t="str">
        <f t="shared" ca="1" si="3"/>
        <v>686 / 51-11-3314</v>
      </c>
      <c r="V53" s="508" t="str">
        <f t="shared" ca="1" si="4"/>
        <v>Active Ct</v>
      </c>
      <c r="W53" s="508" t="str">
        <f t="shared" ca="1" si="5"/>
        <v>Entel PCS</v>
      </c>
      <c r="X53" s="508" t="str">
        <f t="shared" ca="1" si="6"/>
        <v>N/A</v>
      </c>
      <c r="Y53" s="508" t="str">
        <f t="shared" ca="1" si="7"/>
        <v>N/A</v>
      </c>
      <c r="Z53" s="508" t="str">
        <f t="shared" ca="1" si="8"/>
        <v>N/A</v>
      </c>
      <c r="AA53" s="508" t="str">
        <f t="shared" ca="1" si="9"/>
        <v>N/A</v>
      </c>
      <c r="AB53" s="508">
        <f t="shared" ca="1" si="10"/>
        <v>10</v>
      </c>
      <c r="AC53" s="508">
        <f t="shared" ca="1" si="11"/>
        <v>0</v>
      </c>
      <c r="AD53" s="912">
        <f t="shared" ca="1" si="12"/>
        <v>18640.100000000002</v>
      </c>
      <c r="AE53" s="512">
        <f t="shared" ca="1" si="13"/>
        <v>0</v>
      </c>
      <c r="AF53" s="512">
        <f t="shared" ca="1" si="14"/>
        <v>928.68171641791037</v>
      </c>
      <c r="AG53" s="512">
        <f t="shared" ca="1" si="15"/>
        <v>14925.373134328358</v>
      </c>
      <c r="AH53" s="512">
        <f t="shared" ca="1" si="16"/>
        <v>0</v>
      </c>
      <c r="AI53" s="512">
        <f t="shared" ca="1" si="17"/>
        <v>928.68171641791037</v>
      </c>
      <c r="AJ53" s="512">
        <f t="shared" ca="1" si="18"/>
        <v>0</v>
      </c>
      <c r="AK53" s="512">
        <f t="shared" ca="1" si="19"/>
        <v>0</v>
      </c>
      <c r="AL53" s="512">
        <f t="shared" ca="1" si="20"/>
        <v>928.68171641791037</v>
      </c>
      <c r="AM53" s="512">
        <f t="shared" ca="1" si="21"/>
        <v>0</v>
      </c>
      <c r="AN53" s="512">
        <f t="shared" ca="1" si="22"/>
        <v>0</v>
      </c>
      <c r="AO53" s="512">
        <f t="shared" ca="1" si="23"/>
        <v>928.68171641791037</v>
      </c>
      <c r="AP53" s="512">
        <f t="shared" ca="1" si="24"/>
        <v>0</v>
      </c>
      <c r="AQ53" s="512" t="str">
        <f t="shared" si="25"/>
        <v/>
      </c>
      <c r="AR53" s="512"/>
      <c r="AS53" s="512" t="str">
        <f t="shared" si="26"/>
        <v/>
      </c>
      <c r="AT53" s="151">
        <f t="shared" si="27"/>
        <v>0</v>
      </c>
      <c r="AU53" s="151">
        <f>IFERROR(VLOOKUP(A53,'[7]TD CuentasBDG'!$N$5:$O$21,2,0),0)</f>
        <v>0</v>
      </c>
      <c r="AV53">
        <f t="shared" si="28"/>
        <v>0</v>
      </c>
    </row>
    <row r="54" spans="1:48" ht="60" x14ac:dyDescent="0.25">
      <c r="A54" s="508" t="s">
        <v>1738</v>
      </c>
      <c r="B54" s="508" t="s">
        <v>1646</v>
      </c>
      <c r="C54" s="508" t="s">
        <v>81</v>
      </c>
      <c r="D54" s="508" t="s">
        <v>81</v>
      </c>
      <c r="E54" s="508"/>
      <c r="F54" s="508"/>
      <c r="G54" s="508" t="s">
        <v>1707</v>
      </c>
      <c r="H54" s="508"/>
      <c r="I54" s="508"/>
      <c r="J54" s="555"/>
      <c r="K54" s="555"/>
      <c r="L54" s="911">
        <f ca="1">IFERROR(INDEX(Lists!$O$2:$Z$2,MATCH(TRUE,INDEX((AE54:AP54&lt;&gt;0),0),0)),DATE(2018,1,1))</f>
        <v>43191</v>
      </c>
      <c r="M54" s="911">
        <f ca="1">IFERROR(INDEX(Lists!$O$3:$Z$3, VALUE(SUBSTITUTE(TEXT(ADDRESS(SUMPRODUCT(MAX((COLUMN(AE54:AP54)*(AE54:AP54&gt;0)))),1),),"$A$",""))-30),DATE(2018,1,1))</f>
        <v>43220</v>
      </c>
      <c r="N54" s="508"/>
      <c r="O54" s="508"/>
      <c r="P54" s="508"/>
      <c r="Q54" s="508"/>
      <c r="R54" s="508" t="str">
        <f t="shared" ca="1" si="0"/>
        <v>RESOURCES</v>
      </c>
      <c r="S54" s="508" t="str">
        <f t="shared" ca="1" si="1"/>
        <v>Cisco equipment renovation: SmartNet</v>
      </c>
      <c r="T54" s="508" t="str">
        <f t="shared" ca="1" si="2"/>
        <v>7 smartnet para los WS-C3560V + switch y router repuesto / Qoutation from 2017 -AlbaNetwork</v>
      </c>
      <c r="U54" s="508" t="str">
        <f t="shared" ca="1" si="3"/>
        <v>687 / 51-11-3314</v>
      </c>
      <c r="V54" s="508" t="str">
        <f t="shared" ca="1" si="4"/>
        <v>Sole Source OC</v>
      </c>
      <c r="W54" s="508" t="str">
        <f t="shared" ca="1" si="5"/>
        <v>AlbaNetwork</v>
      </c>
      <c r="X54" s="508" t="str">
        <f t="shared" ca="1" si="6"/>
        <v>N/A</v>
      </c>
      <c r="Y54" s="508" t="str">
        <f t="shared" ca="1" si="7"/>
        <v>N/A</v>
      </c>
      <c r="Z54" s="508" t="str">
        <f t="shared" ca="1" si="8"/>
        <v>N/A</v>
      </c>
      <c r="AA54" s="508" t="str">
        <f t="shared" ca="1" si="9"/>
        <v>N/A</v>
      </c>
      <c r="AB54" s="508">
        <f t="shared" ca="1" si="10"/>
        <v>1</v>
      </c>
      <c r="AC54" s="508">
        <f t="shared" ca="1" si="11"/>
        <v>0</v>
      </c>
      <c r="AD54" s="912">
        <f t="shared" ca="1" si="12"/>
        <v>8000</v>
      </c>
      <c r="AE54" s="512">
        <f t="shared" ca="1" si="13"/>
        <v>0</v>
      </c>
      <c r="AF54" s="512">
        <f t="shared" ca="1" si="14"/>
        <v>0</v>
      </c>
      <c r="AG54" s="512">
        <f t="shared" ca="1" si="15"/>
        <v>0</v>
      </c>
      <c r="AH54" s="512">
        <f t="shared" ca="1" si="16"/>
        <v>8000</v>
      </c>
      <c r="AI54" s="512">
        <f t="shared" ca="1" si="17"/>
        <v>0</v>
      </c>
      <c r="AJ54" s="512">
        <f t="shared" ca="1" si="18"/>
        <v>0</v>
      </c>
      <c r="AK54" s="512">
        <f t="shared" ca="1" si="19"/>
        <v>0</v>
      </c>
      <c r="AL54" s="512">
        <f t="shared" ca="1" si="20"/>
        <v>0</v>
      </c>
      <c r="AM54" s="512">
        <f t="shared" ca="1" si="21"/>
        <v>0</v>
      </c>
      <c r="AN54" s="512">
        <f t="shared" ca="1" si="22"/>
        <v>0</v>
      </c>
      <c r="AO54" s="512">
        <f t="shared" ca="1" si="23"/>
        <v>0</v>
      </c>
      <c r="AP54" s="512">
        <f t="shared" ca="1" si="24"/>
        <v>0</v>
      </c>
      <c r="AQ54" s="512" t="str">
        <f t="shared" si="25"/>
        <v/>
      </c>
      <c r="AR54" s="512"/>
      <c r="AS54" s="512" t="str">
        <f t="shared" si="26"/>
        <v/>
      </c>
      <c r="AT54" s="151">
        <f t="shared" si="27"/>
        <v>0</v>
      </c>
      <c r="AU54" s="151">
        <f>IFERROR(VLOOKUP(A54,'[7]TD CuentasBDG'!$N$5:$O$21,2,0),0)</f>
        <v>0</v>
      </c>
      <c r="AV54">
        <f t="shared" si="28"/>
        <v>0</v>
      </c>
    </row>
    <row r="55" spans="1:48" ht="150" x14ac:dyDescent="0.25">
      <c r="A55" s="508" t="s">
        <v>1739</v>
      </c>
      <c r="B55" s="508" t="s">
        <v>1646</v>
      </c>
      <c r="C55" s="508" t="s">
        <v>81</v>
      </c>
      <c r="D55" s="508" t="s">
        <v>81</v>
      </c>
      <c r="E55" s="508"/>
      <c r="F55" s="508"/>
      <c r="G55" s="508" t="s">
        <v>1707</v>
      </c>
      <c r="H55" s="508"/>
      <c r="I55" s="508"/>
      <c r="J55" s="555"/>
      <c r="K55" s="555"/>
      <c r="L55" s="911">
        <f ca="1">IFERROR(INDEX(Lists!$O$2:$Z$2,MATCH(TRUE,INDEX((AE55:AP55&lt;&gt;0),0),0)),DATE(2018,1,1))</f>
        <v>43132</v>
      </c>
      <c r="M55" s="911">
        <f ca="1">IFERROR(INDEX(Lists!$O$3:$Z$3, VALUE(SUBSTITUTE(TEXT(ADDRESS(SUMPRODUCT(MAX((COLUMN(AE55:AP55)*(AE55:AP55&gt;0)))),1),),"$A$",""))-30),DATE(2018,1,1))</f>
        <v>43373</v>
      </c>
      <c r="N55" s="508"/>
      <c r="O55" s="508"/>
      <c r="P55" s="508"/>
      <c r="Q55" s="508"/>
      <c r="R55" s="508" t="str">
        <f t="shared" ca="1" si="0"/>
        <v>RESOURCES</v>
      </c>
      <c r="S55" s="508" t="str">
        <f t="shared" ca="1" si="1"/>
        <v>Specific Desktop Softwares</v>
      </c>
      <c r="T55" s="508" t="str">
        <f t="shared" ca="1" si="2"/>
        <v>- MS Visio Pro # 5 US$ 600
-MS Project Office 365 # 5 US$ 789
- Adobe Acrobat #  9  US$ 739 
-Think cell   # 5  US$ 1200
- MS Access # 3 US$110
- Autocad # 2 U$ 1500 (estimación)
 (this does not includes the applications provided by Teck or GoldCorp) / Actual costs 2017: Adobe, MS, others</v>
      </c>
      <c r="U55" s="508" t="str">
        <f t="shared" ca="1" si="3"/>
        <v>688 / 51-11-3314</v>
      </c>
      <c r="V55" s="508" t="str">
        <f t="shared" ca="1" si="4"/>
        <v>Sole Source OC</v>
      </c>
      <c r="W55" s="508" t="str">
        <f t="shared" ca="1" si="5"/>
        <v>Adobe, MS, others</v>
      </c>
      <c r="X55" s="508" t="str">
        <f t="shared" ca="1" si="6"/>
        <v>N/A</v>
      </c>
      <c r="Y55" s="508" t="str">
        <f t="shared" ca="1" si="7"/>
        <v>N/A</v>
      </c>
      <c r="Z55" s="508" t="str">
        <f t="shared" ca="1" si="8"/>
        <v>N/A</v>
      </c>
      <c r="AA55" s="508" t="str">
        <f t="shared" ca="1" si="9"/>
        <v>N/A</v>
      </c>
      <c r="AB55" s="508">
        <f t="shared" ca="1" si="10"/>
        <v>8</v>
      </c>
      <c r="AC55" s="508">
        <f t="shared" ca="1" si="11"/>
        <v>0</v>
      </c>
      <c r="AD55" s="912">
        <f t="shared" ca="1" si="12"/>
        <v>22926</v>
      </c>
      <c r="AE55" s="512">
        <f t="shared" ca="1" si="13"/>
        <v>0</v>
      </c>
      <c r="AF55" s="512">
        <f t="shared" ca="1" si="14"/>
        <v>7642</v>
      </c>
      <c r="AG55" s="512">
        <f t="shared" ca="1" si="15"/>
        <v>0</v>
      </c>
      <c r="AH55" s="512">
        <f t="shared" ca="1" si="16"/>
        <v>0</v>
      </c>
      <c r="AI55" s="512">
        <f t="shared" ca="1" si="17"/>
        <v>0</v>
      </c>
      <c r="AJ55" s="512">
        <f t="shared" ca="1" si="18"/>
        <v>7642</v>
      </c>
      <c r="AK55" s="512">
        <f t="shared" ca="1" si="19"/>
        <v>0</v>
      </c>
      <c r="AL55" s="512">
        <f t="shared" ca="1" si="20"/>
        <v>0</v>
      </c>
      <c r="AM55" s="512">
        <f t="shared" ca="1" si="21"/>
        <v>7642</v>
      </c>
      <c r="AN55" s="512">
        <f t="shared" ca="1" si="22"/>
        <v>0</v>
      </c>
      <c r="AO55" s="512">
        <f t="shared" ca="1" si="23"/>
        <v>0</v>
      </c>
      <c r="AP55" s="512">
        <f t="shared" ca="1" si="24"/>
        <v>0</v>
      </c>
      <c r="AQ55" s="512" t="str">
        <f t="shared" si="25"/>
        <v/>
      </c>
      <c r="AR55" s="512"/>
      <c r="AS55" s="512" t="str">
        <f t="shared" si="26"/>
        <v/>
      </c>
      <c r="AT55" s="151">
        <f t="shared" si="27"/>
        <v>0</v>
      </c>
      <c r="AU55" s="151">
        <f>IFERROR(VLOOKUP(A55,'[7]TD CuentasBDG'!$N$5:$O$21,2,0),0)</f>
        <v>0</v>
      </c>
      <c r="AV55">
        <f t="shared" si="28"/>
        <v>0</v>
      </c>
    </row>
    <row r="56" spans="1:48" ht="105" x14ac:dyDescent="0.25">
      <c r="A56" s="508" t="s">
        <v>1740</v>
      </c>
      <c r="B56" s="508" t="s">
        <v>1646</v>
      </c>
      <c r="C56" s="508" t="s">
        <v>81</v>
      </c>
      <c r="D56" s="508" t="s">
        <v>81</v>
      </c>
      <c r="E56" s="508"/>
      <c r="F56" s="508"/>
      <c r="G56" s="508" t="s">
        <v>1707</v>
      </c>
      <c r="H56" s="508"/>
      <c r="I56" s="508"/>
      <c r="J56" s="555"/>
      <c r="K56" s="555"/>
      <c r="L56" s="911">
        <f ca="1">IFERROR(INDEX(Lists!$O$2:$Z$2,MATCH(TRUE,INDEX((AE56:AP56&lt;&gt;0),0),0)),DATE(2018,1,1))</f>
        <v>43102</v>
      </c>
      <c r="M56" s="911">
        <f ca="1">IFERROR(INDEX(Lists!$O$3:$Z$3, VALUE(SUBSTITUTE(TEXT(ADDRESS(SUMPRODUCT(MAX((COLUMN(AE56:AP56)*(AE56:AP56&gt;0)))),1),),"$A$",""))-30),DATE(2018,1,1))</f>
        <v>43281</v>
      </c>
      <c r="N56" s="508"/>
      <c r="O56" s="508"/>
      <c r="P56" s="508"/>
      <c r="Q56" s="508"/>
      <c r="R56" s="508" t="str">
        <f t="shared" ca="1" si="0"/>
        <v>RESOURCES</v>
      </c>
      <c r="S56" s="508" t="str">
        <f t="shared" ca="1" si="1"/>
        <v>Special applications</v>
      </c>
      <c r="T56" s="508" t="str">
        <f t="shared" ca="1" si="2"/>
        <v>1.- Azure: US$ 15000
2.- ESRI: US$ 18000
3.- PRISM: US$ 25000
4. acQuire + Citrix licences: 2230
5. ArGIS: 5000 (TBC)
6.- Fire Eye Helix  US$ 93000 (cybersecurity) / quotation 2017</v>
      </c>
      <c r="U56" s="508" t="str">
        <f t="shared" ca="1" si="3"/>
        <v>688 / 51-11-3314</v>
      </c>
      <c r="V56" s="508" t="str">
        <f t="shared" ca="1" si="4"/>
        <v>Sole Source OC</v>
      </c>
      <c r="W56" s="508" t="str">
        <f t="shared" ca="1" si="5"/>
        <v>Adobe, MS, others</v>
      </c>
      <c r="X56" s="508" t="str">
        <f t="shared" ca="1" si="6"/>
        <v>N/A</v>
      </c>
      <c r="Y56" s="508" t="str">
        <f t="shared" ca="1" si="7"/>
        <v>N/A</v>
      </c>
      <c r="Z56" s="508" t="str">
        <f t="shared" ca="1" si="8"/>
        <v>N/A</v>
      </c>
      <c r="AA56" s="508" t="str">
        <f t="shared" ca="1" si="9"/>
        <v>N/A</v>
      </c>
      <c r="AB56" s="508">
        <f t="shared" ca="1" si="10"/>
        <v>6</v>
      </c>
      <c r="AC56" s="508">
        <f t="shared" ca="1" si="11"/>
        <v>0</v>
      </c>
      <c r="AD56" s="912">
        <f t="shared" ca="1" si="12"/>
        <v>158230</v>
      </c>
      <c r="AE56" s="512">
        <f t="shared" ca="1" si="13"/>
        <v>93000</v>
      </c>
      <c r="AF56" s="512">
        <f t="shared" ca="1" si="14"/>
        <v>5000</v>
      </c>
      <c r="AG56" s="512">
        <f t="shared" ca="1" si="15"/>
        <v>15000</v>
      </c>
      <c r="AH56" s="512">
        <f t="shared" ca="1" si="16"/>
        <v>18000</v>
      </c>
      <c r="AI56" s="512">
        <f t="shared" ca="1" si="17"/>
        <v>25000</v>
      </c>
      <c r="AJ56" s="512">
        <f t="shared" ca="1" si="18"/>
        <v>2230</v>
      </c>
      <c r="AK56" s="512">
        <f t="shared" ca="1" si="19"/>
        <v>0</v>
      </c>
      <c r="AL56" s="512">
        <f t="shared" ca="1" si="20"/>
        <v>0</v>
      </c>
      <c r="AM56" s="512">
        <f t="shared" ca="1" si="21"/>
        <v>0</v>
      </c>
      <c r="AN56" s="512">
        <f t="shared" ca="1" si="22"/>
        <v>0</v>
      </c>
      <c r="AO56" s="512">
        <f t="shared" ca="1" si="23"/>
        <v>0</v>
      </c>
      <c r="AP56" s="512">
        <f t="shared" ca="1" si="24"/>
        <v>0</v>
      </c>
      <c r="AQ56" s="512" t="str">
        <f t="shared" si="25"/>
        <v/>
      </c>
      <c r="AR56" s="512"/>
      <c r="AS56" s="512" t="str">
        <f t="shared" si="26"/>
        <v/>
      </c>
      <c r="AT56" s="151">
        <f t="shared" si="27"/>
        <v>0</v>
      </c>
      <c r="AU56" s="151">
        <f>IFERROR(VLOOKUP(A56,'[7]TD CuentasBDG'!$N$5:$O$21,2,0),0)</f>
        <v>0</v>
      </c>
      <c r="AV56">
        <f t="shared" si="28"/>
        <v>0</v>
      </c>
    </row>
    <row r="57" spans="1:48" ht="75" x14ac:dyDescent="0.25">
      <c r="A57" s="508" t="s">
        <v>1741</v>
      </c>
      <c r="B57" s="508" t="s">
        <v>1646</v>
      </c>
      <c r="C57" s="508" t="s">
        <v>81</v>
      </c>
      <c r="D57" s="508" t="s">
        <v>81</v>
      </c>
      <c r="E57" s="508"/>
      <c r="F57" s="508"/>
      <c r="G57" s="508" t="s">
        <v>1707</v>
      </c>
      <c r="H57" s="508"/>
      <c r="I57" s="508"/>
      <c r="J57" s="555"/>
      <c r="K57" s="555"/>
      <c r="L57" s="911">
        <f ca="1">IFERROR(INDEX(Lists!$O$2:$Z$2,MATCH(TRUE,INDEX((AE57:AP57&lt;&gt;0),0),0)),DATE(2018,1,1))</f>
        <v>43132</v>
      </c>
      <c r="M57" s="911">
        <f ca="1">IFERROR(INDEX(Lists!$O$3:$Z$3, VALUE(SUBSTITUTE(TEXT(ADDRESS(SUMPRODUCT(MAX((COLUMN(AE57:AP57)*(AE57:AP57&gt;0)))),1),),"$A$",""))-30),DATE(2018,1,1))</f>
        <v>43343</v>
      </c>
      <c r="N57" s="508"/>
      <c r="O57" s="508"/>
      <c r="P57" s="508"/>
      <c r="Q57" s="508"/>
      <c r="R57" s="508">
        <f t="shared" ca="1" si="0"/>
        <v>0</v>
      </c>
      <c r="S57" s="508" t="str">
        <f t="shared" ca="1" si="1"/>
        <v>Mantención anual de equipos, sala de servidores, aires acondicionados y salas de reuniones</v>
      </c>
      <c r="T57" s="508" t="str">
        <f t="shared" ca="1" si="2"/>
        <v xml:space="preserve">It is considered to extend Teck maintenance costs to NU to have lower prices and same service level / </v>
      </c>
      <c r="U57" s="508">
        <f t="shared" ca="1" si="3"/>
        <v>0</v>
      </c>
      <c r="V57" s="508">
        <f t="shared" ca="1" si="4"/>
        <v>0</v>
      </c>
      <c r="W57" s="508">
        <f t="shared" ca="1" si="5"/>
        <v>0</v>
      </c>
      <c r="X57" s="508">
        <f t="shared" ca="1" si="6"/>
        <v>0</v>
      </c>
      <c r="Y57" s="508">
        <f t="shared" ca="1" si="7"/>
        <v>0</v>
      </c>
      <c r="Z57" s="508">
        <f t="shared" ca="1" si="8"/>
        <v>0</v>
      </c>
      <c r="AA57" s="508">
        <f t="shared" ca="1" si="9"/>
        <v>0</v>
      </c>
      <c r="AB57" s="508">
        <f t="shared" ca="1" si="10"/>
        <v>7</v>
      </c>
      <c r="AC57" s="508">
        <f t="shared" ca="1" si="11"/>
        <v>0</v>
      </c>
      <c r="AD57" s="912">
        <f t="shared" ca="1" si="12"/>
        <v>17000</v>
      </c>
      <c r="AE57" s="512">
        <f t="shared" ca="1" si="13"/>
        <v>0</v>
      </c>
      <c r="AF57" s="512">
        <f t="shared" ca="1" si="14"/>
        <v>8500</v>
      </c>
      <c r="AG57" s="512">
        <f t="shared" ca="1" si="15"/>
        <v>0</v>
      </c>
      <c r="AH57" s="512">
        <f t="shared" ca="1" si="16"/>
        <v>0</v>
      </c>
      <c r="AI57" s="512">
        <f t="shared" ca="1" si="17"/>
        <v>0</v>
      </c>
      <c r="AJ57" s="512">
        <f t="shared" ca="1" si="18"/>
        <v>0</v>
      </c>
      <c r="AK57" s="512">
        <f t="shared" ca="1" si="19"/>
        <v>0</v>
      </c>
      <c r="AL57" s="512">
        <f t="shared" ca="1" si="20"/>
        <v>8500</v>
      </c>
      <c r="AM57" s="512">
        <f t="shared" ca="1" si="21"/>
        <v>0</v>
      </c>
      <c r="AN57" s="512">
        <f t="shared" ca="1" si="22"/>
        <v>0</v>
      </c>
      <c r="AO57" s="512">
        <f t="shared" ca="1" si="23"/>
        <v>0</v>
      </c>
      <c r="AP57" s="512">
        <f t="shared" ca="1" si="24"/>
        <v>0</v>
      </c>
      <c r="AQ57" s="512" t="str">
        <f t="shared" si="25"/>
        <v/>
      </c>
      <c r="AR57" s="512"/>
      <c r="AS57" s="512" t="str">
        <f t="shared" si="26"/>
        <v/>
      </c>
      <c r="AT57" s="151">
        <f t="shared" si="27"/>
        <v>0</v>
      </c>
      <c r="AU57" s="151">
        <f>IFERROR(VLOOKUP(A57,'[7]TD CuentasBDG'!$N$5:$O$21,2,0),0)</f>
        <v>0</v>
      </c>
      <c r="AV57">
        <f t="shared" si="28"/>
        <v>0</v>
      </c>
    </row>
    <row r="58" spans="1:48" ht="45" x14ac:dyDescent="0.25">
      <c r="A58" s="508" t="s">
        <v>1742</v>
      </c>
      <c r="B58" s="508" t="s">
        <v>1646</v>
      </c>
      <c r="C58" s="508" t="s">
        <v>81</v>
      </c>
      <c r="D58" s="508" t="s">
        <v>81</v>
      </c>
      <c r="E58" s="508"/>
      <c r="F58" s="508"/>
      <c r="G58" s="508" t="s">
        <v>1707</v>
      </c>
      <c r="H58" s="508" t="s">
        <v>1743</v>
      </c>
      <c r="I58" s="508" t="s">
        <v>1744</v>
      </c>
      <c r="J58" s="555" t="s">
        <v>1650</v>
      </c>
      <c r="K58" s="555" t="s">
        <v>1651</v>
      </c>
      <c r="L58" s="911">
        <f ca="1">IFERROR(INDEX(Lists!$O$2:$Z$2,MATCH(TRUE,INDEX((AE58:AP58&lt;&gt;0),0),0)),DATE(2018,1,1))</f>
        <v>43102</v>
      </c>
      <c r="M58" s="911">
        <f ca="1">IFERROR(INDEX(Lists!$O$3:$Z$3, VALUE(SUBSTITUTE(TEXT(ADDRESS(SUMPRODUCT(MAX((COLUMN(AE58:AP58)*(AE58:AP58&gt;0)))),1),),"$A$",""))-30),DATE(2018,1,1))</f>
        <v>43465</v>
      </c>
      <c r="N58" s="508" t="s">
        <v>1652</v>
      </c>
      <c r="O58" s="508" t="s">
        <v>1653</v>
      </c>
      <c r="P58" s="508" t="s">
        <v>1071</v>
      </c>
      <c r="Q58" s="508" t="s">
        <v>1071</v>
      </c>
      <c r="R58" s="508" t="str">
        <f t="shared" ca="1" si="0"/>
        <v>RESOURCES</v>
      </c>
      <c r="S58" s="508" t="str">
        <f t="shared" ca="1" si="1"/>
        <v>Arriendo Lomas La Peineta</v>
      </c>
      <c r="T58" s="508" t="str">
        <f t="shared" ca="1" si="2"/>
        <v>Arriendo sitio antena enlace microondas - Relincho / Current contract</v>
      </c>
      <c r="U58" s="508" t="str">
        <f t="shared" ca="1" si="3"/>
        <v>688 / 51-11-3314</v>
      </c>
      <c r="V58" s="508" t="str">
        <f t="shared" ca="1" si="4"/>
        <v>Active Ct</v>
      </c>
      <c r="W58" s="508">
        <f t="shared" ca="1" si="5"/>
        <v>0</v>
      </c>
      <c r="X58" s="508" t="str">
        <f t="shared" ca="1" si="6"/>
        <v>N/A</v>
      </c>
      <c r="Y58" s="508" t="str">
        <f t="shared" ca="1" si="7"/>
        <v>N/A</v>
      </c>
      <c r="Z58" s="508" t="str">
        <f t="shared" ca="1" si="8"/>
        <v>N/A</v>
      </c>
      <c r="AA58" s="508" t="str">
        <f t="shared" ca="1" si="9"/>
        <v>N/A</v>
      </c>
      <c r="AB58" s="508">
        <f t="shared" ca="1" si="10"/>
        <v>12</v>
      </c>
      <c r="AC58" s="508">
        <f t="shared" ca="1" si="11"/>
        <v>0</v>
      </c>
      <c r="AD58" s="912">
        <f t="shared" ca="1" si="12"/>
        <v>6360</v>
      </c>
      <c r="AE58" s="512">
        <f t="shared" ca="1" si="13"/>
        <v>530</v>
      </c>
      <c r="AF58" s="512">
        <f t="shared" ca="1" si="14"/>
        <v>530</v>
      </c>
      <c r="AG58" s="512">
        <f t="shared" ca="1" si="15"/>
        <v>530</v>
      </c>
      <c r="AH58" s="512">
        <f t="shared" ca="1" si="16"/>
        <v>530</v>
      </c>
      <c r="AI58" s="512">
        <f t="shared" ca="1" si="17"/>
        <v>530</v>
      </c>
      <c r="AJ58" s="512">
        <f t="shared" ca="1" si="18"/>
        <v>530</v>
      </c>
      <c r="AK58" s="512">
        <f t="shared" ca="1" si="19"/>
        <v>530</v>
      </c>
      <c r="AL58" s="512">
        <f t="shared" ca="1" si="20"/>
        <v>530</v>
      </c>
      <c r="AM58" s="512">
        <f t="shared" ca="1" si="21"/>
        <v>530</v>
      </c>
      <c r="AN58" s="512">
        <f t="shared" ca="1" si="22"/>
        <v>530</v>
      </c>
      <c r="AO58" s="512">
        <f t="shared" ca="1" si="23"/>
        <v>530</v>
      </c>
      <c r="AP58" s="512">
        <f t="shared" ca="1" si="24"/>
        <v>530</v>
      </c>
      <c r="AQ58" s="512" t="str">
        <f t="shared" si="25"/>
        <v/>
      </c>
      <c r="AR58" s="512"/>
      <c r="AS58" s="512" t="str">
        <f t="shared" si="26"/>
        <v/>
      </c>
      <c r="AT58" s="151">
        <f t="shared" si="27"/>
        <v>0</v>
      </c>
      <c r="AU58" s="151">
        <f>IFERROR(VLOOKUP(A58,'[7]TD CuentasBDG'!$N$5:$O$21,2,0),0)</f>
        <v>0</v>
      </c>
      <c r="AV58" t="str">
        <f t="shared" si="28"/>
        <v>Renovación de Contrato</v>
      </c>
    </row>
    <row r="59" spans="1:48" ht="60" x14ac:dyDescent="0.25">
      <c r="A59" s="508" t="s">
        <v>1745</v>
      </c>
      <c r="B59" s="508" t="s">
        <v>1646</v>
      </c>
      <c r="C59" s="508" t="s">
        <v>81</v>
      </c>
      <c r="D59" s="508" t="s">
        <v>81</v>
      </c>
      <c r="E59" s="508"/>
      <c r="F59" s="508"/>
      <c r="G59" s="508" t="s">
        <v>1707</v>
      </c>
      <c r="H59" s="508" t="s">
        <v>1746</v>
      </c>
      <c r="I59" s="508" t="s">
        <v>1746</v>
      </c>
      <c r="J59" s="555" t="s">
        <v>57</v>
      </c>
      <c r="K59" s="555" t="s">
        <v>1689</v>
      </c>
      <c r="L59" s="911">
        <f ca="1">IFERROR(INDEX(Lists!$O$2:$Z$2,MATCH(TRUE,INDEX((AE59:AP59&lt;&gt;0),0),0)),DATE(2018,1,1))</f>
        <v>43252</v>
      </c>
      <c r="M59" s="911">
        <f ca="1">IFERROR(INDEX(Lists!$O$3:$Z$3, VALUE(SUBSTITUTE(TEXT(ADDRESS(SUMPRODUCT(MAX((COLUMN(AE59:AP59)*(AE59:AP59&gt;0)))),1),),"$A$",""))-30),DATE(2018,1,1))</f>
        <v>43281</v>
      </c>
      <c r="N59" s="508" t="s">
        <v>1652</v>
      </c>
      <c r="O59" s="508" t="s">
        <v>1653</v>
      </c>
      <c r="P59" s="508" t="s">
        <v>1071</v>
      </c>
      <c r="Q59" s="508" t="s">
        <v>1676</v>
      </c>
      <c r="R59" s="508" t="str">
        <f t="shared" ca="1" si="0"/>
        <v>RESOURCES</v>
      </c>
      <c r="S59" s="508" t="str">
        <f t="shared" ca="1" si="1"/>
        <v>Cierre perimetral Antena Los Monteros</v>
      </c>
      <c r="T59" s="508" t="str">
        <f t="shared" ca="1" si="2"/>
        <v>Cierre perimetral sitio Los Morteros, de antena de comunicación radial actualmente desprotegida / ZetaEco</v>
      </c>
      <c r="U59" s="508" t="str">
        <f t="shared" ca="1" si="3"/>
        <v>688 / 51-11-3314</v>
      </c>
      <c r="V59" s="508" t="str">
        <f t="shared" ca="1" si="4"/>
        <v>Bid OC</v>
      </c>
      <c r="W59" s="508">
        <f t="shared" ca="1" si="5"/>
        <v>0</v>
      </c>
      <c r="X59" s="508" t="str">
        <f t="shared" ca="1" si="6"/>
        <v>Mar</v>
      </c>
      <c r="Y59" s="508" t="str">
        <f t="shared" ca="1" si="7"/>
        <v>Abr</v>
      </c>
      <c r="Z59" s="508" t="str">
        <f t="shared" ca="1" si="8"/>
        <v>May</v>
      </c>
      <c r="AA59" s="508" t="str">
        <f t="shared" ca="1" si="9"/>
        <v>Jun</v>
      </c>
      <c r="AB59" s="508">
        <f t="shared" ca="1" si="10"/>
        <v>1</v>
      </c>
      <c r="AC59" s="508">
        <f t="shared" ca="1" si="11"/>
        <v>0</v>
      </c>
      <c r="AD59" s="912">
        <f t="shared" ca="1" si="12"/>
        <v>20000</v>
      </c>
      <c r="AE59" s="512">
        <f t="shared" ca="1" si="13"/>
        <v>0</v>
      </c>
      <c r="AF59" s="512">
        <f t="shared" ca="1" si="14"/>
        <v>0</v>
      </c>
      <c r="AG59" s="512">
        <f t="shared" ca="1" si="15"/>
        <v>0</v>
      </c>
      <c r="AH59" s="512">
        <f t="shared" ca="1" si="16"/>
        <v>0</v>
      </c>
      <c r="AI59" s="512">
        <f t="shared" ca="1" si="17"/>
        <v>0</v>
      </c>
      <c r="AJ59" s="512">
        <f t="shared" ca="1" si="18"/>
        <v>20000</v>
      </c>
      <c r="AK59" s="512">
        <f t="shared" ca="1" si="19"/>
        <v>0</v>
      </c>
      <c r="AL59" s="512">
        <f t="shared" ca="1" si="20"/>
        <v>0</v>
      </c>
      <c r="AM59" s="512">
        <f t="shared" ca="1" si="21"/>
        <v>0</v>
      </c>
      <c r="AN59" s="512">
        <f t="shared" ca="1" si="22"/>
        <v>0</v>
      </c>
      <c r="AO59" s="512">
        <f t="shared" ca="1" si="23"/>
        <v>0</v>
      </c>
      <c r="AP59" s="512">
        <f t="shared" ca="1" si="24"/>
        <v>0</v>
      </c>
      <c r="AQ59" s="512" t="str">
        <f t="shared" si="25"/>
        <v/>
      </c>
      <c r="AR59" s="512"/>
      <c r="AS59" s="512" t="str">
        <f t="shared" si="26"/>
        <v/>
      </c>
      <c r="AT59" s="151">
        <f t="shared" si="27"/>
        <v>0</v>
      </c>
      <c r="AU59" s="151">
        <f>IFERROR(VLOOKUP(A59,'[7]TD CuentasBDG'!$N$5:$O$21,2,0),0)</f>
        <v>0</v>
      </c>
      <c r="AV59" t="str">
        <f t="shared" si="28"/>
        <v>Renovación de Contrato</v>
      </c>
    </row>
    <row r="60" spans="1:48" ht="195" x14ac:dyDescent="0.25">
      <c r="A60" s="508" t="s">
        <v>1747</v>
      </c>
      <c r="B60" s="508" t="s">
        <v>1646</v>
      </c>
      <c r="C60" s="508" t="s">
        <v>81</v>
      </c>
      <c r="D60" s="508" t="s">
        <v>81</v>
      </c>
      <c r="E60" s="508"/>
      <c r="F60" s="508"/>
      <c r="G60" s="508" t="s">
        <v>1695</v>
      </c>
      <c r="H60" s="508"/>
      <c r="I60" s="508"/>
      <c r="J60" s="555"/>
      <c r="K60" s="555"/>
      <c r="L60" s="911">
        <f ca="1">IFERROR(INDEX(Lists!$O$2:$Z$2,MATCH(TRUE,INDEX((AE60:AP60&lt;&gt;0),0),0)),DATE(2018,1,1))</f>
        <v>43102</v>
      </c>
      <c r="M60" s="911">
        <f ca="1">IFERROR(INDEX(Lists!$O$3:$Z$3, VALUE(SUBSTITUTE(TEXT(ADDRESS(SUMPRODUCT(MAX((COLUMN(AE60:AP60)*(AE60:AP60&gt;0)))),1),),"$A$",""))-30),DATE(2018,1,1))</f>
        <v>43465</v>
      </c>
      <c r="N60" s="508"/>
      <c r="O60" s="508"/>
      <c r="P60" s="508"/>
      <c r="Q60" s="508"/>
      <c r="R60" s="508" t="str">
        <f t="shared" ca="1" si="0"/>
        <v>RESOURCES</v>
      </c>
      <c r="S60" s="508" t="str">
        <f t="shared" ca="1" si="1"/>
        <v>Local travel</v>
      </c>
      <c r="T60" s="508" t="str">
        <f t="shared" ca="1" si="2"/>
        <v>Travel to Vallenar and sites: Contractors +employees:
1. Printer maintenance: C/2 meses: tickets CL$ 400000+ taxi CL$ 200000+ Hotel 400000: CL$ 1500000 *6
2. Service desk Vallenar 1 vez por mes : 12* taxi CL$ 200000+ Hotel 400000: CL$ 1000000*12
3. Equipo Stgo + contractors: 6* CL$ 1500000
 / current costs</v>
      </c>
      <c r="U60" s="508" t="str">
        <f t="shared" ca="1" si="3"/>
        <v>685 / 51-11-3314</v>
      </c>
      <c r="V60" s="508" t="str">
        <f t="shared" ca="1" si="4"/>
        <v>Active OS</v>
      </c>
      <c r="W60" s="508">
        <f t="shared" ca="1" si="5"/>
        <v>0</v>
      </c>
      <c r="X60" s="508" t="str">
        <f t="shared" ca="1" si="6"/>
        <v>N/A</v>
      </c>
      <c r="Y60" s="508" t="str">
        <f t="shared" ca="1" si="7"/>
        <v>N/A</v>
      </c>
      <c r="Z60" s="508" t="str">
        <f t="shared" ca="1" si="8"/>
        <v>N/A</v>
      </c>
      <c r="AA60" s="508" t="str">
        <f t="shared" ca="1" si="9"/>
        <v>N/A</v>
      </c>
      <c r="AB60" s="508">
        <f t="shared" ca="1" si="10"/>
        <v>12</v>
      </c>
      <c r="AC60" s="508">
        <f t="shared" ca="1" si="11"/>
        <v>0</v>
      </c>
      <c r="AD60" s="912">
        <f t="shared" ca="1" si="12"/>
        <v>44776.119402985059</v>
      </c>
      <c r="AE60" s="512">
        <f t="shared" ca="1" si="13"/>
        <v>3731.3432835820895</v>
      </c>
      <c r="AF60" s="512">
        <f t="shared" ca="1" si="14"/>
        <v>3731.3432835820895</v>
      </c>
      <c r="AG60" s="512">
        <f t="shared" ca="1" si="15"/>
        <v>3731.3432835820895</v>
      </c>
      <c r="AH60" s="512">
        <f t="shared" ca="1" si="16"/>
        <v>3731.3432835820895</v>
      </c>
      <c r="AI60" s="512">
        <f t="shared" ca="1" si="17"/>
        <v>3731.3432835820895</v>
      </c>
      <c r="AJ60" s="512">
        <f t="shared" ca="1" si="18"/>
        <v>3731.3432835820895</v>
      </c>
      <c r="AK60" s="512">
        <f t="shared" ca="1" si="19"/>
        <v>3731.3432835820895</v>
      </c>
      <c r="AL60" s="512">
        <f t="shared" ca="1" si="20"/>
        <v>3731.3432835820895</v>
      </c>
      <c r="AM60" s="512">
        <f t="shared" ca="1" si="21"/>
        <v>3731.3432835820895</v>
      </c>
      <c r="AN60" s="512">
        <f t="shared" ca="1" si="22"/>
        <v>3731.3432835820895</v>
      </c>
      <c r="AO60" s="512">
        <f t="shared" ca="1" si="23"/>
        <v>3731.3432835820895</v>
      </c>
      <c r="AP60" s="512">
        <f t="shared" ca="1" si="24"/>
        <v>3731.3432835820895</v>
      </c>
      <c r="AQ60" s="512" t="str">
        <f t="shared" si="25"/>
        <v/>
      </c>
      <c r="AR60" s="512"/>
      <c r="AS60" s="512" t="str">
        <f t="shared" si="26"/>
        <v/>
      </c>
      <c r="AT60" s="151">
        <f t="shared" si="27"/>
        <v>0</v>
      </c>
      <c r="AU60" s="151">
        <f>IFERROR(VLOOKUP(A60,'[7]TD CuentasBDG'!$N$5:$O$21,2,0),0)</f>
        <v>0</v>
      </c>
      <c r="AV60">
        <f t="shared" si="28"/>
        <v>0</v>
      </c>
    </row>
    <row r="61" spans="1:48" ht="75" x14ac:dyDescent="0.25">
      <c r="A61" s="508" t="s">
        <v>1748</v>
      </c>
      <c r="B61" s="508" t="s">
        <v>1646</v>
      </c>
      <c r="C61" s="508" t="s">
        <v>81</v>
      </c>
      <c r="D61" s="508" t="s">
        <v>81</v>
      </c>
      <c r="E61" s="508"/>
      <c r="F61" s="508"/>
      <c r="G61" s="508" t="s">
        <v>1693</v>
      </c>
      <c r="H61" s="508"/>
      <c r="I61" s="508"/>
      <c r="J61" s="555"/>
      <c r="K61" s="555"/>
      <c r="L61" s="911">
        <f ca="1">IFERROR(INDEX(Lists!$O$2:$Z$2,MATCH(TRUE,INDEX((AE61:AP61&lt;&gt;0),0),0)),DATE(2018,1,1))</f>
        <v>43191</v>
      </c>
      <c r="M61" s="911">
        <f ca="1">IFERROR(INDEX(Lists!$O$3:$Z$3, VALUE(SUBSTITUTE(TEXT(ADDRESS(SUMPRODUCT(MAX((COLUMN(AE61:AP61)*(AE61:AP61&gt;0)))),1),),"$A$",""))-30),DATE(2018,1,1))</f>
        <v>43373</v>
      </c>
      <c r="N61" s="508"/>
      <c r="O61" s="508"/>
      <c r="P61" s="508"/>
      <c r="Q61" s="508"/>
      <c r="R61" s="508" t="str">
        <f t="shared" ca="1" si="0"/>
        <v>RESOURCES</v>
      </c>
      <c r="S61" s="508" t="str">
        <f t="shared" ca="1" si="1"/>
        <v>International travels</v>
      </c>
      <c r="T61" s="508" t="str">
        <f t="shared" ca="1" si="2"/>
        <v>Travel to Canada IS employees: ERP - Coordinate- Agree IS services- New technology research- other companies remote center controls visits, etc / quotation</v>
      </c>
      <c r="U61" s="508" t="str">
        <f t="shared" ca="1" si="3"/>
        <v>685 / 51-11-3314</v>
      </c>
      <c r="V61" s="508" t="str">
        <f t="shared" ca="1" si="4"/>
        <v>Active OS</v>
      </c>
      <c r="W61" s="508">
        <f t="shared" ca="1" si="5"/>
        <v>0</v>
      </c>
      <c r="X61" s="508" t="str">
        <f t="shared" ca="1" si="6"/>
        <v>N/A</v>
      </c>
      <c r="Y61" s="508" t="str">
        <f t="shared" ca="1" si="7"/>
        <v>N/A</v>
      </c>
      <c r="Z61" s="508" t="str">
        <f t="shared" ca="1" si="8"/>
        <v>N/A</v>
      </c>
      <c r="AA61" s="508" t="str">
        <f t="shared" ca="1" si="9"/>
        <v>N/A</v>
      </c>
      <c r="AB61" s="508">
        <f t="shared" ca="1" si="10"/>
        <v>6</v>
      </c>
      <c r="AC61" s="508">
        <f t="shared" ca="1" si="11"/>
        <v>0</v>
      </c>
      <c r="AD61" s="912">
        <f t="shared" ca="1" si="12"/>
        <v>20000</v>
      </c>
      <c r="AE61" s="512">
        <f t="shared" ca="1" si="13"/>
        <v>0</v>
      </c>
      <c r="AF61" s="512">
        <f t="shared" ca="1" si="14"/>
        <v>0</v>
      </c>
      <c r="AG61" s="512">
        <f t="shared" ca="1" si="15"/>
        <v>0</v>
      </c>
      <c r="AH61" s="512">
        <f t="shared" ca="1" si="16"/>
        <v>10000</v>
      </c>
      <c r="AI61" s="512">
        <f t="shared" ca="1" si="17"/>
        <v>0</v>
      </c>
      <c r="AJ61" s="512">
        <f t="shared" ca="1" si="18"/>
        <v>0</v>
      </c>
      <c r="AK61" s="512">
        <f t="shared" ca="1" si="19"/>
        <v>0</v>
      </c>
      <c r="AL61" s="512">
        <f t="shared" ca="1" si="20"/>
        <v>0</v>
      </c>
      <c r="AM61" s="512">
        <f t="shared" ca="1" si="21"/>
        <v>10000</v>
      </c>
      <c r="AN61" s="512">
        <f t="shared" ca="1" si="22"/>
        <v>0</v>
      </c>
      <c r="AO61" s="512">
        <f t="shared" ca="1" si="23"/>
        <v>0</v>
      </c>
      <c r="AP61" s="512">
        <f t="shared" ca="1" si="24"/>
        <v>0</v>
      </c>
      <c r="AQ61" s="512" t="str">
        <f t="shared" si="25"/>
        <v/>
      </c>
      <c r="AR61" s="512"/>
      <c r="AS61" s="512" t="str">
        <f t="shared" si="26"/>
        <v/>
      </c>
      <c r="AT61" s="151">
        <f t="shared" si="27"/>
        <v>0</v>
      </c>
      <c r="AU61" s="151">
        <f>IFERROR(VLOOKUP(A61,'[7]TD CuentasBDG'!$N$5:$O$21,2,0),0)</f>
        <v>0</v>
      </c>
      <c r="AV61">
        <f t="shared" si="28"/>
        <v>0</v>
      </c>
    </row>
    <row r="62" spans="1:48" ht="60" x14ac:dyDescent="0.25">
      <c r="A62" s="508" t="s">
        <v>1749</v>
      </c>
      <c r="B62" s="508" t="s">
        <v>1646</v>
      </c>
      <c r="C62" s="508" t="s">
        <v>81</v>
      </c>
      <c r="D62" s="508" t="s">
        <v>81</v>
      </c>
      <c r="E62" s="508"/>
      <c r="F62" s="508"/>
      <c r="G62" s="508" t="s">
        <v>1750</v>
      </c>
      <c r="H62" s="508"/>
      <c r="I62" s="508"/>
      <c r="J62" s="555"/>
      <c r="K62" s="555"/>
      <c r="L62" s="911">
        <f ca="1">IFERROR(INDEX(Lists!$O$2:$Z$2,MATCH(TRUE,INDEX((AE62:AP62&lt;&gt;0),0),0)),DATE(2018,1,1))</f>
        <v>43102</v>
      </c>
      <c r="M62" s="911">
        <f ca="1">IFERROR(INDEX(Lists!$O$3:$Z$3, VALUE(SUBSTITUTE(TEXT(ADDRESS(SUMPRODUCT(MAX((COLUMN(AE62:AP62)*(AE62:AP62&gt;0)))),1),),"$A$",""))-30),DATE(2018,1,1))</f>
        <v>43465</v>
      </c>
      <c r="N62" s="508"/>
      <c r="O62" s="508"/>
      <c r="P62" s="508"/>
      <c r="Q62" s="508"/>
      <c r="R62" s="508" t="str">
        <f t="shared" ca="1" si="0"/>
        <v>RESOURCES</v>
      </c>
      <c r="S62" s="508" t="str">
        <f t="shared" ca="1" si="1"/>
        <v>Goldcorp IS Services</v>
      </c>
      <c r="T62" s="508" t="str">
        <f t="shared" ca="1" si="2"/>
        <v>GC Chargeback to NU: licenses, support, cyber security, infrastructure / Service agreement letter</v>
      </c>
      <c r="U62" s="508" t="str">
        <f t="shared" ca="1" si="3"/>
        <v>685 / 51-11-3314</v>
      </c>
      <c r="V62" s="508" t="str">
        <f t="shared" ca="1" si="4"/>
        <v>Sole Source OC</v>
      </c>
      <c r="W62" s="508">
        <f t="shared" ca="1" si="5"/>
        <v>0</v>
      </c>
      <c r="X62" s="508" t="str">
        <f t="shared" ca="1" si="6"/>
        <v>N/A</v>
      </c>
      <c r="Y62" s="508" t="str">
        <f t="shared" ca="1" si="7"/>
        <v>N/A</v>
      </c>
      <c r="Z62" s="508" t="str">
        <f t="shared" ca="1" si="8"/>
        <v>N/A</v>
      </c>
      <c r="AA62" s="508" t="str">
        <f t="shared" ca="1" si="9"/>
        <v>N/A</v>
      </c>
      <c r="AB62" s="508">
        <f t="shared" ca="1" si="10"/>
        <v>12</v>
      </c>
      <c r="AC62" s="508">
        <f t="shared" ca="1" si="11"/>
        <v>0</v>
      </c>
      <c r="AD62" s="912">
        <f t="shared" ca="1" si="12"/>
        <v>99999.999999999985</v>
      </c>
      <c r="AE62" s="512">
        <f t="shared" ca="1" si="13"/>
        <v>8333.3333333333339</v>
      </c>
      <c r="AF62" s="512">
        <f t="shared" ca="1" si="14"/>
        <v>8333.3333333333339</v>
      </c>
      <c r="AG62" s="512">
        <f t="shared" ca="1" si="15"/>
        <v>8333.3333333333339</v>
      </c>
      <c r="AH62" s="512">
        <f t="shared" ca="1" si="16"/>
        <v>8333.3333333333339</v>
      </c>
      <c r="AI62" s="512">
        <f t="shared" ca="1" si="17"/>
        <v>8333.3333333333339</v>
      </c>
      <c r="AJ62" s="512">
        <f t="shared" ca="1" si="18"/>
        <v>8333.3333333333339</v>
      </c>
      <c r="AK62" s="512">
        <f t="shared" ca="1" si="19"/>
        <v>8333.3333333333339</v>
      </c>
      <c r="AL62" s="512">
        <f t="shared" ca="1" si="20"/>
        <v>8333.3333333333339</v>
      </c>
      <c r="AM62" s="512">
        <f t="shared" ca="1" si="21"/>
        <v>8333.3333333333339</v>
      </c>
      <c r="AN62" s="512">
        <f t="shared" ca="1" si="22"/>
        <v>8333.3333333333339</v>
      </c>
      <c r="AO62" s="512">
        <f t="shared" ca="1" si="23"/>
        <v>8333.3333333333339</v>
      </c>
      <c r="AP62" s="512">
        <f t="shared" ca="1" si="24"/>
        <v>8333.3333333333339</v>
      </c>
      <c r="AQ62" s="512" t="str">
        <f t="shared" si="25"/>
        <v/>
      </c>
      <c r="AR62" s="512"/>
      <c r="AS62" s="512" t="str">
        <f t="shared" si="26"/>
        <v/>
      </c>
      <c r="AT62" s="151">
        <f t="shared" si="27"/>
        <v>0</v>
      </c>
      <c r="AU62" s="151">
        <f>IFERROR(VLOOKUP(A62,'[7]TD CuentasBDG'!$N$5:$O$21,2,0),0)</f>
        <v>0</v>
      </c>
      <c r="AV62">
        <f t="shared" si="28"/>
        <v>0</v>
      </c>
    </row>
    <row r="63" spans="1:48" ht="120" x14ac:dyDescent="0.25">
      <c r="A63" s="508" t="s">
        <v>1751</v>
      </c>
      <c r="B63" s="508" t="s">
        <v>1646</v>
      </c>
      <c r="C63" s="508" t="s">
        <v>81</v>
      </c>
      <c r="D63" s="508" t="s">
        <v>81</v>
      </c>
      <c r="E63" s="508"/>
      <c r="F63" s="508"/>
      <c r="G63" s="508" t="s">
        <v>1752</v>
      </c>
      <c r="H63" s="508"/>
      <c r="I63" s="508"/>
      <c r="J63" s="555"/>
      <c r="K63" s="555"/>
      <c r="L63" s="911">
        <f ca="1">IFERROR(INDEX(Lists!$O$2:$Z$2,MATCH(TRUE,INDEX((AE63:AP63&lt;&gt;0),0),0)),DATE(2018,1,1))</f>
        <v>43102</v>
      </c>
      <c r="M63" s="911">
        <f ca="1">IFERROR(INDEX(Lists!$O$3:$Z$3, VALUE(SUBSTITUTE(TEXT(ADDRESS(SUMPRODUCT(MAX((COLUMN(AE63:AP63)*(AE63:AP63&gt;0)))),1),),"$A$",""))-30),DATE(2018,1,1))</f>
        <v>43465</v>
      </c>
      <c r="N63" s="508"/>
      <c r="O63" s="508"/>
      <c r="P63" s="508"/>
      <c r="Q63" s="508"/>
      <c r="R63" s="508" t="str">
        <f t="shared" ca="1" si="0"/>
        <v>RESOURCES</v>
      </c>
      <c r="S63" s="508" t="str">
        <f t="shared" ca="1" si="1"/>
        <v>Teck Canada IS Services</v>
      </c>
      <c r="T63" s="508" t="str">
        <f t="shared" ca="1" si="2"/>
        <v>Teck Chargeback to NU: licenses, support, cyber security, infrastructure:
Licences: MS, Fire Eye Helix 
Service desk Canada + other IS Laobour costs
International Link GC-NU + Teck NU / services quotation</v>
      </c>
      <c r="U63" s="508" t="str">
        <f t="shared" ca="1" si="3"/>
        <v>686 / 51-11-3314</v>
      </c>
      <c r="V63" s="508" t="str">
        <f t="shared" ca="1" si="4"/>
        <v>Active Ct</v>
      </c>
      <c r="W63" s="508">
        <f t="shared" ca="1" si="5"/>
        <v>0</v>
      </c>
      <c r="X63" s="508" t="str">
        <f t="shared" ca="1" si="6"/>
        <v>N/A</v>
      </c>
      <c r="Y63" s="508" t="str">
        <f t="shared" ca="1" si="7"/>
        <v>N/A</v>
      </c>
      <c r="Z63" s="508" t="str">
        <f t="shared" ca="1" si="8"/>
        <v>N/A</v>
      </c>
      <c r="AA63" s="508" t="str">
        <f t="shared" ca="1" si="9"/>
        <v>N/A</v>
      </c>
      <c r="AB63" s="508">
        <f t="shared" ca="1" si="10"/>
        <v>12</v>
      </c>
      <c r="AC63" s="508">
        <f t="shared" ca="1" si="11"/>
        <v>0</v>
      </c>
      <c r="AD63" s="912">
        <f t="shared" ca="1" si="12"/>
        <v>101400</v>
      </c>
      <c r="AE63" s="512">
        <f t="shared" ca="1" si="13"/>
        <v>8450</v>
      </c>
      <c r="AF63" s="512">
        <f t="shared" ca="1" si="14"/>
        <v>8450</v>
      </c>
      <c r="AG63" s="512">
        <f t="shared" ca="1" si="15"/>
        <v>8450</v>
      </c>
      <c r="AH63" s="512">
        <f t="shared" ca="1" si="16"/>
        <v>8450</v>
      </c>
      <c r="AI63" s="512">
        <f t="shared" ca="1" si="17"/>
        <v>8450</v>
      </c>
      <c r="AJ63" s="512">
        <f t="shared" ca="1" si="18"/>
        <v>8450</v>
      </c>
      <c r="AK63" s="512">
        <f t="shared" ca="1" si="19"/>
        <v>8450</v>
      </c>
      <c r="AL63" s="512">
        <f t="shared" ca="1" si="20"/>
        <v>8450</v>
      </c>
      <c r="AM63" s="512">
        <f t="shared" ca="1" si="21"/>
        <v>8450</v>
      </c>
      <c r="AN63" s="512">
        <f t="shared" ca="1" si="22"/>
        <v>8450</v>
      </c>
      <c r="AO63" s="512">
        <f t="shared" ca="1" si="23"/>
        <v>8450</v>
      </c>
      <c r="AP63" s="512">
        <f t="shared" ca="1" si="24"/>
        <v>8450</v>
      </c>
      <c r="AQ63" s="512" t="str">
        <f t="shared" si="25"/>
        <v/>
      </c>
      <c r="AR63" s="512"/>
      <c r="AS63" s="512" t="str">
        <f t="shared" si="26"/>
        <v/>
      </c>
      <c r="AT63" s="151">
        <f t="shared" si="27"/>
        <v>0</v>
      </c>
      <c r="AU63" s="151">
        <f>IFERROR(VLOOKUP(A63,'[7]TD CuentasBDG'!$N$5:$O$21,2,0),0)</f>
        <v>0</v>
      </c>
      <c r="AV63">
        <f t="shared" si="28"/>
        <v>0</v>
      </c>
    </row>
    <row r="64" spans="1:48" ht="75" x14ac:dyDescent="0.25">
      <c r="A64" s="508" t="s">
        <v>1753</v>
      </c>
      <c r="B64" s="508" t="s">
        <v>1646</v>
      </c>
      <c r="C64" s="508" t="s">
        <v>81</v>
      </c>
      <c r="D64" s="508" t="s">
        <v>81</v>
      </c>
      <c r="E64" s="508"/>
      <c r="F64" s="508"/>
      <c r="G64" s="508" t="s">
        <v>1752</v>
      </c>
      <c r="H64" s="508"/>
      <c r="I64" s="508"/>
      <c r="J64" s="555"/>
      <c r="K64" s="555"/>
      <c r="L64" s="911">
        <f ca="1">IFERROR(INDEX(Lists!$O$2:$Z$2,MATCH(TRUE,INDEX((AE64:AP64&lt;&gt;0),0),0)),DATE(2018,1,1))</f>
        <v>43102</v>
      </c>
      <c r="M64" s="911">
        <f ca="1">IFERROR(INDEX(Lists!$O$3:$Z$3, VALUE(SUBSTITUTE(TEXT(ADDRESS(SUMPRODUCT(MAX((COLUMN(AE64:AP64)*(AE64:AP64&gt;0)))),1),),"$A$",""))-30),DATE(2018,1,1))</f>
        <v>43465</v>
      </c>
      <c r="N64" s="508"/>
      <c r="O64" s="508"/>
      <c r="P64" s="508"/>
      <c r="Q64" s="508"/>
      <c r="R64" s="508" t="str">
        <f t="shared" ca="1" si="0"/>
        <v>RESOURCES</v>
      </c>
      <c r="S64" s="508" t="str">
        <f t="shared" ca="1" si="1"/>
        <v>Teck Chile IS Services</v>
      </c>
      <c r="T64" s="508" t="str">
        <f t="shared" ca="1" si="2"/>
        <v>Teck Chargeback to NU: support, cyber security, infrastructure:
Service desk Chile + Insfrastructure support Is Manager
 / services quotation</v>
      </c>
      <c r="U64" s="508" t="str">
        <f t="shared" ca="1" si="3"/>
        <v>686 / 51-11-3314</v>
      </c>
      <c r="V64" s="508" t="str">
        <f t="shared" ca="1" si="4"/>
        <v>Active Ct</v>
      </c>
      <c r="W64" s="508">
        <f t="shared" ca="1" si="5"/>
        <v>0</v>
      </c>
      <c r="X64" s="508" t="str">
        <f t="shared" ca="1" si="6"/>
        <v>N/A</v>
      </c>
      <c r="Y64" s="508" t="str">
        <f t="shared" ca="1" si="7"/>
        <v>N/A</v>
      </c>
      <c r="Z64" s="508" t="str">
        <f t="shared" ca="1" si="8"/>
        <v>N/A</v>
      </c>
      <c r="AA64" s="508" t="str">
        <f t="shared" ca="1" si="9"/>
        <v>N/A</v>
      </c>
      <c r="AB64" s="508">
        <f t="shared" ca="1" si="10"/>
        <v>12</v>
      </c>
      <c r="AC64" s="508">
        <f t="shared" ca="1" si="11"/>
        <v>0</v>
      </c>
      <c r="AD64" s="912">
        <f t="shared" ca="1" si="12"/>
        <v>211500</v>
      </c>
      <c r="AE64" s="512">
        <f t="shared" ca="1" si="13"/>
        <v>17625</v>
      </c>
      <c r="AF64" s="512">
        <f t="shared" ca="1" si="14"/>
        <v>17625</v>
      </c>
      <c r="AG64" s="512">
        <f t="shared" ca="1" si="15"/>
        <v>17625</v>
      </c>
      <c r="AH64" s="512">
        <f t="shared" ca="1" si="16"/>
        <v>17625</v>
      </c>
      <c r="AI64" s="512">
        <f t="shared" ca="1" si="17"/>
        <v>17625</v>
      </c>
      <c r="AJ64" s="512">
        <f t="shared" ca="1" si="18"/>
        <v>17625</v>
      </c>
      <c r="AK64" s="512">
        <f t="shared" ca="1" si="19"/>
        <v>17625</v>
      </c>
      <c r="AL64" s="512">
        <f t="shared" ca="1" si="20"/>
        <v>17625</v>
      </c>
      <c r="AM64" s="512">
        <f t="shared" ca="1" si="21"/>
        <v>17625</v>
      </c>
      <c r="AN64" s="512">
        <f t="shared" ca="1" si="22"/>
        <v>17625</v>
      </c>
      <c r="AO64" s="512">
        <f t="shared" ca="1" si="23"/>
        <v>17625</v>
      </c>
      <c r="AP64" s="512">
        <f t="shared" ca="1" si="24"/>
        <v>17625</v>
      </c>
      <c r="AQ64" s="512" t="str">
        <f t="shared" si="25"/>
        <v/>
      </c>
      <c r="AR64" s="512"/>
      <c r="AS64" s="512" t="str">
        <f t="shared" si="26"/>
        <v/>
      </c>
      <c r="AT64" s="151">
        <f t="shared" si="27"/>
        <v>0</v>
      </c>
      <c r="AU64" s="151">
        <f>IFERROR(VLOOKUP(A64,'[7]TD CuentasBDG'!$N$5:$O$21,2,0),0)</f>
        <v>0</v>
      </c>
      <c r="AV64">
        <f t="shared" si="28"/>
        <v>0</v>
      </c>
    </row>
    <row r="65" spans="1:50" x14ac:dyDescent="0.25">
      <c r="A65" s="508" t="s">
        <v>1754</v>
      </c>
      <c r="B65" s="508" t="s">
        <v>1646</v>
      </c>
      <c r="C65" s="508" t="s">
        <v>1755</v>
      </c>
      <c r="D65" s="508" t="s">
        <v>1756</v>
      </c>
      <c r="E65" s="508"/>
      <c r="F65" s="508"/>
      <c r="G65" s="508" t="s">
        <v>1707</v>
      </c>
      <c r="H65" s="508" t="s">
        <v>1757</v>
      </c>
      <c r="I65" s="508" t="s">
        <v>667</v>
      </c>
      <c r="J65" s="555" t="s">
        <v>1650</v>
      </c>
      <c r="K65" s="555" t="s">
        <v>1651</v>
      </c>
      <c r="L65" s="911">
        <f ca="1">IFERROR(INDEX(Lists!$O$2:$Z$2,MATCH(TRUE,INDEX((AE65:AP65&lt;&gt;0),0),0)),DATE(2018,1,1))</f>
        <v>43191</v>
      </c>
      <c r="M65" s="911">
        <f ca="1">IFERROR(INDEX(Lists!$O$3:$Z$3, VALUE(SUBSTITUTE(TEXT(ADDRESS(SUMPRODUCT(MAX((COLUMN(AE65:AP65)*(AE65:AP65&gt;0)))),1),),"$A$",""))-30),DATE(2018,1,1))</f>
        <v>43465</v>
      </c>
      <c r="N65" s="508" t="s">
        <v>1683</v>
      </c>
      <c r="O65" s="508" t="s">
        <v>1653</v>
      </c>
      <c r="P65" s="508" t="s">
        <v>1071</v>
      </c>
      <c r="Q65" s="508" t="s">
        <v>1071</v>
      </c>
      <c r="R65" s="508">
        <f t="shared" ca="1" si="0"/>
        <v>1</v>
      </c>
      <c r="S65" s="508" t="str">
        <f t="shared" ca="1" si="1"/>
        <v>External Audit &amp; IRS</v>
      </c>
      <c r="T65" s="508">
        <f t="shared" ca="1" si="2"/>
        <v>0</v>
      </c>
      <c r="U65" s="508" t="str">
        <f t="shared" ca="1" si="3"/>
        <v>682 / 51-11-3309</v>
      </c>
      <c r="V65" s="508">
        <f t="shared" ca="1" si="4"/>
        <v>0</v>
      </c>
      <c r="W65" s="508">
        <f t="shared" ca="1" si="5"/>
        <v>0</v>
      </c>
      <c r="X65" s="508">
        <f t="shared" ca="1" si="6"/>
        <v>0</v>
      </c>
      <c r="Y65" s="508">
        <f t="shared" ca="1" si="7"/>
        <v>0</v>
      </c>
      <c r="Z65" s="508">
        <f t="shared" ca="1" si="8"/>
        <v>0</v>
      </c>
      <c r="AA65" s="508">
        <f t="shared" ca="1" si="9"/>
        <v>0</v>
      </c>
      <c r="AB65" s="508">
        <f t="shared" ca="1" si="10"/>
        <v>9</v>
      </c>
      <c r="AC65" s="508">
        <f t="shared" ca="1" si="11"/>
        <v>12</v>
      </c>
      <c r="AD65" s="912">
        <f t="shared" ca="1" si="12"/>
        <v>52000</v>
      </c>
      <c r="AE65" s="512">
        <f t="shared" ca="1" si="13"/>
        <v>0</v>
      </c>
      <c r="AF65" s="512">
        <f t="shared" ca="1" si="14"/>
        <v>0</v>
      </c>
      <c r="AG65" s="512">
        <f t="shared" ca="1" si="15"/>
        <v>0</v>
      </c>
      <c r="AH65" s="512">
        <f t="shared" ca="1" si="16"/>
        <v>10000</v>
      </c>
      <c r="AI65" s="512">
        <f t="shared" ca="1" si="17"/>
        <v>10000</v>
      </c>
      <c r="AJ65" s="512">
        <f t="shared" ca="1" si="18"/>
        <v>10000</v>
      </c>
      <c r="AK65" s="512">
        <f t="shared" ca="1" si="19"/>
        <v>3700</v>
      </c>
      <c r="AL65" s="512">
        <f t="shared" ca="1" si="20"/>
        <v>3700</v>
      </c>
      <c r="AM65" s="512">
        <f t="shared" ca="1" si="21"/>
        <v>3650</v>
      </c>
      <c r="AN65" s="512">
        <f t="shared" ca="1" si="22"/>
        <v>3650</v>
      </c>
      <c r="AO65" s="512">
        <f t="shared" ca="1" si="23"/>
        <v>3650</v>
      </c>
      <c r="AP65" s="512">
        <f t="shared" ca="1" si="24"/>
        <v>3650</v>
      </c>
      <c r="AQ65" s="512" t="str">
        <f t="shared" si="25"/>
        <v/>
      </c>
      <c r="AR65" s="512"/>
      <c r="AS65" s="512" t="str">
        <f t="shared" si="26"/>
        <v/>
      </c>
      <c r="AT65" s="151">
        <f t="shared" si="27"/>
        <v>0</v>
      </c>
      <c r="AU65" s="151">
        <f>IFERROR(VLOOKUP(A65,'[7]TD CuentasBDG'!$N$5:$O$21,2,0),0)</f>
        <v>0</v>
      </c>
      <c r="AV65" t="str">
        <f t="shared" si="28"/>
        <v>Adjudicación Directa</v>
      </c>
    </row>
    <row r="66" spans="1:50" x14ac:dyDescent="0.25">
      <c r="A66" s="508" t="s">
        <v>1758</v>
      </c>
      <c r="B66" s="508" t="s">
        <v>1646</v>
      </c>
      <c r="C66" s="508" t="s">
        <v>1755</v>
      </c>
      <c r="D66" s="508" t="s">
        <v>1756</v>
      </c>
      <c r="E66" s="508"/>
      <c r="F66" s="508"/>
      <c r="G66" s="508" t="s">
        <v>1665</v>
      </c>
      <c r="H66" s="508"/>
      <c r="I66" s="508"/>
      <c r="J66" s="555"/>
      <c r="K66" s="555"/>
      <c r="L66" s="911">
        <f ca="1">IFERROR(INDEX(Lists!$O$2:$Z$2,MATCH(TRUE,INDEX((AE66:AP66&lt;&gt;0),0),0)),DATE(2018,1,1))</f>
        <v>43102</v>
      </c>
      <c r="M66" s="911">
        <f ca="1">IFERROR(INDEX(Lists!$O$3:$Z$3, VALUE(SUBSTITUTE(TEXT(ADDRESS(SUMPRODUCT(MAX((COLUMN(AE66:AP66)*(AE66:AP66&gt;0)))),1),),"$A$",""))-30),DATE(2018,1,1))</f>
        <v>43465</v>
      </c>
      <c r="N66" s="508"/>
      <c r="O66" s="508"/>
      <c r="P66" s="508"/>
      <c r="Q66" s="508"/>
      <c r="R66" s="508">
        <f t="shared" ca="1" si="0"/>
        <v>5</v>
      </c>
      <c r="S66" s="508" t="str">
        <f t="shared" ca="1" si="1"/>
        <v>Banks cost</v>
      </c>
      <c r="T66" s="508">
        <f t="shared" ca="1" si="2"/>
        <v>0</v>
      </c>
      <c r="U66" s="508" t="str">
        <f t="shared" ca="1" si="3"/>
        <v>682 / 51-11-3309</v>
      </c>
      <c r="V66" s="508">
        <f t="shared" ca="1" si="4"/>
        <v>0</v>
      </c>
      <c r="W66" s="508">
        <f t="shared" ca="1" si="5"/>
        <v>0</v>
      </c>
      <c r="X66" s="508">
        <f t="shared" ca="1" si="6"/>
        <v>0</v>
      </c>
      <c r="Y66" s="508">
        <f t="shared" ca="1" si="7"/>
        <v>0</v>
      </c>
      <c r="Z66" s="508">
        <f t="shared" ca="1" si="8"/>
        <v>0</v>
      </c>
      <c r="AA66" s="508">
        <f t="shared" ca="1" si="9"/>
        <v>0</v>
      </c>
      <c r="AB66" s="508">
        <f t="shared" ca="1" si="10"/>
        <v>12</v>
      </c>
      <c r="AC66" s="508">
        <f t="shared" ca="1" si="11"/>
        <v>0</v>
      </c>
      <c r="AD66" s="912">
        <f t="shared" ca="1" si="12"/>
        <v>1000.0000000000001</v>
      </c>
      <c r="AE66" s="512">
        <f t="shared" ca="1" si="13"/>
        <v>83.333333333333329</v>
      </c>
      <c r="AF66" s="512">
        <f t="shared" ca="1" si="14"/>
        <v>83.333333333333329</v>
      </c>
      <c r="AG66" s="512">
        <f t="shared" ca="1" si="15"/>
        <v>83.333333333333329</v>
      </c>
      <c r="AH66" s="512">
        <f t="shared" ca="1" si="16"/>
        <v>83.333333333333329</v>
      </c>
      <c r="AI66" s="512">
        <f t="shared" ca="1" si="17"/>
        <v>83.333333333333329</v>
      </c>
      <c r="AJ66" s="512">
        <f t="shared" ca="1" si="18"/>
        <v>83.333333333333329</v>
      </c>
      <c r="AK66" s="512">
        <f t="shared" ca="1" si="19"/>
        <v>83.333333333333329</v>
      </c>
      <c r="AL66" s="512">
        <f t="shared" ca="1" si="20"/>
        <v>83.333333333333329</v>
      </c>
      <c r="AM66" s="512">
        <f t="shared" ca="1" si="21"/>
        <v>83.333333333333329</v>
      </c>
      <c r="AN66" s="512">
        <f t="shared" ca="1" si="22"/>
        <v>83.333333333333329</v>
      </c>
      <c r="AO66" s="512">
        <f t="shared" ca="1" si="23"/>
        <v>83.333333333333329</v>
      </c>
      <c r="AP66" s="512">
        <f t="shared" ca="1" si="24"/>
        <v>83.333333333333329</v>
      </c>
      <c r="AQ66" s="512" t="str">
        <f t="shared" si="25"/>
        <v/>
      </c>
      <c r="AR66" s="512"/>
      <c r="AS66" s="512" t="str">
        <f t="shared" si="26"/>
        <v/>
      </c>
      <c r="AT66" s="151">
        <f t="shared" si="27"/>
        <v>0</v>
      </c>
      <c r="AU66" s="151">
        <f>IFERROR(VLOOKUP(A66,'[7]TD CuentasBDG'!$N$5:$O$21,2,0),0)</f>
        <v>0</v>
      </c>
      <c r="AV66">
        <f t="shared" si="28"/>
        <v>0</v>
      </c>
    </row>
    <row r="67" spans="1:50" ht="90" x14ac:dyDescent="0.25">
      <c r="A67" s="508" t="s">
        <v>1759</v>
      </c>
      <c r="B67" s="508" t="s">
        <v>1646</v>
      </c>
      <c r="C67" s="508" t="s">
        <v>1755</v>
      </c>
      <c r="D67" s="508" t="s">
        <v>1756</v>
      </c>
      <c r="E67" s="508"/>
      <c r="F67" s="508"/>
      <c r="G67" s="508" t="s">
        <v>1665</v>
      </c>
      <c r="H67" s="508"/>
      <c r="I67" s="508"/>
      <c r="J67" s="555"/>
      <c r="K67" s="555"/>
      <c r="L67" s="911">
        <f ca="1">IFERROR(INDEX(Lists!$O$2:$Z$2,MATCH(TRUE,INDEX((AE67:AP67&lt;&gt;0),0),0)),DATE(2018,1,1))</f>
        <v>43101</v>
      </c>
      <c r="M67" s="911">
        <f ca="1">IFERROR(INDEX(Lists!$O$3:$Z$3, VALUE(SUBSTITUTE(TEXT(ADDRESS(SUMPRODUCT(MAX((COLUMN(AE67:AP67)*(AE67:AP67&gt;0)))),1),),"$A$",""))-30),DATE(2018,1,1))</f>
        <v>43101</v>
      </c>
      <c r="N67" s="508"/>
      <c r="O67" s="508"/>
      <c r="P67" s="508"/>
      <c r="Q67" s="508"/>
      <c r="R67" s="508">
        <f t="shared" ref="R67:R130" ca="1" si="29">VLOOKUP($A67,INDIRECT($D67&amp;"!$A$1:$Z$300"),2,FALSE)</f>
        <v>10</v>
      </c>
      <c r="S67" s="508" t="str">
        <f t="shared" ref="S67:S130" ca="1" si="30">VLOOKUP($A67,INDIRECT($D67&amp;"!$A$1:$Z$300"),3,FALSE)</f>
        <v>Travel Expenses incluido en presupuesto de viajes de Julio Retamal, 6 nacional, 10 internacional</v>
      </c>
      <c r="T67" s="508">
        <f t="shared" ref="T67:T130" ca="1" si="31">VLOOKUP($A67,INDIRECT($D67&amp;"!$A$1:$Z$300"),4,FALSE)</f>
        <v>0</v>
      </c>
      <c r="U67" s="508" t="str">
        <f t="shared" ref="U67:U130" ca="1" si="32">VLOOKUP($A67,INDIRECT($D67&amp;"!$A$1:$Z$300"),5,FALSE)</f>
        <v>682 / 51-11-3309</v>
      </c>
      <c r="V67" s="508">
        <f t="shared" ref="V67:V130" ca="1" si="33">VLOOKUP($A67,INDIRECT($D67&amp;"!$A$1:$Z$300"),6,FALSE)</f>
        <v>0</v>
      </c>
      <c r="W67" s="508">
        <f t="shared" ref="W67:W130" ca="1" si="34">VLOOKUP($A67,INDIRECT($D67&amp;"!$A$1:$Z$300"),7,FALSE)</f>
        <v>0</v>
      </c>
      <c r="X67" s="508">
        <f t="shared" ref="X67:X130" ca="1" si="35">VLOOKUP($A67,INDIRECT($D67&amp;"!$A$1:$Z$300"),8,FALSE)</f>
        <v>0</v>
      </c>
      <c r="Y67" s="508">
        <f t="shared" ref="Y67:Y130" ca="1" si="36">VLOOKUP($A67,INDIRECT($D67&amp;"!$A$1:$Z$300"),9,FALSE)</f>
        <v>0</v>
      </c>
      <c r="Z67" s="508">
        <f t="shared" ref="Z67:Z130" ca="1" si="37">VLOOKUP($A67,INDIRECT($D67&amp;"!$A$1:$Z$300"),10,FALSE)</f>
        <v>0</v>
      </c>
      <c r="AA67" s="508">
        <f t="shared" ref="AA67:AA130" ca="1" si="38">VLOOKUP($A67,INDIRECT($D67&amp;"!$A$1:$Z$300"),11,FALSE)</f>
        <v>0</v>
      </c>
      <c r="AB67" s="508">
        <f t="shared" ref="AB67:AB130" ca="1" si="39">MONTH(M67)-MONTH(L67)+1</f>
        <v>1</v>
      </c>
      <c r="AC67" s="508">
        <f t="shared" ref="AC67:AC130" ca="1" si="40">VLOOKUP($A67,INDIRECT($D67&amp;"!$A$1:$Z$300"),13,FALSE)</f>
        <v>0</v>
      </c>
      <c r="AD67" s="912">
        <f t="shared" ref="AD67:AD130" ca="1" si="41">VLOOKUP($A67,INDIRECT($D67&amp;"!$A$1:$Z$300"),14,FALSE)</f>
        <v>0</v>
      </c>
      <c r="AE67" s="512">
        <f t="shared" ref="AE67:AE130" ca="1" si="42">VLOOKUP($A67,INDIRECT($D67&amp;"!$A$1:$Z$300"),15,FALSE)</f>
        <v>0</v>
      </c>
      <c r="AF67" s="512">
        <f t="shared" ref="AF67:AF130" ca="1" si="43">VLOOKUP($A67,INDIRECT($D67&amp;"!$A$1:$Z$300"),16,FALSE)</f>
        <v>0</v>
      </c>
      <c r="AG67" s="512">
        <f t="shared" ref="AG67:AG130" ca="1" si="44">VLOOKUP($A67,INDIRECT($D67&amp;"!$A$1:$Z$300"),17,FALSE)</f>
        <v>0</v>
      </c>
      <c r="AH67" s="512">
        <f t="shared" ref="AH67:AH130" ca="1" si="45">VLOOKUP($A67,INDIRECT($D67&amp;"!$A$1:$Z$300"),18,FALSE)</f>
        <v>0</v>
      </c>
      <c r="AI67" s="512">
        <f t="shared" ref="AI67:AI130" ca="1" si="46">VLOOKUP($A67,INDIRECT($D67&amp;"!$A$1:$Z$300"),19,FALSE)</f>
        <v>0</v>
      </c>
      <c r="AJ67" s="512">
        <f t="shared" ref="AJ67:AJ130" ca="1" si="47">VLOOKUP($A67,INDIRECT($D67&amp;"!$A$1:$Z$300"),20,FALSE)</f>
        <v>0</v>
      </c>
      <c r="AK67" s="512">
        <f t="shared" ref="AK67:AK130" ca="1" si="48">VLOOKUP($A67,INDIRECT($D67&amp;"!$A$1:$Z$300"),21,FALSE)</f>
        <v>0</v>
      </c>
      <c r="AL67" s="512">
        <f t="shared" ref="AL67:AL130" ca="1" si="49">VLOOKUP($A67,INDIRECT($D67&amp;"!$A$1:$Z$300"),22,FALSE)</f>
        <v>0</v>
      </c>
      <c r="AM67" s="512">
        <f t="shared" ref="AM67:AM130" ca="1" si="50">VLOOKUP($A67,INDIRECT($D67&amp;"!$A$1:$Z$300"),23,FALSE)</f>
        <v>0</v>
      </c>
      <c r="AN67" s="512">
        <f t="shared" ref="AN67:AN130" ca="1" si="51">VLOOKUP($A67,INDIRECT($D67&amp;"!$A$1:$Z$300"),24,FALSE)</f>
        <v>0</v>
      </c>
      <c r="AO67" s="512">
        <f t="shared" ref="AO67:AO130" ca="1" si="52">VLOOKUP($A67,INDIRECT($D67&amp;"!$A$1:$Z$300"),25,FALSE)</f>
        <v>0</v>
      </c>
      <c r="AP67" s="512">
        <f t="shared" ref="AP67:AP130" ca="1" si="53">VLOOKUP($A67,INDIRECT($D67&amp;"!$A$1:$Z$300"),26,FALSE)</f>
        <v>0</v>
      </c>
      <c r="AQ67" s="512" t="str">
        <f t="shared" ref="AQ67:AQ130" si="54">IF(G67="Contrato/Orden de Servicio",IF(AND(Q67&lt;&gt;"Si",AD67&lt;100000),"Orden de Servicio Sin Terreno",IF(AND(Q67="Si",AD67&lt;50000),IF(AB67&lt;=3,"Orden de Servicio Con Terreno","Contrato"),"Contrato")),"")</f>
        <v/>
      </c>
      <c r="AR67" s="512"/>
      <c r="AS67" s="512" t="str">
        <f t="shared" ref="AS67:AS130" si="55">IF(G67="Contrato/Orden de Servicio",IF(AND(AD67&gt;50000,OR(N67="Renovación de Contrato",N67="Adjudicación Directa")),"Si","No"),"")</f>
        <v/>
      </c>
      <c r="AT67" s="151">
        <f t="shared" ref="AT67:AT130" si="56">IF(G67="Contrato/Orden de Servicio",AD67,0)</f>
        <v>0</v>
      </c>
      <c r="AU67" s="151">
        <f>IFERROR(VLOOKUP(A67,'[7]TD CuentasBDG'!$N$5:$O$21,2,0),0)</f>
        <v>0</v>
      </c>
      <c r="AV67">
        <f t="shared" ref="AV67:AV130" si="57">IF(N67="Licitación/Cotización",IF(AT67&lt;50000,"Licitación Corta","Licitación"),N67)</f>
        <v>0</v>
      </c>
    </row>
    <row r="68" spans="1:50" ht="45" x14ac:dyDescent="0.25">
      <c r="A68" s="508" t="s">
        <v>1760</v>
      </c>
      <c r="B68" s="508" t="s">
        <v>1646</v>
      </c>
      <c r="C68" s="508" t="s">
        <v>1755</v>
      </c>
      <c r="D68" s="508" t="s">
        <v>1756</v>
      </c>
      <c r="E68" s="508"/>
      <c r="F68" s="508"/>
      <c r="G68" s="508" t="s">
        <v>1647</v>
      </c>
      <c r="H68" s="508" t="s">
        <v>1761</v>
      </c>
      <c r="I68" s="914" t="s">
        <v>678</v>
      </c>
      <c r="J68" s="555" t="s">
        <v>1650</v>
      </c>
      <c r="K68" s="555" t="s">
        <v>1651</v>
      </c>
      <c r="L68" s="911">
        <f ca="1">IFERROR(INDEX(Lists!$O$2:$Z$2,MATCH(TRUE,INDEX((AE68:AP68&lt;&gt;0),0),0)),DATE(2018,1,1))</f>
        <v>43191</v>
      </c>
      <c r="M68" s="911">
        <f ca="1">IFERROR(INDEX(Lists!$O$3:$Z$3, VALUE(SUBSTITUTE(TEXT(ADDRESS(SUMPRODUCT(MAX((COLUMN(AE68:AP68)*(AE68:AP68&gt;0)))),1),),"$A$",""))-30),DATE(2018,1,1))</f>
        <v>43465</v>
      </c>
      <c r="N68" s="508" t="s">
        <v>1683</v>
      </c>
      <c r="O68" s="508" t="s">
        <v>1653</v>
      </c>
      <c r="P68" s="508" t="s">
        <v>1071</v>
      </c>
      <c r="Q68" s="508" t="s">
        <v>1071</v>
      </c>
      <c r="R68" s="508">
        <f t="shared" ca="1" si="29"/>
        <v>0</v>
      </c>
      <c r="S68" s="508" t="str">
        <f t="shared" ca="1" si="30"/>
        <v>Tax filing (KPMG)</v>
      </c>
      <c r="T68" s="508">
        <f t="shared" ca="1" si="31"/>
        <v>0</v>
      </c>
      <c r="U68" s="508" t="str">
        <f t="shared" ca="1" si="32"/>
        <v>682 / 51-11-3309</v>
      </c>
      <c r="V68" s="508">
        <f t="shared" ca="1" si="33"/>
        <v>0</v>
      </c>
      <c r="W68" s="508">
        <f t="shared" ca="1" si="34"/>
        <v>0</v>
      </c>
      <c r="X68" s="508">
        <f t="shared" ca="1" si="35"/>
        <v>0</v>
      </c>
      <c r="Y68" s="508">
        <f t="shared" ca="1" si="36"/>
        <v>0</v>
      </c>
      <c r="Z68" s="508">
        <f t="shared" ca="1" si="37"/>
        <v>0</v>
      </c>
      <c r="AA68" s="508">
        <f t="shared" ca="1" si="38"/>
        <v>0</v>
      </c>
      <c r="AB68" s="508">
        <f t="shared" ca="1" si="39"/>
        <v>9</v>
      </c>
      <c r="AC68" s="508">
        <f t="shared" ca="1" si="40"/>
        <v>0</v>
      </c>
      <c r="AD68" s="912">
        <f t="shared" ca="1" si="41"/>
        <v>10000</v>
      </c>
      <c r="AE68" s="512">
        <f t="shared" ca="1" si="42"/>
        <v>0</v>
      </c>
      <c r="AF68" s="512">
        <f t="shared" ca="1" si="43"/>
        <v>0</v>
      </c>
      <c r="AG68" s="512">
        <f t="shared" ca="1" si="44"/>
        <v>0</v>
      </c>
      <c r="AH68" s="512">
        <f t="shared" ca="1" si="45"/>
        <v>2500</v>
      </c>
      <c r="AI68" s="512">
        <f t="shared" ca="1" si="46"/>
        <v>0</v>
      </c>
      <c r="AJ68" s="512">
        <f t="shared" ca="1" si="47"/>
        <v>0</v>
      </c>
      <c r="AK68" s="512">
        <f t="shared" ca="1" si="48"/>
        <v>2500</v>
      </c>
      <c r="AL68" s="512">
        <f t="shared" ca="1" si="49"/>
        <v>0</v>
      </c>
      <c r="AM68" s="512">
        <f t="shared" ca="1" si="50"/>
        <v>0</v>
      </c>
      <c r="AN68" s="512">
        <f t="shared" ca="1" si="51"/>
        <v>2500</v>
      </c>
      <c r="AO68" s="512">
        <f t="shared" ca="1" si="52"/>
        <v>0</v>
      </c>
      <c r="AP68" s="512">
        <f t="shared" ca="1" si="53"/>
        <v>2500</v>
      </c>
      <c r="AQ68" s="512" t="str">
        <f t="shared" ca="1" si="54"/>
        <v>Orden de Servicio Sin Terreno</v>
      </c>
      <c r="AR68" s="512"/>
      <c r="AS68" s="512" t="str">
        <f t="shared" ca="1" si="55"/>
        <v>No</v>
      </c>
      <c r="AT68" s="151">
        <f t="shared" ca="1" si="56"/>
        <v>10000</v>
      </c>
      <c r="AU68" s="151">
        <f>IFERROR(VLOOKUP(A68,'[7]TD CuentasBDG'!$N$5:$O$21,2,0),0)</f>
        <v>0</v>
      </c>
      <c r="AV68" t="str">
        <f t="shared" si="57"/>
        <v>Adjudicación Directa</v>
      </c>
      <c r="AW68" t="s">
        <v>1669</v>
      </c>
      <c r="AX68" t="s">
        <v>1655</v>
      </c>
    </row>
    <row r="69" spans="1:50" ht="30" x14ac:dyDescent="0.25">
      <c r="A69" s="508" t="s">
        <v>1762</v>
      </c>
      <c r="B69" s="508" t="s">
        <v>1646</v>
      </c>
      <c r="C69" s="508" t="s">
        <v>1755</v>
      </c>
      <c r="D69" s="508" t="s">
        <v>1756</v>
      </c>
      <c r="E69" s="508"/>
      <c r="F69" s="508"/>
      <c r="G69" s="508" t="s">
        <v>1647</v>
      </c>
      <c r="H69" s="508" t="s">
        <v>1763</v>
      </c>
      <c r="I69" s="914" t="s">
        <v>679</v>
      </c>
      <c r="J69" s="555" t="s">
        <v>1650</v>
      </c>
      <c r="K69" s="555" t="s">
        <v>1651</v>
      </c>
      <c r="L69" s="911">
        <f ca="1">IFERROR(INDEX(Lists!$O$2:$Z$2,MATCH(TRUE,INDEX((AE69:AP69&lt;&gt;0),0),0)),DATE(2018,1,1))</f>
        <v>43160</v>
      </c>
      <c r="M69" s="911">
        <f ca="1">IFERROR(INDEX(Lists!$O$3:$Z$3, VALUE(SUBSTITUTE(TEXT(ADDRESS(SUMPRODUCT(MAX((COLUMN(AE69:AP69)*(AE69:AP69&gt;0)))),1),),"$A$",""))-30),DATE(2018,1,1))</f>
        <v>43404</v>
      </c>
      <c r="N69" s="508" t="s">
        <v>1683</v>
      </c>
      <c r="O69" s="508" t="s">
        <v>1653</v>
      </c>
      <c r="P69" s="508" t="s">
        <v>1071</v>
      </c>
      <c r="Q69" s="508" t="s">
        <v>1071</v>
      </c>
      <c r="R69" s="508">
        <f t="shared" ca="1" si="29"/>
        <v>0</v>
      </c>
      <c r="S69" s="508" t="str">
        <f t="shared" ca="1" si="30"/>
        <v>KPMG finance services 8 months</v>
      </c>
      <c r="T69" s="508">
        <f t="shared" ca="1" si="31"/>
        <v>0</v>
      </c>
      <c r="U69" s="508" t="str">
        <f t="shared" ca="1" si="32"/>
        <v>682 / 51-11-3309</v>
      </c>
      <c r="V69" s="508">
        <f t="shared" ca="1" si="33"/>
        <v>0</v>
      </c>
      <c r="W69" s="508">
        <f t="shared" ca="1" si="34"/>
        <v>0</v>
      </c>
      <c r="X69" s="508">
        <f t="shared" ca="1" si="35"/>
        <v>0</v>
      </c>
      <c r="Y69" s="508">
        <f t="shared" ca="1" si="36"/>
        <v>0</v>
      </c>
      <c r="Z69" s="508">
        <f t="shared" ca="1" si="37"/>
        <v>0</v>
      </c>
      <c r="AA69" s="508">
        <f t="shared" ca="1" si="38"/>
        <v>0</v>
      </c>
      <c r="AB69" s="508">
        <f t="shared" ca="1" si="39"/>
        <v>8</v>
      </c>
      <c r="AC69" s="508">
        <f t="shared" ca="1" si="40"/>
        <v>0</v>
      </c>
      <c r="AD69" s="912">
        <f t="shared" ca="1" si="41"/>
        <v>100000</v>
      </c>
      <c r="AE69" s="512">
        <f t="shared" ca="1" si="42"/>
        <v>0</v>
      </c>
      <c r="AF69" s="512">
        <f t="shared" ca="1" si="43"/>
        <v>0</v>
      </c>
      <c r="AG69" s="512">
        <f t="shared" ca="1" si="44"/>
        <v>12500</v>
      </c>
      <c r="AH69" s="512">
        <f t="shared" ca="1" si="45"/>
        <v>12500</v>
      </c>
      <c r="AI69" s="512">
        <f t="shared" ca="1" si="46"/>
        <v>12500</v>
      </c>
      <c r="AJ69" s="512">
        <f t="shared" ca="1" si="47"/>
        <v>12500</v>
      </c>
      <c r="AK69" s="512">
        <f t="shared" ca="1" si="48"/>
        <v>12500</v>
      </c>
      <c r="AL69" s="512">
        <f t="shared" ca="1" si="49"/>
        <v>12500</v>
      </c>
      <c r="AM69" s="512">
        <f t="shared" ca="1" si="50"/>
        <v>12500</v>
      </c>
      <c r="AN69" s="512">
        <f t="shared" ca="1" si="51"/>
        <v>12500</v>
      </c>
      <c r="AO69" s="512">
        <f t="shared" ca="1" si="52"/>
        <v>0</v>
      </c>
      <c r="AP69" s="512">
        <f t="shared" ca="1" si="53"/>
        <v>0</v>
      </c>
      <c r="AQ69" s="512" t="str">
        <f t="shared" ca="1" si="54"/>
        <v>Contrato</v>
      </c>
      <c r="AR69" s="512"/>
      <c r="AS69" s="512" t="str">
        <f t="shared" ca="1" si="55"/>
        <v>Si</v>
      </c>
      <c r="AT69" s="151">
        <f t="shared" ca="1" si="56"/>
        <v>100000</v>
      </c>
      <c r="AU69" s="151">
        <f>IFERROR(VLOOKUP(A69,'[7]TD CuentasBDG'!$N$5:$O$21,2,0),0)</f>
        <v>0</v>
      </c>
      <c r="AV69" t="str">
        <f t="shared" si="57"/>
        <v>Adjudicación Directa</v>
      </c>
      <c r="AW69" t="s">
        <v>1669</v>
      </c>
      <c r="AX69" t="s">
        <v>1655</v>
      </c>
    </row>
    <row r="70" spans="1:50" ht="60" x14ac:dyDescent="0.25">
      <c r="A70" s="508" t="s">
        <v>1764</v>
      </c>
      <c r="B70" s="508" t="s">
        <v>1646</v>
      </c>
      <c r="C70" s="508" t="s">
        <v>1755</v>
      </c>
      <c r="D70" s="508" t="s">
        <v>1756</v>
      </c>
      <c r="E70" s="508"/>
      <c r="F70" s="508"/>
      <c r="G70" s="508" t="s">
        <v>1752</v>
      </c>
      <c r="H70" s="508"/>
      <c r="I70" s="508"/>
      <c r="J70" s="555"/>
      <c r="K70" s="555"/>
      <c r="L70" s="911">
        <f ca="1">IFERROR(INDEX(Lists!$O$2:$Z$2,MATCH(TRUE,INDEX((AE70:AP70&lt;&gt;0),0),0)),DATE(2018,1,1))</f>
        <v>43102</v>
      </c>
      <c r="M70" s="911">
        <f ca="1">IFERROR(INDEX(Lists!$O$3:$Z$3, VALUE(SUBSTITUTE(TEXT(ADDRESS(SUMPRODUCT(MAX((COLUMN(AE70:AP70)*(AE70:AP70&gt;0)))),1),),"$A$",""))-30),DATE(2018,1,1))</f>
        <v>43220</v>
      </c>
      <c r="N70" s="508"/>
      <c r="O70" s="508"/>
      <c r="P70" s="508"/>
      <c r="Q70" s="508"/>
      <c r="R70" s="508">
        <f t="shared" ca="1" si="29"/>
        <v>2</v>
      </c>
      <c r="S70" s="508" t="str">
        <f t="shared" ca="1" si="30"/>
        <v>Accounting and Finance support ($24k per month) Teck support for Q1</v>
      </c>
      <c r="T70" s="508">
        <f t="shared" ca="1" si="31"/>
        <v>0</v>
      </c>
      <c r="U70" s="508" t="str">
        <f t="shared" ca="1" si="32"/>
        <v>682 / 51-11-3309</v>
      </c>
      <c r="V70" s="508">
        <f t="shared" ca="1" si="33"/>
        <v>0</v>
      </c>
      <c r="W70" s="508">
        <f t="shared" ca="1" si="34"/>
        <v>0</v>
      </c>
      <c r="X70" s="508">
        <f t="shared" ca="1" si="35"/>
        <v>0</v>
      </c>
      <c r="Y70" s="508">
        <f t="shared" ca="1" si="36"/>
        <v>0</v>
      </c>
      <c r="Z70" s="508">
        <f t="shared" ca="1" si="37"/>
        <v>0</v>
      </c>
      <c r="AA70" s="508">
        <f t="shared" ca="1" si="38"/>
        <v>0</v>
      </c>
      <c r="AB70" s="508">
        <f t="shared" ca="1" si="39"/>
        <v>4</v>
      </c>
      <c r="AC70" s="508">
        <f t="shared" ca="1" si="40"/>
        <v>0</v>
      </c>
      <c r="AD70" s="912">
        <f t="shared" ca="1" si="41"/>
        <v>48000</v>
      </c>
      <c r="AE70" s="512">
        <f t="shared" ca="1" si="42"/>
        <v>12000</v>
      </c>
      <c r="AF70" s="512">
        <f t="shared" ca="1" si="43"/>
        <v>12000</v>
      </c>
      <c r="AG70" s="512">
        <f t="shared" ca="1" si="44"/>
        <v>12000</v>
      </c>
      <c r="AH70" s="512">
        <f t="shared" ca="1" si="45"/>
        <v>12000</v>
      </c>
      <c r="AI70" s="512">
        <f t="shared" ca="1" si="46"/>
        <v>0</v>
      </c>
      <c r="AJ70" s="512">
        <f t="shared" ca="1" si="47"/>
        <v>0</v>
      </c>
      <c r="AK70" s="512">
        <f t="shared" ca="1" si="48"/>
        <v>0</v>
      </c>
      <c r="AL70" s="512">
        <f t="shared" ca="1" si="49"/>
        <v>0</v>
      </c>
      <c r="AM70" s="512">
        <f t="shared" ca="1" si="50"/>
        <v>0</v>
      </c>
      <c r="AN70" s="512">
        <f t="shared" ca="1" si="51"/>
        <v>0</v>
      </c>
      <c r="AO70" s="512">
        <f t="shared" ca="1" si="52"/>
        <v>0</v>
      </c>
      <c r="AP70" s="512">
        <f t="shared" ca="1" si="53"/>
        <v>0</v>
      </c>
      <c r="AQ70" s="512" t="str">
        <f t="shared" si="54"/>
        <v/>
      </c>
      <c r="AR70" s="512"/>
      <c r="AS70" s="512" t="str">
        <f t="shared" si="55"/>
        <v/>
      </c>
      <c r="AT70" s="151">
        <f t="shared" si="56"/>
        <v>0</v>
      </c>
      <c r="AU70" s="151">
        <f>IFERROR(VLOOKUP(A70,'[7]TD CuentasBDG'!$N$5:$O$21,2,0),0)</f>
        <v>0</v>
      </c>
      <c r="AV70">
        <f t="shared" si="57"/>
        <v>0</v>
      </c>
    </row>
    <row r="71" spans="1:50" ht="45" x14ac:dyDescent="0.25">
      <c r="A71" s="508" t="s">
        <v>1765</v>
      </c>
      <c r="B71" s="508" t="s">
        <v>1646</v>
      </c>
      <c r="C71" s="508" t="s">
        <v>1755</v>
      </c>
      <c r="D71" s="508" t="s">
        <v>1756</v>
      </c>
      <c r="E71" s="508"/>
      <c r="F71" s="508"/>
      <c r="G71" s="508" t="s">
        <v>1647</v>
      </c>
      <c r="H71" s="508" t="s">
        <v>1766</v>
      </c>
      <c r="I71" s="914" t="s">
        <v>669</v>
      </c>
      <c r="J71" s="555" t="s">
        <v>1650</v>
      </c>
      <c r="K71" s="555" t="s">
        <v>1651</v>
      </c>
      <c r="L71" s="911">
        <f ca="1">IFERROR(INDEX(Lists!$O$2:$Z$2,MATCH(TRUE,INDEX((AE71:AP71&lt;&gt;0),0),0)),DATE(2018,1,1))</f>
        <v>43102</v>
      </c>
      <c r="M71" s="911">
        <f ca="1">IFERROR(INDEX(Lists!$O$3:$Z$3, VALUE(SUBSTITUTE(TEXT(ADDRESS(SUMPRODUCT(MAX((COLUMN(AE71:AP71)*(AE71:AP71&gt;0)))),1),),"$A$",""))-30),DATE(2018,1,1))</f>
        <v>43465</v>
      </c>
      <c r="N71" s="508" t="s">
        <v>1652</v>
      </c>
      <c r="O71" s="508" t="s">
        <v>1653</v>
      </c>
      <c r="P71" s="508" t="s">
        <v>1071</v>
      </c>
      <c r="Q71" s="508" t="s">
        <v>1071</v>
      </c>
      <c r="R71" s="508">
        <f t="shared" ca="1" si="29"/>
        <v>3</v>
      </c>
      <c r="S71" s="508" t="str">
        <f t="shared" ca="1" si="30"/>
        <v>Payroll</v>
      </c>
      <c r="T71" s="508">
        <f t="shared" ca="1" si="31"/>
        <v>0</v>
      </c>
      <c r="U71" s="508" t="str">
        <f t="shared" ca="1" si="32"/>
        <v>682 / 51-11-3309</v>
      </c>
      <c r="V71" s="508">
        <f t="shared" ca="1" si="33"/>
        <v>0</v>
      </c>
      <c r="W71" s="508">
        <f t="shared" ca="1" si="34"/>
        <v>0</v>
      </c>
      <c r="X71" s="508">
        <f t="shared" ca="1" si="35"/>
        <v>0</v>
      </c>
      <c r="Y71" s="508">
        <f t="shared" ca="1" si="36"/>
        <v>0</v>
      </c>
      <c r="Z71" s="508">
        <f t="shared" ca="1" si="37"/>
        <v>0</v>
      </c>
      <c r="AA71" s="508">
        <f t="shared" ca="1" si="38"/>
        <v>0</v>
      </c>
      <c r="AB71" s="508">
        <f t="shared" ca="1" si="39"/>
        <v>12</v>
      </c>
      <c r="AC71" s="508">
        <f t="shared" ca="1" si="40"/>
        <v>0</v>
      </c>
      <c r="AD71" s="912">
        <f t="shared" ca="1" si="41"/>
        <v>24000</v>
      </c>
      <c r="AE71" s="512">
        <f t="shared" ca="1" si="42"/>
        <v>2000</v>
      </c>
      <c r="AF71" s="512">
        <f t="shared" ca="1" si="43"/>
        <v>2000</v>
      </c>
      <c r="AG71" s="512">
        <f t="shared" ca="1" si="44"/>
        <v>2000</v>
      </c>
      <c r="AH71" s="512">
        <f t="shared" ca="1" si="45"/>
        <v>2000</v>
      </c>
      <c r="AI71" s="512">
        <f t="shared" ca="1" si="46"/>
        <v>2000</v>
      </c>
      <c r="AJ71" s="512">
        <f t="shared" ca="1" si="47"/>
        <v>2000</v>
      </c>
      <c r="AK71" s="512">
        <f t="shared" ca="1" si="48"/>
        <v>2000</v>
      </c>
      <c r="AL71" s="512">
        <f t="shared" ca="1" si="49"/>
        <v>2000</v>
      </c>
      <c r="AM71" s="512">
        <f t="shared" ca="1" si="50"/>
        <v>2000</v>
      </c>
      <c r="AN71" s="512">
        <f t="shared" ca="1" si="51"/>
        <v>2000</v>
      </c>
      <c r="AO71" s="512">
        <f t="shared" ca="1" si="52"/>
        <v>2000</v>
      </c>
      <c r="AP71" s="512">
        <f t="shared" ca="1" si="53"/>
        <v>2000</v>
      </c>
      <c r="AQ71" s="512" t="str">
        <f t="shared" ca="1" si="54"/>
        <v>Orden de Servicio Sin Terreno</v>
      </c>
      <c r="AR71" s="512"/>
      <c r="AS71" s="512" t="str">
        <f t="shared" ca="1" si="55"/>
        <v>No</v>
      </c>
      <c r="AT71" s="151">
        <f t="shared" ca="1" si="56"/>
        <v>24000</v>
      </c>
      <c r="AU71" s="151">
        <f>IFERROR(VLOOKUP(A71,'[7]TD CuentasBDG'!$N$5:$O$21,2,0),0)</f>
        <v>0</v>
      </c>
      <c r="AV71" t="str">
        <f t="shared" si="57"/>
        <v>Renovación de Contrato</v>
      </c>
      <c r="AW71" t="s">
        <v>1669</v>
      </c>
      <c r="AX71" t="s">
        <v>1655</v>
      </c>
    </row>
    <row r="72" spans="1:50" x14ac:dyDescent="0.25">
      <c r="A72" s="508" t="s">
        <v>1767</v>
      </c>
      <c r="B72" s="508" t="s">
        <v>1646</v>
      </c>
      <c r="C72" s="508" t="s">
        <v>1755</v>
      </c>
      <c r="D72" s="508" t="s">
        <v>1756</v>
      </c>
      <c r="E72" s="508"/>
      <c r="F72" s="508"/>
      <c r="G72" s="508" t="s">
        <v>1707</v>
      </c>
      <c r="H72" s="508"/>
      <c r="I72" s="508"/>
      <c r="J72" s="555"/>
      <c r="K72" s="555"/>
      <c r="L72" s="911">
        <f ca="1">IFERROR(INDEX(Lists!$O$2:$Z$2,MATCH(TRUE,INDEX((AE72:AP72&lt;&gt;0),0),0)),DATE(2018,1,1))</f>
        <v>43102</v>
      </c>
      <c r="M72" s="911">
        <f ca="1">IFERROR(INDEX(Lists!$O$3:$Z$3, VALUE(SUBSTITUTE(TEXT(ADDRESS(SUMPRODUCT(MAX((COLUMN(AE72:AP72)*(AE72:AP72&gt;0)))),1),),"$A$",""))-30),DATE(2018,1,1))</f>
        <v>43465</v>
      </c>
      <c r="N72" s="508"/>
      <c r="O72" s="508"/>
      <c r="P72" s="508"/>
      <c r="Q72" s="508"/>
      <c r="R72" s="508">
        <f t="shared" ca="1" si="29"/>
        <v>4</v>
      </c>
      <c r="S72" s="508" t="str">
        <f t="shared" ca="1" si="30"/>
        <v>Iconstruye Support</v>
      </c>
      <c r="T72" s="508">
        <f t="shared" ca="1" si="31"/>
        <v>0</v>
      </c>
      <c r="U72" s="508" t="str">
        <f t="shared" ca="1" si="32"/>
        <v>682 / 51-11-3309</v>
      </c>
      <c r="V72" s="508">
        <f t="shared" ca="1" si="33"/>
        <v>0</v>
      </c>
      <c r="W72" s="508">
        <f t="shared" ca="1" si="34"/>
        <v>0</v>
      </c>
      <c r="X72" s="508">
        <f t="shared" ca="1" si="35"/>
        <v>0</v>
      </c>
      <c r="Y72" s="508">
        <f t="shared" ca="1" si="36"/>
        <v>0</v>
      </c>
      <c r="Z72" s="508">
        <f t="shared" ca="1" si="37"/>
        <v>0</v>
      </c>
      <c r="AA72" s="508">
        <f t="shared" ca="1" si="38"/>
        <v>0</v>
      </c>
      <c r="AB72" s="508">
        <f t="shared" ca="1" si="39"/>
        <v>12</v>
      </c>
      <c r="AC72" s="508">
        <f t="shared" ca="1" si="40"/>
        <v>0</v>
      </c>
      <c r="AD72" s="912">
        <f t="shared" ca="1" si="41"/>
        <v>24000</v>
      </c>
      <c r="AE72" s="512">
        <f t="shared" ca="1" si="42"/>
        <v>2000</v>
      </c>
      <c r="AF72" s="512">
        <f t="shared" ca="1" si="43"/>
        <v>2000</v>
      </c>
      <c r="AG72" s="512">
        <f t="shared" ca="1" si="44"/>
        <v>2000</v>
      </c>
      <c r="AH72" s="512">
        <f t="shared" ca="1" si="45"/>
        <v>2000</v>
      </c>
      <c r="AI72" s="512">
        <f t="shared" ca="1" si="46"/>
        <v>2000</v>
      </c>
      <c r="AJ72" s="512">
        <f t="shared" ca="1" si="47"/>
        <v>2000</v>
      </c>
      <c r="AK72" s="512">
        <f t="shared" ca="1" si="48"/>
        <v>2000</v>
      </c>
      <c r="AL72" s="512">
        <f t="shared" ca="1" si="49"/>
        <v>2000</v>
      </c>
      <c r="AM72" s="512">
        <f t="shared" ca="1" si="50"/>
        <v>2000</v>
      </c>
      <c r="AN72" s="512">
        <f t="shared" ca="1" si="51"/>
        <v>2000</v>
      </c>
      <c r="AO72" s="512">
        <f t="shared" ca="1" si="52"/>
        <v>2000</v>
      </c>
      <c r="AP72" s="512">
        <f t="shared" ca="1" si="53"/>
        <v>2000</v>
      </c>
      <c r="AQ72" s="512" t="str">
        <f t="shared" si="54"/>
        <v/>
      </c>
      <c r="AR72" s="512"/>
      <c r="AS72" s="512" t="str">
        <f t="shared" si="55"/>
        <v/>
      </c>
      <c r="AT72" s="151">
        <f t="shared" si="56"/>
        <v>0</v>
      </c>
      <c r="AU72" s="151">
        <f>IFERROR(VLOOKUP(A72,'[7]TD CuentasBDG'!$N$5:$O$21,2,0),0)</f>
        <v>0</v>
      </c>
      <c r="AV72">
        <f t="shared" si="57"/>
        <v>0</v>
      </c>
    </row>
    <row r="73" spans="1:50" ht="75" x14ac:dyDescent="0.25">
      <c r="A73" s="508" t="s">
        <v>1768</v>
      </c>
      <c r="B73" s="508" t="s">
        <v>1646</v>
      </c>
      <c r="C73" s="508" t="s">
        <v>1755</v>
      </c>
      <c r="D73" s="508" t="s">
        <v>1756</v>
      </c>
      <c r="E73" s="508"/>
      <c r="F73" s="508"/>
      <c r="G73" s="508" t="s">
        <v>1647</v>
      </c>
      <c r="H73" s="508" t="s">
        <v>1769</v>
      </c>
      <c r="I73" s="508" t="s">
        <v>673</v>
      </c>
      <c r="J73" s="555" t="s">
        <v>1650</v>
      </c>
      <c r="K73" s="555" t="s">
        <v>1651</v>
      </c>
      <c r="L73" s="911">
        <f ca="1">IFERROR(INDEX(Lists!$O$2:$Z$2,MATCH(TRUE,INDEX((AE73:AP73&lt;&gt;0),0),0)),DATE(2018,1,1))</f>
        <v>43160</v>
      </c>
      <c r="M73" s="911">
        <f ca="1">IFERROR(INDEX(Lists!$O$3:$Z$3, VALUE(SUBSTITUTE(TEXT(ADDRESS(SUMPRODUCT(MAX((COLUMN(AE73:AP73)*(AE73:AP73&gt;0)))),1),),"$A$",""))-30),DATE(2018,1,1))</f>
        <v>43465</v>
      </c>
      <c r="N73" s="508" t="s">
        <v>1683</v>
      </c>
      <c r="O73" s="508" t="s">
        <v>1653</v>
      </c>
      <c r="P73" s="508" t="s">
        <v>1071</v>
      </c>
      <c r="Q73" s="508" t="s">
        <v>1071</v>
      </c>
      <c r="R73" s="508">
        <f t="shared" ca="1" si="29"/>
        <v>7</v>
      </c>
      <c r="S73" s="508" t="str">
        <f t="shared" ca="1" si="30"/>
        <v>Accounting and Finance support ($24k per month) ERP finance support &amp; training</v>
      </c>
      <c r="T73" s="508">
        <f t="shared" ca="1" si="31"/>
        <v>0</v>
      </c>
      <c r="U73" s="508" t="str">
        <f t="shared" ca="1" si="32"/>
        <v>682 / 51-11-3309</v>
      </c>
      <c r="V73" s="508">
        <f t="shared" ca="1" si="33"/>
        <v>0</v>
      </c>
      <c r="W73" s="508">
        <f t="shared" ca="1" si="34"/>
        <v>0</v>
      </c>
      <c r="X73" s="508">
        <f t="shared" ca="1" si="35"/>
        <v>0</v>
      </c>
      <c r="Y73" s="508">
        <f t="shared" ca="1" si="36"/>
        <v>0</v>
      </c>
      <c r="Z73" s="508">
        <f t="shared" ca="1" si="37"/>
        <v>0</v>
      </c>
      <c r="AA73" s="508">
        <f t="shared" ca="1" si="38"/>
        <v>0</v>
      </c>
      <c r="AB73" s="508">
        <f t="shared" ca="1" si="39"/>
        <v>10</v>
      </c>
      <c r="AC73" s="508">
        <f t="shared" ca="1" si="40"/>
        <v>0</v>
      </c>
      <c r="AD73" s="912">
        <f t="shared" ca="1" si="41"/>
        <v>288000</v>
      </c>
      <c r="AE73" s="512">
        <f t="shared" ca="1" si="42"/>
        <v>0</v>
      </c>
      <c r="AF73" s="512">
        <f t="shared" ca="1" si="43"/>
        <v>0</v>
      </c>
      <c r="AG73" s="512">
        <f t="shared" ca="1" si="44"/>
        <v>35000</v>
      </c>
      <c r="AH73" s="512">
        <f t="shared" ca="1" si="45"/>
        <v>35000</v>
      </c>
      <c r="AI73" s="512">
        <f t="shared" ca="1" si="46"/>
        <v>35000</v>
      </c>
      <c r="AJ73" s="512">
        <f t="shared" ca="1" si="47"/>
        <v>35000</v>
      </c>
      <c r="AK73" s="512">
        <f t="shared" ca="1" si="48"/>
        <v>35000</v>
      </c>
      <c r="AL73" s="512">
        <f t="shared" ca="1" si="49"/>
        <v>33000</v>
      </c>
      <c r="AM73" s="512">
        <f t="shared" ca="1" si="50"/>
        <v>20000</v>
      </c>
      <c r="AN73" s="512">
        <f t="shared" ca="1" si="51"/>
        <v>20000</v>
      </c>
      <c r="AO73" s="512">
        <f t="shared" ca="1" si="52"/>
        <v>20000</v>
      </c>
      <c r="AP73" s="512">
        <f t="shared" ca="1" si="53"/>
        <v>20000</v>
      </c>
      <c r="AQ73" s="512" t="str">
        <f t="shared" ca="1" si="54"/>
        <v>Contrato</v>
      </c>
      <c r="AR73" s="512"/>
      <c r="AS73" s="512" t="str">
        <f t="shared" ca="1" si="55"/>
        <v>Si</v>
      </c>
      <c r="AT73" s="151">
        <f t="shared" ca="1" si="56"/>
        <v>288000</v>
      </c>
      <c r="AU73" s="151">
        <f>IFERROR(VLOOKUP(A73,'[7]TD CuentasBDG'!$N$5:$O$21,2,0),0)</f>
        <v>0</v>
      </c>
      <c r="AV73" t="str">
        <f t="shared" si="57"/>
        <v>Adjudicación Directa</v>
      </c>
      <c r="AW73" t="s">
        <v>1669</v>
      </c>
      <c r="AX73" t="s">
        <v>1655</v>
      </c>
    </row>
    <row r="74" spans="1:50" ht="45" x14ac:dyDescent="0.25">
      <c r="A74" s="508" t="s">
        <v>1770</v>
      </c>
      <c r="B74" s="508" t="s">
        <v>1646</v>
      </c>
      <c r="C74" s="508" t="s">
        <v>1755</v>
      </c>
      <c r="D74" s="508" t="s">
        <v>1756</v>
      </c>
      <c r="E74" s="508"/>
      <c r="F74" s="508"/>
      <c r="G74" s="508" t="s">
        <v>1647</v>
      </c>
      <c r="H74" s="508" t="s">
        <v>1771</v>
      </c>
      <c r="I74" s="508" t="s">
        <v>1772</v>
      </c>
      <c r="J74" s="555" t="s">
        <v>1773</v>
      </c>
      <c r="K74" s="555" t="s">
        <v>1774</v>
      </c>
      <c r="L74" s="911">
        <f ca="1">IFERROR(INDEX(Lists!$O$2:$Z$2,MATCH(TRUE,INDEX((AE74:AP74&lt;&gt;0),0),0)),DATE(2018,1,1))</f>
        <v>43191</v>
      </c>
      <c r="M74" s="911">
        <f ca="1">IFERROR(INDEX(Lists!$O$3:$Z$3, VALUE(SUBSTITUTE(TEXT(ADDRESS(SUMPRODUCT(MAX((COLUMN(AE74:AP74)*(AE74:AP74&gt;0)))),1),),"$A$",""))-30),DATE(2018,1,1))</f>
        <v>43465</v>
      </c>
      <c r="N74" s="508" t="s">
        <v>1683</v>
      </c>
      <c r="O74" s="508" t="s">
        <v>1653</v>
      </c>
      <c r="P74" s="508" t="s">
        <v>1071</v>
      </c>
      <c r="Q74" s="508" t="s">
        <v>1071</v>
      </c>
      <c r="R74" s="508">
        <f t="shared" ca="1" si="29"/>
        <v>6</v>
      </c>
      <c r="S74" s="508" t="str">
        <f t="shared" ca="1" si="30"/>
        <v>External Consultant (Tax, etc.)</v>
      </c>
      <c r="T74" s="508">
        <f t="shared" ca="1" si="31"/>
        <v>0</v>
      </c>
      <c r="U74" s="508" t="str">
        <f t="shared" ca="1" si="32"/>
        <v>682 / 51-11-3309</v>
      </c>
      <c r="V74" s="508">
        <f t="shared" ca="1" si="33"/>
        <v>0</v>
      </c>
      <c r="W74" s="508">
        <f t="shared" ca="1" si="34"/>
        <v>0</v>
      </c>
      <c r="X74" s="508">
        <f t="shared" ca="1" si="35"/>
        <v>0</v>
      </c>
      <c r="Y74" s="508">
        <f t="shared" ca="1" si="36"/>
        <v>0</v>
      </c>
      <c r="Z74" s="508">
        <f t="shared" ca="1" si="37"/>
        <v>0</v>
      </c>
      <c r="AA74" s="508">
        <f t="shared" ca="1" si="38"/>
        <v>0</v>
      </c>
      <c r="AB74" s="508">
        <f t="shared" ca="1" si="39"/>
        <v>9</v>
      </c>
      <c r="AC74" s="508">
        <f t="shared" ca="1" si="40"/>
        <v>0</v>
      </c>
      <c r="AD74" s="912">
        <f t="shared" ca="1" si="41"/>
        <v>15000</v>
      </c>
      <c r="AE74" s="512">
        <f t="shared" ca="1" si="42"/>
        <v>0</v>
      </c>
      <c r="AF74" s="512">
        <f t="shared" ca="1" si="43"/>
        <v>0</v>
      </c>
      <c r="AG74" s="512">
        <f t="shared" ca="1" si="44"/>
        <v>0</v>
      </c>
      <c r="AH74" s="512">
        <f t="shared" ca="1" si="45"/>
        <v>1700</v>
      </c>
      <c r="AI74" s="512">
        <f t="shared" ca="1" si="46"/>
        <v>1700</v>
      </c>
      <c r="AJ74" s="512">
        <f t="shared" ca="1" si="47"/>
        <v>1700</v>
      </c>
      <c r="AK74" s="512">
        <f t="shared" ca="1" si="48"/>
        <v>1650</v>
      </c>
      <c r="AL74" s="512">
        <f t="shared" ca="1" si="49"/>
        <v>1650</v>
      </c>
      <c r="AM74" s="512">
        <f t="shared" ca="1" si="50"/>
        <v>1650</v>
      </c>
      <c r="AN74" s="512">
        <f t="shared" ca="1" si="51"/>
        <v>1650</v>
      </c>
      <c r="AO74" s="512">
        <f t="shared" ca="1" si="52"/>
        <v>1650</v>
      </c>
      <c r="AP74" s="512">
        <f t="shared" ca="1" si="53"/>
        <v>1650</v>
      </c>
      <c r="AQ74" s="512" t="str">
        <f t="shared" ca="1" si="54"/>
        <v>Orden de Servicio Sin Terreno</v>
      </c>
      <c r="AR74" s="512"/>
      <c r="AS74" s="512" t="str">
        <f t="shared" ca="1" si="55"/>
        <v>No</v>
      </c>
      <c r="AT74" s="151">
        <f t="shared" ca="1" si="56"/>
        <v>15000</v>
      </c>
      <c r="AU74" s="151">
        <f>IFERROR(VLOOKUP(A74,'[7]TD CuentasBDG'!$N$5:$O$21,2,0),0)</f>
        <v>0</v>
      </c>
      <c r="AV74" t="str">
        <f t="shared" si="57"/>
        <v>Adjudicación Directa</v>
      </c>
      <c r="AW74" t="s">
        <v>1690</v>
      </c>
      <c r="AX74" t="s">
        <v>1655</v>
      </c>
    </row>
    <row r="75" spans="1:50" ht="45" x14ac:dyDescent="0.25">
      <c r="A75" s="508" t="s">
        <v>1775</v>
      </c>
      <c r="B75" s="508" t="s">
        <v>1646</v>
      </c>
      <c r="C75" s="508" t="s">
        <v>1755</v>
      </c>
      <c r="D75" s="508" t="s">
        <v>1756</v>
      </c>
      <c r="E75" s="508"/>
      <c r="F75" s="508"/>
      <c r="G75" s="508" t="s">
        <v>1647</v>
      </c>
      <c r="H75" s="508" t="s">
        <v>1771</v>
      </c>
      <c r="I75" s="508" t="s">
        <v>1776</v>
      </c>
      <c r="J75" s="555" t="s">
        <v>1773</v>
      </c>
      <c r="K75" s="555" t="s">
        <v>1774</v>
      </c>
      <c r="L75" s="911">
        <f ca="1">IFERROR(INDEX(Lists!$O$2:$Z$2,MATCH(TRUE,INDEX((AE75:AP75&lt;&gt;0),0),0)),DATE(2018,1,1))</f>
        <v>43102</v>
      </c>
      <c r="M75" s="911">
        <f ca="1">IFERROR(INDEX(Lists!$O$3:$Z$3, VALUE(SUBSTITUTE(TEXT(ADDRESS(SUMPRODUCT(MAX((COLUMN(AE75:AP75)*(AE75:AP75&gt;0)))),1),),"$A$",""))-30),DATE(2018,1,1))</f>
        <v>43465</v>
      </c>
      <c r="N75" s="508" t="s">
        <v>1683</v>
      </c>
      <c r="O75" s="508" t="s">
        <v>1653</v>
      </c>
      <c r="P75" s="508" t="s">
        <v>1071</v>
      </c>
      <c r="Q75" s="508" t="s">
        <v>1071</v>
      </c>
      <c r="R75" s="508">
        <f t="shared" ca="1" si="29"/>
        <v>8</v>
      </c>
      <c r="S75" s="508" t="str">
        <f t="shared" ca="1" si="30"/>
        <v>External Consultant (Tax, legal etc.)</v>
      </c>
      <c r="T75" s="508">
        <f t="shared" ca="1" si="31"/>
        <v>0</v>
      </c>
      <c r="U75" s="508" t="str">
        <f t="shared" ca="1" si="32"/>
        <v>682 / 51-11-3309</v>
      </c>
      <c r="V75" s="508">
        <f t="shared" ca="1" si="33"/>
        <v>0</v>
      </c>
      <c r="W75" s="508">
        <f t="shared" ca="1" si="34"/>
        <v>0</v>
      </c>
      <c r="X75" s="508">
        <f t="shared" ca="1" si="35"/>
        <v>0</v>
      </c>
      <c r="Y75" s="508">
        <f t="shared" ca="1" si="36"/>
        <v>0</v>
      </c>
      <c r="Z75" s="508">
        <f t="shared" ca="1" si="37"/>
        <v>0</v>
      </c>
      <c r="AA75" s="508">
        <f t="shared" ca="1" si="38"/>
        <v>0</v>
      </c>
      <c r="AB75" s="508">
        <f t="shared" ca="1" si="39"/>
        <v>12</v>
      </c>
      <c r="AC75" s="508">
        <f t="shared" ca="1" si="40"/>
        <v>0</v>
      </c>
      <c r="AD75" s="912">
        <f t="shared" ca="1" si="41"/>
        <v>83000</v>
      </c>
      <c r="AE75" s="512">
        <f t="shared" ca="1" si="42"/>
        <v>11250</v>
      </c>
      <c r="AF75" s="512">
        <f t="shared" ca="1" si="43"/>
        <v>11250</v>
      </c>
      <c r="AG75" s="512">
        <f t="shared" ca="1" si="44"/>
        <v>11250</v>
      </c>
      <c r="AH75" s="512">
        <f t="shared" ca="1" si="45"/>
        <v>11250</v>
      </c>
      <c r="AI75" s="512">
        <f t="shared" ca="1" si="46"/>
        <v>3500</v>
      </c>
      <c r="AJ75" s="512">
        <f t="shared" ca="1" si="47"/>
        <v>3500</v>
      </c>
      <c r="AK75" s="512">
        <f t="shared" ca="1" si="48"/>
        <v>6000</v>
      </c>
      <c r="AL75" s="512">
        <f t="shared" ca="1" si="49"/>
        <v>6000</v>
      </c>
      <c r="AM75" s="512">
        <f t="shared" ca="1" si="50"/>
        <v>6000</v>
      </c>
      <c r="AN75" s="512">
        <f t="shared" ca="1" si="51"/>
        <v>6000</v>
      </c>
      <c r="AO75" s="512">
        <f t="shared" ca="1" si="52"/>
        <v>3500</v>
      </c>
      <c r="AP75" s="512">
        <f t="shared" ca="1" si="53"/>
        <v>3500</v>
      </c>
      <c r="AQ75" s="512" t="str">
        <f t="shared" ca="1" si="54"/>
        <v>Orden de Servicio Sin Terreno</v>
      </c>
      <c r="AR75" s="512"/>
      <c r="AS75" s="512" t="str">
        <f t="shared" ca="1" si="55"/>
        <v>Si</v>
      </c>
      <c r="AT75" s="151">
        <f t="shared" ca="1" si="56"/>
        <v>83000</v>
      </c>
      <c r="AU75" s="151">
        <f>IFERROR(VLOOKUP(A75,'[7]TD CuentasBDG'!$N$5:$O$21,2,0),0)</f>
        <v>0</v>
      </c>
      <c r="AV75" t="str">
        <f t="shared" si="57"/>
        <v>Adjudicación Directa</v>
      </c>
      <c r="AW75" t="s">
        <v>1690</v>
      </c>
      <c r="AX75" t="s">
        <v>1655</v>
      </c>
    </row>
    <row r="76" spans="1:50" ht="45" x14ac:dyDescent="0.25">
      <c r="A76" s="508" t="s">
        <v>1777</v>
      </c>
      <c r="B76" s="508" t="s">
        <v>1646</v>
      </c>
      <c r="C76" s="508" t="s">
        <v>1755</v>
      </c>
      <c r="D76" s="508" t="s">
        <v>1756</v>
      </c>
      <c r="E76" s="508"/>
      <c r="F76" s="508"/>
      <c r="G76" s="913" t="s">
        <v>1647</v>
      </c>
      <c r="H76" s="915" t="s">
        <v>1778</v>
      </c>
      <c r="I76" s="508" t="s">
        <v>1779</v>
      </c>
      <c r="J76" s="555" t="s">
        <v>1773</v>
      </c>
      <c r="K76" s="555" t="s">
        <v>1651</v>
      </c>
      <c r="L76" s="911">
        <f ca="1">IFERROR(INDEX(Lists!$O$2:$Z$2,MATCH(TRUE,INDEX((AE76:AP76&lt;&gt;0),0),0)),DATE(2018,1,1))</f>
        <v>43102</v>
      </c>
      <c r="M76" s="911">
        <f ca="1">IFERROR(INDEX(Lists!$O$3:$Z$3, VALUE(SUBSTITUTE(TEXT(ADDRESS(SUMPRODUCT(MAX((COLUMN(AE76:AP76)*(AE76:AP76&gt;0)))),1),),"$A$",""))-30),DATE(2018,1,1))</f>
        <v>43404</v>
      </c>
      <c r="N76" s="913" t="s">
        <v>1683</v>
      </c>
      <c r="O76" s="508" t="s">
        <v>1653</v>
      </c>
      <c r="P76" s="508" t="s">
        <v>1071</v>
      </c>
      <c r="Q76" s="508" t="s">
        <v>1071</v>
      </c>
      <c r="R76" s="508">
        <f t="shared" ca="1" si="29"/>
        <v>0</v>
      </c>
      <c r="S76" s="508" t="str">
        <f t="shared" ca="1" si="30"/>
        <v>Financial analisys, desal plant, port, power</v>
      </c>
      <c r="T76" s="508">
        <f t="shared" ca="1" si="31"/>
        <v>0</v>
      </c>
      <c r="U76" s="508" t="str">
        <f t="shared" ca="1" si="32"/>
        <v>682 / 51-11-3309</v>
      </c>
      <c r="V76" s="508">
        <f t="shared" ca="1" si="33"/>
        <v>0</v>
      </c>
      <c r="W76" s="508">
        <f t="shared" ca="1" si="34"/>
        <v>0</v>
      </c>
      <c r="X76" s="508">
        <f t="shared" ca="1" si="35"/>
        <v>0</v>
      </c>
      <c r="Y76" s="508">
        <f t="shared" ca="1" si="36"/>
        <v>0</v>
      </c>
      <c r="Z76" s="508">
        <f t="shared" ca="1" si="37"/>
        <v>0</v>
      </c>
      <c r="AA76" s="508">
        <f t="shared" ca="1" si="38"/>
        <v>0</v>
      </c>
      <c r="AB76" s="508">
        <f t="shared" ca="1" si="39"/>
        <v>10</v>
      </c>
      <c r="AC76" s="508">
        <f t="shared" ca="1" si="40"/>
        <v>0</v>
      </c>
      <c r="AD76" s="912">
        <f t="shared" ca="1" si="41"/>
        <v>100000</v>
      </c>
      <c r="AE76" s="512">
        <f t="shared" ca="1" si="42"/>
        <v>10000</v>
      </c>
      <c r="AF76" s="512">
        <f t="shared" ca="1" si="43"/>
        <v>10000</v>
      </c>
      <c r="AG76" s="512">
        <f t="shared" ca="1" si="44"/>
        <v>10000</v>
      </c>
      <c r="AH76" s="512">
        <f t="shared" ca="1" si="45"/>
        <v>10000</v>
      </c>
      <c r="AI76" s="512">
        <f t="shared" ca="1" si="46"/>
        <v>10000</v>
      </c>
      <c r="AJ76" s="512">
        <f t="shared" ca="1" si="47"/>
        <v>10000</v>
      </c>
      <c r="AK76" s="512">
        <f t="shared" ca="1" si="48"/>
        <v>10000</v>
      </c>
      <c r="AL76" s="512">
        <f t="shared" ca="1" si="49"/>
        <v>10000</v>
      </c>
      <c r="AM76" s="512">
        <f t="shared" ca="1" si="50"/>
        <v>10000</v>
      </c>
      <c r="AN76" s="512">
        <f t="shared" ca="1" si="51"/>
        <v>10000</v>
      </c>
      <c r="AO76" s="512">
        <f t="shared" ca="1" si="52"/>
        <v>0</v>
      </c>
      <c r="AP76" s="512">
        <f t="shared" ca="1" si="53"/>
        <v>0</v>
      </c>
      <c r="AQ76" s="512" t="str">
        <f t="shared" ca="1" si="54"/>
        <v>Contrato</v>
      </c>
      <c r="AR76" s="512"/>
      <c r="AS76" s="512" t="str">
        <f t="shared" ca="1" si="55"/>
        <v>Si</v>
      </c>
      <c r="AT76" s="151">
        <f t="shared" ca="1" si="56"/>
        <v>100000</v>
      </c>
      <c r="AU76" s="151">
        <f>IFERROR(VLOOKUP(A76,'[7]TD CuentasBDG'!$N$5:$O$21,2,0),0)</f>
        <v>0</v>
      </c>
      <c r="AV76" t="str">
        <f t="shared" si="57"/>
        <v>Adjudicación Directa</v>
      </c>
      <c r="AW76" t="s">
        <v>1690</v>
      </c>
      <c r="AX76" t="s">
        <v>1655</v>
      </c>
    </row>
    <row r="77" spans="1:50" ht="60" x14ac:dyDescent="0.25">
      <c r="A77" s="508" t="s">
        <v>1780</v>
      </c>
      <c r="B77" s="508" t="s">
        <v>1646</v>
      </c>
      <c r="C77" s="508" t="s">
        <v>1755</v>
      </c>
      <c r="D77" s="508" t="s">
        <v>1756</v>
      </c>
      <c r="E77" s="508"/>
      <c r="F77" s="508"/>
      <c r="G77" s="913" t="s">
        <v>1647</v>
      </c>
      <c r="H77" s="915" t="s">
        <v>1781</v>
      </c>
      <c r="I77" s="508" t="s">
        <v>1782</v>
      </c>
      <c r="J77" s="555" t="s">
        <v>1650</v>
      </c>
      <c r="K77" s="555" t="s">
        <v>1651</v>
      </c>
      <c r="L77" s="911">
        <f ca="1">IFERROR(INDEX(Lists!$O$2:$Z$2,MATCH(TRUE,INDEX((AE77:AP77&lt;&gt;0),0),0)),DATE(2018,1,1))</f>
        <v>43252</v>
      </c>
      <c r="M77" s="911">
        <f ca="1">IFERROR(INDEX(Lists!$O$3:$Z$3, VALUE(SUBSTITUTE(TEXT(ADDRESS(SUMPRODUCT(MAX((COLUMN(AE77:AP77)*(AE77:AP77&gt;0)))),1),),"$A$",""))-30),DATE(2018,1,1))</f>
        <v>43404</v>
      </c>
      <c r="N77" s="913" t="s">
        <v>1683</v>
      </c>
      <c r="O77" s="508" t="s">
        <v>1653</v>
      </c>
      <c r="P77" s="508" t="s">
        <v>1071</v>
      </c>
      <c r="Q77" s="508" t="s">
        <v>1071</v>
      </c>
      <c r="R77" s="508">
        <f t="shared" ca="1" si="29"/>
        <v>11</v>
      </c>
      <c r="S77" s="508" t="str">
        <f t="shared" ca="1" si="30"/>
        <v>Operational and organizational design , process and procedures</v>
      </c>
      <c r="T77" s="508">
        <f t="shared" ca="1" si="31"/>
        <v>0</v>
      </c>
      <c r="U77" s="508" t="str">
        <f t="shared" ca="1" si="32"/>
        <v>682 / 51-11-3309</v>
      </c>
      <c r="V77" s="508">
        <f t="shared" ca="1" si="33"/>
        <v>0</v>
      </c>
      <c r="W77" s="508">
        <f t="shared" ca="1" si="34"/>
        <v>0</v>
      </c>
      <c r="X77" s="508">
        <f t="shared" ca="1" si="35"/>
        <v>0</v>
      </c>
      <c r="Y77" s="508">
        <f t="shared" ca="1" si="36"/>
        <v>0</v>
      </c>
      <c r="Z77" s="508">
        <f t="shared" ca="1" si="37"/>
        <v>0</v>
      </c>
      <c r="AA77" s="508">
        <f t="shared" ca="1" si="38"/>
        <v>0</v>
      </c>
      <c r="AB77" s="508">
        <f t="shared" ca="1" si="39"/>
        <v>5</v>
      </c>
      <c r="AC77" s="508">
        <f t="shared" ca="1" si="40"/>
        <v>0</v>
      </c>
      <c r="AD77" s="912">
        <f t="shared" ca="1" si="41"/>
        <v>1000000</v>
      </c>
      <c r="AE77" s="512">
        <f t="shared" ca="1" si="42"/>
        <v>0</v>
      </c>
      <c r="AF77" s="512">
        <f t="shared" ca="1" si="43"/>
        <v>0</v>
      </c>
      <c r="AG77" s="512">
        <f t="shared" ca="1" si="44"/>
        <v>0</v>
      </c>
      <c r="AH77" s="512">
        <f t="shared" ca="1" si="45"/>
        <v>0</v>
      </c>
      <c r="AI77" s="512">
        <f t="shared" ca="1" si="46"/>
        <v>0</v>
      </c>
      <c r="AJ77" s="512">
        <f t="shared" ca="1" si="47"/>
        <v>200000</v>
      </c>
      <c r="AK77" s="512">
        <f t="shared" ca="1" si="48"/>
        <v>200000</v>
      </c>
      <c r="AL77" s="512">
        <f t="shared" ca="1" si="49"/>
        <v>200000</v>
      </c>
      <c r="AM77" s="512">
        <f t="shared" ca="1" si="50"/>
        <v>200000</v>
      </c>
      <c r="AN77" s="512">
        <f t="shared" ca="1" si="51"/>
        <v>200000</v>
      </c>
      <c r="AO77" s="512">
        <f t="shared" ca="1" si="52"/>
        <v>0</v>
      </c>
      <c r="AP77" s="512">
        <f t="shared" ca="1" si="53"/>
        <v>0</v>
      </c>
      <c r="AQ77" s="512" t="str">
        <f t="shared" ca="1" si="54"/>
        <v>Contrato</v>
      </c>
      <c r="AR77" s="512"/>
      <c r="AS77" s="512" t="str">
        <f t="shared" ca="1" si="55"/>
        <v>Si</v>
      </c>
      <c r="AT77" s="151">
        <f t="shared" ca="1" si="56"/>
        <v>1000000</v>
      </c>
      <c r="AU77" s="151">
        <f>IFERROR(VLOOKUP(A77,'[7]TD CuentasBDG'!$N$5:$O$21,2,0),0)</f>
        <v>0</v>
      </c>
      <c r="AV77" t="str">
        <f t="shared" si="57"/>
        <v>Adjudicación Directa</v>
      </c>
      <c r="AW77" s="916" t="s">
        <v>1669</v>
      </c>
      <c r="AX77" s="916" t="s">
        <v>1655</v>
      </c>
    </row>
    <row r="78" spans="1:50" ht="75" x14ac:dyDescent="0.25">
      <c r="A78" s="508" t="s">
        <v>1783</v>
      </c>
      <c r="B78" s="508" t="s">
        <v>1646</v>
      </c>
      <c r="C78" s="508" t="s">
        <v>93</v>
      </c>
      <c r="D78" s="508" t="s">
        <v>1784</v>
      </c>
      <c r="E78" s="508"/>
      <c r="F78" s="508"/>
      <c r="G78" s="508" t="s">
        <v>1647</v>
      </c>
      <c r="H78" s="508" t="s">
        <v>1226</v>
      </c>
      <c r="I78" s="508" t="s">
        <v>1227</v>
      </c>
      <c r="J78" s="555" t="s">
        <v>1785</v>
      </c>
      <c r="K78" s="555" t="s">
        <v>1651</v>
      </c>
      <c r="L78" s="911">
        <f ca="1">IFERROR(INDEX(Lists!$O$2:$Z$2,MATCH(TRUE,INDEX((AE78:AP78&lt;&gt;0),0),0)),DATE(2018,1,1))</f>
        <v>43102</v>
      </c>
      <c r="M78" s="911">
        <f ca="1">IFERROR(INDEX(Lists!$O$3:$Z$3, VALUE(SUBSTITUTE(TEXT(ADDRESS(SUMPRODUCT(MAX((COLUMN(AE78:AP78)*(AE78:AP78&gt;0)))),1),),"$A$",""))-30),DATE(2018,1,1))</f>
        <v>43465</v>
      </c>
      <c r="N78" s="508" t="s">
        <v>1652</v>
      </c>
      <c r="O78" s="508" t="s">
        <v>1786</v>
      </c>
      <c r="P78" s="508" t="s">
        <v>1676</v>
      </c>
      <c r="Q78" s="508" t="s">
        <v>1071</v>
      </c>
      <c r="R78" s="508" t="str">
        <f ca="1">VLOOKUP($A78,INDIRECT($D78&amp;"!$A$1:$Z$300"),2,FALSE)</f>
        <v>Office &amp; guesthouse rent</v>
      </c>
      <c r="S78" s="508" t="str">
        <f t="shared" ca="1" si="30"/>
        <v>Vallenar and Alto del Carmen Offices</v>
      </c>
      <c r="T78" s="508" t="str">
        <f t="shared" ca="1" si="31"/>
        <v>Consider offices rent and guesthouses in Vallenar / Vallenar and Alto del Carmen office rent. 3 guesthouse rental on Tuna 300 street</v>
      </c>
      <c r="U78" s="508" t="str">
        <f t="shared" ca="1" si="32"/>
        <v>682/51-11-3315</v>
      </c>
      <c r="V78" s="508" t="str">
        <f t="shared" ca="1" si="33"/>
        <v>Sole Source OC</v>
      </c>
      <c r="W78" s="508">
        <f t="shared" ca="1" si="34"/>
        <v>0</v>
      </c>
      <c r="X78" s="508" t="str">
        <f t="shared" ca="1" si="35"/>
        <v>N/A</v>
      </c>
      <c r="Y78" s="508" t="str">
        <f t="shared" ca="1" si="36"/>
        <v>N/A</v>
      </c>
      <c r="Z78" s="508" t="str">
        <f t="shared" ca="1" si="37"/>
        <v>N/A</v>
      </c>
      <c r="AA78" s="508" t="str">
        <f t="shared" ca="1" si="38"/>
        <v>N/A</v>
      </c>
      <c r="AB78" s="508">
        <f t="shared" ca="1" si="39"/>
        <v>12</v>
      </c>
      <c r="AC78" s="508">
        <f t="shared" ca="1" si="40"/>
        <v>0</v>
      </c>
      <c r="AD78" s="912">
        <f t="shared" ca="1" si="41"/>
        <v>69948</v>
      </c>
      <c r="AE78" s="512">
        <f t="shared" ca="1" si="42"/>
        <v>5829</v>
      </c>
      <c r="AF78" s="512">
        <f t="shared" ca="1" si="43"/>
        <v>5829</v>
      </c>
      <c r="AG78" s="512">
        <f t="shared" ca="1" si="44"/>
        <v>5829</v>
      </c>
      <c r="AH78" s="512">
        <f t="shared" ca="1" si="45"/>
        <v>5829</v>
      </c>
      <c r="AI78" s="512">
        <f t="shared" ca="1" si="46"/>
        <v>5829</v>
      </c>
      <c r="AJ78" s="512">
        <f t="shared" ca="1" si="47"/>
        <v>5829</v>
      </c>
      <c r="AK78" s="512">
        <f t="shared" ca="1" si="48"/>
        <v>5829</v>
      </c>
      <c r="AL78" s="512">
        <f t="shared" ca="1" si="49"/>
        <v>5829</v>
      </c>
      <c r="AM78" s="512">
        <f t="shared" ca="1" si="50"/>
        <v>5829</v>
      </c>
      <c r="AN78" s="512">
        <f t="shared" ca="1" si="51"/>
        <v>5829</v>
      </c>
      <c r="AO78" s="512">
        <f t="shared" ca="1" si="52"/>
        <v>5829</v>
      </c>
      <c r="AP78" s="512">
        <f t="shared" ca="1" si="53"/>
        <v>5829</v>
      </c>
      <c r="AQ78" s="512" t="str">
        <f t="shared" ca="1" si="54"/>
        <v>Orden de Servicio Sin Terreno</v>
      </c>
      <c r="AR78" s="512"/>
      <c r="AS78" s="512" t="str">
        <f t="shared" ca="1" si="55"/>
        <v>Si</v>
      </c>
      <c r="AT78" s="151">
        <f t="shared" ca="1" si="56"/>
        <v>69948</v>
      </c>
      <c r="AU78" s="151">
        <f>IFERROR(VLOOKUP(A78,'[7]TD CuentasBDG'!$N$5:$O$21,2,0),0)</f>
        <v>0</v>
      </c>
      <c r="AV78" t="str">
        <f t="shared" si="57"/>
        <v>Renovación de Contrato</v>
      </c>
      <c r="AW78" t="s">
        <v>1654</v>
      </c>
      <c r="AX78" t="s">
        <v>1655</v>
      </c>
    </row>
    <row r="79" spans="1:50" ht="45" x14ac:dyDescent="0.25">
      <c r="A79" s="508" t="s">
        <v>1787</v>
      </c>
      <c r="B79" s="508" t="s">
        <v>1646</v>
      </c>
      <c r="C79" s="508" t="s">
        <v>93</v>
      </c>
      <c r="D79" s="508" t="s">
        <v>1784</v>
      </c>
      <c r="E79" s="508"/>
      <c r="F79" s="508"/>
      <c r="G79" s="508" t="s">
        <v>1707</v>
      </c>
      <c r="H79" s="508" t="s">
        <v>1238</v>
      </c>
      <c r="I79" s="508" t="s">
        <v>1239</v>
      </c>
      <c r="J79" s="555"/>
      <c r="K79" s="555"/>
      <c r="L79" s="911">
        <f ca="1">IFERROR(INDEX(Lists!$O$2:$Z$2,MATCH(TRUE,INDEX((AE79:AP79&lt;&gt;0),0),0)),DATE(2018,1,1))</f>
        <v>43102</v>
      </c>
      <c r="M79" s="911">
        <f ca="1">IFERROR(INDEX(Lists!$O$3:$Z$3, VALUE(SUBSTITUTE(TEXT(ADDRESS(SUMPRODUCT(MAX((COLUMN(AE79:AP79)*(AE79:AP79&gt;0)))),1),),"$A$",""))-30),DATE(2018,1,1))</f>
        <v>43465</v>
      </c>
      <c r="N79" s="508"/>
      <c r="O79" s="508"/>
      <c r="P79" s="508"/>
      <c r="Q79" s="508"/>
      <c r="R79" s="508" t="str">
        <f t="shared" ca="1" si="29"/>
        <v>General expenses</v>
      </c>
      <c r="S79" s="508" t="str">
        <f t="shared" ca="1" si="30"/>
        <v>Need to operate offices</v>
      </c>
      <c r="T79" s="508" t="str">
        <f t="shared" ca="1" si="31"/>
        <v>Electric power supply, water, alarms / Electric supply, water, alarms on different locations</v>
      </c>
      <c r="U79" s="508" t="str">
        <f t="shared" ca="1" si="32"/>
        <v>682/51-11-3315</v>
      </c>
      <c r="V79" s="508" t="str">
        <f t="shared" ca="1" si="33"/>
        <v>Bid Ct</v>
      </c>
      <c r="W79" s="508">
        <f t="shared" ca="1" si="34"/>
        <v>0</v>
      </c>
      <c r="X79" s="508" t="str">
        <f t="shared" ca="1" si="35"/>
        <v>N/A</v>
      </c>
      <c r="Y79" s="508" t="str">
        <f t="shared" ca="1" si="36"/>
        <v>N/A</v>
      </c>
      <c r="Z79" s="508" t="str">
        <f t="shared" ca="1" si="37"/>
        <v>N/A</v>
      </c>
      <c r="AA79" s="508" t="str">
        <f t="shared" ca="1" si="38"/>
        <v>Ene</v>
      </c>
      <c r="AB79" s="508">
        <f t="shared" ca="1" si="39"/>
        <v>12</v>
      </c>
      <c r="AC79" s="508">
        <f t="shared" ca="1" si="40"/>
        <v>0</v>
      </c>
      <c r="AD79" s="912">
        <f t="shared" ca="1" si="41"/>
        <v>26400</v>
      </c>
      <c r="AE79" s="512">
        <f t="shared" ca="1" si="42"/>
        <v>2200</v>
      </c>
      <c r="AF79" s="512">
        <f t="shared" ca="1" si="43"/>
        <v>2200</v>
      </c>
      <c r="AG79" s="512">
        <f t="shared" ca="1" si="44"/>
        <v>2200</v>
      </c>
      <c r="AH79" s="512">
        <f t="shared" ca="1" si="45"/>
        <v>2200</v>
      </c>
      <c r="AI79" s="512">
        <f t="shared" ca="1" si="46"/>
        <v>2200</v>
      </c>
      <c r="AJ79" s="512">
        <f t="shared" ca="1" si="47"/>
        <v>2200</v>
      </c>
      <c r="AK79" s="512">
        <f t="shared" ca="1" si="48"/>
        <v>2200</v>
      </c>
      <c r="AL79" s="512">
        <f t="shared" ca="1" si="49"/>
        <v>2200</v>
      </c>
      <c r="AM79" s="512">
        <f t="shared" ca="1" si="50"/>
        <v>2200</v>
      </c>
      <c r="AN79" s="512">
        <f t="shared" ca="1" si="51"/>
        <v>2200</v>
      </c>
      <c r="AO79" s="512">
        <f t="shared" ca="1" si="52"/>
        <v>2200</v>
      </c>
      <c r="AP79" s="512">
        <f t="shared" ca="1" si="53"/>
        <v>2200</v>
      </c>
      <c r="AQ79" s="512" t="str">
        <f t="shared" si="54"/>
        <v/>
      </c>
      <c r="AR79" s="512"/>
      <c r="AS79" s="512" t="str">
        <f t="shared" si="55"/>
        <v/>
      </c>
      <c r="AT79" s="151">
        <f t="shared" si="56"/>
        <v>0</v>
      </c>
      <c r="AU79" s="151">
        <f>IFERROR(VLOOKUP(A79,'[7]TD CuentasBDG'!$N$5:$O$21,2,0),0)</f>
        <v>0</v>
      </c>
      <c r="AV79">
        <f t="shared" si="57"/>
        <v>0</v>
      </c>
    </row>
    <row r="80" spans="1:50" ht="45" x14ac:dyDescent="0.25">
      <c r="A80" s="508" t="s">
        <v>1788</v>
      </c>
      <c r="B80" s="508" t="s">
        <v>1646</v>
      </c>
      <c r="C80" s="508" t="s">
        <v>93</v>
      </c>
      <c r="D80" s="508" t="s">
        <v>1784</v>
      </c>
      <c r="E80" s="508"/>
      <c r="F80" s="508"/>
      <c r="G80" s="508" t="s">
        <v>1707</v>
      </c>
      <c r="H80" s="508" t="s">
        <v>1241</v>
      </c>
      <c r="I80" s="508" t="s">
        <v>1242</v>
      </c>
      <c r="J80" s="555"/>
      <c r="K80" s="555"/>
      <c r="L80" s="911">
        <f ca="1">IFERROR(INDEX(Lists!$O$2:$Z$2,MATCH(TRUE,INDEX((AE80:AP80&lt;&gt;0),0),0)),DATE(2018,1,1))</f>
        <v>43102</v>
      </c>
      <c r="M80" s="911">
        <f ca="1">IFERROR(INDEX(Lists!$O$3:$Z$3, VALUE(SUBSTITUTE(TEXT(ADDRESS(SUMPRODUCT(MAX((COLUMN(AE80:AP80)*(AE80:AP80&gt;0)))),1),),"$A$",""))-30),DATE(2018,1,1))</f>
        <v>43465</v>
      </c>
      <c r="N80" s="508"/>
      <c r="O80" s="508"/>
      <c r="P80" s="508"/>
      <c r="Q80" s="508"/>
      <c r="R80" s="508" t="str">
        <f t="shared" ca="1" si="29"/>
        <v>Cable TV and internet</v>
      </c>
      <c r="S80" s="508" t="str">
        <f t="shared" ca="1" si="30"/>
        <v>Cable &amp; internet services</v>
      </c>
      <c r="T80" s="508" t="str">
        <f t="shared" ca="1" si="31"/>
        <v>Services for Vallenar guesthouses  / Current contact with Zeta eco and Movistar providers</v>
      </c>
      <c r="U80" s="508" t="str">
        <f t="shared" ca="1" si="32"/>
        <v>682/51-11-3315</v>
      </c>
      <c r="V80" s="508" t="str">
        <f t="shared" ca="1" si="33"/>
        <v>Sole Source OC</v>
      </c>
      <c r="W80" s="508">
        <f t="shared" ca="1" si="34"/>
        <v>0</v>
      </c>
      <c r="X80" s="508" t="str">
        <f t="shared" ca="1" si="35"/>
        <v>Ene</v>
      </c>
      <c r="Y80" s="508" t="str">
        <f t="shared" ca="1" si="36"/>
        <v>Feb</v>
      </c>
      <c r="Z80" s="508" t="str">
        <f t="shared" ca="1" si="37"/>
        <v>Mar</v>
      </c>
      <c r="AA80" s="508" t="str">
        <f t="shared" ca="1" si="38"/>
        <v>Abr</v>
      </c>
      <c r="AB80" s="508">
        <f t="shared" ca="1" si="39"/>
        <v>12</v>
      </c>
      <c r="AC80" s="508">
        <f t="shared" ca="1" si="40"/>
        <v>0</v>
      </c>
      <c r="AD80" s="912">
        <f t="shared" ca="1" si="41"/>
        <v>4200</v>
      </c>
      <c r="AE80" s="512">
        <f t="shared" ca="1" si="42"/>
        <v>350</v>
      </c>
      <c r="AF80" s="512">
        <f t="shared" ca="1" si="43"/>
        <v>350</v>
      </c>
      <c r="AG80" s="512">
        <f t="shared" ca="1" si="44"/>
        <v>350</v>
      </c>
      <c r="AH80" s="512">
        <f t="shared" ca="1" si="45"/>
        <v>350</v>
      </c>
      <c r="AI80" s="512">
        <f t="shared" ca="1" si="46"/>
        <v>350</v>
      </c>
      <c r="AJ80" s="512">
        <f t="shared" ca="1" si="47"/>
        <v>350</v>
      </c>
      <c r="AK80" s="512">
        <f t="shared" ca="1" si="48"/>
        <v>350</v>
      </c>
      <c r="AL80" s="512">
        <f t="shared" ca="1" si="49"/>
        <v>350</v>
      </c>
      <c r="AM80" s="512">
        <f t="shared" ca="1" si="50"/>
        <v>350</v>
      </c>
      <c r="AN80" s="512">
        <f t="shared" ca="1" si="51"/>
        <v>350</v>
      </c>
      <c r="AO80" s="512">
        <f t="shared" ca="1" si="52"/>
        <v>350</v>
      </c>
      <c r="AP80" s="512">
        <f t="shared" ca="1" si="53"/>
        <v>350</v>
      </c>
      <c r="AQ80" s="512" t="str">
        <f t="shared" si="54"/>
        <v/>
      </c>
      <c r="AR80" s="512"/>
      <c r="AS80" s="512" t="str">
        <f t="shared" si="55"/>
        <v/>
      </c>
      <c r="AT80" s="151">
        <f t="shared" si="56"/>
        <v>0</v>
      </c>
      <c r="AU80" s="151">
        <f>IFERROR(VLOOKUP(A80,'[7]TD CuentasBDG'!$N$5:$O$21,2,0),0)</f>
        <v>0</v>
      </c>
      <c r="AV80">
        <f t="shared" si="57"/>
        <v>0</v>
      </c>
    </row>
    <row r="81" spans="1:50" ht="75" x14ac:dyDescent="0.25">
      <c r="A81" s="508" t="s">
        <v>1789</v>
      </c>
      <c r="B81" s="508" t="s">
        <v>1646</v>
      </c>
      <c r="C81" s="508" t="s">
        <v>93</v>
      </c>
      <c r="D81" s="508" t="s">
        <v>1784</v>
      </c>
      <c r="E81" s="508"/>
      <c r="F81" s="508"/>
      <c r="G81" s="508" t="s">
        <v>1707</v>
      </c>
      <c r="H81" s="508" t="s">
        <v>1257</v>
      </c>
      <c r="I81" s="508" t="s">
        <v>1258</v>
      </c>
      <c r="J81" s="555"/>
      <c r="K81" s="555"/>
      <c r="L81" s="911">
        <f ca="1">IFERROR(INDEX(Lists!$O$2:$Z$2,MATCH(TRUE,INDEX((AE81:AP81&lt;&gt;0),0),0)),DATE(2018,1,1))</f>
        <v>43102</v>
      </c>
      <c r="M81" s="911">
        <f ca="1">IFERROR(INDEX(Lists!$O$3:$Z$3, VALUE(SUBSTITUTE(TEXT(ADDRESS(SUMPRODUCT(MAX((COLUMN(AE81:AP81)*(AE81:AP81&gt;0)))),1),),"$A$",""))-30),DATE(2018,1,1))</f>
        <v>43465</v>
      </c>
      <c r="N81" s="508"/>
      <c r="O81" s="508"/>
      <c r="P81" s="508"/>
      <c r="Q81" s="508"/>
      <c r="R81" s="508" t="str">
        <f t="shared" ca="1" si="29"/>
        <v>Office materials and coffe pot</v>
      </c>
      <c r="S81" s="508" t="str">
        <f t="shared" ca="1" si="30"/>
        <v xml:space="preserve">Several stuff for offices </v>
      </c>
      <c r="T81" s="508" t="str">
        <f t="shared" ca="1" si="31"/>
        <v>Several office products and consupmtion materials / Open purchase orders with local supermarket and office material provider</v>
      </c>
      <c r="U81" s="508" t="str">
        <f t="shared" ca="1" si="32"/>
        <v>682/51-11-3315</v>
      </c>
      <c r="V81" s="508" t="str">
        <f t="shared" ca="1" si="33"/>
        <v>Bid Ct</v>
      </c>
      <c r="W81" s="508">
        <f t="shared" ca="1" si="34"/>
        <v>0</v>
      </c>
      <c r="X81" s="508" t="str">
        <f t="shared" ca="1" si="35"/>
        <v>Ene</v>
      </c>
      <c r="Y81" s="508" t="str">
        <f t="shared" ca="1" si="36"/>
        <v>Feb</v>
      </c>
      <c r="Z81" s="508" t="str">
        <f t="shared" ca="1" si="37"/>
        <v>Mar</v>
      </c>
      <c r="AA81" s="508" t="str">
        <f t="shared" ca="1" si="38"/>
        <v>Abr</v>
      </c>
      <c r="AB81" s="508">
        <f t="shared" ca="1" si="39"/>
        <v>12</v>
      </c>
      <c r="AC81" s="508">
        <f t="shared" ca="1" si="40"/>
        <v>0</v>
      </c>
      <c r="AD81" s="912">
        <f t="shared" ca="1" si="41"/>
        <v>18000</v>
      </c>
      <c r="AE81" s="512">
        <f t="shared" ca="1" si="42"/>
        <v>1500</v>
      </c>
      <c r="AF81" s="512">
        <f t="shared" ca="1" si="43"/>
        <v>1500</v>
      </c>
      <c r="AG81" s="512">
        <f t="shared" ca="1" si="44"/>
        <v>1500</v>
      </c>
      <c r="AH81" s="512">
        <f t="shared" ca="1" si="45"/>
        <v>1500</v>
      </c>
      <c r="AI81" s="512">
        <f t="shared" ca="1" si="46"/>
        <v>1500</v>
      </c>
      <c r="AJ81" s="512">
        <f t="shared" ca="1" si="47"/>
        <v>1500</v>
      </c>
      <c r="AK81" s="512">
        <f t="shared" ca="1" si="48"/>
        <v>1500</v>
      </c>
      <c r="AL81" s="512">
        <f t="shared" ca="1" si="49"/>
        <v>1500</v>
      </c>
      <c r="AM81" s="512">
        <f t="shared" ca="1" si="50"/>
        <v>1500</v>
      </c>
      <c r="AN81" s="512">
        <f t="shared" ca="1" si="51"/>
        <v>1500</v>
      </c>
      <c r="AO81" s="512">
        <f t="shared" ca="1" si="52"/>
        <v>1500</v>
      </c>
      <c r="AP81" s="512">
        <f t="shared" ca="1" si="53"/>
        <v>1500</v>
      </c>
      <c r="AQ81" s="512" t="str">
        <f t="shared" si="54"/>
        <v/>
      </c>
      <c r="AR81" s="512"/>
      <c r="AS81" s="512" t="str">
        <f t="shared" si="55"/>
        <v/>
      </c>
      <c r="AT81" s="151">
        <f t="shared" si="56"/>
        <v>0</v>
      </c>
      <c r="AU81" s="151">
        <f>IFERROR(VLOOKUP(A81,'[7]TD CuentasBDG'!$N$5:$O$21,2,0),0)</f>
        <v>0</v>
      </c>
      <c r="AV81">
        <f t="shared" si="57"/>
        <v>0</v>
      </c>
    </row>
    <row r="82" spans="1:50" ht="60" x14ac:dyDescent="0.25">
      <c r="A82" s="508" t="s">
        <v>1790</v>
      </c>
      <c r="B82" s="508" t="s">
        <v>1646</v>
      </c>
      <c r="C82" s="508" t="s">
        <v>93</v>
      </c>
      <c r="D82" s="508" t="s">
        <v>1784</v>
      </c>
      <c r="E82" s="508"/>
      <c r="F82" s="508"/>
      <c r="G82" s="508" t="s">
        <v>1647</v>
      </c>
      <c r="H82" s="508" t="s">
        <v>1238</v>
      </c>
      <c r="I82" s="508" t="s">
        <v>1239</v>
      </c>
      <c r="J82" s="555" t="s">
        <v>1650</v>
      </c>
      <c r="K82" s="555" t="s">
        <v>1651</v>
      </c>
      <c r="L82" s="911">
        <f ca="1">IFERROR(INDEX(Lists!$O$2:$Z$2,MATCH(TRUE,INDEX((AE82:AP82&lt;&gt;0),0),0)),DATE(2018,1,1))</f>
        <v>43102</v>
      </c>
      <c r="M82" s="911">
        <f ca="1">IFERROR(INDEX(Lists!$O$3:$Z$3, VALUE(SUBSTITUTE(TEXT(ADDRESS(SUMPRODUCT(MAX((COLUMN(AE82:AP82)*(AE82:AP82&gt;0)))),1),),"$A$",""))-30),DATE(2018,1,1))</f>
        <v>43465</v>
      </c>
      <c r="N82" s="508" t="s">
        <v>1652</v>
      </c>
      <c r="O82" s="508" t="s">
        <v>1653</v>
      </c>
      <c r="P82" s="508" t="s">
        <v>1676</v>
      </c>
      <c r="Q82" s="508" t="s">
        <v>1676</v>
      </c>
      <c r="R82" s="508" t="str">
        <f t="shared" ca="1" si="29"/>
        <v>Cleaning service</v>
      </c>
      <c r="S82" s="508" t="str">
        <f t="shared" ca="1" si="30"/>
        <v>Cleaning for Offices&amp; guesthouses</v>
      </c>
      <c r="T82" s="508" t="str">
        <f t="shared" ca="1" si="31"/>
        <v>Services for Vallenar and Alto del Carmen offices, and 3 guesthouses  / Current contract with Sodexo should be bid</v>
      </c>
      <c r="U82" s="508" t="str">
        <f t="shared" ca="1" si="32"/>
        <v>682/51-11-3315</v>
      </c>
      <c r="V82" s="508" t="str">
        <f t="shared" ca="1" si="33"/>
        <v>Bid OS</v>
      </c>
      <c r="W82" s="508">
        <f t="shared" ca="1" si="34"/>
        <v>0</v>
      </c>
      <c r="X82" s="508" t="str">
        <f t="shared" ca="1" si="35"/>
        <v>Ene</v>
      </c>
      <c r="Y82" s="508" t="str">
        <f t="shared" ca="1" si="36"/>
        <v>Feb</v>
      </c>
      <c r="Z82" s="508" t="str">
        <f t="shared" ca="1" si="37"/>
        <v>Mar</v>
      </c>
      <c r="AA82" s="508" t="str">
        <f t="shared" ca="1" si="38"/>
        <v>Abr</v>
      </c>
      <c r="AB82" s="508">
        <f t="shared" ca="1" si="39"/>
        <v>12</v>
      </c>
      <c r="AC82" s="508">
        <f t="shared" ca="1" si="40"/>
        <v>0</v>
      </c>
      <c r="AD82" s="912">
        <f t="shared" ca="1" si="41"/>
        <v>70584</v>
      </c>
      <c r="AE82" s="512">
        <f t="shared" ca="1" si="42"/>
        <v>5882</v>
      </c>
      <c r="AF82" s="512">
        <f t="shared" ca="1" si="43"/>
        <v>5882</v>
      </c>
      <c r="AG82" s="512">
        <f t="shared" ca="1" si="44"/>
        <v>5882</v>
      </c>
      <c r="AH82" s="512">
        <f t="shared" ca="1" si="45"/>
        <v>5882</v>
      </c>
      <c r="AI82" s="512">
        <f t="shared" ca="1" si="46"/>
        <v>5882</v>
      </c>
      <c r="AJ82" s="512">
        <f t="shared" ca="1" si="47"/>
        <v>5882</v>
      </c>
      <c r="AK82" s="512">
        <f t="shared" ca="1" si="48"/>
        <v>5882</v>
      </c>
      <c r="AL82" s="512">
        <f t="shared" ca="1" si="49"/>
        <v>5882</v>
      </c>
      <c r="AM82" s="512">
        <f t="shared" ca="1" si="50"/>
        <v>5882</v>
      </c>
      <c r="AN82" s="512">
        <f t="shared" ca="1" si="51"/>
        <v>5882</v>
      </c>
      <c r="AO82" s="512">
        <f t="shared" ca="1" si="52"/>
        <v>5882</v>
      </c>
      <c r="AP82" s="512">
        <f t="shared" ca="1" si="53"/>
        <v>5882</v>
      </c>
      <c r="AQ82" s="512" t="str">
        <f t="shared" ca="1" si="54"/>
        <v>Contrato</v>
      </c>
      <c r="AR82" s="512"/>
      <c r="AS82" s="512" t="str">
        <f t="shared" ca="1" si="55"/>
        <v>Si</v>
      </c>
      <c r="AT82" s="151">
        <f t="shared" ca="1" si="56"/>
        <v>70584</v>
      </c>
      <c r="AU82" s="151">
        <f>IFERROR(VLOOKUP(A82,'[7]TD CuentasBDG'!$N$5:$O$21,2,0),0)</f>
        <v>0</v>
      </c>
      <c r="AV82" t="str">
        <f t="shared" si="57"/>
        <v>Renovación de Contrato</v>
      </c>
      <c r="AW82" t="s">
        <v>1660</v>
      </c>
      <c r="AX82" t="s">
        <v>1655</v>
      </c>
    </row>
    <row r="83" spans="1:50" ht="30" x14ac:dyDescent="0.25">
      <c r="A83" s="508" t="s">
        <v>1791</v>
      </c>
      <c r="B83" s="508" t="s">
        <v>1646</v>
      </c>
      <c r="C83" s="508" t="s">
        <v>93</v>
      </c>
      <c r="D83" s="508" t="s">
        <v>1784</v>
      </c>
      <c r="E83" s="508"/>
      <c r="F83" s="508"/>
      <c r="G83" s="508" t="s">
        <v>1647</v>
      </c>
      <c r="H83" s="508" t="s">
        <v>1241</v>
      </c>
      <c r="I83" s="508" t="s">
        <v>1242</v>
      </c>
      <c r="J83" s="555" t="s">
        <v>1650</v>
      </c>
      <c r="K83" s="555" t="s">
        <v>1651</v>
      </c>
      <c r="L83" s="911">
        <f ca="1">IFERROR(INDEX(Lists!$O$2:$Z$2,MATCH(TRUE,INDEX((AE83:AP83&lt;&gt;0),0),0)),DATE(2018,1,1))</f>
        <v>43160</v>
      </c>
      <c r="M83" s="911">
        <f ca="1">IFERROR(INDEX(Lists!$O$3:$Z$3, VALUE(SUBSTITUTE(TEXT(ADDRESS(SUMPRODUCT(MAX((COLUMN(AE83:AP83)*(AE83:AP83&gt;0)))),1),),"$A$",""))-30),DATE(2018,1,1))</f>
        <v>43465</v>
      </c>
      <c r="N83" s="508" t="s">
        <v>1652</v>
      </c>
      <c r="O83" s="508" t="s">
        <v>1786</v>
      </c>
      <c r="P83" s="508" t="s">
        <v>1676</v>
      </c>
      <c r="Q83" s="508" t="s">
        <v>1676</v>
      </c>
      <c r="R83" s="508" t="str">
        <f t="shared" ca="1" si="29"/>
        <v xml:space="preserve">Plague control </v>
      </c>
      <c r="S83" s="508" t="str">
        <f t="shared" ca="1" si="30"/>
        <v>Bugs control services</v>
      </c>
      <c r="T83" s="508" t="str">
        <f t="shared" ca="1" si="31"/>
        <v>Offices and guesthouses / Existing contract with Trully Nollen</v>
      </c>
      <c r="U83" s="508" t="str">
        <f t="shared" ca="1" si="32"/>
        <v>682/51-11-3315</v>
      </c>
      <c r="V83" s="508" t="str">
        <f t="shared" ca="1" si="33"/>
        <v>Bid Ct</v>
      </c>
      <c r="W83" s="508">
        <f t="shared" ca="1" si="34"/>
        <v>0</v>
      </c>
      <c r="X83" s="508" t="str">
        <f t="shared" ca="1" si="35"/>
        <v>Ene</v>
      </c>
      <c r="Y83" s="508" t="str">
        <f t="shared" ca="1" si="36"/>
        <v>Feb</v>
      </c>
      <c r="Z83" s="508" t="str">
        <f t="shared" ca="1" si="37"/>
        <v>Mar</v>
      </c>
      <c r="AA83" s="508" t="str">
        <f t="shared" ca="1" si="38"/>
        <v>Abr</v>
      </c>
      <c r="AB83" s="508">
        <f t="shared" ca="1" si="39"/>
        <v>10</v>
      </c>
      <c r="AC83" s="508">
        <f t="shared" ca="1" si="40"/>
        <v>0</v>
      </c>
      <c r="AD83" s="912">
        <f t="shared" ca="1" si="41"/>
        <v>2848</v>
      </c>
      <c r="AE83" s="512">
        <f t="shared" ca="1" si="42"/>
        <v>0</v>
      </c>
      <c r="AF83" s="512">
        <f t="shared" ca="1" si="43"/>
        <v>0</v>
      </c>
      <c r="AG83" s="512">
        <f t="shared" ca="1" si="44"/>
        <v>712</v>
      </c>
      <c r="AH83" s="512">
        <f t="shared" ca="1" si="45"/>
        <v>0</v>
      </c>
      <c r="AI83" s="512">
        <f t="shared" ca="1" si="46"/>
        <v>0</v>
      </c>
      <c r="AJ83" s="512">
        <f t="shared" ca="1" si="47"/>
        <v>712</v>
      </c>
      <c r="AK83" s="512">
        <f t="shared" ca="1" si="48"/>
        <v>0</v>
      </c>
      <c r="AL83" s="512">
        <f t="shared" ca="1" si="49"/>
        <v>0</v>
      </c>
      <c r="AM83" s="512">
        <f t="shared" ca="1" si="50"/>
        <v>712</v>
      </c>
      <c r="AN83" s="512">
        <f t="shared" ca="1" si="51"/>
        <v>0</v>
      </c>
      <c r="AO83" s="512">
        <f t="shared" ca="1" si="52"/>
        <v>0</v>
      </c>
      <c r="AP83" s="512">
        <f t="shared" ca="1" si="53"/>
        <v>712</v>
      </c>
      <c r="AQ83" s="512" t="str">
        <f t="shared" ca="1" si="54"/>
        <v>Contrato</v>
      </c>
      <c r="AR83" s="512"/>
      <c r="AS83" s="512" t="str">
        <f t="shared" ca="1" si="55"/>
        <v>No</v>
      </c>
      <c r="AT83" s="151">
        <f t="shared" ca="1" si="56"/>
        <v>2848</v>
      </c>
      <c r="AU83" s="151">
        <f>IFERROR(VLOOKUP(A83,'[7]TD CuentasBDG'!$N$5:$O$21,2,0),0)</f>
        <v>0</v>
      </c>
      <c r="AV83" t="str">
        <f t="shared" si="57"/>
        <v>Renovación de Contrato</v>
      </c>
      <c r="AW83" t="s">
        <v>1660</v>
      </c>
      <c r="AX83" t="s">
        <v>1655</v>
      </c>
    </row>
    <row r="84" spans="1:50" ht="30" x14ac:dyDescent="0.25">
      <c r="A84" s="508" t="s">
        <v>1792</v>
      </c>
      <c r="B84" s="508" t="s">
        <v>1646</v>
      </c>
      <c r="C84" s="508" t="s">
        <v>93</v>
      </c>
      <c r="D84" s="508" t="s">
        <v>1784</v>
      </c>
      <c r="E84" s="508"/>
      <c r="F84" s="508"/>
      <c r="G84" s="508" t="s">
        <v>1707</v>
      </c>
      <c r="H84" s="508"/>
      <c r="I84" s="508"/>
      <c r="J84" s="555"/>
      <c r="K84" s="555"/>
      <c r="L84" s="911">
        <f ca="1">IFERROR(INDEX(Lists!$O$2:$Z$2,MATCH(TRUE,INDEX((AE84:AP84&lt;&gt;0),0),0)),DATE(2018,1,1))</f>
        <v>43102</v>
      </c>
      <c r="M84" s="911">
        <f ca="1">IFERROR(INDEX(Lists!$O$3:$Z$3, VALUE(SUBSTITUTE(TEXT(ADDRESS(SUMPRODUCT(MAX((COLUMN(AE84:AP84)*(AE84:AP84&gt;0)))),1),),"$A$",""))-30),DATE(2018,1,1))</f>
        <v>43434</v>
      </c>
      <c r="N84" s="508"/>
      <c r="O84" s="508"/>
      <c r="P84" s="508"/>
      <c r="Q84" s="508"/>
      <c r="R84" s="508" t="str">
        <f t="shared" ca="1" si="29"/>
        <v>Gas for guesthouses</v>
      </c>
      <c r="S84" s="508" t="str">
        <f t="shared" ca="1" si="30"/>
        <v>Input for water heating and cooking</v>
      </c>
      <c r="T84" s="508" t="str">
        <f t="shared" ca="1" si="31"/>
        <v>Lipigas provider / Requested when is needed</v>
      </c>
      <c r="U84" s="508" t="str">
        <f t="shared" ca="1" si="32"/>
        <v>682/51-11-3315</v>
      </c>
      <c r="V84" s="508" t="str">
        <f t="shared" ca="1" si="33"/>
        <v>Sole Source OC</v>
      </c>
      <c r="W84" s="508">
        <f t="shared" ca="1" si="34"/>
        <v>0</v>
      </c>
      <c r="X84" s="508" t="str">
        <f t="shared" ca="1" si="35"/>
        <v>Ene</v>
      </c>
      <c r="Y84" s="508" t="str">
        <f t="shared" ca="1" si="36"/>
        <v>Feb</v>
      </c>
      <c r="Z84" s="508" t="str">
        <f t="shared" ca="1" si="37"/>
        <v>Mar</v>
      </c>
      <c r="AA84" s="508" t="str">
        <f t="shared" ca="1" si="38"/>
        <v>Abr</v>
      </c>
      <c r="AB84" s="508">
        <f t="shared" ca="1" si="39"/>
        <v>11</v>
      </c>
      <c r="AC84" s="508">
        <f t="shared" ca="1" si="40"/>
        <v>0</v>
      </c>
      <c r="AD84" s="912">
        <f t="shared" ca="1" si="41"/>
        <v>900</v>
      </c>
      <c r="AE84" s="512">
        <f t="shared" ca="1" si="42"/>
        <v>150</v>
      </c>
      <c r="AF84" s="512">
        <f t="shared" ca="1" si="43"/>
        <v>0</v>
      </c>
      <c r="AG84" s="512">
        <f t="shared" ca="1" si="44"/>
        <v>150</v>
      </c>
      <c r="AH84" s="512">
        <f t="shared" ca="1" si="45"/>
        <v>0</v>
      </c>
      <c r="AI84" s="512">
        <f t="shared" ca="1" si="46"/>
        <v>150</v>
      </c>
      <c r="AJ84" s="512">
        <f t="shared" ca="1" si="47"/>
        <v>0</v>
      </c>
      <c r="AK84" s="512">
        <f t="shared" ca="1" si="48"/>
        <v>150</v>
      </c>
      <c r="AL84" s="512">
        <f t="shared" ca="1" si="49"/>
        <v>0</v>
      </c>
      <c r="AM84" s="512">
        <f t="shared" ca="1" si="50"/>
        <v>150</v>
      </c>
      <c r="AN84" s="512">
        <f t="shared" ca="1" si="51"/>
        <v>0</v>
      </c>
      <c r="AO84" s="512">
        <f t="shared" ca="1" si="52"/>
        <v>150</v>
      </c>
      <c r="AP84" s="512">
        <f t="shared" ca="1" si="53"/>
        <v>0</v>
      </c>
      <c r="AQ84" s="512" t="str">
        <f t="shared" si="54"/>
        <v/>
      </c>
      <c r="AR84" s="512"/>
      <c r="AS84" s="512" t="str">
        <f t="shared" si="55"/>
        <v/>
      </c>
      <c r="AT84" s="151">
        <f t="shared" si="56"/>
        <v>0</v>
      </c>
      <c r="AU84" s="151">
        <f>IFERROR(VLOOKUP(A84,'[7]TD CuentasBDG'!$N$5:$O$21,2,0),0)</f>
        <v>0</v>
      </c>
      <c r="AV84">
        <f t="shared" si="57"/>
        <v>0</v>
      </c>
    </row>
    <row r="85" spans="1:50" ht="45" x14ac:dyDescent="0.25">
      <c r="A85" s="508" t="s">
        <v>1793</v>
      </c>
      <c r="B85" s="508" t="s">
        <v>1646</v>
      </c>
      <c r="C85" s="508" t="s">
        <v>93</v>
      </c>
      <c r="D85" s="508" t="s">
        <v>1784</v>
      </c>
      <c r="E85" s="508"/>
      <c r="F85" s="508"/>
      <c r="G85" s="508" t="s">
        <v>1707</v>
      </c>
      <c r="H85" s="508"/>
      <c r="I85" s="508"/>
      <c r="J85" s="555"/>
      <c r="K85" s="555"/>
      <c r="L85" s="911">
        <f ca="1">IFERROR(INDEX(Lists!$O$2:$Z$2,MATCH(TRUE,INDEX((AE85:AP85&lt;&gt;0),0),0)),DATE(2018,1,1))</f>
        <v>43102</v>
      </c>
      <c r="M85" s="911">
        <f ca="1">IFERROR(INDEX(Lists!$O$3:$Z$3, VALUE(SUBSTITUTE(TEXT(ADDRESS(SUMPRODUCT(MAX((COLUMN(AE85:AP85)*(AE85:AP85&gt;0)))),1),),"$A$",""))-30),DATE(2018,1,1))</f>
        <v>43465</v>
      </c>
      <c r="N85" s="508"/>
      <c r="O85" s="508"/>
      <c r="P85" s="508"/>
      <c r="Q85" s="508"/>
      <c r="R85" s="508" t="str">
        <f t="shared" ca="1" si="29"/>
        <v xml:space="preserve">Minor maintenance </v>
      </c>
      <c r="S85" s="508" t="str">
        <f t="shared" ca="1" si="30"/>
        <v>Offices and guesthouses</v>
      </c>
      <c r="T85" s="508" t="str">
        <f t="shared" ca="1" si="31"/>
        <v>Plumbing and electric repair services / Requested when is needed</v>
      </c>
      <c r="U85" s="508" t="str">
        <f t="shared" ca="1" si="32"/>
        <v>682/51-11-3315</v>
      </c>
      <c r="V85" s="508" t="str">
        <f t="shared" ca="1" si="33"/>
        <v>Sole Source OC</v>
      </c>
      <c r="W85" s="508">
        <f t="shared" ca="1" si="34"/>
        <v>0</v>
      </c>
      <c r="X85" s="508" t="str">
        <f t="shared" ca="1" si="35"/>
        <v>Ene</v>
      </c>
      <c r="Y85" s="508" t="str">
        <f t="shared" ca="1" si="36"/>
        <v>Feb</v>
      </c>
      <c r="Z85" s="508" t="str">
        <f t="shared" ca="1" si="37"/>
        <v>Mar</v>
      </c>
      <c r="AA85" s="508" t="str">
        <f t="shared" ca="1" si="38"/>
        <v>Abr</v>
      </c>
      <c r="AB85" s="508">
        <f t="shared" ca="1" si="39"/>
        <v>12</v>
      </c>
      <c r="AC85" s="508">
        <f t="shared" ca="1" si="40"/>
        <v>0</v>
      </c>
      <c r="AD85" s="912">
        <f t="shared" ca="1" si="41"/>
        <v>1764</v>
      </c>
      <c r="AE85" s="512">
        <f t="shared" ca="1" si="42"/>
        <v>147</v>
      </c>
      <c r="AF85" s="512">
        <f t="shared" ca="1" si="43"/>
        <v>147</v>
      </c>
      <c r="AG85" s="512">
        <f t="shared" ca="1" si="44"/>
        <v>147</v>
      </c>
      <c r="AH85" s="512">
        <f t="shared" ca="1" si="45"/>
        <v>147</v>
      </c>
      <c r="AI85" s="512">
        <f t="shared" ca="1" si="46"/>
        <v>147</v>
      </c>
      <c r="AJ85" s="512">
        <f t="shared" ca="1" si="47"/>
        <v>147</v>
      </c>
      <c r="AK85" s="512">
        <f t="shared" ca="1" si="48"/>
        <v>147</v>
      </c>
      <c r="AL85" s="512">
        <f t="shared" ca="1" si="49"/>
        <v>147</v>
      </c>
      <c r="AM85" s="512">
        <f t="shared" ca="1" si="50"/>
        <v>147</v>
      </c>
      <c r="AN85" s="512">
        <f t="shared" ca="1" si="51"/>
        <v>147</v>
      </c>
      <c r="AO85" s="512">
        <f t="shared" ca="1" si="52"/>
        <v>147</v>
      </c>
      <c r="AP85" s="512">
        <f t="shared" ca="1" si="53"/>
        <v>147</v>
      </c>
      <c r="AQ85" s="512" t="str">
        <f t="shared" si="54"/>
        <v/>
      </c>
      <c r="AR85" s="512"/>
      <c r="AS85" s="512" t="str">
        <f t="shared" si="55"/>
        <v/>
      </c>
      <c r="AT85" s="151">
        <f t="shared" si="56"/>
        <v>0</v>
      </c>
      <c r="AU85" s="151">
        <f>IFERROR(VLOOKUP(A85,'[7]TD CuentasBDG'!$N$5:$O$21,2,0),0)</f>
        <v>0</v>
      </c>
      <c r="AV85">
        <f t="shared" si="57"/>
        <v>0</v>
      </c>
    </row>
    <row r="86" spans="1:50" ht="30" x14ac:dyDescent="0.25">
      <c r="A86" s="508" t="s">
        <v>1794</v>
      </c>
      <c r="B86" s="508" t="s">
        <v>1646</v>
      </c>
      <c r="C86" s="508" t="s">
        <v>93</v>
      </c>
      <c r="D86" s="508" t="s">
        <v>1784</v>
      </c>
      <c r="E86" s="508"/>
      <c r="F86" s="508"/>
      <c r="G86" s="508" t="s">
        <v>1707</v>
      </c>
      <c r="H86" s="508"/>
      <c r="I86" s="508"/>
      <c r="J86" s="555"/>
      <c r="K86" s="555"/>
      <c r="L86" s="911">
        <f ca="1">IFERROR(INDEX(Lists!$O$2:$Z$2,MATCH(TRUE,INDEX((AE86:AP86&lt;&gt;0),0),0)),DATE(2018,1,1))</f>
        <v>43102</v>
      </c>
      <c r="M86" s="911">
        <f ca="1">IFERROR(INDEX(Lists!$O$3:$Z$3, VALUE(SUBSTITUTE(TEXT(ADDRESS(SUMPRODUCT(MAX((COLUMN(AE86:AP86)*(AE86:AP86&gt;0)))),1),),"$A$",""))-30),DATE(2018,1,1))</f>
        <v>43465</v>
      </c>
      <c r="N86" s="508"/>
      <c r="O86" s="508"/>
      <c r="P86" s="508"/>
      <c r="Q86" s="508"/>
      <c r="R86" s="508" t="str">
        <f t="shared" ca="1" si="29"/>
        <v>Gardener</v>
      </c>
      <c r="S86" s="508" t="str">
        <f t="shared" ca="1" si="30"/>
        <v>Offices and guesthouses</v>
      </c>
      <c r="T86" s="508" t="str">
        <f t="shared" ca="1" si="31"/>
        <v>Grass cuting / Requested when is needed</v>
      </c>
      <c r="U86" s="508" t="str">
        <f t="shared" ca="1" si="32"/>
        <v>682/51-11-3315</v>
      </c>
      <c r="V86" s="508" t="str">
        <f t="shared" ca="1" si="33"/>
        <v>Sole Source OC</v>
      </c>
      <c r="W86" s="508">
        <f t="shared" ca="1" si="34"/>
        <v>0</v>
      </c>
      <c r="X86" s="508" t="str">
        <f t="shared" ca="1" si="35"/>
        <v>Ene</v>
      </c>
      <c r="Y86" s="508" t="str">
        <f t="shared" ca="1" si="36"/>
        <v>Feb</v>
      </c>
      <c r="Z86" s="508" t="str">
        <f t="shared" ca="1" si="37"/>
        <v>Mar</v>
      </c>
      <c r="AA86" s="508" t="str">
        <f t="shared" ca="1" si="38"/>
        <v>Abr</v>
      </c>
      <c r="AB86" s="508">
        <f t="shared" ca="1" si="39"/>
        <v>12</v>
      </c>
      <c r="AC86" s="508">
        <f t="shared" ca="1" si="40"/>
        <v>0</v>
      </c>
      <c r="AD86" s="912">
        <f t="shared" ca="1" si="41"/>
        <v>1236</v>
      </c>
      <c r="AE86" s="512">
        <f t="shared" ca="1" si="42"/>
        <v>103</v>
      </c>
      <c r="AF86" s="512">
        <f t="shared" ca="1" si="43"/>
        <v>103</v>
      </c>
      <c r="AG86" s="512">
        <f t="shared" ca="1" si="44"/>
        <v>103</v>
      </c>
      <c r="AH86" s="512">
        <f t="shared" ca="1" si="45"/>
        <v>103</v>
      </c>
      <c r="AI86" s="512">
        <f t="shared" ca="1" si="46"/>
        <v>103</v>
      </c>
      <c r="AJ86" s="512">
        <f t="shared" ca="1" si="47"/>
        <v>103</v>
      </c>
      <c r="AK86" s="512">
        <f t="shared" ca="1" si="48"/>
        <v>103</v>
      </c>
      <c r="AL86" s="512">
        <f t="shared" ca="1" si="49"/>
        <v>103</v>
      </c>
      <c r="AM86" s="512">
        <f t="shared" ca="1" si="50"/>
        <v>103</v>
      </c>
      <c r="AN86" s="512">
        <f t="shared" ca="1" si="51"/>
        <v>103</v>
      </c>
      <c r="AO86" s="512">
        <f t="shared" ca="1" si="52"/>
        <v>103</v>
      </c>
      <c r="AP86" s="512">
        <f t="shared" ca="1" si="53"/>
        <v>103</v>
      </c>
      <c r="AQ86" s="512" t="str">
        <f t="shared" si="54"/>
        <v/>
      </c>
      <c r="AR86" s="512"/>
      <c r="AS86" s="512" t="str">
        <f t="shared" si="55"/>
        <v/>
      </c>
      <c r="AT86" s="151">
        <f t="shared" si="56"/>
        <v>0</v>
      </c>
      <c r="AU86" s="151">
        <f>IFERROR(VLOOKUP(A86,'[7]TD CuentasBDG'!$N$5:$O$21,2,0),0)</f>
        <v>0</v>
      </c>
      <c r="AV86">
        <f t="shared" si="57"/>
        <v>0</v>
      </c>
    </row>
    <row r="87" spans="1:50" ht="30" x14ac:dyDescent="0.25">
      <c r="A87" s="508" t="s">
        <v>1795</v>
      </c>
      <c r="B87" s="508" t="s">
        <v>1646</v>
      </c>
      <c r="C87" s="508" t="s">
        <v>93</v>
      </c>
      <c r="D87" s="508" t="s">
        <v>1784</v>
      </c>
      <c r="E87" s="508"/>
      <c r="F87" s="508"/>
      <c r="G87" s="508" t="s">
        <v>1707</v>
      </c>
      <c r="H87" s="508"/>
      <c r="I87" s="508"/>
      <c r="J87" s="555"/>
      <c r="K87" s="555"/>
      <c r="L87" s="911">
        <f ca="1">IFERROR(INDEX(Lists!$O$2:$Z$2,MATCH(TRUE,INDEX((AE87:AP87&lt;&gt;0),0),0)),DATE(2018,1,1))</f>
        <v>43102</v>
      </c>
      <c r="M87" s="911">
        <f ca="1">IFERROR(INDEX(Lists!$O$3:$Z$3, VALUE(SUBSTITUTE(TEXT(ADDRESS(SUMPRODUCT(MAX((COLUMN(AE87:AP87)*(AE87:AP87&gt;0)))),1),),"$A$",""))-30),DATE(2018,1,1))</f>
        <v>43465</v>
      </c>
      <c r="N87" s="508"/>
      <c r="O87" s="508"/>
      <c r="P87" s="508"/>
      <c r="Q87" s="508"/>
      <c r="R87" s="508" t="str">
        <f t="shared" ca="1" si="29"/>
        <v>Parking service</v>
      </c>
      <c r="S87" s="508" t="str">
        <f t="shared" ca="1" si="30"/>
        <v>For 6 pickup trucks</v>
      </c>
      <c r="T87" s="508" t="str">
        <f t="shared" ca="1" si="31"/>
        <v>Near to Vallenar office / On process contract</v>
      </c>
      <c r="U87" s="508" t="str">
        <f t="shared" ca="1" si="32"/>
        <v>682/51-11-3315</v>
      </c>
      <c r="V87" s="508" t="str">
        <f t="shared" ca="1" si="33"/>
        <v>Bid Ct</v>
      </c>
      <c r="W87" s="508">
        <f t="shared" ca="1" si="34"/>
        <v>0</v>
      </c>
      <c r="X87" s="508" t="str">
        <f t="shared" ca="1" si="35"/>
        <v>Ene</v>
      </c>
      <c r="Y87" s="508" t="str">
        <f t="shared" ca="1" si="36"/>
        <v>Feb</v>
      </c>
      <c r="Z87" s="508" t="str">
        <f t="shared" ca="1" si="37"/>
        <v>Mar</v>
      </c>
      <c r="AA87" s="508" t="str">
        <f t="shared" ca="1" si="38"/>
        <v>Abr</v>
      </c>
      <c r="AB87" s="508">
        <f t="shared" ca="1" si="39"/>
        <v>12</v>
      </c>
      <c r="AC87" s="508">
        <f t="shared" ca="1" si="40"/>
        <v>0</v>
      </c>
      <c r="AD87" s="912">
        <f t="shared" ca="1" si="41"/>
        <v>12480</v>
      </c>
      <c r="AE87" s="512">
        <f t="shared" ca="1" si="42"/>
        <v>1040</v>
      </c>
      <c r="AF87" s="512">
        <f t="shared" ca="1" si="43"/>
        <v>1040</v>
      </c>
      <c r="AG87" s="512">
        <f t="shared" ca="1" si="44"/>
        <v>1040</v>
      </c>
      <c r="AH87" s="512">
        <f t="shared" ca="1" si="45"/>
        <v>1040</v>
      </c>
      <c r="AI87" s="512">
        <f t="shared" ca="1" si="46"/>
        <v>1040</v>
      </c>
      <c r="AJ87" s="512">
        <f t="shared" ca="1" si="47"/>
        <v>1040</v>
      </c>
      <c r="AK87" s="512">
        <f t="shared" ca="1" si="48"/>
        <v>1040</v>
      </c>
      <c r="AL87" s="512">
        <f t="shared" ca="1" si="49"/>
        <v>1040</v>
      </c>
      <c r="AM87" s="512">
        <f t="shared" ca="1" si="50"/>
        <v>1040</v>
      </c>
      <c r="AN87" s="512">
        <f t="shared" ca="1" si="51"/>
        <v>1040</v>
      </c>
      <c r="AO87" s="512">
        <f t="shared" ca="1" si="52"/>
        <v>1040</v>
      </c>
      <c r="AP87" s="512">
        <f t="shared" ca="1" si="53"/>
        <v>1040</v>
      </c>
      <c r="AQ87" s="512" t="str">
        <f t="shared" si="54"/>
        <v/>
      </c>
      <c r="AR87" s="512"/>
      <c r="AS87" s="512" t="str">
        <f t="shared" si="55"/>
        <v/>
      </c>
      <c r="AT87" s="151">
        <f t="shared" si="56"/>
        <v>0</v>
      </c>
      <c r="AU87" s="151">
        <f>IFERROR(VLOOKUP(A87,'[7]TD CuentasBDG'!$N$5:$O$21,2,0),0)</f>
        <v>0</v>
      </c>
      <c r="AV87">
        <f t="shared" si="57"/>
        <v>0</v>
      </c>
    </row>
    <row r="88" spans="1:50" ht="45" x14ac:dyDescent="0.25">
      <c r="A88" s="508" t="s">
        <v>1796</v>
      </c>
      <c r="B88" s="508" t="s">
        <v>1646</v>
      </c>
      <c r="C88" s="508" t="s">
        <v>93</v>
      </c>
      <c r="D88" s="508" t="s">
        <v>1784</v>
      </c>
      <c r="E88" s="508"/>
      <c r="F88" s="508"/>
      <c r="G88" s="508" t="s">
        <v>1707</v>
      </c>
      <c r="H88" s="508"/>
      <c r="I88" s="508"/>
      <c r="J88" s="555"/>
      <c r="K88" s="555"/>
      <c r="L88" s="911">
        <f ca="1">IFERROR(INDEX(Lists!$O$2:$Z$2,MATCH(TRUE,INDEX((AE88:AP88&lt;&gt;0),0),0)),DATE(2018,1,1))</f>
        <v>43102</v>
      </c>
      <c r="M88" s="911">
        <f ca="1">IFERROR(INDEX(Lists!$O$3:$Z$3, VALUE(SUBSTITUTE(TEXT(ADDRESS(SUMPRODUCT(MAX((COLUMN(AE88:AP88)*(AE88:AP88&gt;0)))),1),),"$A$",""))-30),DATE(2018,1,1))</f>
        <v>43465</v>
      </c>
      <c r="N88" s="508"/>
      <c r="O88" s="508"/>
      <c r="P88" s="508"/>
      <c r="Q88" s="508"/>
      <c r="R88" s="508" t="str">
        <f t="shared" ca="1" si="29"/>
        <v>Desktop utilities</v>
      </c>
      <c r="S88" s="508" t="str">
        <f t="shared" ca="1" si="30"/>
        <v>Office inputs</v>
      </c>
      <c r="T88" s="508" t="str">
        <f t="shared" ca="1" si="31"/>
        <v>Used for Vallenar office employees / Open purchase order with local office material provider</v>
      </c>
      <c r="U88" s="508" t="str">
        <f t="shared" ca="1" si="32"/>
        <v>682/51-11-3315</v>
      </c>
      <c r="V88" s="508" t="str">
        <f t="shared" ca="1" si="33"/>
        <v>Active OC</v>
      </c>
      <c r="W88" s="508">
        <f t="shared" ca="1" si="34"/>
        <v>0</v>
      </c>
      <c r="X88" s="508" t="str">
        <f t="shared" ca="1" si="35"/>
        <v>Ene</v>
      </c>
      <c r="Y88" s="508" t="str">
        <f t="shared" ca="1" si="36"/>
        <v>Feb</v>
      </c>
      <c r="Z88" s="508" t="str">
        <f t="shared" ca="1" si="37"/>
        <v>Mar</v>
      </c>
      <c r="AA88" s="508" t="str">
        <f t="shared" ca="1" si="38"/>
        <v>Abr</v>
      </c>
      <c r="AB88" s="508">
        <f t="shared" ca="1" si="39"/>
        <v>12</v>
      </c>
      <c r="AC88" s="508">
        <f t="shared" ca="1" si="40"/>
        <v>0</v>
      </c>
      <c r="AD88" s="912">
        <f t="shared" ca="1" si="41"/>
        <v>1200</v>
      </c>
      <c r="AE88" s="512">
        <f t="shared" ca="1" si="42"/>
        <v>100</v>
      </c>
      <c r="AF88" s="512">
        <f t="shared" ca="1" si="43"/>
        <v>100</v>
      </c>
      <c r="AG88" s="512">
        <f t="shared" ca="1" si="44"/>
        <v>100</v>
      </c>
      <c r="AH88" s="512">
        <f t="shared" ca="1" si="45"/>
        <v>100</v>
      </c>
      <c r="AI88" s="512">
        <f t="shared" ca="1" si="46"/>
        <v>100</v>
      </c>
      <c r="AJ88" s="512">
        <f t="shared" ca="1" si="47"/>
        <v>100</v>
      </c>
      <c r="AK88" s="512">
        <f t="shared" ca="1" si="48"/>
        <v>100</v>
      </c>
      <c r="AL88" s="512">
        <f t="shared" ca="1" si="49"/>
        <v>100</v>
      </c>
      <c r="AM88" s="512">
        <f t="shared" ca="1" si="50"/>
        <v>100</v>
      </c>
      <c r="AN88" s="512">
        <f t="shared" ca="1" si="51"/>
        <v>100</v>
      </c>
      <c r="AO88" s="512">
        <f t="shared" ca="1" si="52"/>
        <v>100</v>
      </c>
      <c r="AP88" s="512">
        <f t="shared" ca="1" si="53"/>
        <v>100</v>
      </c>
      <c r="AQ88" s="512" t="str">
        <f t="shared" si="54"/>
        <v/>
      </c>
      <c r="AR88" s="512"/>
      <c r="AS88" s="512" t="str">
        <f t="shared" si="55"/>
        <v/>
      </c>
      <c r="AT88" s="151">
        <f t="shared" si="56"/>
        <v>0</v>
      </c>
      <c r="AU88" s="151">
        <f>IFERROR(VLOOKUP(A88,'[7]TD CuentasBDG'!$N$5:$O$21,2,0),0)</f>
        <v>0</v>
      </c>
      <c r="AV88">
        <f t="shared" si="57"/>
        <v>0</v>
      </c>
    </row>
    <row r="89" spans="1:50" ht="45" x14ac:dyDescent="0.25">
      <c r="A89" s="508" t="s">
        <v>1797</v>
      </c>
      <c r="B89" s="508" t="s">
        <v>1646</v>
      </c>
      <c r="C89" s="508" t="s">
        <v>93</v>
      </c>
      <c r="D89" s="508" t="s">
        <v>1784</v>
      </c>
      <c r="E89" s="508"/>
      <c r="F89" s="508"/>
      <c r="G89" s="508" t="s">
        <v>1647</v>
      </c>
      <c r="H89" s="508" t="s">
        <v>1257</v>
      </c>
      <c r="I89" s="508" t="s">
        <v>1258</v>
      </c>
      <c r="J89" s="555" t="s">
        <v>1650</v>
      </c>
      <c r="K89" s="555" t="s">
        <v>1651</v>
      </c>
      <c r="L89" s="911">
        <f ca="1">IFERROR(INDEX(Lists!$O$2:$Z$2,MATCH(TRUE,INDEX((AE89:AP89&lt;&gt;0),0),0)),DATE(2018,1,1))</f>
        <v>43102</v>
      </c>
      <c r="M89" s="911">
        <f ca="1">IFERROR(INDEX(Lists!$O$3:$Z$3, VALUE(SUBSTITUTE(TEXT(ADDRESS(SUMPRODUCT(MAX((COLUMN(AE89:AP89)*(AE89:AP89&gt;0)))),1),),"$A$",""))-30),DATE(2018,1,1))</f>
        <v>43465</v>
      </c>
      <c r="N89" s="508" t="s">
        <v>1652</v>
      </c>
      <c r="O89" s="508" t="s">
        <v>1786</v>
      </c>
      <c r="P89" s="508" t="s">
        <v>1676</v>
      </c>
      <c r="Q89" s="508" t="s">
        <v>1071</v>
      </c>
      <c r="R89" s="508" t="str">
        <f t="shared" ca="1" si="29"/>
        <v>Pick up truck rent</v>
      </c>
      <c r="S89" s="508" t="str">
        <f t="shared" ca="1" si="30"/>
        <v>4 pick up trucks for Vallenar office</v>
      </c>
      <c r="T89" s="508" t="str">
        <f t="shared" ca="1" si="31"/>
        <v>Used for land working / Existing West contract</v>
      </c>
      <c r="U89" s="508" t="str">
        <f t="shared" ca="1" si="32"/>
        <v>682/51-11-3315</v>
      </c>
      <c r="V89" s="508" t="str">
        <f t="shared" ca="1" si="33"/>
        <v>Bid Ct</v>
      </c>
      <c r="W89" s="508">
        <f t="shared" ca="1" si="34"/>
        <v>0</v>
      </c>
      <c r="X89" s="508" t="str">
        <f t="shared" ca="1" si="35"/>
        <v>N/A</v>
      </c>
      <c r="Y89" s="508" t="str">
        <f t="shared" ca="1" si="36"/>
        <v>N/A</v>
      </c>
      <c r="Z89" s="508" t="str">
        <f t="shared" ca="1" si="37"/>
        <v>N/A</v>
      </c>
      <c r="AA89" s="508" t="str">
        <f t="shared" ca="1" si="38"/>
        <v>Ene</v>
      </c>
      <c r="AB89" s="508">
        <f t="shared" ca="1" si="39"/>
        <v>12</v>
      </c>
      <c r="AC89" s="508">
        <f t="shared" ca="1" si="40"/>
        <v>0</v>
      </c>
      <c r="AD89" s="912">
        <f t="shared" ca="1" si="41"/>
        <v>62784</v>
      </c>
      <c r="AE89" s="512">
        <f t="shared" ca="1" si="42"/>
        <v>5232</v>
      </c>
      <c r="AF89" s="512">
        <f t="shared" ca="1" si="43"/>
        <v>5232</v>
      </c>
      <c r="AG89" s="512">
        <f t="shared" ca="1" si="44"/>
        <v>5232</v>
      </c>
      <c r="AH89" s="512">
        <f t="shared" ca="1" si="45"/>
        <v>5232</v>
      </c>
      <c r="AI89" s="512">
        <f t="shared" ca="1" si="46"/>
        <v>5232</v>
      </c>
      <c r="AJ89" s="512">
        <f t="shared" ca="1" si="47"/>
        <v>5232</v>
      </c>
      <c r="AK89" s="512">
        <f t="shared" ca="1" si="48"/>
        <v>5232</v>
      </c>
      <c r="AL89" s="512">
        <f t="shared" ca="1" si="49"/>
        <v>5232</v>
      </c>
      <c r="AM89" s="512">
        <f t="shared" ca="1" si="50"/>
        <v>5232</v>
      </c>
      <c r="AN89" s="512">
        <f t="shared" ca="1" si="51"/>
        <v>5232</v>
      </c>
      <c r="AO89" s="512">
        <f t="shared" ca="1" si="52"/>
        <v>5232</v>
      </c>
      <c r="AP89" s="512">
        <f t="shared" ca="1" si="53"/>
        <v>5232</v>
      </c>
      <c r="AQ89" s="512" t="str">
        <f t="shared" ca="1" si="54"/>
        <v>Orden de Servicio Sin Terreno</v>
      </c>
      <c r="AR89" s="512"/>
      <c r="AS89" s="512" t="str">
        <f t="shared" ca="1" si="55"/>
        <v>Si</v>
      </c>
      <c r="AT89" s="151">
        <f t="shared" ca="1" si="56"/>
        <v>62784</v>
      </c>
      <c r="AU89" s="151">
        <f>IFERROR(VLOOKUP(A89,'[7]TD CuentasBDG'!$N$5:$O$21,2,0),0)</f>
        <v>0</v>
      </c>
      <c r="AV89" t="str">
        <f t="shared" si="57"/>
        <v>Renovación de Contrato</v>
      </c>
      <c r="AW89" t="s">
        <v>1798</v>
      </c>
      <c r="AX89" t="s">
        <v>1655</v>
      </c>
    </row>
    <row r="90" spans="1:50" ht="30" x14ac:dyDescent="0.25">
      <c r="A90" s="508" t="s">
        <v>1799</v>
      </c>
      <c r="B90" s="508" t="s">
        <v>1646</v>
      </c>
      <c r="C90" s="508" t="s">
        <v>93</v>
      </c>
      <c r="D90" s="508" t="s">
        <v>1784</v>
      </c>
      <c r="E90" s="508"/>
      <c r="F90" s="508"/>
      <c r="G90" s="508" t="s">
        <v>1665</v>
      </c>
      <c r="H90" s="508"/>
      <c r="I90" s="508"/>
      <c r="J90" s="555"/>
      <c r="K90" s="555"/>
      <c r="L90" s="911">
        <f ca="1">IFERROR(INDEX(Lists!$O$2:$Z$2,MATCH(TRUE,INDEX((AE90:AP90&lt;&gt;0),0),0)),DATE(2018,1,1))</f>
        <v>43102</v>
      </c>
      <c r="M90" s="911">
        <f ca="1">IFERROR(INDEX(Lists!$O$3:$Z$3, VALUE(SUBSTITUTE(TEXT(ADDRESS(SUMPRODUCT(MAX((COLUMN(AE90:AP90)*(AE90:AP90&gt;0)))),1),),"$A$",""))-30),DATE(2018,1,1))</f>
        <v>43465</v>
      </c>
      <c r="N90" s="508"/>
      <c r="O90" s="508"/>
      <c r="P90" s="508"/>
      <c r="Q90" s="508"/>
      <c r="R90" s="508" t="str">
        <f t="shared" ca="1" si="29"/>
        <v>Pick up truck fuel</v>
      </c>
      <c r="S90" s="508" t="str">
        <f t="shared" ca="1" si="30"/>
        <v>Electronic ticket for fuel supply</v>
      </c>
      <c r="T90" s="508" t="str">
        <f t="shared" ca="1" si="31"/>
        <v>Pick up truck input / Existing Copec contract</v>
      </c>
      <c r="U90" s="508" t="str">
        <f t="shared" ca="1" si="32"/>
        <v>682/51-11-3315</v>
      </c>
      <c r="V90" s="508" t="str">
        <f t="shared" ca="1" si="33"/>
        <v>Bid Ct</v>
      </c>
      <c r="W90" s="508">
        <f t="shared" ca="1" si="34"/>
        <v>0</v>
      </c>
      <c r="X90" s="508" t="str">
        <f t="shared" ca="1" si="35"/>
        <v>N/A</v>
      </c>
      <c r="Y90" s="508" t="str">
        <f t="shared" ca="1" si="36"/>
        <v>N/A</v>
      </c>
      <c r="Z90" s="508" t="str">
        <f t="shared" ca="1" si="37"/>
        <v>N/A</v>
      </c>
      <c r="AA90" s="508" t="str">
        <f t="shared" ca="1" si="38"/>
        <v>Ene</v>
      </c>
      <c r="AB90" s="508">
        <f t="shared" ca="1" si="39"/>
        <v>12</v>
      </c>
      <c r="AC90" s="508">
        <f t="shared" ca="1" si="40"/>
        <v>0</v>
      </c>
      <c r="AD90" s="912">
        <f t="shared" ca="1" si="41"/>
        <v>18000</v>
      </c>
      <c r="AE90" s="512">
        <f t="shared" ca="1" si="42"/>
        <v>1500</v>
      </c>
      <c r="AF90" s="512">
        <f t="shared" ca="1" si="43"/>
        <v>1500</v>
      </c>
      <c r="AG90" s="512">
        <f t="shared" ca="1" si="44"/>
        <v>1500</v>
      </c>
      <c r="AH90" s="512">
        <f t="shared" ca="1" si="45"/>
        <v>1500</v>
      </c>
      <c r="AI90" s="512">
        <f t="shared" ca="1" si="46"/>
        <v>1500</v>
      </c>
      <c r="AJ90" s="512">
        <f t="shared" ca="1" si="47"/>
        <v>1500</v>
      </c>
      <c r="AK90" s="512">
        <f t="shared" ca="1" si="48"/>
        <v>1500</v>
      </c>
      <c r="AL90" s="512">
        <f t="shared" ca="1" si="49"/>
        <v>1500</v>
      </c>
      <c r="AM90" s="512">
        <f t="shared" ca="1" si="50"/>
        <v>1500</v>
      </c>
      <c r="AN90" s="512">
        <f t="shared" ca="1" si="51"/>
        <v>1500</v>
      </c>
      <c r="AO90" s="512">
        <f t="shared" ca="1" si="52"/>
        <v>1500</v>
      </c>
      <c r="AP90" s="512">
        <f t="shared" ca="1" si="53"/>
        <v>1500</v>
      </c>
      <c r="AQ90" s="512" t="str">
        <f t="shared" si="54"/>
        <v/>
      </c>
      <c r="AR90" s="512"/>
      <c r="AS90" s="512" t="str">
        <f t="shared" si="55"/>
        <v/>
      </c>
      <c r="AT90" s="151">
        <f t="shared" si="56"/>
        <v>0</v>
      </c>
      <c r="AU90" s="151">
        <f>IFERROR(VLOOKUP(A90,'[7]TD CuentasBDG'!$N$5:$O$21,2,0),0)</f>
        <v>0</v>
      </c>
      <c r="AV90">
        <f t="shared" si="57"/>
        <v>0</v>
      </c>
    </row>
    <row r="91" spans="1:50" ht="45" x14ac:dyDescent="0.25">
      <c r="A91" s="508" t="s">
        <v>1800</v>
      </c>
      <c r="B91" s="508" t="s">
        <v>1646</v>
      </c>
      <c r="C91" s="508" t="s">
        <v>93</v>
      </c>
      <c r="D91" s="508" t="s">
        <v>1784</v>
      </c>
      <c r="E91" s="508"/>
      <c r="F91" s="508"/>
      <c r="G91" s="508" t="s">
        <v>1707</v>
      </c>
      <c r="H91" s="508"/>
      <c r="I91" s="508"/>
      <c r="J91" s="555"/>
      <c r="K91" s="555"/>
      <c r="L91" s="911">
        <f ca="1">IFERROR(INDEX(Lists!$O$2:$Z$2,MATCH(TRUE,INDEX((AE91:AP91&lt;&gt;0),0),0)),DATE(2018,1,1))</f>
        <v>43102</v>
      </c>
      <c r="M91" s="911">
        <f ca="1">IFERROR(INDEX(Lists!$O$3:$Z$3, VALUE(SUBSTITUTE(TEXT(ADDRESS(SUMPRODUCT(MAX((COLUMN(AE91:AP91)*(AE91:AP91&gt;0)))),1),),"$A$",""))-30),DATE(2018,1,1))</f>
        <v>43465</v>
      </c>
      <c r="N91" s="508"/>
      <c r="O91" s="508"/>
      <c r="P91" s="508"/>
      <c r="Q91" s="508"/>
      <c r="R91" s="508" t="str">
        <f t="shared" ca="1" si="29"/>
        <v>Lounges rent</v>
      </c>
      <c r="S91" s="508" t="str">
        <f t="shared" ca="1" si="30"/>
        <v>Used for office special services</v>
      </c>
      <c r="T91" s="508" t="str">
        <f t="shared" ca="1" si="31"/>
        <v>Several office activities / Special purchase order with local hotel or restaurant</v>
      </c>
      <c r="U91" s="508" t="str">
        <f t="shared" ca="1" si="32"/>
        <v>682/51-11-3315</v>
      </c>
      <c r="V91" s="508" t="str">
        <f t="shared" ca="1" si="33"/>
        <v>Active OC</v>
      </c>
      <c r="W91" s="508">
        <f t="shared" ca="1" si="34"/>
        <v>0</v>
      </c>
      <c r="X91" s="508" t="str">
        <f t="shared" ca="1" si="35"/>
        <v>N/A</v>
      </c>
      <c r="Y91" s="508" t="str">
        <f t="shared" ca="1" si="36"/>
        <v>N/A</v>
      </c>
      <c r="Z91" s="508" t="str">
        <f t="shared" ca="1" si="37"/>
        <v>N/A</v>
      </c>
      <c r="AA91" s="508" t="str">
        <f t="shared" ca="1" si="38"/>
        <v>Ene</v>
      </c>
      <c r="AB91" s="508">
        <f t="shared" ca="1" si="39"/>
        <v>12</v>
      </c>
      <c r="AC91" s="508">
        <f t="shared" ca="1" si="40"/>
        <v>0</v>
      </c>
      <c r="AD91" s="912">
        <f t="shared" ca="1" si="41"/>
        <v>3600</v>
      </c>
      <c r="AE91" s="512">
        <f t="shared" ca="1" si="42"/>
        <v>300</v>
      </c>
      <c r="AF91" s="512">
        <f t="shared" ca="1" si="43"/>
        <v>300</v>
      </c>
      <c r="AG91" s="512">
        <f t="shared" ca="1" si="44"/>
        <v>300</v>
      </c>
      <c r="AH91" s="512">
        <f t="shared" ca="1" si="45"/>
        <v>300</v>
      </c>
      <c r="AI91" s="512">
        <f t="shared" ca="1" si="46"/>
        <v>300</v>
      </c>
      <c r="AJ91" s="512">
        <f t="shared" ca="1" si="47"/>
        <v>300</v>
      </c>
      <c r="AK91" s="512">
        <f t="shared" ca="1" si="48"/>
        <v>300</v>
      </c>
      <c r="AL91" s="512">
        <f t="shared" ca="1" si="49"/>
        <v>300</v>
      </c>
      <c r="AM91" s="512">
        <f t="shared" ca="1" si="50"/>
        <v>300</v>
      </c>
      <c r="AN91" s="512">
        <f t="shared" ca="1" si="51"/>
        <v>300</v>
      </c>
      <c r="AO91" s="512">
        <f t="shared" ca="1" si="52"/>
        <v>300</v>
      </c>
      <c r="AP91" s="512">
        <f t="shared" ca="1" si="53"/>
        <v>300</v>
      </c>
      <c r="AQ91" s="512" t="str">
        <f t="shared" si="54"/>
        <v/>
      </c>
      <c r="AR91" s="512"/>
      <c r="AS91" s="512" t="str">
        <f t="shared" si="55"/>
        <v/>
      </c>
      <c r="AT91" s="151">
        <f t="shared" si="56"/>
        <v>0</v>
      </c>
      <c r="AU91" s="151">
        <f>IFERROR(VLOOKUP(A91,'[7]TD CuentasBDG'!$N$5:$O$21,2,0),0)</f>
        <v>0</v>
      </c>
      <c r="AV91">
        <f t="shared" si="57"/>
        <v>0</v>
      </c>
    </row>
    <row r="92" spans="1:50" ht="45" x14ac:dyDescent="0.25">
      <c r="A92" s="508" t="s">
        <v>1801</v>
      </c>
      <c r="B92" s="508" t="s">
        <v>1646</v>
      </c>
      <c r="C92" s="508" t="s">
        <v>93</v>
      </c>
      <c r="D92" s="508" t="s">
        <v>1784</v>
      </c>
      <c r="E92" s="508"/>
      <c r="F92" s="508"/>
      <c r="G92" s="508" t="s">
        <v>1707</v>
      </c>
      <c r="H92" s="508"/>
      <c r="I92" s="508"/>
      <c r="J92" s="555"/>
      <c r="K92" s="555"/>
      <c r="L92" s="911">
        <f ca="1">IFERROR(INDEX(Lists!$O$2:$Z$2,MATCH(TRUE,INDEX((AE92:AP92&lt;&gt;0),0),0)),DATE(2018,1,1))</f>
        <v>43102</v>
      </c>
      <c r="M92" s="911">
        <f ca="1">IFERROR(INDEX(Lists!$O$3:$Z$3, VALUE(SUBSTITUTE(TEXT(ADDRESS(SUMPRODUCT(MAX((COLUMN(AE92:AP92)*(AE92:AP92&gt;0)))),1),),"$A$",""))-30),DATE(2018,1,1))</f>
        <v>43465</v>
      </c>
      <c r="N92" s="508"/>
      <c r="O92" s="508"/>
      <c r="P92" s="508"/>
      <c r="Q92" s="508"/>
      <c r="R92" s="508" t="str">
        <f t="shared" ca="1" si="29"/>
        <v>Catering services</v>
      </c>
      <c r="S92" s="508" t="str">
        <f t="shared" ca="1" si="30"/>
        <v>Needed for special services</v>
      </c>
      <c r="T92" s="508" t="str">
        <f t="shared" ca="1" si="31"/>
        <v>Several office activities / Opened purchase order with local hotel or restaurant</v>
      </c>
      <c r="U92" s="508" t="str">
        <f t="shared" ca="1" si="32"/>
        <v>682/51-11-3315</v>
      </c>
      <c r="V92" s="508" t="str">
        <f t="shared" ca="1" si="33"/>
        <v>Active OC</v>
      </c>
      <c r="W92" s="508">
        <f t="shared" ca="1" si="34"/>
        <v>0</v>
      </c>
      <c r="X92" s="508" t="str">
        <f t="shared" ca="1" si="35"/>
        <v>N/A</v>
      </c>
      <c r="Y92" s="508" t="str">
        <f t="shared" ca="1" si="36"/>
        <v>N/A</v>
      </c>
      <c r="Z92" s="508" t="str">
        <f t="shared" ca="1" si="37"/>
        <v>N/A</v>
      </c>
      <c r="AA92" s="508" t="str">
        <f t="shared" ca="1" si="38"/>
        <v>Ene</v>
      </c>
      <c r="AB92" s="508">
        <f t="shared" ca="1" si="39"/>
        <v>12</v>
      </c>
      <c r="AC92" s="508">
        <f t="shared" ca="1" si="40"/>
        <v>0</v>
      </c>
      <c r="AD92" s="912">
        <f t="shared" ca="1" si="41"/>
        <v>3600</v>
      </c>
      <c r="AE92" s="512">
        <f t="shared" ca="1" si="42"/>
        <v>300</v>
      </c>
      <c r="AF92" s="512">
        <f t="shared" ca="1" si="43"/>
        <v>300</v>
      </c>
      <c r="AG92" s="512">
        <f t="shared" ca="1" si="44"/>
        <v>300</v>
      </c>
      <c r="AH92" s="512">
        <f t="shared" ca="1" si="45"/>
        <v>300</v>
      </c>
      <c r="AI92" s="512">
        <f t="shared" ca="1" si="46"/>
        <v>300</v>
      </c>
      <c r="AJ92" s="512">
        <f t="shared" ca="1" si="47"/>
        <v>300</v>
      </c>
      <c r="AK92" s="512">
        <f t="shared" ca="1" si="48"/>
        <v>300</v>
      </c>
      <c r="AL92" s="512">
        <f t="shared" ca="1" si="49"/>
        <v>300</v>
      </c>
      <c r="AM92" s="512">
        <f t="shared" ca="1" si="50"/>
        <v>300</v>
      </c>
      <c r="AN92" s="512">
        <f t="shared" ca="1" si="51"/>
        <v>300</v>
      </c>
      <c r="AO92" s="512">
        <f t="shared" ca="1" si="52"/>
        <v>300</v>
      </c>
      <c r="AP92" s="512">
        <f t="shared" ca="1" si="53"/>
        <v>300</v>
      </c>
      <c r="AQ92" s="512" t="str">
        <f t="shared" si="54"/>
        <v/>
      </c>
      <c r="AR92" s="512"/>
      <c r="AS92" s="512" t="str">
        <f t="shared" si="55"/>
        <v/>
      </c>
      <c r="AT92" s="151">
        <f t="shared" si="56"/>
        <v>0</v>
      </c>
      <c r="AU92" s="151">
        <f>IFERROR(VLOOKUP(A92,'[7]TD CuentasBDG'!$N$5:$O$21,2,0),0)</f>
        <v>0</v>
      </c>
      <c r="AV92">
        <f t="shared" si="57"/>
        <v>0</v>
      </c>
    </row>
    <row r="93" spans="1:50" ht="30" x14ac:dyDescent="0.25">
      <c r="A93" s="508" t="s">
        <v>1802</v>
      </c>
      <c r="B93" s="508" t="s">
        <v>1646</v>
      </c>
      <c r="C93" s="508" t="s">
        <v>93</v>
      </c>
      <c r="D93" s="508" t="s">
        <v>1784</v>
      </c>
      <c r="E93" s="508"/>
      <c r="F93" s="508"/>
      <c r="G93" s="508" t="s">
        <v>1707</v>
      </c>
      <c r="H93" s="508"/>
      <c r="I93" s="508"/>
      <c r="J93" s="555"/>
      <c r="K93" s="555"/>
      <c r="L93" s="911">
        <f ca="1">IFERROR(INDEX(Lists!$O$2:$Z$2,MATCH(TRUE,INDEX((AE93:AP93&lt;&gt;0),0),0)),DATE(2018,1,1))</f>
        <v>43102</v>
      </c>
      <c r="M93" s="911">
        <f ca="1">IFERROR(INDEX(Lists!$O$3:$Z$3, VALUE(SUBSTITUTE(TEXT(ADDRESS(SUMPRODUCT(MAX((COLUMN(AE93:AP93)*(AE93:AP93&gt;0)))),1),),"$A$",""))-30),DATE(2018,1,1))</f>
        <v>43465</v>
      </c>
      <c r="N93" s="508"/>
      <c r="O93" s="508"/>
      <c r="P93" s="508"/>
      <c r="Q93" s="508"/>
      <c r="R93" s="508" t="str">
        <f t="shared" ca="1" si="29"/>
        <v>Petty cash</v>
      </c>
      <c r="S93" s="508" t="str">
        <f t="shared" ca="1" si="30"/>
        <v>To pay minor expenses</v>
      </c>
      <c r="T93" s="508" t="str">
        <f t="shared" ca="1" si="31"/>
        <v>Refund each two weeks / Paid directly and refund request</v>
      </c>
      <c r="U93" s="508" t="str">
        <f t="shared" ca="1" si="32"/>
        <v>682/51-11-3315</v>
      </c>
      <c r="V93" s="508" t="str">
        <f t="shared" ca="1" si="33"/>
        <v>Active OC</v>
      </c>
      <c r="W93" s="508">
        <f t="shared" ca="1" si="34"/>
        <v>0</v>
      </c>
      <c r="X93" s="508" t="str">
        <f t="shared" ca="1" si="35"/>
        <v>N/A</v>
      </c>
      <c r="Y93" s="508" t="str">
        <f t="shared" ca="1" si="36"/>
        <v>N/A</v>
      </c>
      <c r="Z93" s="508" t="str">
        <f t="shared" ca="1" si="37"/>
        <v>N/A</v>
      </c>
      <c r="AA93" s="508" t="str">
        <f t="shared" ca="1" si="38"/>
        <v>Ene</v>
      </c>
      <c r="AB93" s="508">
        <f t="shared" ca="1" si="39"/>
        <v>12</v>
      </c>
      <c r="AC93" s="508">
        <f t="shared" ca="1" si="40"/>
        <v>0</v>
      </c>
      <c r="AD93" s="912">
        <f t="shared" ca="1" si="41"/>
        <v>8820</v>
      </c>
      <c r="AE93" s="512">
        <f t="shared" ca="1" si="42"/>
        <v>735</v>
      </c>
      <c r="AF93" s="512">
        <f t="shared" ca="1" si="43"/>
        <v>735</v>
      </c>
      <c r="AG93" s="512">
        <f t="shared" ca="1" si="44"/>
        <v>735</v>
      </c>
      <c r="AH93" s="512">
        <f t="shared" ca="1" si="45"/>
        <v>735</v>
      </c>
      <c r="AI93" s="512">
        <f t="shared" ca="1" si="46"/>
        <v>735</v>
      </c>
      <c r="AJ93" s="512">
        <f t="shared" ca="1" si="47"/>
        <v>735</v>
      </c>
      <c r="AK93" s="512">
        <f t="shared" ca="1" si="48"/>
        <v>735</v>
      </c>
      <c r="AL93" s="512">
        <f t="shared" ca="1" si="49"/>
        <v>735</v>
      </c>
      <c r="AM93" s="512">
        <f t="shared" ca="1" si="50"/>
        <v>735</v>
      </c>
      <c r="AN93" s="512">
        <f t="shared" ca="1" si="51"/>
        <v>735</v>
      </c>
      <c r="AO93" s="512">
        <f t="shared" ca="1" si="52"/>
        <v>735</v>
      </c>
      <c r="AP93" s="512">
        <f t="shared" ca="1" si="53"/>
        <v>735</v>
      </c>
      <c r="AQ93" s="512" t="str">
        <f t="shared" si="54"/>
        <v/>
      </c>
      <c r="AR93" s="512"/>
      <c r="AS93" s="512" t="str">
        <f t="shared" si="55"/>
        <v/>
      </c>
      <c r="AT93" s="151">
        <f t="shared" si="56"/>
        <v>0</v>
      </c>
      <c r="AU93" s="151">
        <f>IFERROR(VLOOKUP(A93,'[7]TD CuentasBDG'!$N$5:$O$21,2,0),0)</f>
        <v>0</v>
      </c>
      <c r="AV93">
        <f t="shared" si="57"/>
        <v>0</v>
      </c>
    </row>
    <row r="94" spans="1:50" ht="45" x14ac:dyDescent="0.25">
      <c r="A94" s="508" t="s">
        <v>1803</v>
      </c>
      <c r="B94" s="508" t="s">
        <v>1646</v>
      </c>
      <c r="C94" s="508" t="s">
        <v>93</v>
      </c>
      <c r="D94" s="508" t="s">
        <v>1784</v>
      </c>
      <c r="E94" s="508"/>
      <c r="F94" s="508"/>
      <c r="G94" s="508" t="s">
        <v>1665</v>
      </c>
      <c r="H94" s="508"/>
      <c r="I94" s="508"/>
      <c r="J94" s="555"/>
      <c r="K94" s="555"/>
      <c r="L94" s="911">
        <f ca="1">IFERROR(INDEX(Lists!$O$2:$Z$2,MATCH(TRUE,INDEX((AE94:AP94&lt;&gt;0),0),0)),DATE(2018,1,1))</f>
        <v>43102</v>
      </c>
      <c r="M94" s="911">
        <f ca="1">IFERROR(INDEX(Lists!$O$3:$Z$3, VALUE(SUBSTITUTE(TEXT(ADDRESS(SUMPRODUCT(MAX((COLUMN(AE94:AP94)*(AE94:AP94&gt;0)))),1),),"$A$",""))-30),DATE(2018,1,1))</f>
        <v>43465</v>
      </c>
      <c r="N94" s="508"/>
      <c r="O94" s="508"/>
      <c r="P94" s="508"/>
      <c r="Q94" s="508"/>
      <c r="R94" s="508" t="str">
        <f t="shared" ca="1" si="29"/>
        <v>Huasco river irrigation share</v>
      </c>
      <c r="S94" s="508" t="str">
        <f t="shared" ca="1" si="30"/>
        <v>Share payment</v>
      </c>
      <c r="T94" s="508" t="str">
        <f t="shared" ca="1" si="31"/>
        <v>Montly payment for Huasco River Irrigation organization / Paid monthly</v>
      </c>
      <c r="U94" s="508" t="str">
        <f t="shared" ca="1" si="32"/>
        <v>682/51-11-3315</v>
      </c>
      <c r="V94" s="508" t="str">
        <f t="shared" ca="1" si="33"/>
        <v>Active OC</v>
      </c>
      <c r="W94" s="508">
        <f t="shared" ca="1" si="34"/>
        <v>0</v>
      </c>
      <c r="X94" s="508" t="str">
        <f t="shared" ca="1" si="35"/>
        <v>N/A</v>
      </c>
      <c r="Y94" s="508" t="str">
        <f t="shared" ca="1" si="36"/>
        <v>N/A</v>
      </c>
      <c r="Z94" s="508" t="str">
        <f t="shared" ca="1" si="37"/>
        <v>N/A</v>
      </c>
      <c r="AA94" s="508" t="str">
        <f t="shared" ca="1" si="38"/>
        <v>Ene</v>
      </c>
      <c r="AB94" s="508">
        <f t="shared" ca="1" si="39"/>
        <v>12</v>
      </c>
      <c r="AC94" s="508">
        <f t="shared" ca="1" si="40"/>
        <v>0</v>
      </c>
      <c r="AD94" s="912">
        <f t="shared" ca="1" si="41"/>
        <v>4236</v>
      </c>
      <c r="AE94" s="512">
        <f t="shared" ca="1" si="42"/>
        <v>353</v>
      </c>
      <c r="AF94" s="512">
        <f t="shared" ca="1" si="43"/>
        <v>353</v>
      </c>
      <c r="AG94" s="512">
        <f t="shared" ca="1" si="44"/>
        <v>353</v>
      </c>
      <c r="AH94" s="512">
        <f t="shared" ca="1" si="45"/>
        <v>353</v>
      </c>
      <c r="AI94" s="512">
        <f t="shared" ca="1" si="46"/>
        <v>353</v>
      </c>
      <c r="AJ94" s="512">
        <f t="shared" ca="1" si="47"/>
        <v>353</v>
      </c>
      <c r="AK94" s="512">
        <f t="shared" ca="1" si="48"/>
        <v>353</v>
      </c>
      <c r="AL94" s="512">
        <f t="shared" ca="1" si="49"/>
        <v>353</v>
      </c>
      <c r="AM94" s="512">
        <f t="shared" ca="1" si="50"/>
        <v>353</v>
      </c>
      <c r="AN94" s="512">
        <f t="shared" ca="1" si="51"/>
        <v>353</v>
      </c>
      <c r="AO94" s="512">
        <f t="shared" ca="1" si="52"/>
        <v>353</v>
      </c>
      <c r="AP94" s="512">
        <f t="shared" ca="1" si="53"/>
        <v>353</v>
      </c>
      <c r="AQ94" s="512" t="str">
        <f t="shared" si="54"/>
        <v/>
      </c>
      <c r="AR94" s="512"/>
      <c r="AS94" s="512" t="str">
        <f t="shared" si="55"/>
        <v/>
      </c>
      <c r="AT94" s="151">
        <f t="shared" si="56"/>
        <v>0</v>
      </c>
      <c r="AU94" s="151">
        <f>IFERROR(VLOOKUP(A94,'[7]TD CuentasBDG'!$N$5:$O$21,2,0),0)</f>
        <v>0</v>
      </c>
      <c r="AV94">
        <f t="shared" si="57"/>
        <v>0</v>
      </c>
    </row>
    <row r="95" spans="1:50" ht="45" x14ac:dyDescent="0.25">
      <c r="A95" s="508" t="s">
        <v>1804</v>
      </c>
      <c r="B95" s="508" t="s">
        <v>99</v>
      </c>
      <c r="C95" s="508" t="s">
        <v>826</v>
      </c>
      <c r="D95" s="508" t="s">
        <v>1805</v>
      </c>
      <c r="E95" s="508"/>
      <c r="F95" s="508"/>
      <c r="G95" s="508" t="s">
        <v>1806</v>
      </c>
      <c r="H95" s="508"/>
      <c r="I95" s="508"/>
      <c r="J95" s="555"/>
      <c r="K95" s="555"/>
      <c r="L95" s="911">
        <f ca="1">IFERROR(INDEX(Lists!$O$2:$Z$2,MATCH(TRUE,INDEX((AE95:AP95&lt;&gt;0),0),0)),DATE(2018,1,1))</f>
        <v>43160</v>
      </c>
      <c r="M95" s="911">
        <f ca="1">IFERROR(INDEX(Lists!$O$3:$Z$3, VALUE(SUBSTITUTE(TEXT(ADDRESS(SUMPRODUCT(MAX((COLUMN(AE95:AP95)*(AE95:AP95&gt;0)))),1),),"$A$",""))-30),DATE(2018,1,1))</f>
        <v>43190</v>
      </c>
      <c r="N95" s="508"/>
      <c r="O95" s="508"/>
      <c r="P95" s="508"/>
      <c r="Q95" s="508"/>
      <c r="R95" s="508" t="str">
        <f t="shared" ca="1" si="29"/>
        <v>Patentes Mineras RE</v>
      </c>
      <c r="S95" s="508" t="str">
        <f t="shared" ca="1" si="30"/>
        <v>Patentes Mineras RE</v>
      </c>
      <c r="T95" s="508" t="str">
        <f t="shared" ca="1" si="31"/>
        <v>Pago de patentes mineras anuales concesiones mineras de NuevaUnión SpA</v>
      </c>
      <c r="U95" s="508" t="str">
        <f t="shared" ca="1" si="32"/>
        <v>683 / 51-11-3337</v>
      </c>
      <c r="V95" s="508">
        <f t="shared" ca="1" si="33"/>
        <v>0</v>
      </c>
      <c r="W95" s="508">
        <f t="shared" ca="1" si="34"/>
        <v>0</v>
      </c>
      <c r="X95" s="508" t="str">
        <f t="shared" ca="1" si="35"/>
        <v>N/A</v>
      </c>
      <c r="Y95" s="508" t="str">
        <f t="shared" ca="1" si="36"/>
        <v>N/A</v>
      </c>
      <c r="Z95" s="508" t="str">
        <f t="shared" ca="1" si="37"/>
        <v>N/A</v>
      </c>
      <c r="AA95" s="508" t="str">
        <f t="shared" ca="1" si="38"/>
        <v>N/A</v>
      </c>
      <c r="AB95" s="508">
        <f t="shared" ca="1" si="39"/>
        <v>1</v>
      </c>
      <c r="AC95" s="508">
        <f t="shared" ca="1" si="40"/>
        <v>0</v>
      </c>
      <c r="AD95" s="912">
        <f t="shared" ca="1" si="41"/>
        <v>391706.80963235296</v>
      </c>
      <c r="AE95" s="512">
        <f t="shared" ca="1" si="42"/>
        <v>0</v>
      </c>
      <c r="AF95" s="512">
        <f t="shared" ca="1" si="43"/>
        <v>0</v>
      </c>
      <c r="AG95" s="512">
        <f t="shared" ca="1" si="44"/>
        <v>391706.80963235296</v>
      </c>
      <c r="AH95" s="512">
        <f t="shared" ca="1" si="45"/>
        <v>0</v>
      </c>
      <c r="AI95" s="512">
        <f t="shared" ca="1" si="46"/>
        <v>0</v>
      </c>
      <c r="AJ95" s="512">
        <f t="shared" ca="1" si="47"/>
        <v>0</v>
      </c>
      <c r="AK95" s="512">
        <f t="shared" ca="1" si="48"/>
        <v>0</v>
      </c>
      <c r="AL95" s="512">
        <f t="shared" ca="1" si="49"/>
        <v>0</v>
      </c>
      <c r="AM95" s="512">
        <f t="shared" ca="1" si="50"/>
        <v>0</v>
      </c>
      <c r="AN95" s="512">
        <f t="shared" ca="1" si="51"/>
        <v>0</v>
      </c>
      <c r="AO95" s="512">
        <f t="shared" ca="1" si="52"/>
        <v>0</v>
      </c>
      <c r="AP95" s="512">
        <f t="shared" ca="1" si="53"/>
        <v>0</v>
      </c>
      <c r="AQ95" s="512" t="str">
        <f t="shared" si="54"/>
        <v/>
      </c>
      <c r="AR95" s="512"/>
      <c r="AS95" s="512" t="str">
        <f t="shared" si="55"/>
        <v/>
      </c>
      <c r="AT95" s="151">
        <f t="shared" si="56"/>
        <v>0</v>
      </c>
      <c r="AU95" s="151">
        <f>IFERROR(VLOOKUP(A95,'[7]TD CuentasBDG'!$N$5:$O$21,2,0),0)</f>
        <v>0</v>
      </c>
      <c r="AV95">
        <f t="shared" si="57"/>
        <v>0</v>
      </c>
    </row>
    <row r="96" spans="1:50" ht="45" x14ac:dyDescent="0.25">
      <c r="A96" s="508" t="s">
        <v>1807</v>
      </c>
      <c r="B96" s="508" t="s">
        <v>99</v>
      </c>
      <c r="C96" s="508" t="s">
        <v>826</v>
      </c>
      <c r="D96" s="508" t="s">
        <v>1805</v>
      </c>
      <c r="E96" s="508"/>
      <c r="F96" s="508"/>
      <c r="G96" s="508" t="s">
        <v>1665</v>
      </c>
      <c r="H96" s="508"/>
      <c r="I96" s="508"/>
      <c r="J96" s="555"/>
      <c r="K96" s="555"/>
      <c r="L96" s="911">
        <f ca="1">IFERROR(INDEX(Lists!$O$2:$Z$2,MATCH(TRUE,INDEX((AE96:AP96&lt;&gt;0),0),0)),DATE(2018,1,1))</f>
        <v>43102</v>
      </c>
      <c r="M96" s="911">
        <f ca="1">IFERROR(INDEX(Lists!$O$3:$Z$3, VALUE(SUBSTITUTE(TEXT(ADDRESS(SUMPRODUCT(MAX((COLUMN(AE96:AP96)*(AE96:AP96&gt;0)))),1),),"$A$",""))-30),DATE(2018,1,1))</f>
        <v>43465</v>
      </c>
      <c r="N96" s="508"/>
      <c r="O96" s="508"/>
      <c r="P96" s="508"/>
      <c r="Q96" s="508"/>
      <c r="R96" s="508" t="str">
        <f t="shared" ca="1" si="29"/>
        <v>Tramitación Propiedad Minera</v>
      </c>
      <c r="S96" s="508" t="str">
        <f t="shared" ca="1" si="30"/>
        <v>Tramitación Propiedad Minera RE</v>
      </c>
      <c r="T96" s="508" t="str">
        <f t="shared" ca="1" si="31"/>
        <v>Tramitación Minera (Publicaciones, Incripc., Impuestos,Diario Oficial, etc.)</v>
      </c>
      <c r="U96" s="508" t="str">
        <f t="shared" ca="1" si="32"/>
        <v>683 / 51-11-3337</v>
      </c>
      <c r="V96" s="508">
        <f t="shared" ca="1" si="33"/>
        <v>0</v>
      </c>
      <c r="W96" s="508">
        <f t="shared" ca="1" si="34"/>
        <v>0</v>
      </c>
      <c r="X96" s="508" t="str">
        <f t="shared" ca="1" si="35"/>
        <v>N/A</v>
      </c>
      <c r="Y96" s="508" t="str">
        <f t="shared" ca="1" si="36"/>
        <v>N/A</v>
      </c>
      <c r="Z96" s="508" t="str">
        <f t="shared" ca="1" si="37"/>
        <v>N/A</v>
      </c>
      <c r="AA96" s="508" t="str">
        <f t="shared" ca="1" si="38"/>
        <v>N/A</v>
      </c>
      <c r="AB96" s="508">
        <f t="shared" ca="1" si="39"/>
        <v>12</v>
      </c>
      <c r="AC96" s="508">
        <f t="shared" ca="1" si="40"/>
        <v>0</v>
      </c>
      <c r="AD96" s="912">
        <f t="shared" ca="1" si="41"/>
        <v>295180.1470588235</v>
      </c>
      <c r="AE96" s="512">
        <f t="shared" ca="1" si="42"/>
        <v>17415.441176470587</v>
      </c>
      <c r="AF96" s="512">
        <f t="shared" ca="1" si="43"/>
        <v>15500</v>
      </c>
      <c r="AG96" s="512">
        <f t="shared" ca="1" si="44"/>
        <v>44415.441176470587</v>
      </c>
      <c r="AH96" s="512">
        <f t="shared" ca="1" si="45"/>
        <v>34375</v>
      </c>
      <c r="AI96" s="512">
        <f t="shared" ca="1" si="46"/>
        <v>17845.588235294119</v>
      </c>
      <c r="AJ96" s="512">
        <f t="shared" ca="1" si="47"/>
        <v>34323.529411764706</v>
      </c>
      <c r="AK96" s="512">
        <f t="shared" ca="1" si="48"/>
        <v>34933.823529411762</v>
      </c>
      <c r="AL96" s="512">
        <f t="shared" ca="1" si="49"/>
        <v>8250</v>
      </c>
      <c r="AM96" s="512">
        <f t="shared" ca="1" si="50"/>
        <v>43933.823529411762</v>
      </c>
      <c r="AN96" s="512">
        <f t="shared" ca="1" si="51"/>
        <v>13812.5</v>
      </c>
      <c r="AO96" s="512">
        <f t="shared" ca="1" si="52"/>
        <v>19838.235294117647</v>
      </c>
      <c r="AP96" s="512">
        <f t="shared" ca="1" si="53"/>
        <v>10536.764705882353</v>
      </c>
      <c r="AQ96" s="512" t="str">
        <f t="shared" si="54"/>
        <v/>
      </c>
      <c r="AR96" s="512"/>
      <c r="AS96" s="512" t="str">
        <f t="shared" si="55"/>
        <v/>
      </c>
      <c r="AT96" s="151">
        <f t="shared" si="56"/>
        <v>0</v>
      </c>
      <c r="AU96" s="151">
        <f>IFERROR(VLOOKUP(A96,'[7]TD CuentasBDG'!$N$5:$O$21,2,0),0)</f>
        <v>0</v>
      </c>
      <c r="AV96">
        <f t="shared" si="57"/>
        <v>0</v>
      </c>
    </row>
    <row r="97" spans="1:50" ht="30" x14ac:dyDescent="0.25">
      <c r="A97" s="508" t="s">
        <v>1808</v>
      </c>
      <c r="B97" s="508" t="s">
        <v>99</v>
      </c>
      <c r="C97" s="508" t="s">
        <v>826</v>
      </c>
      <c r="D97" s="508" t="s">
        <v>1805</v>
      </c>
      <c r="E97" s="508"/>
      <c r="F97" s="508"/>
      <c r="G97" s="508" t="s">
        <v>1665</v>
      </c>
      <c r="H97" s="508"/>
      <c r="I97" s="508"/>
      <c r="J97" s="555"/>
      <c r="K97" s="555"/>
      <c r="L97" s="911">
        <f ca="1">IFERROR(INDEX(Lists!$O$2:$Z$2,MATCH(TRUE,INDEX((AE97:AP97&lt;&gt;0),0),0)),DATE(2018,1,1))</f>
        <v>43102</v>
      </c>
      <c r="M97" s="911">
        <f ca="1">IFERROR(INDEX(Lists!$O$3:$Z$3, VALUE(SUBSTITUTE(TEXT(ADDRESS(SUMPRODUCT(MAX((COLUMN(AE97:AP97)*(AE97:AP97&gt;0)))),1),),"$A$",""))-30),DATE(2018,1,1))</f>
        <v>43465</v>
      </c>
      <c r="N97" s="508"/>
      <c r="O97" s="508"/>
      <c r="P97" s="508"/>
      <c r="Q97" s="508"/>
      <c r="R97" s="508" t="str">
        <f t="shared" ca="1" si="29"/>
        <v>Asesoría y Consultoría</v>
      </c>
      <c r="S97" s="508" t="str">
        <f t="shared" ca="1" si="30"/>
        <v>Asesoría y Consultoría RE</v>
      </c>
      <c r="T97" s="508" t="str">
        <f t="shared" ca="1" si="31"/>
        <v>Apoyo tramitación de Propiedad Minera</v>
      </c>
      <c r="U97" s="508" t="str">
        <f t="shared" ca="1" si="32"/>
        <v>683 / 51-11-3337</v>
      </c>
      <c r="V97" s="508">
        <f t="shared" ca="1" si="33"/>
        <v>0</v>
      </c>
      <c r="W97" s="508">
        <f t="shared" ca="1" si="34"/>
        <v>0</v>
      </c>
      <c r="X97" s="508" t="str">
        <f t="shared" ca="1" si="35"/>
        <v>N/A</v>
      </c>
      <c r="Y97" s="508" t="str">
        <f t="shared" ca="1" si="36"/>
        <v>N/A</v>
      </c>
      <c r="Z97" s="508" t="str">
        <f t="shared" ca="1" si="37"/>
        <v>N/A</v>
      </c>
      <c r="AA97" s="508" t="str">
        <f t="shared" ca="1" si="38"/>
        <v>N/A</v>
      </c>
      <c r="AB97" s="508">
        <f t="shared" ca="1" si="39"/>
        <v>12</v>
      </c>
      <c r="AC97" s="508">
        <f t="shared" ca="1" si="40"/>
        <v>0</v>
      </c>
      <c r="AD97" s="912">
        <f t="shared" ca="1" si="41"/>
        <v>15937.176470588245</v>
      </c>
      <c r="AE97" s="512">
        <f t="shared" ca="1" si="42"/>
        <v>520.5</v>
      </c>
      <c r="AF97" s="512">
        <f t="shared" ca="1" si="43"/>
        <v>5138.1470588235297</v>
      </c>
      <c r="AG97" s="512">
        <f t="shared" ca="1" si="44"/>
        <v>520.5</v>
      </c>
      <c r="AH97" s="512">
        <f t="shared" ca="1" si="45"/>
        <v>358.73529411765003</v>
      </c>
      <c r="AI97" s="512">
        <f t="shared" ca="1" si="46"/>
        <v>520.5</v>
      </c>
      <c r="AJ97" s="512">
        <f t="shared" ca="1" si="47"/>
        <v>461.67647058824014</v>
      </c>
      <c r="AK97" s="512">
        <f t="shared" ca="1" si="48"/>
        <v>520.5</v>
      </c>
      <c r="AL97" s="512">
        <f t="shared" ca="1" si="49"/>
        <v>358.73529411765003</v>
      </c>
      <c r="AM97" s="512">
        <f t="shared" ca="1" si="50"/>
        <v>520.5</v>
      </c>
      <c r="AN97" s="512">
        <f t="shared" ca="1" si="51"/>
        <v>1358.7352941176468</v>
      </c>
      <c r="AO97" s="512">
        <f t="shared" ca="1" si="52"/>
        <v>4299.911764705882</v>
      </c>
      <c r="AP97" s="512">
        <f t="shared" ca="1" si="53"/>
        <v>1358.7352941176468</v>
      </c>
      <c r="AQ97" s="512" t="str">
        <f t="shared" si="54"/>
        <v/>
      </c>
      <c r="AR97" s="512"/>
      <c r="AS97" s="512" t="str">
        <f t="shared" si="55"/>
        <v/>
      </c>
      <c r="AT97" s="151">
        <f t="shared" si="56"/>
        <v>0</v>
      </c>
      <c r="AU97" s="151">
        <f>IFERROR(VLOOKUP(A97,'[7]TD CuentasBDG'!$N$5:$O$21,2,0),0)</f>
        <v>0</v>
      </c>
      <c r="AV97">
        <f t="shared" si="57"/>
        <v>0</v>
      </c>
    </row>
    <row r="98" spans="1:50" ht="45" x14ac:dyDescent="0.25">
      <c r="A98" s="508" t="s">
        <v>1809</v>
      </c>
      <c r="B98" s="508" t="s">
        <v>99</v>
      </c>
      <c r="C98" s="508" t="s">
        <v>826</v>
      </c>
      <c r="D98" s="508" t="s">
        <v>1805</v>
      </c>
      <c r="E98" s="508"/>
      <c r="F98" s="508"/>
      <c r="G98" s="508" t="s">
        <v>1647</v>
      </c>
      <c r="H98" s="508" t="s">
        <v>1810</v>
      </c>
      <c r="I98" s="508" t="s">
        <v>865</v>
      </c>
      <c r="J98" s="555" t="s">
        <v>1773</v>
      </c>
      <c r="K98" s="555" t="s">
        <v>1774</v>
      </c>
      <c r="L98" s="911">
        <f ca="1">IFERROR(INDEX(Lists!$O$2:$Z$2,MATCH(TRUE,INDEX((AE98:AP98&lt;&gt;0),0),0)),DATE(2018,1,1))</f>
        <v>43102</v>
      </c>
      <c r="M98" s="911">
        <f ca="1">IFERROR(INDEX(Lists!$O$3:$Z$3, VALUE(SUBSTITUTE(TEXT(ADDRESS(SUMPRODUCT(MAX((COLUMN(AE98:AP98)*(AE98:AP98&gt;0)))),1),),"$A$",""))-30),DATE(2018,1,1))</f>
        <v>43465</v>
      </c>
      <c r="N98" s="508" t="s">
        <v>1652</v>
      </c>
      <c r="O98" s="508" t="s">
        <v>1653</v>
      </c>
      <c r="P98" s="508" t="s">
        <v>1071</v>
      </c>
      <c r="Q98" s="508" t="s">
        <v>1071</v>
      </c>
      <c r="R98" s="508" t="str">
        <f t="shared" ca="1" si="29"/>
        <v>Consultoría</v>
      </c>
      <c r="S98" s="508" t="str">
        <f t="shared" ca="1" si="30"/>
        <v>Resguardo y Vigilancia Propiedad Minera</v>
      </c>
      <c r="T98" s="508" t="str">
        <f t="shared" ca="1" si="31"/>
        <v>Apoyo en la vigilancia y resguardo de Propiedad Minera</v>
      </c>
      <c r="U98" s="508" t="str">
        <f t="shared" ca="1" si="32"/>
        <v>683 / 51-11-3337</v>
      </c>
      <c r="V98" s="508" t="str">
        <f t="shared" ca="1" si="33"/>
        <v>Contract Renewal/Renovación de Contrato</v>
      </c>
      <c r="W98" s="508" t="str">
        <f t="shared" ca="1" si="34"/>
        <v>Propiedad Minera Chile Ltda</v>
      </c>
      <c r="X98" s="508" t="str">
        <f t="shared" ca="1" si="35"/>
        <v>N/A</v>
      </c>
      <c r="Y98" s="508" t="str">
        <f t="shared" ca="1" si="36"/>
        <v>N/A</v>
      </c>
      <c r="Z98" s="508" t="str">
        <f t="shared" ca="1" si="37"/>
        <v>Ene</v>
      </c>
      <c r="AA98" s="508" t="str">
        <f t="shared" ca="1" si="38"/>
        <v>Ene</v>
      </c>
      <c r="AB98" s="508">
        <f t="shared" ca="1" si="39"/>
        <v>12</v>
      </c>
      <c r="AC98" s="508">
        <f t="shared" ca="1" si="40"/>
        <v>0</v>
      </c>
      <c r="AD98" s="912">
        <f t="shared" ca="1" si="41"/>
        <v>32004</v>
      </c>
      <c r="AE98" s="512">
        <f t="shared" ca="1" si="42"/>
        <v>2667</v>
      </c>
      <c r="AF98" s="512">
        <f t="shared" ca="1" si="43"/>
        <v>2667</v>
      </c>
      <c r="AG98" s="512">
        <f t="shared" ca="1" si="44"/>
        <v>2667</v>
      </c>
      <c r="AH98" s="512">
        <f t="shared" ca="1" si="45"/>
        <v>2667</v>
      </c>
      <c r="AI98" s="512">
        <f t="shared" ca="1" si="46"/>
        <v>2667</v>
      </c>
      <c r="AJ98" s="512">
        <f t="shared" ca="1" si="47"/>
        <v>2667</v>
      </c>
      <c r="AK98" s="512">
        <f t="shared" ca="1" si="48"/>
        <v>2667</v>
      </c>
      <c r="AL98" s="512">
        <f t="shared" ca="1" si="49"/>
        <v>2667</v>
      </c>
      <c r="AM98" s="512">
        <f t="shared" ca="1" si="50"/>
        <v>2667</v>
      </c>
      <c r="AN98" s="512">
        <f t="shared" ca="1" si="51"/>
        <v>2667</v>
      </c>
      <c r="AO98" s="512">
        <f t="shared" ca="1" si="52"/>
        <v>2667</v>
      </c>
      <c r="AP98" s="512">
        <f t="shared" ca="1" si="53"/>
        <v>2667</v>
      </c>
      <c r="AQ98" s="512" t="str">
        <f t="shared" ca="1" si="54"/>
        <v>Orden de Servicio Sin Terreno</v>
      </c>
      <c r="AR98" s="512"/>
      <c r="AS98" s="512" t="str">
        <f t="shared" ca="1" si="55"/>
        <v>No</v>
      </c>
      <c r="AT98" s="151">
        <f t="shared" ca="1" si="56"/>
        <v>32004</v>
      </c>
      <c r="AU98" s="151">
        <f>IFERROR(VLOOKUP(A98,'[7]TD CuentasBDG'!$N$5:$O$21,2,0),0)</f>
        <v>0</v>
      </c>
      <c r="AV98" t="str">
        <f t="shared" si="57"/>
        <v>Renovación de Contrato</v>
      </c>
      <c r="AW98" t="s">
        <v>1690</v>
      </c>
      <c r="AX98" t="s">
        <v>1655</v>
      </c>
    </row>
    <row r="99" spans="1:50" ht="45" x14ac:dyDescent="0.25">
      <c r="A99" s="508" t="s">
        <v>1811</v>
      </c>
      <c r="B99" s="508" t="s">
        <v>99</v>
      </c>
      <c r="C99" s="508" t="s">
        <v>88</v>
      </c>
      <c r="D99" s="508" t="s">
        <v>1805</v>
      </c>
      <c r="E99" s="508"/>
      <c r="F99" s="508"/>
      <c r="G99" s="508" t="s">
        <v>1806</v>
      </c>
      <c r="H99" s="508"/>
      <c r="I99" s="508"/>
      <c r="J99" s="555"/>
      <c r="K99" s="555"/>
      <c r="L99" s="911">
        <f ca="1">IFERROR(INDEX(Lists!$O$2:$Z$2,MATCH(TRUE,INDEX((AE99:AP99&lt;&gt;0),0),0)),DATE(2018,1,1))</f>
        <v>43160</v>
      </c>
      <c r="M99" s="911">
        <f ca="1">IFERROR(INDEX(Lists!$O$3:$Z$3, VALUE(SUBSTITUTE(TEXT(ADDRESS(SUMPRODUCT(MAX((COLUMN(AE99:AP99)*(AE99:AP99&gt;0)))),1),),"$A$",""))-30),DATE(2018,1,1))</f>
        <v>43190</v>
      </c>
      <c r="N99" s="508"/>
      <c r="O99" s="508"/>
      <c r="P99" s="508"/>
      <c r="Q99" s="508"/>
      <c r="R99" s="508" t="str">
        <f t="shared" ca="1" si="29"/>
        <v>Patentes Mineras EM</v>
      </c>
      <c r="S99" s="508" t="str">
        <f t="shared" ca="1" si="30"/>
        <v>Patentes Mineras EM</v>
      </c>
      <c r="T99" s="508" t="str">
        <f t="shared" ca="1" si="31"/>
        <v>Pago de patentes mineras anuales concesiones mineras de SCM El Morro</v>
      </c>
      <c r="U99" s="508" t="str">
        <f t="shared" ca="1" si="32"/>
        <v>683 / 51-11-3338</v>
      </c>
      <c r="V99" s="508">
        <f t="shared" ca="1" si="33"/>
        <v>0</v>
      </c>
      <c r="W99" s="508">
        <f t="shared" ca="1" si="34"/>
        <v>0</v>
      </c>
      <c r="X99" s="508" t="str">
        <f t="shared" ca="1" si="35"/>
        <v>N/A</v>
      </c>
      <c r="Y99" s="508" t="str">
        <f t="shared" ca="1" si="36"/>
        <v>N/A</v>
      </c>
      <c r="Z99" s="508" t="str">
        <f t="shared" ca="1" si="37"/>
        <v>N/A</v>
      </c>
      <c r="AA99" s="508" t="str">
        <f t="shared" ca="1" si="38"/>
        <v>N/A</v>
      </c>
      <c r="AB99" s="508">
        <f t="shared" ca="1" si="39"/>
        <v>1</v>
      </c>
      <c r="AC99" s="508">
        <f t="shared" ca="1" si="40"/>
        <v>0</v>
      </c>
      <c r="AD99" s="912">
        <f t="shared" ca="1" si="41"/>
        <v>663807.83977941179</v>
      </c>
      <c r="AE99" s="512">
        <f t="shared" ca="1" si="42"/>
        <v>0</v>
      </c>
      <c r="AF99" s="512">
        <f t="shared" ca="1" si="43"/>
        <v>0</v>
      </c>
      <c r="AG99" s="512">
        <f t="shared" ca="1" si="44"/>
        <v>663807.83977941179</v>
      </c>
      <c r="AH99" s="512">
        <f t="shared" ca="1" si="45"/>
        <v>0</v>
      </c>
      <c r="AI99" s="512">
        <f t="shared" ca="1" si="46"/>
        <v>0</v>
      </c>
      <c r="AJ99" s="512">
        <f t="shared" ca="1" si="47"/>
        <v>0</v>
      </c>
      <c r="AK99" s="512">
        <f t="shared" ca="1" si="48"/>
        <v>0</v>
      </c>
      <c r="AL99" s="512">
        <f t="shared" ca="1" si="49"/>
        <v>0</v>
      </c>
      <c r="AM99" s="512">
        <f t="shared" ca="1" si="50"/>
        <v>0</v>
      </c>
      <c r="AN99" s="512">
        <f t="shared" ca="1" si="51"/>
        <v>0</v>
      </c>
      <c r="AO99" s="512">
        <f t="shared" ca="1" si="52"/>
        <v>0</v>
      </c>
      <c r="AP99" s="512">
        <f t="shared" ca="1" si="53"/>
        <v>0</v>
      </c>
      <c r="AQ99" s="512" t="str">
        <f t="shared" si="54"/>
        <v/>
      </c>
      <c r="AR99" s="512"/>
      <c r="AS99" s="512" t="str">
        <f t="shared" si="55"/>
        <v/>
      </c>
      <c r="AT99" s="151">
        <f t="shared" si="56"/>
        <v>0</v>
      </c>
      <c r="AU99" s="151">
        <f>IFERROR(VLOOKUP(A99,'[7]TD CuentasBDG'!$N$5:$O$21,2,0),0)</f>
        <v>0</v>
      </c>
      <c r="AV99">
        <f t="shared" si="57"/>
        <v>0</v>
      </c>
    </row>
    <row r="100" spans="1:50" ht="45" x14ac:dyDescent="0.25">
      <c r="A100" s="508" t="s">
        <v>1812</v>
      </c>
      <c r="B100" s="508" t="s">
        <v>99</v>
      </c>
      <c r="C100" s="508" t="s">
        <v>88</v>
      </c>
      <c r="D100" s="508" t="s">
        <v>1805</v>
      </c>
      <c r="E100" s="508"/>
      <c r="F100" s="508"/>
      <c r="G100" s="508" t="s">
        <v>1665</v>
      </c>
      <c r="H100" s="508"/>
      <c r="I100" s="508"/>
      <c r="J100" s="555"/>
      <c r="K100" s="555"/>
      <c r="L100" s="911">
        <f ca="1">IFERROR(INDEX(Lists!$O$2:$Z$2,MATCH(TRUE,INDEX((AE100:AP100&lt;&gt;0),0),0)),DATE(2018,1,1))</f>
        <v>43102</v>
      </c>
      <c r="M100" s="911">
        <f ca="1">IFERROR(INDEX(Lists!$O$3:$Z$3, VALUE(SUBSTITUTE(TEXT(ADDRESS(SUMPRODUCT(MAX((COLUMN(AE100:AP100)*(AE100:AP100&gt;0)))),1),),"$A$",""))-30),DATE(2018,1,1))</f>
        <v>43434</v>
      </c>
      <c r="N100" s="508"/>
      <c r="O100" s="508"/>
      <c r="P100" s="508"/>
      <c r="Q100" s="508"/>
      <c r="R100" s="508" t="str">
        <f t="shared" ca="1" si="29"/>
        <v>Tramitación Propiedad Minera</v>
      </c>
      <c r="S100" s="508" t="str">
        <f t="shared" ca="1" si="30"/>
        <v>Tramitación Propiedad Minera EM</v>
      </c>
      <c r="T100" s="508" t="str">
        <f t="shared" ca="1" si="31"/>
        <v>Tramitación Minera (Publicaciones, Incripc., Impuestos,Diario Oficial, etc.)</v>
      </c>
      <c r="U100" s="508" t="str">
        <f t="shared" ca="1" si="32"/>
        <v>683 / 51-11-3338</v>
      </c>
      <c r="V100" s="508">
        <f t="shared" ca="1" si="33"/>
        <v>0</v>
      </c>
      <c r="W100" s="508">
        <f t="shared" ca="1" si="34"/>
        <v>0</v>
      </c>
      <c r="X100" s="508" t="str">
        <f t="shared" ca="1" si="35"/>
        <v>N/A</v>
      </c>
      <c r="Y100" s="508" t="str">
        <f t="shared" ca="1" si="36"/>
        <v>N/A</v>
      </c>
      <c r="Z100" s="508" t="str">
        <f t="shared" ca="1" si="37"/>
        <v>N/A</v>
      </c>
      <c r="AA100" s="508" t="str">
        <f t="shared" ca="1" si="38"/>
        <v>N/A</v>
      </c>
      <c r="AB100" s="508">
        <f t="shared" ca="1" si="39"/>
        <v>11</v>
      </c>
      <c r="AC100" s="508">
        <f t="shared" ca="1" si="40"/>
        <v>0</v>
      </c>
      <c r="AD100" s="912">
        <f t="shared" ca="1" si="41"/>
        <v>129279.41176470587</v>
      </c>
      <c r="AE100" s="512">
        <f t="shared" ca="1" si="42"/>
        <v>264.70588235294116</v>
      </c>
      <c r="AF100" s="512">
        <f t="shared" ca="1" si="43"/>
        <v>1838.2352941176471</v>
      </c>
      <c r="AG100" s="512">
        <f t="shared" ca="1" si="44"/>
        <v>0</v>
      </c>
      <c r="AH100" s="512">
        <f t="shared" ca="1" si="45"/>
        <v>2018.3823529411766</v>
      </c>
      <c r="AI100" s="512">
        <f t="shared" ca="1" si="46"/>
        <v>18007.352941176472</v>
      </c>
      <c r="AJ100" s="512">
        <f t="shared" ca="1" si="47"/>
        <v>0</v>
      </c>
      <c r="AK100" s="512">
        <f t="shared" ca="1" si="48"/>
        <v>63066.176470588238</v>
      </c>
      <c r="AL100" s="512">
        <f t="shared" ca="1" si="49"/>
        <v>1838.2352941176471</v>
      </c>
      <c r="AM100" s="512">
        <f t="shared" ca="1" si="50"/>
        <v>0</v>
      </c>
      <c r="AN100" s="512">
        <f t="shared" ca="1" si="51"/>
        <v>448.52941176470586</v>
      </c>
      <c r="AO100" s="512">
        <f t="shared" ca="1" si="52"/>
        <v>41797.794117647056</v>
      </c>
      <c r="AP100" s="512">
        <f t="shared" ca="1" si="53"/>
        <v>0</v>
      </c>
      <c r="AQ100" s="512" t="str">
        <f t="shared" si="54"/>
        <v/>
      </c>
      <c r="AR100" s="512"/>
      <c r="AS100" s="512" t="str">
        <f t="shared" si="55"/>
        <v/>
      </c>
      <c r="AT100" s="151">
        <f t="shared" si="56"/>
        <v>0</v>
      </c>
      <c r="AU100" s="151">
        <f>IFERROR(VLOOKUP(A100,'[7]TD CuentasBDG'!$N$5:$O$21,2,0),0)</f>
        <v>0</v>
      </c>
      <c r="AV100">
        <f t="shared" si="57"/>
        <v>0</v>
      </c>
    </row>
    <row r="101" spans="1:50" ht="30" x14ac:dyDescent="0.25">
      <c r="A101" s="508" t="s">
        <v>1813</v>
      </c>
      <c r="B101" s="508" t="s">
        <v>99</v>
      </c>
      <c r="C101" s="508" t="s">
        <v>88</v>
      </c>
      <c r="D101" s="508" t="s">
        <v>1805</v>
      </c>
      <c r="E101" s="508"/>
      <c r="F101" s="508"/>
      <c r="G101" s="508" t="s">
        <v>1665</v>
      </c>
      <c r="H101" s="508"/>
      <c r="I101" s="508"/>
      <c r="J101" s="555"/>
      <c r="K101" s="555"/>
      <c r="L101" s="911">
        <f ca="1">IFERROR(INDEX(Lists!$O$2:$Z$2,MATCH(TRUE,INDEX((AE101:AP101&lt;&gt;0),0),0)),DATE(2018,1,1))</f>
        <v>43102</v>
      </c>
      <c r="M101" s="911">
        <f ca="1">IFERROR(INDEX(Lists!$O$3:$Z$3, VALUE(SUBSTITUTE(TEXT(ADDRESS(SUMPRODUCT(MAX((COLUMN(AE101:AP101)*(AE101:AP101&gt;0)))),1),),"$A$",""))-30),DATE(2018,1,1))</f>
        <v>43465</v>
      </c>
      <c r="N101" s="508"/>
      <c r="O101" s="508"/>
      <c r="P101" s="508"/>
      <c r="Q101" s="508"/>
      <c r="R101" s="508" t="str">
        <f t="shared" ca="1" si="29"/>
        <v>Asesoría y Consultoría</v>
      </c>
      <c r="S101" s="508" t="str">
        <f t="shared" ca="1" si="30"/>
        <v>Asesoría y Consultoría EM</v>
      </c>
      <c r="T101" s="508" t="str">
        <f t="shared" ca="1" si="31"/>
        <v>Apoyo tramitación de Propiedad Minera</v>
      </c>
      <c r="U101" s="508" t="str">
        <f t="shared" ca="1" si="32"/>
        <v>683 / 51-11-3338</v>
      </c>
      <c r="V101" s="508">
        <f t="shared" ca="1" si="33"/>
        <v>0</v>
      </c>
      <c r="W101" s="508">
        <f t="shared" ca="1" si="34"/>
        <v>0</v>
      </c>
      <c r="X101" s="508" t="str">
        <f t="shared" ca="1" si="35"/>
        <v>N/A</v>
      </c>
      <c r="Y101" s="508" t="str">
        <f t="shared" ca="1" si="36"/>
        <v>N/A</v>
      </c>
      <c r="Z101" s="508" t="str">
        <f t="shared" ca="1" si="37"/>
        <v>N/A</v>
      </c>
      <c r="AA101" s="508" t="str">
        <f t="shared" ca="1" si="38"/>
        <v>N/A</v>
      </c>
      <c r="AB101" s="508">
        <f t="shared" ca="1" si="39"/>
        <v>12</v>
      </c>
      <c r="AC101" s="508">
        <f t="shared" ca="1" si="40"/>
        <v>0</v>
      </c>
      <c r="AD101" s="912">
        <f t="shared" ca="1" si="41"/>
        <v>6397.0588235294135</v>
      </c>
      <c r="AE101" s="512">
        <f t="shared" ca="1" si="42"/>
        <v>533.08823529411768</v>
      </c>
      <c r="AF101" s="512">
        <f t="shared" ca="1" si="43"/>
        <v>533.08823529411768</v>
      </c>
      <c r="AG101" s="512">
        <f t="shared" ca="1" si="44"/>
        <v>533.08823529411768</v>
      </c>
      <c r="AH101" s="512">
        <f t="shared" ca="1" si="45"/>
        <v>533.08823529411768</v>
      </c>
      <c r="AI101" s="512">
        <f t="shared" ca="1" si="46"/>
        <v>533.08823529411768</v>
      </c>
      <c r="AJ101" s="512">
        <f t="shared" ca="1" si="47"/>
        <v>533.08823529411768</v>
      </c>
      <c r="AK101" s="512">
        <f t="shared" ca="1" si="48"/>
        <v>533.08823529411768</v>
      </c>
      <c r="AL101" s="512">
        <f t="shared" ca="1" si="49"/>
        <v>533.08823529411768</v>
      </c>
      <c r="AM101" s="512">
        <f t="shared" ca="1" si="50"/>
        <v>533.08823529411768</v>
      </c>
      <c r="AN101" s="512">
        <f t="shared" ca="1" si="51"/>
        <v>533.08823529411768</v>
      </c>
      <c r="AO101" s="512">
        <f t="shared" ca="1" si="52"/>
        <v>533.08823529411768</v>
      </c>
      <c r="AP101" s="512">
        <f t="shared" ca="1" si="53"/>
        <v>533.08823529411768</v>
      </c>
      <c r="AQ101" s="512" t="str">
        <f t="shared" si="54"/>
        <v/>
      </c>
      <c r="AR101" s="512"/>
      <c r="AS101" s="512" t="str">
        <f t="shared" si="55"/>
        <v/>
      </c>
      <c r="AT101" s="151">
        <f t="shared" si="56"/>
        <v>0</v>
      </c>
      <c r="AU101" s="151">
        <f>IFERROR(VLOOKUP(A101,'[7]TD CuentasBDG'!$N$5:$O$21,2,0),0)</f>
        <v>0</v>
      </c>
      <c r="AV101">
        <f t="shared" si="57"/>
        <v>0</v>
      </c>
    </row>
    <row r="102" spans="1:50" ht="45" x14ac:dyDescent="0.25">
      <c r="A102" s="508" t="s">
        <v>1814</v>
      </c>
      <c r="B102" s="508" t="s">
        <v>99</v>
      </c>
      <c r="C102" s="508" t="s">
        <v>88</v>
      </c>
      <c r="D102" s="508" t="s">
        <v>1805</v>
      </c>
      <c r="E102" s="508"/>
      <c r="F102" s="508"/>
      <c r="G102" s="508" t="s">
        <v>1665</v>
      </c>
      <c r="H102" s="508"/>
      <c r="I102" s="508"/>
      <c r="J102" s="555"/>
      <c r="K102" s="555"/>
      <c r="L102" s="911">
        <f ca="1">IFERROR(INDEX(Lists!$O$2:$Z$2,MATCH(TRUE,INDEX((AE102:AP102&lt;&gt;0),0),0)),DATE(2018,1,1))</f>
        <v>43102</v>
      </c>
      <c r="M102" s="911">
        <f ca="1">IFERROR(INDEX(Lists!$O$3:$Z$3, VALUE(SUBSTITUTE(TEXT(ADDRESS(SUMPRODUCT(MAX((COLUMN(AE102:AP102)*(AE102:AP102&gt;0)))),1),),"$A$",""))-30),DATE(2018,1,1))</f>
        <v>43465</v>
      </c>
      <c r="N102" s="508"/>
      <c r="O102" s="508"/>
      <c r="P102" s="508"/>
      <c r="Q102" s="508"/>
      <c r="R102" s="508" t="str">
        <f t="shared" ca="1" si="29"/>
        <v>Flexicadastre</v>
      </c>
      <c r="S102" s="508" t="str">
        <f t="shared" ca="1" si="30"/>
        <v>Software Propiedad Minera</v>
      </c>
      <c r="T102" s="508" t="str">
        <f t="shared" ca="1" si="31"/>
        <v>Licencia de Goldcorp - Manteción anual y actualizaciones</v>
      </c>
      <c r="U102" s="508" t="str">
        <f t="shared" ca="1" si="32"/>
        <v>683 / 51-11-3338</v>
      </c>
      <c r="V102" s="508" t="str">
        <f t="shared" ca="1" si="33"/>
        <v>Current Contract/Contrato Activo</v>
      </c>
      <c r="W102" s="508" t="str">
        <f t="shared" ca="1" si="34"/>
        <v>Convenio Goldcorp</v>
      </c>
      <c r="X102" s="508" t="str">
        <f t="shared" ca="1" si="35"/>
        <v>N/A</v>
      </c>
      <c r="Y102" s="508" t="str">
        <f t="shared" ca="1" si="36"/>
        <v>N/A</v>
      </c>
      <c r="Z102" s="508" t="str">
        <f t="shared" ca="1" si="37"/>
        <v>N/A</v>
      </c>
      <c r="AA102" s="508" t="str">
        <f t="shared" ca="1" si="38"/>
        <v>Ene</v>
      </c>
      <c r="AB102" s="508">
        <f t="shared" ca="1" si="39"/>
        <v>12</v>
      </c>
      <c r="AC102" s="508">
        <f t="shared" ca="1" si="40"/>
        <v>0</v>
      </c>
      <c r="AD102" s="912">
        <f t="shared" ca="1" si="41"/>
        <v>54187.5</v>
      </c>
      <c r="AE102" s="512">
        <f t="shared" ca="1" si="42"/>
        <v>1062.5</v>
      </c>
      <c r="AF102" s="512">
        <f t="shared" ca="1" si="43"/>
        <v>1062.5</v>
      </c>
      <c r="AG102" s="512">
        <f t="shared" ca="1" si="44"/>
        <v>8500</v>
      </c>
      <c r="AH102" s="512">
        <f t="shared" ca="1" si="45"/>
        <v>24437.5</v>
      </c>
      <c r="AI102" s="512">
        <f t="shared" ca="1" si="46"/>
        <v>1062.5</v>
      </c>
      <c r="AJ102" s="512">
        <f t="shared" ca="1" si="47"/>
        <v>1062.5</v>
      </c>
      <c r="AK102" s="512">
        <f t="shared" ca="1" si="48"/>
        <v>1062.5</v>
      </c>
      <c r="AL102" s="512">
        <f t="shared" ca="1" si="49"/>
        <v>1062.5</v>
      </c>
      <c r="AM102" s="512">
        <f t="shared" ca="1" si="50"/>
        <v>1062.5</v>
      </c>
      <c r="AN102" s="512">
        <f t="shared" ca="1" si="51"/>
        <v>1062.5</v>
      </c>
      <c r="AO102" s="512">
        <f t="shared" ca="1" si="52"/>
        <v>11687.5</v>
      </c>
      <c r="AP102" s="512">
        <f t="shared" ca="1" si="53"/>
        <v>1062.5</v>
      </c>
      <c r="AQ102" s="512" t="str">
        <f t="shared" si="54"/>
        <v/>
      </c>
      <c r="AR102" s="512"/>
      <c r="AS102" s="512" t="str">
        <f t="shared" si="55"/>
        <v/>
      </c>
      <c r="AT102" s="151">
        <f t="shared" si="56"/>
        <v>0</v>
      </c>
      <c r="AU102" s="151">
        <f>IFERROR(VLOOKUP(A102,'[7]TD CuentasBDG'!$N$5:$O$21,2,0),0)</f>
        <v>0</v>
      </c>
      <c r="AV102">
        <f t="shared" si="57"/>
        <v>0</v>
      </c>
    </row>
    <row r="103" spans="1:50" ht="45" x14ac:dyDescent="0.25">
      <c r="A103" s="508" t="s">
        <v>1815</v>
      </c>
      <c r="B103" s="508" t="s">
        <v>99</v>
      </c>
      <c r="C103" s="508" t="s">
        <v>1039</v>
      </c>
      <c r="D103" s="508" t="s">
        <v>1805</v>
      </c>
      <c r="E103" s="508"/>
      <c r="F103" s="508"/>
      <c r="G103" s="508" t="s">
        <v>1647</v>
      </c>
      <c r="H103" s="508" t="s">
        <v>1816</v>
      </c>
      <c r="I103" s="917" t="s">
        <v>880</v>
      </c>
      <c r="J103" s="555" t="s">
        <v>1773</v>
      </c>
      <c r="K103" s="555" t="s">
        <v>1774</v>
      </c>
      <c r="L103" s="911">
        <f ca="1">IFERROR(INDEX(Lists!$O$2:$Z$2,MATCH(TRUE,INDEX((AE103:AP103&lt;&gt;0),0),0)),DATE(2018,1,1))</f>
        <v>43102</v>
      </c>
      <c r="M103" s="911">
        <f ca="1">IFERROR(INDEX(Lists!$O$3:$Z$3, VALUE(SUBSTITUTE(TEXT(ADDRESS(SUMPRODUCT(MAX((COLUMN(AE103:AP103)*(AE103:AP103&gt;0)))),1),),"$A$",""))-30),DATE(2018,1,1))</f>
        <v>43465</v>
      </c>
      <c r="N103" s="508" t="s">
        <v>1652</v>
      </c>
      <c r="O103" s="508" t="s">
        <v>1653</v>
      </c>
      <c r="P103" s="508" t="s">
        <v>1071</v>
      </c>
      <c r="Q103" s="508" t="s">
        <v>1071</v>
      </c>
      <c r="R103" s="508" t="str">
        <f t="shared" ca="1" si="29"/>
        <v>Consultoría</v>
      </c>
      <c r="S103" s="508" t="str">
        <f t="shared" ca="1" si="30"/>
        <v>Ferrada Neheme</v>
      </c>
      <c r="T103" s="508" t="str">
        <f t="shared" ca="1" si="31"/>
        <v>Environmental law &amp; admininstrative permiting</v>
      </c>
      <c r="U103" s="508" t="str">
        <f t="shared" ca="1" si="32"/>
        <v>683 / 51-11-3339</v>
      </c>
      <c r="V103" s="508" t="str">
        <f t="shared" ca="1" si="33"/>
        <v>Contract Renewal/Renovación de Contrato</v>
      </c>
      <c r="W103" s="508" t="str">
        <f t="shared" ca="1" si="34"/>
        <v>Ferrada Neheme</v>
      </c>
      <c r="X103" s="508" t="str">
        <f t="shared" ca="1" si="35"/>
        <v>N/A</v>
      </c>
      <c r="Y103" s="508" t="str">
        <f t="shared" ca="1" si="36"/>
        <v>N/A</v>
      </c>
      <c r="Z103" s="508" t="str">
        <f t="shared" ca="1" si="37"/>
        <v>Ene</v>
      </c>
      <c r="AA103" s="508" t="str">
        <f t="shared" ca="1" si="38"/>
        <v>Ene</v>
      </c>
      <c r="AB103" s="508">
        <f t="shared" ca="1" si="39"/>
        <v>12</v>
      </c>
      <c r="AC103" s="508">
        <f t="shared" ca="1" si="40"/>
        <v>0</v>
      </c>
      <c r="AD103" s="912">
        <f t="shared" ca="1" si="41"/>
        <v>87000</v>
      </c>
      <c r="AE103" s="512">
        <f t="shared" ca="1" si="42"/>
        <v>7250</v>
      </c>
      <c r="AF103" s="512">
        <f t="shared" ca="1" si="43"/>
        <v>7250</v>
      </c>
      <c r="AG103" s="512">
        <f t="shared" ca="1" si="44"/>
        <v>7250</v>
      </c>
      <c r="AH103" s="512">
        <f t="shared" ca="1" si="45"/>
        <v>7250</v>
      </c>
      <c r="AI103" s="512">
        <f t="shared" ca="1" si="46"/>
        <v>7250</v>
      </c>
      <c r="AJ103" s="512">
        <f t="shared" ca="1" si="47"/>
        <v>7250</v>
      </c>
      <c r="AK103" s="512">
        <f t="shared" ca="1" si="48"/>
        <v>7250</v>
      </c>
      <c r="AL103" s="512">
        <f t="shared" ca="1" si="49"/>
        <v>7250</v>
      </c>
      <c r="AM103" s="512">
        <f t="shared" ca="1" si="50"/>
        <v>7250</v>
      </c>
      <c r="AN103" s="512">
        <f t="shared" ca="1" si="51"/>
        <v>7250</v>
      </c>
      <c r="AO103" s="512">
        <f t="shared" ca="1" si="52"/>
        <v>7250</v>
      </c>
      <c r="AP103" s="512">
        <f t="shared" ca="1" si="53"/>
        <v>7250</v>
      </c>
      <c r="AQ103" s="512" t="str">
        <f t="shared" ca="1" si="54"/>
        <v>Orden de Servicio Sin Terreno</v>
      </c>
      <c r="AR103" s="512"/>
      <c r="AS103" s="512" t="str">
        <f t="shared" ca="1" si="55"/>
        <v>Si</v>
      </c>
      <c r="AT103" s="151">
        <f t="shared" ca="1" si="56"/>
        <v>87000</v>
      </c>
      <c r="AU103" s="151">
        <f>IFERROR(VLOOKUP(A103,'[7]TD CuentasBDG'!$N$5:$O$21,2,0),0)</f>
        <v>0</v>
      </c>
      <c r="AV103" t="str">
        <f t="shared" si="57"/>
        <v>Renovación de Contrato</v>
      </c>
      <c r="AW103" t="s">
        <v>1690</v>
      </c>
      <c r="AX103" t="s">
        <v>1655</v>
      </c>
    </row>
    <row r="104" spans="1:50" ht="45" x14ac:dyDescent="0.25">
      <c r="A104" s="508" t="s">
        <v>1817</v>
      </c>
      <c r="B104" s="508" t="s">
        <v>99</v>
      </c>
      <c r="C104" s="508" t="s">
        <v>1039</v>
      </c>
      <c r="D104" s="508" t="s">
        <v>1805</v>
      </c>
      <c r="E104" s="508"/>
      <c r="F104" s="508"/>
      <c r="G104" s="508" t="s">
        <v>1647</v>
      </c>
      <c r="H104" s="508" t="s">
        <v>1818</v>
      </c>
      <c r="I104" s="508" t="s">
        <v>882</v>
      </c>
      <c r="J104" s="555" t="s">
        <v>1773</v>
      </c>
      <c r="K104" s="555" t="s">
        <v>1774</v>
      </c>
      <c r="L104" s="911">
        <f ca="1">IFERROR(INDEX(Lists!$O$2:$Z$2,MATCH(TRUE,INDEX((AE104:AP104&lt;&gt;0),0),0)),DATE(2018,1,1))</f>
        <v>43102</v>
      </c>
      <c r="M104" s="911">
        <f ca="1">IFERROR(INDEX(Lists!$O$3:$Z$3, VALUE(SUBSTITUTE(TEXT(ADDRESS(SUMPRODUCT(MAX((COLUMN(AE104:AP104)*(AE104:AP104&gt;0)))),1),),"$A$",""))-30),DATE(2018,1,1))</f>
        <v>43465</v>
      </c>
      <c r="N104" s="508" t="s">
        <v>1652</v>
      </c>
      <c r="O104" s="508" t="s">
        <v>1653</v>
      </c>
      <c r="P104" s="508" t="s">
        <v>1071</v>
      </c>
      <c r="Q104" s="508" t="s">
        <v>1071</v>
      </c>
      <c r="R104" s="508" t="str">
        <f t="shared" ca="1" si="29"/>
        <v>Consultoría</v>
      </c>
      <c r="S104" s="508" t="str">
        <f t="shared" ca="1" si="30"/>
        <v>VGC (Vergara y Galindo)</v>
      </c>
      <c r="T104" s="508" t="str">
        <f t="shared" ca="1" si="31"/>
        <v>Environmental law &amp; Mining</v>
      </c>
      <c r="U104" s="508" t="str">
        <f t="shared" ca="1" si="32"/>
        <v>683 / 51-11-3339</v>
      </c>
      <c r="V104" s="508" t="str">
        <f t="shared" ca="1" si="33"/>
        <v>Contract Renewal/Renovación de Contrato</v>
      </c>
      <c r="W104" s="508" t="str">
        <f t="shared" ca="1" si="34"/>
        <v>VGC</v>
      </c>
      <c r="X104" s="508" t="str">
        <f t="shared" ca="1" si="35"/>
        <v>N/A</v>
      </c>
      <c r="Y104" s="508" t="str">
        <f t="shared" ca="1" si="36"/>
        <v>N/A</v>
      </c>
      <c r="Z104" s="508" t="str">
        <f t="shared" ca="1" si="37"/>
        <v>Ene</v>
      </c>
      <c r="AA104" s="508" t="str">
        <f t="shared" ca="1" si="38"/>
        <v>Ene</v>
      </c>
      <c r="AB104" s="508">
        <f t="shared" ca="1" si="39"/>
        <v>12</v>
      </c>
      <c r="AC104" s="508">
        <f t="shared" ca="1" si="40"/>
        <v>0</v>
      </c>
      <c r="AD104" s="912">
        <f t="shared" ca="1" si="41"/>
        <v>87000</v>
      </c>
      <c r="AE104" s="512">
        <f t="shared" ca="1" si="42"/>
        <v>7250</v>
      </c>
      <c r="AF104" s="512">
        <f t="shared" ca="1" si="43"/>
        <v>7250</v>
      </c>
      <c r="AG104" s="512">
        <f t="shared" ca="1" si="44"/>
        <v>7250</v>
      </c>
      <c r="AH104" s="512">
        <f t="shared" ca="1" si="45"/>
        <v>7250</v>
      </c>
      <c r="AI104" s="512">
        <f t="shared" ca="1" si="46"/>
        <v>7250</v>
      </c>
      <c r="AJ104" s="512">
        <f t="shared" ca="1" si="47"/>
        <v>7250</v>
      </c>
      <c r="AK104" s="512">
        <f t="shared" ca="1" si="48"/>
        <v>7250</v>
      </c>
      <c r="AL104" s="512">
        <f t="shared" ca="1" si="49"/>
        <v>7250</v>
      </c>
      <c r="AM104" s="512">
        <f t="shared" ca="1" si="50"/>
        <v>7250</v>
      </c>
      <c r="AN104" s="512">
        <f t="shared" ca="1" si="51"/>
        <v>7250</v>
      </c>
      <c r="AO104" s="512">
        <f t="shared" ca="1" si="52"/>
        <v>7250</v>
      </c>
      <c r="AP104" s="512">
        <f t="shared" ca="1" si="53"/>
        <v>7250</v>
      </c>
      <c r="AQ104" s="512" t="str">
        <f t="shared" ca="1" si="54"/>
        <v>Orden de Servicio Sin Terreno</v>
      </c>
      <c r="AR104" s="512"/>
      <c r="AS104" s="512" t="str">
        <f t="shared" ca="1" si="55"/>
        <v>Si</v>
      </c>
      <c r="AT104" s="151">
        <f t="shared" ca="1" si="56"/>
        <v>87000</v>
      </c>
      <c r="AU104" s="151">
        <f>IFERROR(VLOOKUP(A104,'[7]TD CuentasBDG'!$N$5:$O$21,2,0),0)</f>
        <v>0</v>
      </c>
      <c r="AV104" t="str">
        <f t="shared" si="57"/>
        <v>Renovación de Contrato</v>
      </c>
      <c r="AW104" t="s">
        <v>1690</v>
      </c>
      <c r="AX104" t="s">
        <v>1655</v>
      </c>
    </row>
    <row r="105" spans="1:50" ht="45" x14ac:dyDescent="0.25">
      <c r="A105" s="508" t="s">
        <v>1819</v>
      </c>
      <c r="B105" s="508" t="s">
        <v>99</v>
      </c>
      <c r="C105" s="508" t="s">
        <v>1039</v>
      </c>
      <c r="D105" s="508" t="s">
        <v>1805</v>
      </c>
      <c r="E105" s="508"/>
      <c r="F105" s="508"/>
      <c r="G105" s="508" t="s">
        <v>1647</v>
      </c>
      <c r="H105" s="508" t="s">
        <v>1818</v>
      </c>
      <c r="I105" s="508" t="s">
        <v>884</v>
      </c>
      <c r="J105" s="555" t="s">
        <v>1773</v>
      </c>
      <c r="K105" s="555" t="s">
        <v>1774</v>
      </c>
      <c r="L105" s="911">
        <f ca="1">IFERROR(INDEX(Lists!$O$2:$Z$2,MATCH(TRUE,INDEX((AE105:AP105&lt;&gt;0),0),0)),DATE(2018,1,1))</f>
        <v>43102</v>
      </c>
      <c r="M105" s="911">
        <f ca="1">IFERROR(INDEX(Lists!$O$3:$Z$3, VALUE(SUBSTITUTE(TEXT(ADDRESS(SUMPRODUCT(MAX((COLUMN(AE105:AP105)*(AE105:AP105&gt;0)))),1),),"$A$",""))-30),DATE(2018,1,1))</f>
        <v>43465</v>
      </c>
      <c r="N105" s="508" t="s">
        <v>1652</v>
      </c>
      <c r="O105" s="508" t="s">
        <v>1653</v>
      </c>
      <c r="P105" s="508" t="s">
        <v>1071</v>
      </c>
      <c r="Q105" s="508" t="s">
        <v>1676</v>
      </c>
      <c r="R105" s="508" t="str">
        <f t="shared" ca="1" si="29"/>
        <v>Consultoría</v>
      </c>
      <c r="S105" s="508" t="str">
        <f t="shared" ca="1" si="30"/>
        <v>VGC (Vergara y Galindo)</v>
      </c>
      <c r="T105" s="508" t="str">
        <f t="shared" ca="1" si="31"/>
        <v>Concesiones y Servidumbres Electricas</v>
      </c>
      <c r="U105" s="508" t="str">
        <f t="shared" ca="1" si="32"/>
        <v>683 / 51-11-3339</v>
      </c>
      <c r="V105" s="508" t="str">
        <f t="shared" ca="1" si="33"/>
        <v>Contract Renewal/Renovación de Contrato</v>
      </c>
      <c r="W105" s="508" t="str">
        <f t="shared" ca="1" si="34"/>
        <v>VGC</v>
      </c>
      <c r="X105" s="508" t="str">
        <f t="shared" ca="1" si="35"/>
        <v>N/A</v>
      </c>
      <c r="Y105" s="508" t="str">
        <f t="shared" ca="1" si="36"/>
        <v>N/A</v>
      </c>
      <c r="Z105" s="508" t="str">
        <f t="shared" ca="1" si="37"/>
        <v>Ene</v>
      </c>
      <c r="AA105" s="508" t="str">
        <f t="shared" ca="1" si="38"/>
        <v>Ene</v>
      </c>
      <c r="AB105" s="508">
        <f t="shared" ca="1" si="39"/>
        <v>12</v>
      </c>
      <c r="AC105" s="508">
        <f t="shared" ca="1" si="40"/>
        <v>0</v>
      </c>
      <c r="AD105" s="912">
        <f t="shared" ca="1" si="41"/>
        <v>469411.76470588235</v>
      </c>
      <c r="AE105" s="512">
        <f t="shared" ca="1" si="42"/>
        <v>19558.823529411766</v>
      </c>
      <c r="AF105" s="512">
        <f t="shared" ca="1" si="43"/>
        <v>19558.823529411766</v>
      </c>
      <c r="AG105" s="512">
        <f t="shared" ca="1" si="44"/>
        <v>19558.823529411766</v>
      </c>
      <c r="AH105" s="512">
        <f t="shared" ca="1" si="45"/>
        <v>19558.823529411766</v>
      </c>
      <c r="AI105" s="512">
        <f t="shared" ca="1" si="46"/>
        <v>19558.823529411766</v>
      </c>
      <c r="AJ105" s="512">
        <f t="shared" ca="1" si="47"/>
        <v>19558.823529411766</v>
      </c>
      <c r="AK105" s="512">
        <f t="shared" ca="1" si="48"/>
        <v>58676.470588235294</v>
      </c>
      <c r="AL105" s="512">
        <f t="shared" ca="1" si="49"/>
        <v>58676.470588235294</v>
      </c>
      <c r="AM105" s="512">
        <f t="shared" ca="1" si="50"/>
        <v>58676.470588235294</v>
      </c>
      <c r="AN105" s="512">
        <f t="shared" ca="1" si="51"/>
        <v>58676.470588235294</v>
      </c>
      <c r="AO105" s="512">
        <f t="shared" ca="1" si="52"/>
        <v>58676.470588235294</v>
      </c>
      <c r="AP105" s="512">
        <f t="shared" ca="1" si="53"/>
        <v>58676.470588235294</v>
      </c>
      <c r="AQ105" s="512" t="str">
        <f t="shared" ca="1" si="54"/>
        <v>Contrato</v>
      </c>
      <c r="AR105" s="512"/>
      <c r="AS105" s="512" t="str">
        <f t="shared" ca="1" si="55"/>
        <v>Si</v>
      </c>
      <c r="AT105" s="151">
        <f t="shared" ca="1" si="56"/>
        <v>469411.76470588235</v>
      </c>
      <c r="AU105" s="151">
        <f>IFERROR(VLOOKUP(A105,'[7]TD CuentasBDG'!$N$5:$O$21,2,0),0)</f>
        <v>0</v>
      </c>
      <c r="AV105" t="str">
        <f t="shared" si="57"/>
        <v>Renovación de Contrato</v>
      </c>
      <c r="AW105" t="s">
        <v>1690</v>
      </c>
      <c r="AX105" t="s">
        <v>1655</v>
      </c>
    </row>
    <row r="106" spans="1:50" ht="45" x14ac:dyDescent="0.25">
      <c r="A106" s="508" t="s">
        <v>1820</v>
      </c>
      <c r="B106" s="508" t="s">
        <v>99</v>
      </c>
      <c r="C106" s="508" t="s">
        <v>1039</v>
      </c>
      <c r="D106" s="508" t="s">
        <v>1805</v>
      </c>
      <c r="E106" s="508"/>
      <c r="F106" s="508"/>
      <c r="G106" s="508" t="s">
        <v>1647</v>
      </c>
      <c r="H106" s="508" t="s">
        <v>1821</v>
      </c>
      <c r="I106" s="508" t="s">
        <v>886</v>
      </c>
      <c r="J106" s="555" t="s">
        <v>1773</v>
      </c>
      <c r="K106" s="555" t="s">
        <v>1774</v>
      </c>
      <c r="L106" s="911">
        <f ca="1">IFERROR(INDEX(Lists!$O$2:$Z$2,MATCH(TRUE,INDEX((AE106:AP106&lt;&gt;0),0),0)),DATE(2018,1,1))</f>
        <v>43102</v>
      </c>
      <c r="M106" s="911">
        <f ca="1">IFERROR(INDEX(Lists!$O$3:$Z$3, VALUE(SUBSTITUTE(TEXT(ADDRESS(SUMPRODUCT(MAX((COLUMN(AE106:AP106)*(AE106:AP106&gt;0)))),1),),"$A$",""))-30),DATE(2018,1,1))</f>
        <v>43465</v>
      </c>
      <c r="N106" s="508" t="s">
        <v>1652</v>
      </c>
      <c r="O106" s="508" t="s">
        <v>1653</v>
      </c>
      <c r="P106" s="508" t="s">
        <v>1071</v>
      </c>
      <c r="Q106" s="508" t="s">
        <v>1071</v>
      </c>
      <c r="R106" s="508" t="str">
        <f t="shared" ca="1" si="29"/>
        <v>Consultoría</v>
      </c>
      <c r="S106" s="508" t="str">
        <f t="shared" ca="1" si="30"/>
        <v>Geodesarrollo</v>
      </c>
      <c r="T106" s="508" t="str">
        <f t="shared" ca="1" si="31"/>
        <v>Consulting Contract - Easement Fisco</v>
      </c>
      <c r="U106" s="508" t="str">
        <f t="shared" ca="1" si="32"/>
        <v>683 / 51-11-3339</v>
      </c>
      <c r="V106" s="508" t="str">
        <f t="shared" ca="1" si="33"/>
        <v>Contract Renewal/Renovación de Contrato</v>
      </c>
      <c r="W106" s="508" t="str">
        <f t="shared" ca="1" si="34"/>
        <v>Geodesarrollo</v>
      </c>
      <c r="X106" s="508" t="str">
        <f t="shared" ca="1" si="35"/>
        <v>N/A</v>
      </c>
      <c r="Y106" s="508" t="str">
        <f t="shared" ca="1" si="36"/>
        <v>N/A</v>
      </c>
      <c r="Z106" s="508" t="str">
        <f t="shared" ca="1" si="37"/>
        <v>Ene</v>
      </c>
      <c r="AA106" s="508" t="str">
        <f t="shared" ca="1" si="38"/>
        <v>Ene</v>
      </c>
      <c r="AB106" s="508">
        <f t="shared" ca="1" si="39"/>
        <v>12</v>
      </c>
      <c r="AC106" s="508">
        <f t="shared" ca="1" si="40"/>
        <v>0</v>
      </c>
      <c r="AD106" s="912">
        <f t="shared" ca="1" si="41"/>
        <v>187764.70588235289</v>
      </c>
      <c r="AE106" s="512">
        <f t="shared" ca="1" si="42"/>
        <v>15647.058823529413</v>
      </c>
      <c r="AF106" s="512">
        <f t="shared" ca="1" si="43"/>
        <v>15647.058823529413</v>
      </c>
      <c r="AG106" s="512">
        <f t="shared" ca="1" si="44"/>
        <v>15647.058823529413</v>
      </c>
      <c r="AH106" s="512">
        <f t="shared" ca="1" si="45"/>
        <v>15647.058823529413</v>
      </c>
      <c r="AI106" s="512">
        <f t="shared" ca="1" si="46"/>
        <v>15647.058823529413</v>
      </c>
      <c r="AJ106" s="512">
        <f t="shared" ca="1" si="47"/>
        <v>15647.058823529413</v>
      </c>
      <c r="AK106" s="512">
        <f t="shared" ca="1" si="48"/>
        <v>15647.058823529413</v>
      </c>
      <c r="AL106" s="512">
        <f t="shared" ca="1" si="49"/>
        <v>15647.058823529413</v>
      </c>
      <c r="AM106" s="512">
        <f t="shared" ca="1" si="50"/>
        <v>15647.058823529413</v>
      </c>
      <c r="AN106" s="512">
        <f t="shared" ca="1" si="51"/>
        <v>15647.058823529413</v>
      </c>
      <c r="AO106" s="512">
        <f t="shared" ca="1" si="52"/>
        <v>15647.058823529413</v>
      </c>
      <c r="AP106" s="512">
        <f t="shared" ca="1" si="53"/>
        <v>15647.058823529413</v>
      </c>
      <c r="AQ106" s="512" t="str">
        <f t="shared" ca="1" si="54"/>
        <v>Contrato</v>
      </c>
      <c r="AR106" s="512"/>
      <c r="AS106" s="512" t="str">
        <f t="shared" ca="1" si="55"/>
        <v>Si</v>
      </c>
      <c r="AT106" s="151">
        <f t="shared" ca="1" si="56"/>
        <v>187764.70588235289</v>
      </c>
      <c r="AU106" s="151">
        <f>IFERROR(VLOOKUP(A106,'[7]TD CuentasBDG'!$N$5:$O$21,2,0),0)</f>
        <v>0</v>
      </c>
      <c r="AV106" t="str">
        <f t="shared" si="57"/>
        <v>Renovación de Contrato</v>
      </c>
      <c r="AW106" t="s">
        <v>1690</v>
      </c>
      <c r="AX106" t="s">
        <v>1655</v>
      </c>
    </row>
    <row r="107" spans="1:50" ht="45" x14ac:dyDescent="0.25">
      <c r="A107" s="508" t="s">
        <v>1822</v>
      </c>
      <c r="B107" s="508" t="s">
        <v>99</v>
      </c>
      <c r="C107" s="508" t="s">
        <v>1039</v>
      </c>
      <c r="D107" s="508" t="s">
        <v>1805</v>
      </c>
      <c r="E107" s="508" t="s">
        <v>1823</v>
      </c>
      <c r="F107" s="508" t="s">
        <v>1698</v>
      </c>
      <c r="G107" s="508" t="s">
        <v>1647</v>
      </c>
      <c r="H107" s="508" t="s">
        <v>1821</v>
      </c>
      <c r="I107" s="508" t="s">
        <v>888</v>
      </c>
      <c r="J107" s="555" t="s">
        <v>1773</v>
      </c>
      <c r="K107" s="555" t="s">
        <v>1774</v>
      </c>
      <c r="L107" s="911">
        <f ca="1">IFERROR(INDEX(Lists!$O$2:$Z$2,MATCH(TRUE,INDEX((AE107:AP107&lt;&gt;0),0),0)),DATE(2018,1,1))</f>
        <v>43102</v>
      </c>
      <c r="M107" s="911">
        <f ca="1">IFERROR(INDEX(Lists!$O$3:$Z$3, VALUE(SUBSTITUTE(TEXT(ADDRESS(SUMPRODUCT(MAX((COLUMN(AE107:AP107)*(AE107:AP107&gt;0)))),1),),"$A$",""))-30),DATE(2018,1,1))</f>
        <v>43465</v>
      </c>
      <c r="N107" s="508" t="s">
        <v>1652</v>
      </c>
      <c r="O107" s="508" t="s">
        <v>1653</v>
      </c>
      <c r="P107" s="508" t="s">
        <v>1071</v>
      </c>
      <c r="Q107" s="508" t="s">
        <v>1676</v>
      </c>
      <c r="R107" s="508" t="str">
        <f t="shared" ca="1" si="29"/>
        <v>Consultoría</v>
      </c>
      <c r="S107" s="508" t="str">
        <f t="shared" ca="1" si="30"/>
        <v xml:space="preserve">Geodesarrollo </v>
      </c>
      <c r="T107" s="508" t="str">
        <f t="shared" ca="1" si="31"/>
        <v>Easements Delano</v>
      </c>
      <c r="U107" s="508" t="str">
        <f t="shared" ca="1" si="32"/>
        <v>683 / 51-11-3339</v>
      </c>
      <c r="V107" s="508" t="str">
        <f t="shared" ca="1" si="33"/>
        <v>Contract Renewal/Renovación de Contrato</v>
      </c>
      <c r="W107" s="508" t="str">
        <f t="shared" ca="1" si="34"/>
        <v xml:space="preserve">Geodesarrollo </v>
      </c>
      <c r="X107" s="508" t="str">
        <f t="shared" ca="1" si="35"/>
        <v>N/A</v>
      </c>
      <c r="Y107" s="508" t="str">
        <f t="shared" ca="1" si="36"/>
        <v>N/A</v>
      </c>
      <c r="Z107" s="508" t="str">
        <f t="shared" ca="1" si="37"/>
        <v>Ene</v>
      </c>
      <c r="AA107" s="508" t="str">
        <f t="shared" ca="1" si="38"/>
        <v>Ene</v>
      </c>
      <c r="AB107" s="508">
        <f t="shared" ca="1" si="39"/>
        <v>12</v>
      </c>
      <c r="AC107" s="508">
        <f t="shared" ca="1" si="40"/>
        <v>0</v>
      </c>
      <c r="AD107" s="912">
        <f t="shared" ca="1" si="41"/>
        <v>233294.1176470588</v>
      </c>
      <c r="AE107" s="512">
        <f t="shared" ca="1" si="42"/>
        <v>13691.176470588236</v>
      </c>
      <c r="AF107" s="512">
        <f t="shared" ca="1" si="43"/>
        <v>13691.176470588236</v>
      </c>
      <c r="AG107" s="512">
        <f t="shared" ca="1" si="44"/>
        <v>13691.176470588236</v>
      </c>
      <c r="AH107" s="512">
        <f t="shared" ca="1" si="45"/>
        <v>13691.176470588236</v>
      </c>
      <c r="AI107" s="512">
        <f t="shared" ca="1" si="46"/>
        <v>13691.176470588236</v>
      </c>
      <c r="AJ107" s="512">
        <f t="shared" ca="1" si="47"/>
        <v>13691.176470588236</v>
      </c>
      <c r="AK107" s="512">
        <f t="shared" ca="1" si="48"/>
        <v>13691.176470588236</v>
      </c>
      <c r="AL107" s="512">
        <f t="shared" ca="1" si="49"/>
        <v>13691.176470588236</v>
      </c>
      <c r="AM107" s="512">
        <f t="shared" ca="1" si="50"/>
        <v>13691.176470588236</v>
      </c>
      <c r="AN107" s="512">
        <f t="shared" ca="1" si="51"/>
        <v>13691.176470588236</v>
      </c>
      <c r="AO107" s="512">
        <f t="shared" ca="1" si="52"/>
        <v>13691.176470588236</v>
      </c>
      <c r="AP107" s="512">
        <f t="shared" ca="1" si="53"/>
        <v>82691.176470588238</v>
      </c>
      <c r="AQ107" s="512" t="str">
        <f t="shared" ca="1" si="54"/>
        <v>Contrato</v>
      </c>
      <c r="AR107" s="512"/>
      <c r="AS107" s="512" t="str">
        <f t="shared" ca="1" si="55"/>
        <v>Si</v>
      </c>
      <c r="AT107" s="151">
        <f t="shared" ca="1" si="56"/>
        <v>233294.1176470588</v>
      </c>
      <c r="AU107" s="151">
        <f>IFERROR(VLOOKUP(A107,'[7]TD CuentasBDG'!$N$5:$O$21,2,0),0)</f>
        <v>203848.41176470582</v>
      </c>
      <c r="AV107" t="str">
        <f t="shared" si="57"/>
        <v>Renovación de Contrato</v>
      </c>
      <c r="AW107" t="s">
        <v>1690</v>
      </c>
      <c r="AX107" t="s">
        <v>1655</v>
      </c>
    </row>
    <row r="108" spans="1:50" ht="45" x14ac:dyDescent="0.25">
      <c r="A108" s="508" t="s">
        <v>1824</v>
      </c>
      <c r="B108" s="508" t="s">
        <v>99</v>
      </c>
      <c r="C108" s="508" t="s">
        <v>1039</v>
      </c>
      <c r="D108" s="508" t="s">
        <v>1805</v>
      </c>
      <c r="E108" s="508"/>
      <c r="F108" s="508"/>
      <c r="G108" s="508" t="s">
        <v>1647</v>
      </c>
      <c r="H108" s="508" t="s">
        <v>1825</v>
      </c>
      <c r="I108" s="508" t="s">
        <v>890</v>
      </c>
      <c r="J108" s="555" t="s">
        <v>1773</v>
      </c>
      <c r="K108" s="555" t="s">
        <v>1774</v>
      </c>
      <c r="L108" s="911">
        <f ca="1">IFERROR(INDEX(Lists!$O$2:$Z$2,MATCH(TRUE,INDEX((AE108:AP108&lt;&gt;0),0),0)),DATE(2018,1,1))</f>
        <v>43102</v>
      </c>
      <c r="M108" s="911">
        <f ca="1">IFERROR(INDEX(Lists!$O$3:$Z$3, VALUE(SUBSTITUTE(TEXT(ADDRESS(SUMPRODUCT(MAX((COLUMN(AE108:AP108)*(AE108:AP108&gt;0)))),1),),"$A$",""))-30),DATE(2018,1,1))</f>
        <v>43465</v>
      </c>
      <c r="N108" s="508" t="s">
        <v>1652</v>
      </c>
      <c r="O108" s="508" t="s">
        <v>1653</v>
      </c>
      <c r="P108" s="508" t="s">
        <v>1071</v>
      </c>
      <c r="Q108" s="508" t="s">
        <v>1071</v>
      </c>
      <c r="R108" s="508" t="str">
        <f t="shared" ca="1" si="29"/>
        <v>Consultoría</v>
      </c>
      <c r="S108" s="508" t="str">
        <f t="shared" ca="1" si="30"/>
        <v>Lizama y Cia</v>
      </c>
      <c r="T108" s="508" t="str">
        <f t="shared" ca="1" si="31"/>
        <v>Labor</v>
      </c>
      <c r="U108" s="508" t="str">
        <f t="shared" ca="1" si="32"/>
        <v>683 / 51-11-3339</v>
      </c>
      <c r="V108" s="508" t="str">
        <f t="shared" ca="1" si="33"/>
        <v>Contract Renewal/Renovación de Contrato</v>
      </c>
      <c r="W108" s="508" t="str">
        <f t="shared" ca="1" si="34"/>
        <v>Lizama y Cia</v>
      </c>
      <c r="X108" s="508" t="str">
        <f t="shared" ca="1" si="35"/>
        <v>N/A</v>
      </c>
      <c r="Y108" s="508" t="str">
        <f t="shared" ca="1" si="36"/>
        <v>N/A</v>
      </c>
      <c r="Z108" s="508" t="str">
        <f t="shared" ca="1" si="37"/>
        <v>Ene</v>
      </c>
      <c r="AA108" s="508" t="str">
        <f t="shared" ca="1" si="38"/>
        <v>Ene</v>
      </c>
      <c r="AB108" s="508">
        <f t="shared" ca="1" si="39"/>
        <v>12</v>
      </c>
      <c r="AC108" s="508">
        <f t="shared" ca="1" si="40"/>
        <v>0</v>
      </c>
      <c r="AD108" s="912">
        <f t="shared" ca="1" si="41"/>
        <v>37500</v>
      </c>
      <c r="AE108" s="512">
        <f t="shared" ca="1" si="42"/>
        <v>3125</v>
      </c>
      <c r="AF108" s="512">
        <f t="shared" ca="1" si="43"/>
        <v>3125</v>
      </c>
      <c r="AG108" s="512">
        <f t="shared" ca="1" si="44"/>
        <v>3125</v>
      </c>
      <c r="AH108" s="512">
        <f t="shared" ca="1" si="45"/>
        <v>3125</v>
      </c>
      <c r="AI108" s="512">
        <f t="shared" ca="1" si="46"/>
        <v>3125</v>
      </c>
      <c r="AJ108" s="512">
        <f t="shared" ca="1" si="47"/>
        <v>3125</v>
      </c>
      <c r="AK108" s="512">
        <f t="shared" ca="1" si="48"/>
        <v>3125</v>
      </c>
      <c r="AL108" s="512">
        <f t="shared" ca="1" si="49"/>
        <v>3125</v>
      </c>
      <c r="AM108" s="512">
        <f t="shared" ca="1" si="50"/>
        <v>3125</v>
      </c>
      <c r="AN108" s="512">
        <f t="shared" ca="1" si="51"/>
        <v>3125</v>
      </c>
      <c r="AO108" s="512">
        <f t="shared" ca="1" si="52"/>
        <v>3125</v>
      </c>
      <c r="AP108" s="512">
        <f t="shared" ca="1" si="53"/>
        <v>3125</v>
      </c>
      <c r="AQ108" s="512" t="str">
        <f t="shared" ca="1" si="54"/>
        <v>Orden de Servicio Sin Terreno</v>
      </c>
      <c r="AR108" s="512"/>
      <c r="AS108" s="512" t="str">
        <f t="shared" ca="1" si="55"/>
        <v>No</v>
      </c>
      <c r="AT108" s="151">
        <f t="shared" ca="1" si="56"/>
        <v>37500</v>
      </c>
      <c r="AU108" s="151">
        <f>IFERROR(VLOOKUP(A108,'[7]TD CuentasBDG'!$N$5:$O$21,2,0),0)</f>
        <v>0</v>
      </c>
      <c r="AV108" t="str">
        <f t="shared" si="57"/>
        <v>Renovación de Contrato</v>
      </c>
      <c r="AW108" t="s">
        <v>1690</v>
      </c>
      <c r="AX108" t="s">
        <v>1655</v>
      </c>
    </row>
    <row r="109" spans="1:50" ht="45" x14ac:dyDescent="0.25">
      <c r="A109" s="508" t="s">
        <v>1826</v>
      </c>
      <c r="B109" s="508" t="s">
        <v>99</v>
      </c>
      <c r="C109" s="508" t="s">
        <v>1039</v>
      </c>
      <c r="D109" s="508" t="s">
        <v>1805</v>
      </c>
      <c r="E109" s="508"/>
      <c r="F109" s="508"/>
      <c r="G109" s="508" t="s">
        <v>1647</v>
      </c>
      <c r="H109" s="508" t="s">
        <v>1827</v>
      </c>
      <c r="I109" s="508" t="s">
        <v>893</v>
      </c>
      <c r="J109" s="555" t="s">
        <v>1773</v>
      </c>
      <c r="K109" s="555" t="s">
        <v>1774</v>
      </c>
      <c r="L109" s="911">
        <f ca="1">IFERROR(INDEX(Lists!$O$2:$Z$2,MATCH(TRUE,INDEX((AE109:AP109&lt;&gt;0),0),0)),DATE(2018,1,1))</f>
        <v>43102</v>
      </c>
      <c r="M109" s="911">
        <f ca="1">IFERROR(INDEX(Lists!$O$3:$Z$3, VALUE(SUBSTITUTE(TEXT(ADDRESS(SUMPRODUCT(MAX((COLUMN(AE109:AP109)*(AE109:AP109&gt;0)))),1),),"$A$",""))-30),DATE(2018,1,1))</f>
        <v>43465</v>
      </c>
      <c r="N109" s="508" t="s">
        <v>1652</v>
      </c>
      <c r="O109" s="508" t="s">
        <v>1653</v>
      </c>
      <c r="P109" s="508" t="s">
        <v>1071</v>
      </c>
      <c r="Q109" s="508" t="s">
        <v>1071</v>
      </c>
      <c r="R109" s="508" t="str">
        <f t="shared" ca="1" si="29"/>
        <v>Consultoría</v>
      </c>
      <c r="S109" s="508" t="str">
        <f t="shared" ca="1" si="30"/>
        <v>Cariola</v>
      </c>
      <c r="T109" s="508" t="str">
        <f t="shared" ca="1" si="31"/>
        <v>Corporate/commercial - Easement Lot B</v>
      </c>
      <c r="U109" s="508" t="str">
        <f t="shared" ca="1" si="32"/>
        <v>683 / 51-11-3339</v>
      </c>
      <c r="V109" s="508" t="str">
        <f t="shared" ca="1" si="33"/>
        <v>Contract Renewal/Renovación de Contrato</v>
      </c>
      <c r="W109" s="508" t="str">
        <f t="shared" ca="1" si="34"/>
        <v>Cariola</v>
      </c>
      <c r="X109" s="508" t="str">
        <f t="shared" ca="1" si="35"/>
        <v>N/A</v>
      </c>
      <c r="Y109" s="508" t="str">
        <f t="shared" ca="1" si="36"/>
        <v>N/A</v>
      </c>
      <c r="Z109" s="508" t="str">
        <f t="shared" ca="1" si="37"/>
        <v>Ene</v>
      </c>
      <c r="AA109" s="508" t="str">
        <f t="shared" ca="1" si="38"/>
        <v>Ene</v>
      </c>
      <c r="AB109" s="508">
        <f t="shared" ca="1" si="39"/>
        <v>12</v>
      </c>
      <c r="AC109" s="508">
        <f t="shared" ca="1" si="40"/>
        <v>0</v>
      </c>
      <c r="AD109" s="912">
        <f t="shared" ca="1" si="41"/>
        <v>150000</v>
      </c>
      <c r="AE109" s="512">
        <f t="shared" ca="1" si="42"/>
        <v>12500</v>
      </c>
      <c r="AF109" s="512">
        <f t="shared" ca="1" si="43"/>
        <v>12500</v>
      </c>
      <c r="AG109" s="512">
        <f t="shared" ca="1" si="44"/>
        <v>12500</v>
      </c>
      <c r="AH109" s="512">
        <f t="shared" ca="1" si="45"/>
        <v>12500</v>
      </c>
      <c r="AI109" s="512">
        <f t="shared" ca="1" si="46"/>
        <v>12500</v>
      </c>
      <c r="AJ109" s="512">
        <f t="shared" ca="1" si="47"/>
        <v>12500</v>
      </c>
      <c r="AK109" s="512">
        <f t="shared" ca="1" si="48"/>
        <v>12500</v>
      </c>
      <c r="AL109" s="512">
        <f t="shared" ca="1" si="49"/>
        <v>12500</v>
      </c>
      <c r="AM109" s="512">
        <f t="shared" ca="1" si="50"/>
        <v>12500</v>
      </c>
      <c r="AN109" s="512">
        <f t="shared" ca="1" si="51"/>
        <v>12500</v>
      </c>
      <c r="AO109" s="512">
        <f t="shared" ca="1" si="52"/>
        <v>12500</v>
      </c>
      <c r="AP109" s="512">
        <f t="shared" ca="1" si="53"/>
        <v>12500</v>
      </c>
      <c r="AQ109" s="512" t="str">
        <f t="shared" ca="1" si="54"/>
        <v>Contrato</v>
      </c>
      <c r="AR109" s="512"/>
      <c r="AS109" s="512" t="str">
        <f t="shared" ca="1" si="55"/>
        <v>Si</v>
      </c>
      <c r="AT109" s="151">
        <f t="shared" ca="1" si="56"/>
        <v>150000</v>
      </c>
      <c r="AU109" s="151">
        <f>IFERROR(VLOOKUP(A109,'[7]TD CuentasBDG'!$N$5:$O$21,2,0),0)</f>
        <v>0</v>
      </c>
      <c r="AV109" t="str">
        <f t="shared" si="57"/>
        <v>Renovación de Contrato</v>
      </c>
      <c r="AW109" t="s">
        <v>1690</v>
      </c>
      <c r="AX109" t="s">
        <v>1655</v>
      </c>
    </row>
    <row r="110" spans="1:50" ht="45" x14ac:dyDescent="0.25">
      <c r="A110" s="508" t="s">
        <v>1828</v>
      </c>
      <c r="B110" s="508" t="s">
        <v>99</v>
      </c>
      <c r="C110" s="508" t="s">
        <v>1039</v>
      </c>
      <c r="D110" s="508" t="s">
        <v>1805</v>
      </c>
      <c r="E110" s="508"/>
      <c r="F110" s="508"/>
      <c r="G110" s="508" t="s">
        <v>1647</v>
      </c>
      <c r="H110" s="508" t="s">
        <v>1829</v>
      </c>
      <c r="I110" s="508" t="s">
        <v>896</v>
      </c>
      <c r="J110" s="555" t="s">
        <v>1773</v>
      </c>
      <c r="K110" s="555" t="s">
        <v>1774</v>
      </c>
      <c r="L110" s="911">
        <f ca="1">IFERROR(INDEX(Lists!$O$2:$Z$2,MATCH(TRUE,INDEX((AE110:AP110&lt;&gt;0),0),0)),DATE(2018,1,1))</f>
        <v>43102</v>
      </c>
      <c r="M110" s="911">
        <f ca="1">IFERROR(INDEX(Lists!$O$3:$Z$3, VALUE(SUBSTITUTE(TEXT(ADDRESS(SUMPRODUCT(MAX((COLUMN(AE110:AP110)*(AE110:AP110&gt;0)))),1),),"$A$",""))-30),DATE(2018,1,1))</f>
        <v>43465</v>
      </c>
      <c r="N110" s="913" t="s">
        <v>1652</v>
      </c>
      <c r="O110" s="508" t="s">
        <v>1653</v>
      </c>
      <c r="P110" s="508" t="s">
        <v>1071</v>
      </c>
      <c r="Q110" s="508" t="s">
        <v>1676</v>
      </c>
      <c r="R110" s="508" t="str">
        <f t="shared" ca="1" si="29"/>
        <v>Consultoría</v>
      </c>
      <c r="S110" s="508" t="str">
        <f t="shared" ca="1" si="30"/>
        <v>Carolina Verdejo</v>
      </c>
      <c r="T110" s="508" t="str">
        <f t="shared" ca="1" si="31"/>
        <v>Tasación Predios</v>
      </c>
      <c r="U110" s="508" t="str">
        <f t="shared" ca="1" si="32"/>
        <v>683 / 51-11-3339</v>
      </c>
      <c r="V110" s="508" t="str">
        <f t="shared" ca="1" si="33"/>
        <v>Contract Renewal/Renovación de Contrato</v>
      </c>
      <c r="W110" s="508" t="str">
        <f t="shared" ca="1" si="34"/>
        <v>Carolina Verdejo</v>
      </c>
      <c r="X110" s="508" t="str">
        <f t="shared" ca="1" si="35"/>
        <v>N/A</v>
      </c>
      <c r="Y110" s="508" t="str">
        <f t="shared" ca="1" si="36"/>
        <v>N/A</v>
      </c>
      <c r="Z110" s="508" t="str">
        <f t="shared" ca="1" si="37"/>
        <v>Ene</v>
      </c>
      <c r="AA110" s="508" t="str">
        <f t="shared" ca="1" si="38"/>
        <v>Ene</v>
      </c>
      <c r="AB110" s="508">
        <f t="shared" ca="1" si="39"/>
        <v>12</v>
      </c>
      <c r="AC110" s="508">
        <f t="shared" ca="1" si="40"/>
        <v>0</v>
      </c>
      <c r="AD110" s="912">
        <f t="shared" ca="1" si="41"/>
        <v>50400</v>
      </c>
      <c r="AE110" s="512">
        <f t="shared" ca="1" si="42"/>
        <v>4200</v>
      </c>
      <c r="AF110" s="512">
        <f t="shared" ca="1" si="43"/>
        <v>4200</v>
      </c>
      <c r="AG110" s="512">
        <f t="shared" ca="1" si="44"/>
        <v>4200</v>
      </c>
      <c r="AH110" s="512">
        <f t="shared" ca="1" si="45"/>
        <v>4200</v>
      </c>
      <c r="AI110" s="512">
        <f t="shared" ca="1" si="46"/>
        <v>4200</v>
      </c>
      <c r="AJ110" s="512">
        <f t="shared" ca="1" si="47"/>
        <v>4200</v>
      </c>
      <c r="AK110" s="512">
        <f t="shared" ca="1" si="48"/>
        <v>4200</v>
      </c>
      <c r="AL110" s="512">
        <f t="shared" ca="1" si="49"/>
        <v>4200</v>
      </c>
      <c r="AM110" s="512">
        <f t="shared" ca="1" si="50"/>
        <v>4200</v>
      </c>
      <c r="AN110" s="512">
        <f t="shared" ca="1" si="51"/>
        <v>4200</v>
      </c>
      <c r="AO110" s="512">
        <f t="shared" ca="1" si="52"/>
        <v>4200</v>
      </c>
      <c r="AP110" s="512">
        <f t="shared" ca="1" si="53"/>
        <v>4200</v>
      </c>
      <c r="AQ110" s="512" t="str">
        <f t="shared" ca="1" si="54"/>
        <v>Contrato</v>
      </c>
      <c r="AR110" s="512"/>
      <c r="AS110" s="512" t="str">
        <f t="shared" ca="1" si="55"/>
        <v>Si</v>
      </c>
      <c r="AT110" s="151">
        <f t="shared" ca="1" si="56"/>
        <v>50400</v>
      </c>
      <c r="AU110" s="151">
        <f>IFERROR(VLOOKUP(A110,'[7]TD CuentasBDG'!$N$5:$O$21,2,0),0)</f>
        <v>0</v>
      </c>
      <c r="AV110" t="str">
        <f t="shared" si="57"/>
        <v>Renovación de Contrato</v>
      </c>
      <c r="AW110" t="s">
        <v>1690</v>
      </c>
      <c r="AX110" t="s">
        <v>1655</v>
      </c>
    </row>
    <row r="111" spans="1:50" ht="30" x14ac:dyDescent="0.25">
      <c r="A111" s="508" t="s">
        <v>1830</v>
      </c>
      <c r="B111" s="508" t="s">
        <v>99</v>
      </c>
      <c r="C111" s="508" t="s">
        <v>1039</v>
      </c>
      <c r="D111" s="508" t="s">
        <v>1805</v>
      </c>
      <c r="E111" s="508"/>
      <c r="F111" s="508"/>
      <c r="G111" s="508" t="s">
        <v>1647</v>
      </c>
      <c r="H111" s="508" t="s">
        <v>1831</v>
      </c>
      <c r="I111" s="508" t="s">
        <v>899</v>
      </c>
      <c r="J111" s="555" t="s">
        <v>1773</v>
      </c>
      <c r="K111" s="555" t="s">
        <v>1774</v>
      </c>
      <c r="L111" s="911">
        <f ca="1">IFERROR(INDEX(Lists!$O$2:$Z$2,MATCH(TRUE,INDEX((AE111:AP111&lt;&gt;0),0),0)),DATE(2018,1,1))</f>
        <v>43102</v>
      </c>
      <c r="M111" s="911">
        <f ca="1">IFERROR(INDEX(Lists!$O$3:$Z$3, VALUE(SUBSTITUTE(TEXT(ADDRESS(SUMPRODUCT(MAX((COLUMN(AE111:AP111)*(AE111:AP111&gt;0)))),1),),"$A$",""))-30),DATE(2018,1,1))</f>
        <v>43465</v>
      </c>
      <c r="N111" s="508" t="s">
        <v>1668</v>
      </c>
      <c r="O111" s="508" t="s">
        <v>1653</v>
      </c>
      <c r="P111" s="508" t="s">
        <v>1071</v>
      </c>
      <c r="Q111" s="508" t="s">
        <v>1071</v>
      </c>
      <c r="R111" s="508" t="str">
        <f t="shared" ca="1" si="29"/>
        <v>Consultoría</v>
      </c>
      <c r="S111" s="508" t="str">
        <f t="shared" ca="1" si="30"/>
        <v>Consultor por Definir</v>
      </c>
      <c r="T111" s="508" t="str">
        <f t="shared" ca="1" si="31"/>
        <v xml:space="preserve">Easement Ventanas </v>
      </c>
      <c r="U111" s="508" t="str">
        <f t="shared" ca="1" si="32"/>
        <v>683 / 51-11-3339</v>
      </c>
      <c r="V111" s="508" t="str">
        <f t="shared" ca="1" si="33"/>
        <v>Purchase Order (PO)/Orden de Compra</v>
      </c>
      <c r="W111" s="508" t="str">
        <f t="shared" ca="1" si="34"/>
        <v>Pendiente</v>
      </c>
      <c r="X111" s="508" t="str">
        <f t="shared" ca="1" si="35"/>
        <v>N/A</v>
      </c>
      <c r="Y111" s="508" t="str">
        <f t="shared" ca="1" si="36"/>
        <v>N/A</v>
      </c>
      <c r="Z111" s="508" t="str">
        <f t="shared" ca="1" si="37"/>
        <v>Ene</v>
      </c>
      <c r="AA111" s="508" t="str">
        <f t="shared" ca="1" si="38"/>
        <v>Ene</v>
      </c>
      <c r="AB111" s="508">
        <f t="shared" ca="1" si="39"/>
        <v>12</v>
      </c>
      <c r="AC111" s="508">
        <f t="shared" ca="1" si="40"/>
        <v>0</v>
      </c>
      <c r="AD111" s="912">
        <f t="shared" ca="1" si="41"/>
        <v>213411.76470588235</v>
      </c>
      <c r="AE111" s="512">
        <f t="shared" ca="1" si="42"/>
        <v>2500</v>
      </c>
      <c r="AF111" s="512">
        <f t="shared" ca="1" si="43"/>
        <v>2500</v>
      </c>
      <c r="AG111" s="512">
        <f t="shared" ca="1" si="44"/>
        <v>2500</v>
      </c>
      <c r="AH111" s="512">
        <f t="shared" ca="1" si="45"/>
        <v>2500</v>
      </c>
      <c r="AI111" s="512">
        <f t="shared" ca="1" si="46"/>
        <v>15647.058823529413</v>
      </c>
      <c r="AJ111" s="512">
        <f t="shared" ca="1" si="47"/>
        <v>15647.058823529413</v>
      </c>
      <c r="AK111" s="512">
        <f t="shared" ca="1" si="48"/>
        <v>15647.058823529413</v>
      </c>
      <c r="AL111" s="512">
        <f t="shared" ca="1" si="49"/>
        <v>15647.058823529413</v>
      </c>
      <c r="AM111" s="512">
        <f t="shared" ca="1" si="50"/>
        <v>15647.058823529413</v>
      </c>
      <c r="AN111" s="512">
        <f t="shared" ca="1" si="51"/>
        <v>15647.058823529413</v>
      </c>
      <c r="AO111" s="512">
        <f t="shared" ca="1" si="52"/>
        <v>15647.058823529413</v>
      </c>
      <c r="AP111" s="512">
        <f t="shared" ca="1" si="53"/>
        <v>93882.352941176476</v>
      </c>
      <c r="AQ111" s="512" t="str">
        <f t="shared" ca="1" si="54"/>
        <v>Contrato</v>
      </c>
      <c r="AR111" s="512"/>
      <c r="AS111" s="512" t="str">
        <f t="shared" ca="1" si="55"/>
        <v>No</v>
      </c>
      <c r="AT111" s="151">
        <f t="shared" ca="1" si="56"/>
        <v>213411.76470588235</v>
      </c>
      <c r="AU111" s="151">
        <f>IFERROR(VLOOKUP(A111,'[7]TD CuentasBDG'!$N$5:$O$21,2,0),0)</f>
        <v>0</v>
      </c>
      <c r="AV111" t="str">
        <f t="shared" ca="1" si="57"/>
        <v>Licitación</v>
      </c>
      <c r="AW111" t="s">
        <v>1690</v>
      </c>
      <c r="AX111" t="s">
        <v>1655</v>
      </c>
    </row>
    <row r="112" spans="1:50" ht="30" x14ac:dyDescent="0.25">
      <c r="A112" s="508" t="s">
        <v>1832</v>
      </c>
      <c r="B112" s="508" t="s">
        <v>99</v>
      </c>
      <c r="C112" s="508" t="s">
        <v>1039</v>
      </c>
      <c r="D112" s="508" t="s">
        <v>1805</v>
      </c>
      <c r="E112" s="508"/>
      <c r="F112" s="508"/>
      <c r="G112" s="508" t="s">
        <v>1647</v>
      </c>
      <c r="H112" s="508" t="s">
        <v>1831</v>
      </c>
      <c r="I112" s="508" t="s">
        <v>902</v>
      </c>
      <c r="J112" s="555" t="s">
        <v>1773</v>
      </c>
      <c r="K112" s="555" t="s">
        <v>1774</v>
      </c>
      <c r="L112" s="911">
        <f ca="1">IFERROR(INDEX(Lists!$O$2:$Z$2,MATCH(TRUE,INDEX((AE112:AP112&lt;&gt;0),0),0)),DATE(2018,1,1))</f>
        <v>43102</v>
      </c>
      <c r="M112" s="911">
        <f ca="1">IFERROR(INDEX(Lists!$O$3:$Z$3, VALUE(SUBSTITUTE(TEXT(ADDRESS(SUMPRODUCT(MAX((COLUMN(AE112:AP112)*(AE112:AP112&gt;0)))),1),),"$A$",""))-30),DATE(2018,1,1))</f>
        <v>43465</v>
      </c>
      <c r="N112" s="508" t="s">
        <v>1668</v>
      </c>
      <c r="O112" s="508" t="s">
        <v>1653</v>
      </c>
      <c r="P112" s="508" t="s">
        <v>1071</v>
      </c>
      <c r="Q112" s="508" t="s">
        <v>1071</v>
      </c>
      <c r="R112" s="508" t="str">
        <f t="shared" ca="1" si="29"/>
        <v>Consultoría</v>
      </c>
      <c r="S112" s="508" t="str">
        <f t="shared" ca="1" si="30"/>
        <v>Consultor por Definir</v>
      </c>
      <c r="T112" s="508" t="str">
        <f t="shared" ca="1" si="31"/>
        <v>Easements  Cruce Rio Huasco</v>
      </c>
      <c r="U112" s="508" t="str">
        <f t="shared" ca="1" si="32"/>
        <v>683 / 51-11-3339</v>
      </c>
      <c r="V112" s="508" t="str">
        <f t="shared" ca="1" si="33"/>
        <v>Purchase Order (PO)/Orden de Compra</v>
      </c>
      <c r="W112" s="508" t="str">
        <f t="shared" ca="1" si="34"/>
        <v>Pendiente</v>
      </c>
      <c r="X112" s="508" t="str">
        <f t="shared" ca="1" si="35"/>
        <v>N/A</v>
      </c>
      <c r="Y112" s="508" t="str">
        <f t="shared" ca="1" si="36"/>
        <v>N/A</v>
      </c>
      <c r="Z112" s="508" t="str">
        <f t="shared" ca="1" si="37"/>
        <v>Ene</v>
      </c>
      <c r="AA112" s="508" t="str">
        <f t="shared" ca="1" si="38"/>
        <v>Ene</v>
      </c>
      <c r="AB112" s="508">
        <f t="shared" ca="1" si="39"/>
        <v>12</v>
      </c>
      <c r="AC112" s="508">
        <f t="shared" ca="1" si="40"/>
        <v>0</v>
      </c>
      <c r="AD112" s="912">
        <f t="shared" ca="1" si="41"/>
        <v>213411.76470588235</v>
      </c>
      <c r="AE112" s="512">
        <f t="shared" ca="1" si="42"/>
        <v>2500</v>
      </c>
      <c r="AF112" s="512">
        <f t="shared" ca="1" si="43"/>
        <v>2500</v>
      </c>
      <c r="AG112" s="512">
        <f t="shared" ca="1" si="44"/>
        <v>2500</v>
      </c>
      <c r="AH112" s="512">
        <f t="shared" ca="1" si="45"/>
        <v>2500</v>
      </c>
      <c r="AI112" s="512">
        <f t="shared" ca="1" si="46"/>
        <v>15647.058823529413</v>
      </c>
      <c r="AJ112" s="512">
        <f t="shared" ca="1" si="47"/>
        <v>15647.058823529413</v>
      </c>
      <c r="AK112" s="512">
        <f t="shared" ca="1" si="48"/>
        <v>15647.058823529413</v>
      </c>
      <c r="AL112" s="512">
        <f t="shared" ca="1" si="49"/>
        <v>15647.058823529413</v>
      </c>
      <c r="AM112" s="512">
        <f t="shared" ca="1" si="50"/>
        <v>15647.058823529413</v>
      </c>
      <c r="AN112" s="512">
        <f t="shared" ca="1" si="51"/>
        <v>15647.058823529413</v>
      </c>
      <c r="AO112" s="512">
        <f t="shared" ca="1" si="52"/>
        <v>15647.058823529413</v>
      </c>
      <c r="AP112" s="512">
        <f t="shared" ca="1" si="53"/>
        <v>93882.352941176476</v>
      </c>
      <c r="AQ112" s="512" t="str">
        <f t="shared" ca="1" si="54"/>
        <v>Contrato</v>
      </c>
      <c r="AR112" s="512"/>
      <c r="AS112" s="512" t="str">
        <f t="shared" ca="1" si="55"/>
        <v>No</v>
      </c>
      <c r="AT112" s="151">
        <f t="shared" ca="1" si="56"/>
        <v>213411.76470588235</v>
      </c>
      <c r="AU112" s="151">
        <f>IFERROR(VLOOKUP(A112,'[7]TD CuentasBDG'!$N$5:$O$21,2,0),0)</f>
        <v>0</v>
      </c>
      <c r="AV112" t="str">
        <f t="shared" ca="1" si="57"/>
        <v>Licitación</v>
      </c>
      <c r="AW112" t="s">
        <v>1690</v>
      </c>
      <c r="AX112" t="s">
        <v>1655</v>
      </c>
    </row>
    <row r="113" spans="1:50" ht="30" x14ac:dyDescent="0.25">
      <c r="A113" s="508" t="s">
        <v>1833</v>
      </c>
      <c r="B113" s="508" t="s">
        <v>99</v>
      </c>
      <c r="C113" s="508" t="s">
        <v>1039</v>
      </c>
      <c r="D113" s="508" t="s">
        <v>1805</v>
      </c>
      <c r="E113" s="508"/>
      <c r="F113" s="508"/>
      <c r="G113" s="508" t="s">
        <v>1647</v>
      </c>
      <c r="H113" s="508" t="s">
        <v>1831</v>
      </c>
      <c r="I113" s="508" t="s">
        <v>904</v>
      </c>
      <c r="J113" s="555" t="s">
        <v>1773</v>
      </c>
      <c r="K113" s="555" t="s">
        <v>1774</v>
      </c>
      <c r="L113" s="911">
        <f ca="1">IFERROR(INDEX(Lists!$O$2:$Z$2,MATCH(TRUE,INDEX((AE113:AP113&lt;&gt;0),0),0)),DATE(2018,1,1))</f>
        <v>43102</v>
      </c>
      <c r="M113" s="911">
        <f ca="1">IFERROR(INDEX(Lists!$O$3:$Z$3, VALUE(SUBSTITUTE(TEXT(ADDRESS(SUMPRODUCT(MAX((COLUMN(AE113:AP113)*(AE113:AP113&gt;0)))),1),),"$A$",""))-30),DATE(2018,1,1))</f>
        <v>43465</v>
      </c>
      <c r="N113" s="508" t="s">
        <v>1668</v>
      </c>
      <c r="O113" s="508" t="s">
        <v>1653</v>
      </c>
      <c r="P113" s="508" t="s">
        <v>1071</v>
      </c>
      <c r="Q113" s="508" t="s">
        <v>1071</v>
      </c>
      <c r="R113" s="508" t="str">
        <f t="shared" ca="1" si="29"/>
        <v>Consultoría</v>
      </c>
      <c r="S113" s="508" t="str">
        <f t="shared" ca="1" si="30"/>
        <v>Consultor por Definir</v>
      </c>
      <c r="T113" s="508" t="str">
        <f t="shared" ca="1" si="31"/>
        <v>Easements  Agrosuper Cuesta La Arenas</v>
      </c>
      <c r="U113" s="508" t="str">
        <f t="shared" ca="1" si="32"/>
        <v>683 / 51-11-3339</v>
      </c>
      <c r="V113" s="508" t="str">
        <f t="shared" ca="1" si="33"/>
        <v>Purchase Order (PO)/Orden de Compra</v>
      </c>
      <c r="W113" s="508" t="str">
        <f t="shared" ca="1" si="34"/>
        <v>Pendiente</v>
      </c>
      <c r="X113" s="508" t="str">
        <f t="shared" ca="1" si="35"/>
        <v>N/A</v>
      </c>
      <c r="Y113" s="508" t="str">
        <f t="shared" ca="1" si="36"/>
        <v>N/A</v>
      </c>
      <c r="Z113" s="508" t="str">
        <f t="shared" ca="1" si="37"/>
        <v>Ene</v>
      </c>
      <c r="AA113" s="508" t="str">
        <f t="shared" ca="1" si="38"/>
        <v>Ene</v>
      </c>
      <c r="AB113" s="508">
        <f t="shared" ca="1" si="39"/>
        <v>12</v>
      </c>
      <c r="AC113" s="508">
        <f t="shared" ca="1" si="40"/>
        <v>0</v>
      </c>
      <c r="AD113" s="912">
        <f t="shared" ca="1" si="41"/>
        <v>213411.76470588235</v>
      </c>
      <c r="AE113" s="512">
        <f t="shared" ca="1" si="42"/>
        <v>2500</v>
      </c>
      <c r="AF113" s="512">
        <f t="shared" ca="1" si="43"/>
        <v>2500</v>
      </c>
      <c r="AG113" s="512">
        <f t="shared" ca="1" si="44"/>
        <v>2500</v>
      </c>
      <c r="AH113" s="512">
        <f t="shared" ca="1" si="45"/>
        <v>2500</v>
      </c>
      <c r="AI113" s="512">
        <f t="shared" ca="1" si="46"/>
        <v>15647.058823529413</v>
      </c>
      <c r="AJ113" s="512">
        <f t="shared" ca="1" si="47"/>
        <v>15647.058823529413</v>
      </c>
      <c r="AK113" s="512">
        <f t="shared" ca="1" si="48"/>
        <v>15647.058823529413</v>
      </c>
      <c r="AL113" s="512">
        <f t="shared" ca="1" si="49"/>
        <v>15647.058823529413</v>
      </c>
      <c r="AM113" s="512">
        <f t="shared" ca="1" si="50"/>
        <v>15647.058823529413</v>
      </c>
      <c r="AN113" s="512">
        <f t="shared" ca="1" si="51"/>
        <v>15647.058823529413</v>
      </c>
      <c r="AO113" s="512">
        <f t="shared" ca="1" si="52"/>
        <v>15647.058823529413</v>
      </c>
      <c r="AP113" s="512">
        <f t="shared" ca="1" si="53"/>
        <v>93882.352941176476</v>
      </c>
      <c r="AQ113" s="512" t="str">
        <f t="shared" ca="1" si="54"/>
        <v>Contrato</v>
      </c>
      <c r="AR113" s="512"/>
      <c r="AS113" s="512" t="str">
        <f t="shared" ca="1" si="55"/>
        <v>No</v>
      </c>
      <c r="AT113" s="151">
        <f t="shared" ca="1" si="56"/>
        <v>213411.76470588235</v>
      </c>
      <c r="AU113" s="151">
        <f>IFERROR(VLOOKUP(A113,'[7]TD CuentasBDG'!$N$5:$O$21,2,0),0)</f>
        <v>0</v>
      </c>
      <c r="AV113" t="str">
        <f t="shared" ca="1" si="57"/>
        <v>Licitación</v>
      </c>
      <c r="AW113" t="s">
        <v>1690</v>
      </c>
      <c r="AX113" t="s">
        <v>1655</v>
      </c>
    </row>
    <row r="114" spans="1:50" ht="30" x14ac:dyDescent="0.25">
      <c r="A114" s="508" t="s">
        <v>1834</v>
      </c>
      <c r="B114" s="508" t="s">
        <v>99</v>
      </c>
      <c r="C114" s="508" t="s">
        <v>1039</v>
      </c>
      <c r="D114" s="508" t="s">
        <v>1805</v>
      </c>
      <c r="E114" s="508"/>
      <c r="F114" s="508"/>
      <c r="G114" s="508" t="s">
        <v>1647</v>
      </c>
      <c r="H114" s="508" t="s">
        <v>1831</v>
      </c>
      <c r="I114" s="508" t="s">
        <v>906</v>
      </c>
      <c r="J114" s="555" t="s">
        <v>1773</v>
      </c>
      <c r="K114" s="555" t="s">
        <v>1774</v>
      </c>
      <c r="L114" s="911">
        <f ca="1">IFERROR(INDEX(Lists!$O$2:$Z$2,MATCH(TRUE,INDEX((AE114:AP114&lt;&gt;0),0),0)),DATE(2018,1,1))</f>
        <v>43102</v>
      </c>
      <c r="M114" s="911">
        <f ca="1">IFERROR(INDEX(Lists!$O$3:$Z$3, VALUE(SUBSTITUTE(TEXT(ADDRESS(SUMPRODUCT(MAX((COLUMN(AE114:AP114)*(AE114:AP114&gt;0)))),1),),"$A$",""))-30),DATE(2018,1,1))</f>
        <v>43465</v>
      </c>
      <c r="N114" s="508" t="s">
        <v>1668</v>
      </c>
      <c r="O114" s="508" t="s">
        <v>1653</v>
      </c>
      <c r="P114" s="508" t="s">
        <v>1071</v>
      </c>
      <c r="Q114" s="508" t="s">
        <v>1071</v>
      </c>
      <c r="R114" s="508" t="str">
        <f t="shared" ca="1" si="29"/>
        <v>Consultoría</v>
      </c>
      <c r="S114" s="508" t="str">
        <f t="shared" ca="1" si="30"/>
        <v>Consultor por Definir</v>
      </c>
      <c r="T114" s="508" t="str">
        <f t="shared" ca="1" si="31"/>
        <v>Easements Puerto</v>
      </c>
      <c r="U114" s="508" t="str">
        <f t="shared" ca="1" si="32"/>
        <v>683 / 51-11-3339</v>
      </c>
      <c r="V114" s="508" t="str">
        <f t="shared" ca="1" si="33"/>
        <v>Purchase Order (PO)/Orden de Compra</v>
      </c>
      <c r="W114" s="508" t="str">
        <f t="shared" ca="1" si="34"/>
        <v>Pendiente</v>
      </c>
      <c r="X114" s="508" t="str">
        <f t="shared" ca="1" si="35"/>
        <v>N/A</v>
      </c>
      <c r="Y114" s="508" t="str">
        <f t="shared" ca="1" si="36"/>
        <v>N/A</v>
      </c>
      <c r="Z114" s="508" t="str">
        <f t="shared" ca="1" si="37"/>
        <v>Ene</v>
      </c>
      <c r="AA114" s="508" t="str">
        <f t="shared" ca="1" si="38"/>
        <v>Ene</v>
      </c>
      <c r="AB114" s="508">
        <f t="shared" ca="1" si="39"/>
        <v>12</v>
      </c>
      <c r="AC114" s="508">
        <f t="shared" ca="1" si="40"/>
        <v>0</v>
      </c>
      <c r="AD114" s="912">
        <f t="shared" ca="1" si="41"/>
        <v>213411.76470588235</v>
      </c>
      <c r="AE114" s="512">
        <f t="shared" ca="1" si="42"/>
        <v>2500</v>
      </c>
      <c r="AF114" s="512">
        <f t="shared" ca="1" si="43"/>
        <v>2500</v>
      </c>
      <c r="AG114" s="512">
        <f t="shared" ca="1" si="44"/>
        <v>2500</v>
      </c>
      <c r="AH114" s="512">
        <f t="shared" ca="1" si="45"/>
        <v>2500</v>
      </c>
      <c r="AI114" s="512">
        <f t="shared" ca="1" si="46"/>
        <v>15647.058823529413</v>
      </c>
      <c r="AJ114" s="512">
        <f t="shared" ca="1" si="47"/>
        <v>15647.058823529413</v>
      </c>
      <c r="AK114" s="512">
        <f t="shared" ca="1" si="48"/>
        <v>15647.058823529413</v>
      </c>
      <c r="AL114" s="512">
        <f t="shared" ca="1" si="49"/>
        <v>15647.058823529413</v>
      </c>
      <c r="AM114" s="512">
        <f t="shared" ca="1" si="50"/>
        <v>15647.058823529413</v>
      </c>
      <c r="AN114" s="512">
        <f t="shared" ca="1" si="51"/>
        <v>15647.058823529413</v>
      </c>
      <c r="AO114" s="512">
        <f t="shared" ca="1" si="52"/>
        <v>15647.058823529413</v>
      </c>
      <c r="AP114" s="512">
        <f t="shared" ca="1" si="53"/>
        <v>93882.352941176476</v>
      </c>
      <c r="AQ114" s="512" t="str">
        <f t="shared" ca="1" si="54"/>
        <v>Contrato</v>
      </c>
      <c r="AR114" s="512"/>
      <c r="AS114" s="512" t="str">
        <f t="shared" ca="1" si="55"/>
        <v>No</v>
      </c>
      <c r="AT114" s="151">
        <f t="shared" ca="1" si="56"/>
        <v>213411.76470588235</v>
      </c>
      <c r="AU114" s="151">
        <f>IFERROR(VLOOKUP(A114,'[7]TD CuentasBDG'!$N$5:$O$21,2,0),0)</f>
        <v>0</v>
      </c>
      <c r="AV114" t="str">
        <f t="shared" ca="1" si="57"/>
        <v>Licitación</v>
      </c>
      <c r="AW114" t="s">
        <v>1690</v>
      </c>
      <c r="AX114" t="s">
        <v>1655</v>
      </c>
    </row>
    <row r="115" spans="1:50" ht="60" x14ac:dyDescent="0.25">
      <c r="A115" s="508" t="s">
        <v>1835</v>
      </c>
      <c r="B115" s="508" t="s">
        <v>99</v>
      </c>
      <c r="C115" s="508" t="s">
        <v>1039</v>
      </c>
      <c r="D115" s="508" t="s">
        <v>1805</v>
      </c>
      <c r="E115" s="508"/>
      <c r="F115" s="508"/>
      <c r="G115" s="508" t="s">
        <v>1647</v>
      </c>
      <c r="H115" s="508" t="s">
        <v>1836</v>
      </c>
      <c r="I115" s="508" t="s">
        <v>1837</v>
      </c>
      <c r="J115" s="555" t="s">
        <v>1773</v>
      </c>
      <c r="K115" s="555" t="s">
        <v>1774</v>
      </c>
      <c r="L115" s="911">
        <f ca="1">IFERROR(INDEX(Lists!$O$2:$Z$2,MATCH(TRUE,INDEX((AE115:AP115&lt;&gt;0),0),0)),DATE(2018,1,1))</f>
        <v>43102</v>
      </c>
      <c r="M115" s="911">
        <f ca="1">IFERROR(INDEX(Lists!$O$3:$Z$3, VALUE(SUBSTITUTE(TEXT(ADDRESS(SUMPRODUCT(MAX((COLUMN(AE115:AP115)*(AE115:AP115&gt;0)))),1),),"$A$",""))-30),DATE(2018,1,1))</f>
        <v>43465</v>
      </c>
      <c r="N115" s="508" t="s">
        <v>1652</v>
      </c>
      <c r="O115" s="508" t="s">
        <v>1653</v>
      </c>
      <c r="P115" s="508" t="s">
        <v>1071</v>
      </c>
      <c r="Q115" s="508" t="s">
        <v>1071</v>
      </c>
      <c r="R115" s="508" t="str">
        <f t="shared" ca="1" si="29"/>
        <v>Consultoría</v>
      </c>
      <c r="S115" s="508" t="str">
        <f t="shared" ca="1" si="30"/>
        <v>Bertrand-Galindo(Milenko Bertrand)</v>
      </c>
      <c r="T115" s="508" t="str">
        <f t="shared" ca="1" si="31"/>
        <v>Asesoria DDHH y Contratos</v>
      </c>
      <c r="U115" s="508" t="str">
        <f t="shared" ca="1" si="32"/>
        <v>683 / 51-11-3339</v>
      </c>
      <c r="V115" s="508" t="str">
        <f t="shared" ca="1" si="33"/>
        <v>Contract Renewal/Renovación de Contrato</v>
      </c>
      <c r="W115" s="508" t="str">
        <f t="shared" ca="1" si="34"/>
        <v>Bertrand-Galindo</v>
      </c>
      <c r="X115" s="508" t="str">
        <f t="shared" ca="1" si="35"/>
        <v>N/A</v>
      </c>
      <c r="Y115" s="508" t="str">
        <f t="shared" ca="1" si="36"/>
        <v>N/A</v>
      </c>
      <c r="Z115" s="508" t="str">
        <f t="shared" ca="1" si="37"/>
        <v>Ene</v>
      </c>
      <c r="AA115" s="508" t="str">
        <f t="shared" ca="1" si="38"/>
        <v>Ene</v>
      </c>
      <c r="AB115" s="508">
        <f t="shared" ca="1" si="39"/>
        <v>12</v>
      </c>
      <c r="AC115" s="508">
        <f t="shared" ca="1" si="40"/>
        <v>0</v>
      </c>
      <c r="AD115" s="912">
        <f t="shared" ca="1" si="41"/>
        <v>87000</v>
      </c>
      <c r="AE115" s="512">
        <f t="shared" ca="1" si="42"/>
        <v>7250</v>
      </c>
      <c r="AF115" s="512">
        <f t="shared" ca="1" si="43"/>
        <v>7250</v>
      </c>
      <c r="AG115" s="512">
        <f t="shared" ca="1" si="44"/>
        <v>7250</v>
      </c>
      <c r="AH115" s="512">
        <f t="shared" ca="1" si="45"/>
        <v>7250</v>
      </c>
      <c r="AI115" s="512">
        <f t="shared" ca="1" si="46"/>
        <v>7250</v>
      </c>
      <c r="AJ115" s="512">
        <f t="shared" ca="1" si="47"/>
        <v>7250</v>
      </c>
      <c r="AK115" s="512">
        <f t="shared" ca="1" si="48"/>
        <v>7250</v>
      </c>
      <c r="AL115" s="512">
        <f t="shared" ca="1" si="49"/>
        <v>7250</v>
      </c>
      <c r="AM115" s="512">
        <f t="shared" ca="1" si="50"/>
        <v>7250</v>
      </c>
      <c r="AN115" s="512">
        <f t="shared" ca="1" si="51"/>
        <v>7250</v>
      </c>
      <c r="AO115" s="512">
        <f t="shared" ca="1" si="52"/>
        <v>7250</v>
      </c>
      <c r="AP115" s="512">
        <f t="shared" ca="1" si="53"/>
        <v>7250</v>
      </c>
      <c r="AQ115" s="512" t="str">
        <f t="shared" ca="1" si="54"/>
        <v>Orden de Servicio Sin Terreno</v>
      </c>
      <c r="AR115" s="512"/>
      <c r="AS115" s="512" t="str">
        <f t="shared" ca="1" si="55"/>
        <v>Si</v>
      </c>
      <c r="AT115" s="151">
        <f t="shared" ca="1" si="56"/>
        <v>87000</v>
      </c>
      <c r="AU115" s="151">
        <f>IFERROR(VLOOKUP(A115,'[7]TD CuentasBDG'!$N$5:$O$21,2,0),0)</f>
        <v>0</v>
      </c>
      <c r="AV115" t="str">
        <f t="shared" si="57"/>
        <v>Renovación de Contrato</v>
      </c>
      <c r="AW115" t="s">
        <v>1690</v>
      </c>
      <c r="AX115" t="s">
        <v>1655</v>
      </c>
    </row>
    <row r="116" spans="1:50" ht="45" x14ac:dyDescent="0.25">
      <c r="A116" s="508" t="s">
        <v>1838</v>
      </c>
      <c r="B116" s="508" t="s">
        <v>99</v>
      </c>
      <c r="C116" s="508" t="s">
        <v>1039</v>
      </c>
      <c r="D116" s="508" t="s">
        <v>1805</v>
      </c>
      <c r="E116" s="508"/>
      <c r="F116" s="508"/>
      <c r="G116" s="508" t="s">
        <v>1647</v>
      </c>
      <c r="H116" s="508" t="s">
        <v>1839</v>
      </c>
      <c r="I116" s="508" t="s">
        <v>913</v>
      </c>
      <c r="J116" s="555" t="s">
        <v>1773</v>
      </c>
      <c r="K116" s="555" t="s">
        <v>1774</v>
      </c>
      <c r="L116" s="911">
        <f ca="1">IFERROR(INDEX(Lists!$O$2:$Z$2,MATCH(TRUE,INDEX((AE116:AP116&lt;&gt;0),0),0)),DATE(2018,1,1))</f>
        <v>43102</v>
      </c>
      <c r="M116" s="911">
        <f ca="1">IFERROR(INDEX(Lists!$O$3:$Z$3, VALUE(SUBSTITUTE(TEXT(ADDRESS(SUMPRODUCT(MAX((COLUMN(AE116:AP116)*(AE116:AP116&gt;0)))),1),),"$A$",""))-30),DATE(2018,1,1))</f>
        <v>43465</v>
      </c>
      <c r="N116" s="508" t="s">
        <v>1652</v>
      </c>
      <c r="O116" s="508" t="s">
        <v>1653</v>
      </c>
      <c r="P116" s="508" t="s">
        <v>1071</v>
      </c>
      <c r="Q116" s="508" t="s">
        <v>1071</v>
      </c>
      <c r="R116" s="508" t="str">
        <f t="shared" ca="1" si="29"/>
        <v>Consultoría</v>
      </c>
      <c r="S116" s="508" t="str">
        <f t="shared" ca="1" si="30"/>
        <v>FyC Abogados Ltda (Manuel Cacho)</v>
      </c>
      <c r="T116" s="508" t="str">
        <f t="shared" ca="1" si="31"/>
        <v>Derecho Administrativo</v>
      </c>
      <c r="U116" s="508" t="str">
        <f t="shared" ca="1" si="32"/>
        <v>683 / 51-11-3339</v>
      </c>
      <c r="V116" s="508" t="str">
        <f t="shared" ca="1" si="33"/>
        <v>Contract Renewal/Renovación de Contrato</v>
      </c>
      <c r="W116" s="508" t="str">
        <f t="shared" ca="1" si="34"/>
        <v xml:space="preserve">FyC AbogadosLtda </v>
      </c>
      <c r="X116" s="508" t="str">
        <f t="shared" ca="1" si="35"/>
        <v>N/A</v>
      </c>
      <c r="Y116" s="508" t="str">
        <f t="shared" ca="1" si="36"/>
        <v>N/A</v>
      </c>
      <c r="Z116" s="508" t="str">
        <f t="shared" ca="1" si="37"/>
        <v>Ene</v>
      </c>
      <c r="AA116" s="508" t="str">
        <f t="shared" ca="1" si="38"/>
        <v>Ene</v>
      </c>
      <c r="AB116" s="508">
        <f t="shared" ca="1" si="39"/>
        <v>12</v>
      </c>
      <c r="AC116" s="508">
        <f t="shared" ca="1" si="40"/>
        <v>0</v>
      </c>
      <c r="AD116" s="912">
        <f t="shared" ca="1" si="41"/>
        <v>12000</v>
      </c>
      <c r="AE116" s="512">
        <f t="shared" ca="1" si="42"/>
        <v>1000</v>
      </c>
      <c r="AF116" s="512">
        <f t="shared" ca="1" si="43"/>
        <v>1000</v>
      </c>
      <c r="AG116" s="512">
        <f t="shared" ca="1" si="44"/>
        <v>1000</v>
      </c>
      <c r="AH116" s="512">
        <f t="shared" ca="1" si="45"/>
        <v>1000</v>
      </c>
      <c r="AI116" s="512">
        <f t="shared" ca="1" si="46"/>
        <v>1000</v>
      </c>
      <c r="AJ116" s="512">
        <f t="shared" ca="1" si="47"/>
        <v>1000</v>
      </c>
      <c r="AK116" s="512">
        <f t="shared" ca="1" si="48"/>
        <v>1000</v>
      </c>
      <c r="AL116" s="512">
        <f t="shared" ca="1" si="49"/>
        <v>1000</v>
      </c>
      <c r="AM116" s="512">
        <f t="shared" ca="1" si="50"/>
        <v>1000</v>
      </c>
      <c r="AN116" s="512">
        <f t="shared" ca="1" si="51"/>
        <v>1000</v>
      </c>
      <c r="AO116" s="512">
        <f t="shared" ca="1" si="52"/>
        <v>1000</v>
      </c>
      <c r="AP116" s="512">
        <f t="shared" ca="1" si="53"/>
        <v>1000</v>
      </c>
      <c r="AQ116" s="512" t="str">
        <f t="shared" ca="1" si="54"/>
        <v>Orden de Servicio Sin Terreno</v>
      </c>
      <c r="AR116" s="512"/>
      <c r="AS116" s="512" t="str">
        <f t="shared" ca="1" si="55"/>
        <v>No</v>
      </c>
      <c r="AT116" s="151">
        <f t="shared" ca="1" si="56"/>
        <v>12000</v>
      </c>
      <c r="AU116" s="151">
        <f>IFERROR(VLOOKUP(A116,'[7]TD CuentasBDG'!$N$5:$O$21,2,0),0)</f>
        <v>0</v>
      </c>
      <c r="AV116" t="str">
        <f t="shared" si="57"/>
        <v>Renovación de Contrato</v>
      </c>
      <c r="AW116" t="s">
        <v>1690</v>
      </c>
      <c r="AX116" t="s">
        <v>1655</v>
      </c>
    </row>
    <row r="117" spans="1:50" ht="45" x14ac:dyDescent="0.25">
      <c r="A117" s="508" t="s">
        <v>1840</v>
      </c>
      <c r="B117" s="508" t="s">
        <v>99</v>
      </c>
      <c r="C117" s="508" t="s">
        <v>1039</v>
      </c>
      <c r="D117" s="508" t="s">
        <v>1805</v>
      </c>
      <c r="E117" s="508"/>
      <c r="F117" s="508"/>
      <c r="G117" s="508" t="s">
        <v>1647</v>
      </c>
      <c r="H117" s="508" t="s">
        <v>1841</v>
      </c>
      <c r="I117" s="508" t="s">
        <v>917</v>
      </c>
      <c r="J117" s="555" t="s">
        <v>1773</v>
      </c>
      <c r="K117" s="555" t="s">
        <v>1774</v>
      </c>
      <c r="L117" s="911">
        <f ca="1">IFERROR(INDEX(Lists!$O$2:$Z$2,MATCH(TRUE,INDEX((AE117:AP117&lt;&gt;0),0),0)),DATE(2018,1,1))</f>
        <v>43102</v>
      </c>
      <c r="M117" s="911">
        <f ca="1">IFERROR(INDEX(Lists!$O$3:$Z$3, VALUE(SUBSTITUTE(TEXT(ADDRESS(SUMPRODUCT(MAX((COLUMN(AE117:AP117)*(AE117:AP117&gt;0)))),1),),"$A$",""))-30),DATE(2018,1,1))</f>
        <v>43465</v>
      </c>
      <c r="N117" s="508" t="s">
        <v>1652</v>
      </c>
      <c r="O117" s="508" t="s">
        <v>1786</v>
      </c>
      <c r="P117" s="508" t="s">
        <v>1676</v>
      </c>
      <c r="Q117" s="508" t="s">
        <v>1071</v>
      </c>
      <c r="R117" s="508" t="str">
        <f t="shared" ca="1" si="29"/>
        <v>Consultoría</v>
      </c>
      <c r="S117" s="508" t="str">
        <f t="shared" ca="1" si="30"/>
        <v>Francisco Galeb</v>
      </c>
      <c r="T117" s="508" t="str">
        <f t="shared" ca="1" si="31"/>
        <v xml:space="preserve">Abogado Apoyo Vallenar </v>
      </c>
      <c r="U117" s="508" t="str">
        <f t="shared" ca="1" si="32"/>
        <v>683 / 51-11-3339</v>
      </c>
      <c r="V117" s="508" t="str">
        <f t="shared" ca="1" si="33"/>
        <v>Contract Renewal/Renovación de Contrato</v>
      </c>
      <c r="W117" s="508" t="str">
        <f t="shared" ca="1" si="34"/>
        <v>Francisca Galeb</v>
      </c>
      <c r="X117" s="508" t="str">
        <f t="shared" ca="1" si="35"/>
        <v>N/A</v>
      </c>
      <c r="Y117" s="508" t="str">
        <f t="shared" ca="1" si="36"/>
        <v>N/A</v>
      </c>
      <c r="Z117" s="508" t="str">
        <f t="shared" ca="1" si="37"/>
        <v>Ene</v>
      </c>
      <c r="AA117" s="508" t="str">
        <f t="shared" ca="1" si="38"/>
        <v>Ene</v>
      </c>
      <c r="AB117" s="508">
        <f t="shared" ca="1" si="39"/>
        <v>12</v>
      </c>
      <c r="AC117" s="508">
        <f t="shared" ca="1" si="40"/>
        <v>0</v>
      </c>
      <c r="AD117" s="912">
        <f t="shared" ca="1" si="41"/>
        <v>15882.352941176474</v>
      </c>
      <c r="AE117" s="512">
        <f t="shared" ca="1" si="42"/>
        <v>1323.5294117647059</v>
      </c>
      <c r="AF117" s="512">
        <f t="shared" ca="1" si="43"/>
        <v>1323.5294117647059</v>
      </c>
      <c r="AG117" s="512">
        <f t="shared" ca="1" si="44"/>
        <v>1323.5294117647059</v>
      </c>
      <c r="AH117" s="512">
        <f t="shared" ca="1" si="45"/>
        <v>1323.5294117647059</v>
      </c>
      <c r="AI117" s="512">
        <f t="shared" ca="1" si="46"/>
        <v>1323.5294117647059</v>
      </c>
      <c r="AJ117" s="512">
        <f t="shared" ca="1" si="47"/>
        <v>1323.5294117647059</v>
      </c>
      <c r="AK117" s="512">
        <f t="shared" ca="1" si="48"/>
        <v>1323.5294117647059</v>
      </c>
      <c r="AL117" s="512">
        <f t="shared" ca="1" si="49"/>
        <v>1323.5294117647059</v>
      </c>
      <c r="AM117" s="512">
        <f t="shared" ca="1" si="50"/>
        <v>1323.5294117647059</v>
      </c>
      <c r="AN117" s="512">
        <f t="shared" ca="1" si="51"/>
        <v>1323.5294117647059</v>
      </c>
      <c r="AO117" s="512">
        <f t="shared" ca="1" si="52"/>
        <v>1323.5294117647059</v>
      </c>
      <c r="AP117" s="512">
        <f t="shared" ca="1" si="53"/>
        <v>1323.5294117647059</v>
      </c>
      <c r="AQ117" s="512" t="str">
        <f t="shared" ca="1" si="54"/>
        <v>Orden de Servicio Sin Terreno</v>
      </c>
      <c r="AR117" s="512"/>
      <c r="AS117" s="512" t="str">
        <f t="shared" ca="1" si="55"/>
        <v>No</v>
      </c>
      <c r="AT117" s="151">
        <f t="shared" ca="1" si="56"/>
        <v>15882.352941176474</v>
      </c>
      <c r="AU117" s="151">
        <f>IFERROR(VLOOKUP(A117,'[7]TD CuentasBDG'!$N$5:$O$21,2,0),0)</f>
        <v>0</v>
      </c>
      <c r="AV117" t="str">
        <f t="shared" si="57"/>
        <v>Renovación de Contrato</v>
      </c>
      <c r="AW117" t="s">
        <v>1690</v>
      </c>
      <c r="AX117" t="s">
        <v>1655</v>
      </c>
    </row>
    <row r="118" spans="1:50" ht="30" x14ac:dyDescent="0.25">
      <c r="A118" s="508" t="s">
        <v>1842</v>
      </c>
      <c r="B118" s="508" t="s">
        <v>99</v>
      </c>
      <c r="C118" s="508" t="s">
        <v>1039</v>
      </c>
      <c r="D118" s="508" t="s">
        <v>1805</v>
      </c>
      <c r="E118" s="508"/>
      <c r="F118" s="508"/>
      <c r="G118" s="508" t="s">
        <v>1647</v>
      </c>
      <c r="H118" s="508" t="s">
        <v>1843</v>
      </c>
      <c r="I118" s="508" t="s">
        <v>1325</v>
      </c>
      <c r="J118" s="555" t="s">
        <v>1773</v>
      </c>
      <c r="K118" s="555" t="s">
        <v>1774</v>
      </c>
      <c r="L118" s="911">
        <f ca="1">IFERROR(INDEX(Lists!$O$2:$Z$2,MATCH(TRUE,INDEX((AE118:AP118&lt;&gt;0),0),0)),DATE(2018,1,1))</f>
        <v>43160</v>
      </c>
      <c r="M118" s="911">
        <f ca="1">IFERROR(INDEX(Lists!$O$3:$Z$3, VALUE(SUBSTITUTE(TEXT(ADDRESS(SUMPRODUCT(MAX((COLUMN(AE118:AP118)*(AE118:AP118&gt;0)))),1),),"$A$",""))-30),DATE(2018,1,1))</f>
        <v>43465</v>
      </c>
      <c r="N118" s="508" t="s">
        <v>1683</v>
      </c>
      <c r="O118" s="508" t="s">
        <v>1653</v>
      </c>
      <c r="P118" s="508" t="s">
        <v>1071</v>
      </c>
      <c r="Q118" s="508" t="s">
        <v>1071</v>
      </c>
      <c r="R118" s="508" t="str">
        <f t="shared" ca="1" si="29"/>
        <v>Consultoría</v>
      </c>
      <c r="S118" s="508" t="str">
        <f t="shared" ca="1" si="30"/>
        <v xml:space="preserve">Apoyo Área Servicios </v>
      </c>
      <c r="T118" s="508" t="str">
        <f t="shared" ca="1" si="31"/>
        <v>Apoyo legal contratos de suministros</v>
      </c>
      <c r="U118" s="508" t="str">
        <f t="shared" ca="1" si="32"/>
        <v>683 / 51-11-3339</v>
      </c>
      <c r="V118" s="508">
        <f t="shared" ca="1" si="33"/>
        <v>0</v>
      </c>
      <c r="W118" s="508">
        <f t="shared" ca="1" si="34"/>
        <v>0</v>
      </c>
      <c r="X118" s="508" t="str">
        <f t="shared" ca="1" si="35"/>
        <v>N/A</v>
      </c>
      <c r="Y118" s="508" t="str">
        <f t="shared" ca="1" si="36"/>
        <v>N/A</v>
      </c>
      <c r="Z118" s="508" t="str">
        <f t="shared" ca="1" si="37"/>
        <v>Ene</v>
      </c>
      <c r="AA118" s="508" t="str">
        <f t="shared" ca="1" si="38"/>
        <v>Ene</v>
      </c>
      <c r="AB118" s="508">
        <f t="shared" ca="1" si="39"/>
        <v>10</v>
      </c>
      <c r="AC118" s="508">
        <f t="shared" ca="1" si="40"/>
        <v>0</v>
      </c>
      <c r="AD118" s="912">
        <f t="shared" ca="1" si="41"/>
        <v>100000</v>
      </c>
      <c r="AE118" s="512">
        <f t="shared" ca="1" si="42"/>
        <v>0</v>
      </c>
      <c r="AF118" s="512">
        <f t="shared" ca="1" si="43"/>
        <v>0</v>
      </c>
      <c r="AG118" s="512">
        <f t="shared" ca="1" si="44"/>
        <v>25000</v>
      </c>
      <c r="AH118" s="512">
        <f t="shared" ca="1" si="45"/>
        <v>0</v>
      </c>
      <c r="AI118" s="512">
        <f t="shared" ca="1" si="46"/>
        <v>0</v>
      </c>
      <c r="AJ118" s="512">
        <f t="shared" ca="1" si="47"/>
        <v>25000</v>
      </c>
      <c r="AK118" s="512">
        <f t="shared" ca="1" si="48"/>
        <v>0</v>
      </c>
      <c r="AL118" s="512">
        <f t="shared" ca="1" si="49"/>
        <v>0</v>
      </c>
      <c r="AM118" s="512">
        <f t="shared" ca="1" si="50"/>
        <v>25000</v>
      </c>
      <c r="AN118" s="512">
        <f t="shared" ca="1" si="51"/>
        <v>0</v>
      </c>
      <c r="AO118" s="512">
        <f t="shared" ca="1" si="52"/>
        <v>0</v>
      </c>
      <c r="AP118" s="512">
        <f t="shared" ca="1" si="53"/>
        <v>25000</v>
      </c>
      <c r="AQ118" s="512" t="str">
        <f t="shared" ca="1" si="54"/>
        <v>Contrato</v>
      </c>
      <c r="AR118" s="512"/>
      <c r="AS118" s="512" t="str">
        <f t="shared" ca="1" si="55"/>
        <v>Si</v>
      </c>
      <c r="AT118" s="151">
        <f t="shared" ca="1" si="56"/>
        <v>100000</v>
      </c>
      <c r="AU118" s="151">
        <f>IFERROR(VLOOKUP(A118,'[7]TD CuentasBDG'!$N$5:$O$21,2,0),0)</f>
        <v>0</v>
      </c>
      <c r="AV118" t="str">
        <f t="shared" si="57"/>
        <v>Adjudicación Directa</v>
      </c>
      <c r="AW118" t="s">
        <v>1690</v>
      </c>
      <c r="AX118" t="s">
        <v>1655</v>
      </c>
    </row>
    <row r="119" spans="1:50" ht="45" x14ac:dyDescent="0.25">
      <c r="A119" s="508" t="s">
        <v>1844</v>
      </c>
      <c r="B119" s="508" t="s">
        <v>99</v>
      </c>
      <c r="C119" s="508" t="s">
        <v>1039</v>
      </c>
      <c r="D119" s="508" t="s">
        <v>1805</v>
      </c>
      <c r="E119" s="508"/>
      <c r="F119" s="508"/>
      <c r="G119" s="508" t="s">
        <v>1647</v>
      </c>
      <c r="H119" s="508" t="s">
        <v>1845</v>
      </c>
      <c r="I119" s="508" t="s">
        <v>1846</v>
      </c>
      <c r="J119" s="555" t="s">
        <v>1773</v>
      </c>
      <c r="K119" s="555" t="s">
        <v>1774</v>
      </c>
      <c r="L119" s="911">
        <f ca="1">IFERROR(INDEX(Lists!$O$2:$Z$2,MATCH(TRUE,INDEX((AE119:AP119&lt;&gt;0),0),0)),DATE(2018,1,1))</f>
        <v>43344</v>
      </c>
      <c r="M119" s="911">
        <f ca="1">IFERROR(INDEX(Lists!$O$3:$Z$3, VALUE(SUBSTITUTE(TEXT(ADDRESS(SUMPRODUCT(MAX((COLUMN(AE119:AP119)*(AE119:AP119&gt;0)))),1),),"$A$",""))-30),DATE(2018,1,1))</f>
        <v>43465</v>
      </c>
      <c r="N119" s="508" t="s">
        <v>1683</v>
      </c>
      <c r="O119" s="508" t="s">
        <v>1653</v>
      </c>
      <c r="P119" s="508" t="s">
        <v>1071</v>
      </c>
      <c r="Q119" s="508" t="s">
        <v>1071</v>
      </c>
      <c r="R119" s="508" t="str">
        <f t="shared" ca="1" si="29"/>
        <v>Consultoría</v>
      </c>
      <c r="S119" s="508" t="str">
        <f t="shared" ca="1" si="30"/>
        <v>Apoyo Área Medio Ambiente</v>
      </c>
      <c r="T119" s="508" t="str">
        <f t="shared" ca="1" si="31"/>
        <v>Apoyo legal negociaciones area de compensacion ambiental</v>
      </c>
      <c r="U119" s="508" t="str">
        <f t="shared" ca="1" si="32"/>
        <v>683 / 51-11-3339</v>
      </c>
      <c r="V119" s="508">
        <f t="shared" ca="1" si="33"/>
        <v>0</v>
      </c>
      <c r="W119" s="508">
        <f t="shared" ca="1" si="34"/>
        <v>0</v>
      </c>
      <c r="X119" s="508" t="str">
        <f t="shared" ca="1" si="35"/>
        <v>N/A</v>
      </c>
      <c r="Y119" s="508" t="str">
        <f t="shared" ca="1" si="36"/>
        <v>N/A</v>
      </c>
      <c r="Z119" s="508" t="str">
        <f t="shared" ca="1" si="37"/>
        <v>Ene</v>
      </c>
      <c r="AA119" s="508" t="str">
        <f t="shared" ca="1" si="38"/>
        <v>Ene</v>
      </c>
      <c r="AB119" s="508">
        <f t="shared" ca="1" si="39"/>
        <v>4</v>
      </c>
      <c r="AC119" s="508">
        <f t="shared" ca="1" si="40"/>
        <v>0</v>
      </c>
      <c r="AD119" s="912">
        <f t="shared" ca="1" si="41"/>
        <v>20000</v>
      </c>
      <c r="AE119" s="512">
        <f t="shared" ca="1" si="42"/>
        <v>0</v>
      </c>
      <c r="AF119" s="512">
        <f t="shared" ca="1" si="43"/>
        <v>0</v>
      </c>
      <c r="AG119" s="512">
        <f t="shared" ca="1" si="44"/>
        <v>0</v>
      </c>
      <c r="AH119" s="512">
        <f t="shared" ca="1" si="45"/>
        <v>0</v>
      </c>
      <c r="AI119" s="512">
        <f t="shared" ca="1" si="46"/>
        <v>0</v>
      </c>
      <c r="AJ119" s="512">
        <f t="shared" ca="1" si="47"/>
        <v>0</v>
      </c>
      <c r="AK119" s="512">
        <f t="shared" ca="1" si="48"/>
        <v>0</v>
      </c>
      <c r="AL119" s="512">
        <f t="shared" ca="1" si="49"/>
        <v>0</v>
      </c>
      <c r="AM119" s="512">
        <f t="shared" ca="1" si="50"/>
        <v>10000</v>
      </c>
      <c r="AN119" s="512">
        <f t="shared" ca="1" si="51"/>
        <v>0</v>
      </c>
      <c r="AO119" s="512">
        <f t="shared" ca="1" si="52"/>
        <v>0</v>
      </c>
      <c r="AP119" s="512">
        <f t="shared" ca="1" si="53"/>
        <v>10000</v>
      </c>
      <c r="AQ119" s="512" t="str">
        <f t="shared" ca="1" si="54"/>
        <v>Orden de Servicio Sin Terreno</v>
      </c>
      <c r="AR119" s="512"/>
      <c r="AS119" s="512" t="str">
        <f t="shared" ca="1" si="55"/>
        <v>No</v>
      </c>
      <c r="AT119" s="151">
        <f t="shared" ca="1" si="56"/>
        <v>20000</v>
      </c>
      <c r="AU119" s="151">
        <f>IFERROR(VLOOKUP(A119,'[7]TD CuentasBDG'!$N$5:$O$21,2,0),0)</f>
        <v>0</v>
      </c>
      <c r="AV119" t="str">
        <f t="shared" si="57"/>
        <v>Adjudicación Directa</v>
      </c>
      <c r="AW119" t="s">
        <v>1690</v>
      </c>
      <c r="AX119" t="s">
        <v>1655</v>
      </c>
    </row>
    <row r="120" spans="1:50" ht="30" x14ac:dyDescent="0.25">
      <c r="A120" s="508" t="s">
        <v>1847</v>
      </c>
      <c r="B120" s="508" t="s">
        <v>99</v>
      </c>
      <c r="C120" s="508" t="s">
        <v>1039</v>
      </c>
      <c r="D120" s="508" t="s">
        <v>1805</v>
      </c>
      <c r="E120" s="508"/>
      <c r="F120" s="508"/>
      <c r="G120" s="508" t="s">
        <v>1665</v>
      </c>
      <c r="H120" s="508"/>
      <c r="I120" s="508"/>
      <c r="J120" s="555"/>
      <c r="K120" s="555"/>
      <c r="L120" s="911">
        <f ca="1">IFERROR(INDEX(Lists!$O$2:$Z$2,MATCH(TRUE,INDEX((AE120:AP120&lt;&gt;0),0),0)),DATE(2018,1,1))</f>
        <v>43102</v>
      </c>
      <c r="M120" s="911">
        <f ca="1">IFERROR(INDEX(Lists!$O$3:$Z$3, VALUE(SUBSTITUTE(TEXT(ADDRESS(SUMPRODUCT(MAX((COLUMN(AE120:AP120)*(AE120:AP120&gt;0)))),1),),"$A$",""))-30),DATE(2018,1,1))</f>
        <v>43465</v>
      </c>
      <c r="N120" s="508"/>
      <c r="O120" s="508"/>
      <c r="P120" s="508"/>
      <c r="Q120" s="508"/>
      <c r="R120" s="508" t="str">
        <f t="shared" ca="1" si="29"/>
        <v>Gastos Varios Legal</v>
      </c>
      <c r="S120" s="508" t="str">
        <f t="shared" ca="1" si="30"/>
        <v>Gastos Varios Legal</v>
      </c>
      <c r="T120" s="508" t="str">
        <f t="shared" ca="1" si="31"/>
        <v>Notaria, Legalizaciones, Inscripciones</v>
      </c>
      <c r="U120" s="508" t="str">
        <f t="shared" ca="1" si="32"/>
        <v>683 / 51-11-3339</v>
      </c>
      <c r="V120" s="508">
        <f t="shared" ca="1" si="33"/>
        <v>0</v>
      </c>
      <c r="W120" s="508">
        <f t="shared" ca="1" si="34"/>
        <v>0</v>
      </c>
      <c r="X120" s="508" t="str">
        <f t="shared" ca="1" si="35"/>
        <v>N/A</v>
      </c>
      <c r="Y120" s="508" t="str">
        <f t="shared" ca="1" si="36"/>
        <v>N/A</v>
      </c>
      <c r="Z120" s="508" t="str">
        <f t="shared" ca="1" si="37"/>
        <v>N/A</v>
      </c>
      <c r="AA120" s="508" t="str">
        <f t="shared" ca="1" si="38"/>
        <v>N/A</v>
      </c>
      <c r="AB120" s="508">
        <f t="shared" ca="1" si="39"/>
        <v>12</v>
      </c>
      <c r="AC120" s="508">
        <f t="shared" ca="1" si="40"/>
        <v>0</v>
      </c>
      <c r="AD120" s="912">
        <f t="shared" ca="1" si="41"/>
        <v>60000</v>
      </c>
      <c r="AE120" s="512">
        <f t="shared" ca="1" si="42"/>
        <v>5000</v>
      </c>
      <c r="AF120" s="512">
        <f t="shared" ca="1" si="43"/>
        <v>5000</v>
      </c>
      <c r="AG120" s="512">
        <f t="shared" ca="1" si="44"/>
        <v>5000</v>
      </c>
      <c r="AH120" s="512">
        <f t="shared" ca="1" si="45"/>
        <v>5000</v>
      </c>
      <c r="AI120" s="512">
        <f t="shared" ca="1" si="46"/>
        <v>5000</v>
      </c>
      <c r="AJ120" s="512">
        <f t="shared" ca="1" si="47"/>
        <v>5000</v>
      </c>
      <c r="AK120" s="512">
        <f t="shared" ca="1" si="48"/>
        <v>5000</v>
      </c>
      <c r="AL120" s="512">
        <f t="shared" ca="1" si="49"/>
        <v>5000</v>
      </c>
      <c r="AM120" s="512">
        <f t="shared" ca="1" si="50"/>
        <v>5000</v>
      </c>
      <c r="AN120" s="512">
        <f t="shared" ca="1" si="51"/>
        <v>5000</v>
      </c>
      <c r="AO120" s="512">
        <f t="shared" ca="1" si="52"/>
        <v>5000</v>
      </c>
      <c r="AP120" s="512">
        <f t="shared" ca="1" si="53"/>
        <v>5000</v>
      </c>
      <c r="AQ120" s="512" t="str">
        <f t="shared" si="54"/>
        <v/>
      </c>
      <c r="AR120" s="512"/>
      <c r="AS120" s="512" t="str">
        <f t="shared" si="55"/>
        <v/>
      </c>
      <c r="AT120" s="151">
        <f t="shared" si="56"/>
        <v>0</v>
      </c>
      <c r="AU120" s="151">
        <f>IFERROR(VLOOKUP(A120,'[7]TD CuentasBDG'!$N$5:$O$21,2,0),0)</f>
        <v>0</v>
      </c>
      <c r="AV120">
        <f t="shared" si="57"/>
        <v>0</v>
      </c>
    </row>
    <row r="121" spans="1:50" ht="30" x14ac:dyDescent="0.25">
      <c r="A121" s="508" t="s">
        <v>1848</v>
      </c>
      <c r="B121" s="508" t="s">
        <v>99</v>
      </c>
      <c r="C121" s="508" t="s">
        <v>1039</v>
      </c>
      <c r="D121" s="508" t="s">
        <v>1805</v>
      </c>
      <c r="E121" s="508"/>
      <c r="F121" s="508"/>
      <c r="G121" s="508" t="s">
        <v>1665</v>
      </c>
      <c r="H121" s="508"/>
      <c r="I121" s="508"/>
      <c r="J121" s="555"/>
      <c r="K121" s="555"/>
      <c r="L121" s="911">
        <f ca="1">IFERROR(INDEX(Lists!$O$2:$Z$2,MATCH(TRUE,INDEX((AE121:AP121&lt;&gt;0),0),0)),DATE(2018,1,1))</f>
        <v>43160</v>
      </c>
      <c r="M121" s="911">
        <f ca="1">IFERROR(INDEX(Lists!$O$3:$Z$3, VALUE(SUBSTITUTE(TEXT(ADDRESS(SUMPRODUCT(MAX((COLUMN(AE121:AP121)*(AE121:AP121&gt;0)))),1),),"$A$",""))-30),DATE(2018,1,1))</f>
        <v>43465</v>
      </c>
      <c r="N121" s="508"/>
      <c r="O121" s="508"/>
      <c r="P121" s="508"/>
      <c r="Q121" s="508"/>
      <c r="R121" s="508" t="str">
        <f t="shared" ca="1" si="29"/>
        <v>Gastos Varios Legal</v>
      </c>
      <c r="S121" s="508" t="str">
        <f t="shared" ca="1" si="30"/>
        <v>Capacitación</v>
      </c>
      <c r="T121" s="508" t="str">
        <f t="shared" ca="1" si="31"/>
        <v>Capacitación</v>
      </c>
      <c r="U121" s="508" t="str">
        <f t="shared" ca="1" si="32"/>
        <v>683 / 51-11-3339</v>
      </c>
      <c r="V121" s="508">
        <f t="shared" ca="1" si="33"/>
        <v>0</v>
      </c>
      <c r="W121" s="508">
        <f t="shared" ca="1" si="34"/>
        <v>0</v>
      </c>
      <c r="X121" s="508" t="str">
        <f t="shared" ca="1" si="35"/>
        <v>N/A</v>
      </c>
      <c r="Y121" s="508" t="str">
        <f t="shared" ca="1" si="36"/>
        <v>N/A</v>
      </c>
      <c r="Z121" s="508" t="str">
        <f t="shared" ca="1" si="37"/>
        <v>N/A</v>
      </c>
      <c r="AA121" s="508" t="str">
        <f t="shared" ca="1" si="38"/>
        <v>N/A</v>
      </c>
      <c r="AB121" s="508">
        <f t="shared" ca="1" si="39"/>
        <v>10</v>
      </c>
      <c r="AC121" s="508">
        <f t="shared" ca="1" si="40"/>
        <v>0</v>
      </c>
      <c r="AD121" s="912">
        <f t="shared" ca="1" si="41"/>
        <v>20000</v>
      </c>
      <c r="AE121" s="512">
        <f t="shared" ca="1" si="42"/>
        <v>0</v>
      </c>
      <c r="AF121" s="512">
        <f t="shared" ca="1" si="43"/>
        <v>0</v>
      </c>
      <c r="AG121" s="512">
        <f t="shared" ca="1" si="44"/>
        <v>5000</v>
      </c>
      <c r="AH121" s="512">
        <f t="shared" ca="1" si="45"/>
        <v>0</v>
      </c>
      <c r="AI121" s="512">
        <f t="shared" ca="1" si="46"/>
        <v>0</v>
      </c>
      <c r="AJ121" s="512">
        <f t="shared" ca="1" si="47"/>
        <v>5000</v>
      </c>
      <c r="AK121" s="512">
        <f t="shared" ca="1" si="48"/>
        <v>0</v>
      </c>
      <c r="AL121" s="512">
        <f t="shared" ca="1" si="49"/>
        <v>0</v>
      </c>
      <c r="AM121" s="512">
        <f t="shared" ca="1" si="50"/>
        <v>5000</v>
      </c>
      <c r="AN121" s="512">
        <f t="shared" ca="1" si="51"/>
        <v>0</v>
      </c>
      <c r="AO121" s="512">
        <f t="shared" ca="1" si="52"/>
        <v>0</v>
      </c>
      <c r="AP121" s="512">
        <f t="shared" ca="1" si="53"/>
        <v>5000</v>
      </c>
      <c r="AQ121" s="512" t="str">
        <f t="shared" si="54"/>
        <v/>
      </c>
      <c r="AR121" s="512"/>
      <c r="AS121" s="512" t="str">
        <f t="shared" si="55"/>
        <v/>
      </c>
      <c r="AT121" s="151">
        <f t="shared" si="56"/>
        <v>0</v>
      </c>
      <c r="AU121" s="151">
        <f>IFERROR(VLOOKUP(A121,'[7]TD CuentasBDG'!$N$5:$O$21,2,0),0)</f>
        <v>0</v>
      </c>
      <c r="AV121">
        <f t="shared" si="57"/>
        <v>0</v>
      </c>
    </row>
    <row r="122" spans="1:50" ht="30" x14ac:dyDescent="0.25">
      <c r="A122" s="508" t="s">
        <v>1849</v>
      </c>
      <c r="B122" s="508" t="s">
        <v>99</v>
      </c>
      <c r="C122" s="508" t="s">
        <v>1039</v>
      </c>
      <c r="D122" s="508" t="s">
        <v>1805</v>
      </c>
      <c r="E122" s="508"/>
      <c r="F122" s="508"/>
      <c r="G122" s="508" t="s">
        <v>1665</v>
      </c>
      <c r="H122" s="508"/>
      <c r="I122" s="508"/>
      <c r="J122" s="555"/>
      <c r="K122" s="555"/>
      <c r="L122" s="911">
        <f ca="1">IFERROR(INDEX(Lists!$O$2:$Z$2,MATCH(TRUE,INDEX((AE122:AP122&lt;&gt;0),0),0)),DATE(2018,1,1))</f>
        <v>43102</v>
      </c>
      <c r="M122" s="911">
        <f ca="1">IFERROR(INDEX(Lists!$O$3:$Z$3, VALUE(SUBSTITUTE(TEXT(ADDRESS(SUMPRODUCT(MAX((COLUMN(AE122:AP122)*(AE122:AP122&gt;0)))),1),),"$A$",""))-30),DATE(2018,1,1))</f>
        <v>43465</v>
      </c>
      <c r="N122" s="508"/>
      <c r="O122" s="508"/>
      <c r="P122" s="508"/>
      <c r="Q122" s="508"/>
      <c r="R122" s="508" t="str">
        <f t="shared" ca="1" si="29"/>
        <v>Gastos Varios Legal</v>
      </c>
      <c r="S122" s="508" t="str">
        <f t="shared" ca="1" si="30"/>
        <v>Implementos IT, códigos, monografías</v>
      </c>
      <c r="T122" s="508" t="str">
        <f t="shared" ca="1" si="31"/>
        <v>Specialized books and legal codes, Compliance,Vilex</v>
      </c>
      <c r="U122" s="508" t="str">
        <f t="shared" ca="1" si="32"/>
        <v>683 / 51-11-3339</v>
      </c>
      <c r="V122" s="508">
        <f t="shared" ca="1" si="33"/>
        <v>0</v>
      </c>
      <c r="W122" s="508">
        <f t="shared" ca="1" si="34"/>
        <v>0</v>
      </c>
      <c r="X122" s="508" t="str">
        <f t="shared" ca="1" si="35"/>
        <v>N/A</v>
      </c>
      <c r="Y122" s="508" t="str">
        <f t="shared" ca="1" si="36"/>
        <v>N/A</v>
      </c>
      <c r="Z122" s="508" t="str">
        <f t="shared" ca="1" si="37"/>
        <v>N/A</v>
      </c>
      <c r="AA122" s="508" t="str">
        <f t="shared" ca="1" si="38"/>
        <v>N/A</v>
      </c>
      <c r="AB122" s="508">
        <f t="shared" ca="1" si="39"/>
        <v>12</v>
      </c>
      <c r="AC122" s="508">
        <f t="shared" ca="1" si="40"/>
        <v>0</v>
      </c>
      <c r="AD122" s="912">
        <f t="shared" ca="1" si="41"/>
        <v>17000</v>
      </c>
      <c r="AE122" s="512">
        <f t="shared" ca="1" si="42"/>
        <v>1000</v>
      </c>
      <c r="AF122" s="512">
        <f t="shared" ca="1" si="43"/>
        <v>1000</v>
      </c>
      <c r="AG122" s="512">
        <f t="shared" ca="1" si="44"/>
        <v>2000</v>
      </c>
      <c r="AH122" s="512">
        <f t="shared" ca="1" si="45"/>
        <v>1000</v>
      </c>
      <c r="AI122" s="512">
        <f t="shared" ca="1" si="46"/>
        <v>2000</v>
      </c>
      <c r="AJ122" s="512">
        <f t="shared" ca="1" si="47"/>
        <v>1000</v>
      </c>
      <c r="AK122" s="512">
        <f t="shared" ca="1" si="48"/>
        <v>2000</v>
      </c>
      <c r="AL122" s="512">
        <f t="shared" ca="1" si="49"/>
        <v>1000</v>
      </c>
      <c r="AM122" s="512">
        <f t="shared" ca="1" si="50"/>
        <v>2000</v>
      </c>
      <c r="AN122" s="512">
        <f t="shared" ca="1" si="51"/>
        <v>1000</v>
      </c>
      <c r="AO122" s="512">
        <f t="shared" ca="1" si="52"/>
        <v>2000</v>
      </c>
      <c r="AP122" s="512">
        <f t="shared" ca="1" si="53"/>
        <v>1000</v>
      </c>
      <c r="AQ122" s="512" t="str">
        <f t="shared" si="54"/>
        <v/>
      </c>
      <c r="AR122" s="512"/>
      <c r="AS122" s="512" t="str">
        <f t="shared" si="55"/>
        <v/>
      </c>
      <c r="AT122" s="151">
        <f t="shared" si="56"/>
        <v>0</v>
      </c>
      <c r="AU122" s="151">
        <f>IFERROR(VLOOKUP(A122,'[7]TD CuentasBDG'!$N$5:$O$21,2,0),0)</f>
        <v>0</v>
      </c>
      <c r="AV122">
        <f t="shared" si="57"/>
        <v>0</v>
      </c>
    </row>
    <row r="123" spans="1:50" ht="30" x14ac:dyDescent="0.25">
      <c r="A123" s="508" t="s">
        <v>1850</v>
      </c>
      <c r="B123" s="508" t="s">
        <v>99</v>
      </c>
      <c r="C123" s="508" t="s">
        <v>1039</v>
      </c>
      <c r="D123" s="508" t="s">
        <v>1805</v>
      </c>
      <c r="E123" s="508"/>
      <c r="F123" s="508"/>
      <c r="G123" s="508" t="s">
        <v>1665</v>
      </c>
      <c r="H123" s="508"/>
      <c r="I123" s="508"/>
      <c r="J123" s="555"/>
      <c r="K123" s="555"/>
      <c r="L123" s="911">
        <f ca="1">IFERROR(INDEX(Lists!$O$2:$Z$2,MATCH(TRUE,INDEX((AE123:AP123&lt;&gt;0),0),0)),DATE(2018,1,1))</f>
        <v>43102</v>
      </c>
      <c r="M123" s="911">
        <f ca="1">IFERROR(INDEX(Lists!$O$3:$Z$3, VALUE(SUBSTITUTE(TEXT(ADDRESS(SUMPRODUCT(MAX((COLUMN(AE123:AP123)*(AE123:AP123&gt;0)))),1),),"$A$",""))-30),DATE(2018,1,1))</f>
        <v>43465</v>
      </c>
      <c r="N123" s="508"/>
      <c r="O123" s="508"/>
      <c r="P123" s="508"/>
      <c r="Q123" s="508"/>
      <c r="R123" s="508" t="str">
        <f t="shared" ca="1" si="29"/>
        <v>Gastos Varios Legal</v>
      </c>
      <c r="S123" s="508" t="str">
        <f t="shared" ca="1" si="30"/>
        <v>Contingencia  (10%)</v>
      </c>
      <c r="T123" s="508" t="str">
        <f t="shared" ca="1" si="31"/>
        <v>Unexpected costs gastos y consultoria</v>
      </c>
      <c r="U123" s="508" t="str">
        <f t="shared" ca="1" si="32"/>
        <v>683 / 51-11-3339</v>
      </c>
      <c r="V123" s="508">
        <f t="shared" ca="1" si="33"/>
        <v>0</v>
      </c>
      <c r="W123" s="508">
        <f t="shared" ca="1" si="34"/>
        <v>0</v>
      </c>
      <c r="X123" s="508" t="str">
        <f t="shared" ca="1" si="35"/>
        <v>N/A</v>
      </c>
      <c r="Y123" s="508" t="str">
        <f t="shared" ca="1" si="36"/>
        <v>N/A</v>
      </c>
      <c r="Z123" s="508" t="str">
        <f t="shared" ca="1" si="37"/>
        <v>N/A</v>
      </c>
      <c r="AA123" s="508" t="str">
        <f t="shared" ca="1" si="38"/>
        <v>N/A</v>
      </c>
      <c r="AB123" s="508">
        <f t="shared" ca="1" si="39"/>
        <v>12</v>
      </c>
      <c r="AC123" s="508">
        <f t="shared" ca="1" si="40"/>
        <v>0</v>
      </c>
      <c r="AD123" s="912">
        <f t="shared" ca="1" si="41"/>
        <v>67338.235294117636</v>
      </c>
      <c r="AE123" s="512">
        <f t="shared" ca="1" si="42"/>
        <v>4569.8529411764712</v>
      </c>
      <c r="AF123" s="512">
        <f t="shared" ca="1" si="43"/>
        <v>4569.8529411764712</v>
      </c>
      <c r="AG123" s="512">
        <f t="shared" ca="1" si="44"/>
        <v>7669.8529411764703</v>
      </c>
      <c r="AH123" s="512">
        <f t="shared" ca="1" si="45"/>
        <v>4569.8529411764712</v>
      </c>
      <c r="AI123" s="512">
        <f t="shared" ca="1" si="46"/>
        <v>4669.8529411764712</v>
      </c>
      <c r="AJ123" s="512">
        <f t="shared" ca="1" si="47"/>
        <v>7569.8529411764703</v>
      </c>
      <c r="AK123" s="512">
        <f t="shared" ca="1" si="48"/>
        <v>4669.8529411764712</v>
      </c>
      <c r="AL123" s="512">
        <f t="shared" ca="1" si="49"/>
        <v>4569.8529411764712</v>
      </c>
      <c r="AM123" s="512">
        <f t="shared" ca="1" si="50"/>
        <v>7669.8529411764703</v>
      </c>
      <c r="AN123" s="512">
        <f t="shared" ca="1" si="51"/>
        <v>4569.8529411764712</v>
      </c>
      <c r="AO123" s="512">
        <f t="shared" ca="1" si="52"/>
        <v>4669.8529411764712</v>
      </c>
      <c r="AP123" s="512">
        <f t="shared" ca="1" si="53"/>
        <v>7569.8529411764703</v>
      </c>
      <c r="AQ123" s="512" t="str">
        <f t="shared" si="54"/>
        <v/>
      </c>
      <c r="AR123" s="512"/>
      <c r="AS123" s="512" t="str">
        <f t="shared" si="55"/>
        <v/>
      </c>
      <c r="AT123" s="151">
        <f t="shared" si="56"/>
        <v>0</v>
      </c>
      <c r="AU123" s="151">
        <f>IFERROR(VLOOKUP(A123,'[7]TD CuentasBDG'!$N$5:$O$21,2,0),0)</f>
        <v>0</v>
      </c>
      <c r="AV123">
        <f t="shared" si="57"/>
        <v>0</v>
      </c>
    </row>
    <row r="124" spans="1:50" ht="30" x14ac:dyDescent="0.25">
      <c r="A124" s="508" t="s">
        <v>1851</v>
      </c>
      <c r="B124" s="508" t="s">
        <v>99</v>
      </c>
      <c r="C124" s="508" t="s">
        <v>1039</v>
      </c>
      <c r="D124" s="508" t="s">
        <v>1805</v>
      </c>
      <c r="E124" s="508"/>
      <c r="F124" s="508"/>
      <c r="G124" s="508" t="s">
        <v>1852</v>
      </c>
      <c r="H124" s="508"/>
      <c r="I124" s="508"/>
      <c r="J124" s="555"/>
      <c r="K124" s="555"/>
      <c r="L124" s="911">
        <f ca="1">IFERROR(INDEX(Lists!$O$2:$Z$2,MATCH(TRUE,INDEX((AE124:AP124&lt;&gt;0),0),0)),DATE(2018,1,1))</f>
        <v>43252</v>
      </c>
      <c r="M124" s="911">
        <f ca="1">IFERROR(INDEX(Lists!$O$3:$Z$3, VALUE(SUBSTITUTE(TEXT(ADDRESS(SUMPRODUCT(MAX((COLUMN(AE124:AP124)*(AE124:AP124&gt;0)))),1),),"$A$",""))-30),DATE(2018,1,1))</f>
        <v>43281</v>
      </c>
      <c r="N124" s="508"/>
      <c r="O124" s="508"/>
      <c r="P124" s="508"/>
      <c r="Q124" s="508"/>
      <c r="R124" s="508" t="str">
        <f t="shared" ca="1" si="29"/>
        <v>Land Purchases</v>
      </c>
      <c r="S124" s="508" t="str">
        <f t="shared" ca="1" si="30"/>
        <v>Promesa Cayo - Predios y Ds Aguas</v>
      </c>
      <c r="T124" s="508" t="str">
        <f t="shared" ca="1" si="31"/>
        <v>Firm commitment</v>
      </c>
      <c r="U124" s="508" t="str">
        <f t="shared" ca="1" si="32"/>
        <v>683 / 51-11-3339</v>
      </c>
      <c r="V124" s="508">
        <f t="shared" ca="1" si="33"/>
        <v>0</v>
      </c>
      <c r="W124" s="508">
        <f t="shared" ca="1" si="34"/>
        <v>0</v>
      </c>
      <c r="X124" s="508" t="str">
        <f t="shared" ca="1" si="35"/>
        <v>N/A</v>
      </c>
      <c r="Y124" s="508" t="str">
        <f t="shared" ca="1" si="36"/>
        <v>N/A</v>
      </c>
      <c r="Z124" s="508" t="str">
        <f t="shared" ca="1" si="37"/>
        <v>N/A</v>
      </c>
      <c r="AA124" s="508" t="str">
        <f t="shared" ca="1" si="38"/>
        <v>N/A</v>
      </c>
      <c r="AB124" s="508">
        <f t="shared" ca="1" si="39"/>
        <v>1</v>
      </c>
      <c r="AC124" s="508">
        <f t="shared" ca="1" si="40"/>
        <v>0</v>
      </c>
      <c r="AD124" s="912">
        <f t="shared" ca="1" si="41"/>
        <v>550000</v>
      </c>
      <c r="AE124" s="512">
        <f t="shared" ca="1" si="42"/>
        <v>0</v>
      </c>
      <c r="AF124" s="512">
        <f t="shared" ca="1" si="43"/>
        <v>0</v>
      </c>
      <c r="AG124" s="512">
        <f t="shared" ca="1" si="44"/>
        <v>0</v>
      </c>
      <c r="AH124" s="512">
        <f t="shared" ca="1" si="45"/>
        <v>0</v>
      </c>
      <c r="AI124" s="512">
        <f t="shared" ca="1" si="46"/>
        <v>0</v>
      </c>
      <c r="AJ124" s="512">
        <f t="shared" ca="1" si="47"/>
        <v>550000</v>
      </c>
      <c r="AK124" s="512">
        <f t="shared" ca="1" si="48"/>
        <v>0</v>
      </c>
      <c r="AL124" s="512">
        <f t="shared" ca="1" si="49"/>
        <v>0</v>
      </c>
      <c r="AM124" s="512">
        <f t="shared" ca="1" si="50"/>
        <v>0</v>
      </c>
      <c r="AN124" s="512">
        <f t="shared" ca="1" si="51"/>
        <v>0</v>
      </c>
      <c r="AO124" s="512">
        <f t="shared" ca="1" si="52"/>
        <v>0</v>
      </c>
      <c r="AP124" s="512">
        <f t="shared" ca="1" si="53"/>
        <v>0</v>
      </c>
      <c r="AQ124" s="512" t="str">
        <f t="shared" si="54"/>
        <v/>
      </c>
      <c r="AR124" s="512"/>
      <c r="AS124" s="512" t="str">
        <f t="shared" si="55"/>
        <v/>
      </c>
      <c r="AT124" s="151">
        <f t="shared" si="56"/>
        <v>0</v>
      </c>
      <c r="AU124" s="151">
        <f>IFERROR(VLOOKUP(A124,'[7]TD CuentasBDG'!$N$5:$O$21,2,0),0)</f>
        <v>0</v>
      </c>
      <c r="AV124">
        <f t="shared" si="57"/>
        <v>0</v>
      </c>
    </row>
    <row r="125" spans="1:50" ht="30" x14ac:dyDescent="0.25">
      <c r="A125" s="508" t="s">
        <v>1853</v>
      </c>
      <c r="B125" s="508" t="s">
        <v>99</v>
      </c>
      <c r="C125" s="508" t="s">
        <v>1039</v>
      </c>
      <c r="D125" s="508" t="s">
        <v>1805</v>
      </c>
      <c r="E125" s="508"/>
      <c r="F125" s="508"/>
      <c r="G125" s="508" t="s">
        <v>1854</v>
      </c>
      <c r="H125" s="508"/>
      <c r="I125" s="508"/>
      <c r="J125" s="555"/>
      <c r="K125" s="555"/>
      <c r="L125" s="911">
        <f ca="1">IFERROR(INDEX(Lists!$O$2:$Z$2,MATCH(TRUE,INDEX((AE125:AP125&lt;&gt;0),0),0)),DATE(2018,1,1))</f>
        <v>43102</v>
      </c>
      <c r="M125" s="911">
        <f ca="1">IFERROR(INDEX(Lists!$O$3:$Z$3, VALUE(SUBSTITUTE(TEXT(ADDRESS(SUMPRODUCT(MAX((COLUMN(AE125:AP125)*(AE125:AP125&gt;0)))),1),),"$A$",""))-30),DATE(2018,1,1))</f>
        <v>43131</v>
      </c>
      <c r="N125" s="508"/>
      <c r="O125" s="508"/>
      <c r="P125" s="508"/>
      <c r="Q125" s="508"/>
      <c r="R125" s="508" t="str">
        <f t="shared" ca="1" si="29"/>
        <v>Easement &amp; Right of Way</v>
      </c>
      <c r="S125" s="508" t="str">
        <f t="shared" ca="1" si="30"/>
        <v>Estancia Huascoaltinos</v>
      </c>
      <c r="T125" s="508" t="str">
        <f t="shared" ca="1" si="31"/>
        <v>Annual payment - Firm commitment</v>
      </c>
      <c r="U125" s="508" t="str">
        <f t="shared" ca="1" si="32"/>
        <v>683 / 51-11-3339</v>
      </c>
      <c r="V125" s="508">
        <f t="shared" ca="1" si="33"/>
        <v>0</v>
      </c>
      <c r="W125" s="508">
        <f t="shared" ca="1" si="34"/>
        <v>0</v>
      </c>
      <c r="X125" s="508" t="str">
        <f t="shared" ca="1" si="35"/>
        <v>N/A</v>
      </c>
      <c r="Y125" s="508" t="str">
        <f t="shared" ca="1" si="36"/>
        <v>N/A</v>
      </c>
      <c r="Z125" s="508" t="str">
        <f t="shared" ca="1" si="37"/>
        <v>N/A</v>
      </c>
      <c r="AA125" s="508" t="str">
        <f t="shared" ca="1" si="38"/>
        <v>N/A</v>
      </c>
      <c r="AB125" s="508">
        <f t="shared" ca="1" si="39"/>
        <v>1</v>
      </c>
      <c r="AC125" s="508">
        <f t="shared" ca="1" si="40"/>
        <v>0</v>
      </c>
      <c r="AD125" s="912">
        <f t="shared" ca="1" si="41"/>
        <v>56000</v>
      </c>
      <c r="AE125" s="512">
        <f t="shared" ca="1" si="42"/>
        <v>56000</v>
      </c>
      <c r="AF125" s="512">
        <f t="shared" ca="1" si="43"/>
        <v>0</v>
      </c>
      <c r="AG125" s="512">
        <f t="shared" ca="1" si="44"/>
        <v>0</v>
      </c>
      <c r="AH125" s="512">
        <f t="shared" ca="1" si="45"/>
        <v>0</v>
      </c>
      <c r="AI125" s="512">
        <f t="shared" ca="1" si="46"/>
        <v>0</v>
      </c>
      <c r="AJ125" s="512">
        <f t="shared" ca="1" si="47"/>
        <v>0</v>
      </c>
      <c r="AK125" s="512">
        <f t="shared" ca="1" si="48"/>
        <v>0</v>
      </c>
      <c r="AL125" s="512">
        <f t="shared" ca="1" si="49"/>
        <v>0</v>
      </c>
      <c r="AM125" s="512">
        <f t="shared" ca="1" si="50"/>
        <v>0</v>
      </c>
      <c r="AN125" s="512">
        <f t="shared" ca="1" si="51"/>
        <v>0</v>
      </c>
      <c r="AO125" s="512">
        <f t="shared" ca="1" si="52"/>
        <v>0</v>
      </c>
      <c r="AP125" s="512">
        <f t="shared" ca="1" si="53"/>
        <v>0</v>
      </c>
      <c r="AQ125" s="512" t="str">
        <f t="shared" si="54"/>
        <v/>
      </c>
      <c r="AR125" s="512"/>
      <c r="AS125" s="512" t="str">
        <f t="shared" si="55"/>
        <v/>
      </c>
      <c r="AT125" s="151">
        <f t="shared" si="56"/>
        <v>0</v>
      </c>
      <c r="AU125" s="151">
        <f>IFERROR(VLOOKUP(A125,'[7]TD CuentasBDG'!$N$5:$O$21,2,0),0)</f>
        <v>0</v>
      </c>
      <c r="AV125">
        <f t="shared" si="57"/>
        <v>0</v>
      </c>
    </row>
    <row r="126" spans="1:50" ht="30" x14ac:dyDescent="0.25">
      <c r="A126" s="508" t="s">
        <v>1855</v>
      </c>
      <c r="B126" s="508" t="s">
        <v>99</v>
      </c>
      <c r="C126" s="508" t="s">
        <v>1039</v>
      </c>
      <c r="D126" s="508" t="s">
        <v>1805</v>
      </c>
      <c r="E126" s="508"/>
      <c r="F126" s="508"/>
      <c r="G126" s="508" t="s">
        <v>1854</v>
      </c>
      <c r="H126" s="508"/>
      <c r="I126" s="508"/>
      <c r="J126" s="555"/>
      <c r="K126" s="555"/>
      <c r="L126" s="911">
        <f ca="1">IFERROR(INDEX(Lists!$O$2:$Z$2,MATCH(TRUE,INDEX((AE126:AP126&lt;&gt;0),0),0)),DATE(2018,1,1))</f>
        <v>43102</v>
      </c>
      <c r="M126" s="911">
        <f ca="1">IFERROR(INDEX(Lists!$O$3:$Z$3, VALUE(SUBSTITUTE(TEXT(ADDRESS(SUMPRODUCT(MAX((COLUMN(AE126:AP126)*(AE126:AP126&gt;0)))),1),),"$A$",""))-30),DATE(2018,1,1))</f>
        <v>43131</v>
      </c>
      <c r="N126" s="508"/>
      <c r="O126" s="508"/>
      <c r="P126" s="508"/>
      <c r="Q126" s="508"/>
      <c r="R126" s="508" t="str">
        <f t="shared" ca="1" si="29"/>
        <v>Easement &amp; Right of Way</v>
      </c>
      <c r="S126" s="508" t="str">
        <f t="shared" ca="1" si="30"/>
        <v>Estancia Huascoaltinos</v>
      </c>
      <c r="T126" s="508" t="str">
        <f t="shared" ca="1" si="31"/>
        <v>Negociación de la servidumbre (Pagado anualmente 3 x actual)</v>
      </c>
      <c r="U126" s="508" t="str">
        <f t="shared" ca="1" si="32"/>
        <v>683 / 51-11-3339</v>
      </c>
      <c r="V126" s="508">
        <f t="shared" ca="1" si="33"/>
        <v>0</v>
      </c>
      <c r="W126" s="508">
        <f t="shared" ca="1" si="34"/>
        <v>0</v>
      </c>
      <c r="X126" s="508" t="str">
        <f t="shared" ca="1" si="35"/>
        <v>N/A</v>
      </c>
      <c r="Y126" s="508" t="str">
        <f t="shared" ca="1" si="36"/>
        <v>N/A</v>
      </c>
      <c r="Z126" s="508" t="str">
        <f t="shared" ca="1" si="37"/>
        <v>N/A</v>
      </c>
      <c r="AA126" s="508" t="str">
        <f t="shared" ca="1" si="38"/>
        <v>N/A</v>
      </c>
      <c r="AB126" s="508">
        <f t="shared" ca="1" si="39"/>
        <v>1</v>
      </c>
      <c r="AC126" s="508">
        <f t="shared" ca="1" si="40"/>
        <v>0</v>
      </c>
      <c r="AD126" s="912">
        <f t="shared" ca="1" si="41"/>
        <v>112000</v>
      </c>
      <c r="AE126" s="512">
        <f t="shared" ca="1" si="42"/>
        <v>112000</v>
      </c>
      <c r="AF126" s="512">
        <f t="shared" ca="1" si="43"/>
        <v>0</v>
      </c>
      <c r="AG126" s="512">
        <f t="shared" ca="1" si="44"/>
        <v>0</v>
      </c>
      <c r="AH126" s="512">
        <f t="shared" ca="1" si="45"/>
        <v>0</v>
      </c>
      <c r="AI126" s="512">
        <f t="shared" ca="1" si="46"/>
        <v>0</v>
      </c>
      <c r="AJ126" s="512">
        <f t="shared" ca="1" si="47"/>
        <v>0</v>
      </c>
      <c r="AK126" s="512">
        <f t="shared" ca="1" si="48"/>
        <v>0</v>
      </c>
      <c r="AL126" s="512">
        <f t="shared" ca="1" si="49"/>
        <v>0</v>
      </c>
      <c r="AM126" s="512">
        <f t="shared" ca="1" si="50"/>
        <v>0</v>
      </c>
      <c r="AN126" s="512">
        <f t="shared" ca="1" si="51"/>
        <v>0</v>
      </c>
      <c r="AO126" s="512">
        <f t="shared" ca="1" si="52"/>
        <v>0</v>
      </c>
      <c r="AP126" s="512">
        <f t="shared" ca="1" si="53"/>
        <v>0</v>
      </c>
      <c r="AQ126" s="512" t="str">
        <f t="shared" si="54"/>
        <v/>
      </c>
      <c r="AR126" s="512"/>
      <c r="AS126" s="512" t="str">
        <f t="shared" si="55"/>
        <v/>
      </c>
      <c r="AT126" s="151">
        <f t="shared" si="56"/>
        <v>0</v>
      </c>
      <c r="AU126" s="151">
        <f>IFERROR(VLOOKUP(A126,'[7]TD CuentasBDG'!$N$5:$O$21,2,0),0)</f>
        <v>0</v>
      </c>
      <c r="AV126">
        <f t="shared" si="57"/>
        <v>0</v>
      </c>
    </row>
    <row r="127" spans="1:50" ht="30" x14ac:dyDescent="0.25">
      <c r="A127" s="508" t="s">
        <v>1856</v>
      </c>
      <c r="B127" s="508" t="s">
        <v>99</v>
      </c>
      <c r="C127" s="508" t="s">
        <v>1039</v>
      </c>
      <c r="D127" s="508" t="s">
        <v>1805</v>
      </c>
      <c r="E127" s="508"/>
      <c r="F127" s="508"/>
      <c r="G127" s="508" t="s">
        <v>1854</v>
      </c>
      <c r="H127" s="508"/>
      <c r="I127" s="508"/>
      <c r="J127" s="555"/>
      <c r="K127" s="555"/>
      <c r="L127" s="911">
        <f ca="1">IFERROR(INDEX(Lists!$O$2:$Z$2,MATCH(TRUE,INDEX((AE127:AP127&lt;&gt;0),0),0)),DATE(2018,1,1))</f>
        <v>43101</v>
      </c>
      <c r="M127" s="911">
        <f ca="1">IFERROR(INDEX(Lists!$O$3:$Z$3, VALUE(SUBSTITUTE(TEXT(ADDRESS(SUMPRODUCT(MAX((COLUMN(AE127:AP127)*(AE127:AP127&gt;0)))),1),),"$A$",""))-30),DATE(2018,1,1))</f>
        <v>43101</v>
      </c>
      <c r="N127" s="508"/>
      <c r="O127" s="508"/>
      <c r="P127" s="508"/>
      <c r="Q127" s="508"/>
      <c r="R127" s="508" t="str">
        <f t="shared" ca="1" si="29"/>
        <v>Easement &amp; Right of Way</v>
      </c>
      <c r="S127" s="508" t="str">
        <f t="shared" ca="1" si="30"/>
        <v>Estancia Jarillas Lote B</v>
      </c>
      <c r="T127" s="508" t="str">
        <f t="shared" ca="1" si="31"/>
        <v>Pago Periodo 2018-2019-2020 -Enero 2019</v>
      </c>
      <c r="U127" s="508" t="str">
        <f t="shared" ca="1" si="32"/>
        <v>683 / 51-11-3339</v>
      </c>
      <c r="V127" s="508">
        <f t="shared" ca="1" si="33"/>
        <v>0</v>
      </c>
      <c r="W127" s="508">
        <f t="shared" ca="1" si="34"/>
        <v>0</v>
      </c>
      <c r="X127" s="508" t="str">
        <f t="shared" ca="1" si="35"/>
        <v>N/A</v>
      </c>
      <c r="Y127" s="508" t="str">
        <f t="shared" ca="1" si="36"/>
        <v>N/A</v>
      </c>
      <c r="Z127" s="508" t="str">
        <f t="shared" ca="1" si="37"/>
        <v>N/A</v>
      </c>
      <c r="AA127" s="508" t="str">
        <f t="shared" ca="1" si="38"/>
        <v>N/A</v>
      </c>
      <c r="AB127" s="508">
        <f t="shared" ca="1" si="39"/>
        <v>1</v>
      </c>
      <c r="AC127" s="508">
        <f t="shared" ca="1" si="40"/>
        <v>0</v>
      </c>
      <c r="AD127" s="912">
        <f t="shared" ca="1" si="41"/>
        <v>0</v>
      </c>
      <c r="AE127" s="512">
        <f t="shared" ca="1" si="42"/>
        <v>0</v>
      </c>
      <c r="AF127" s="512">
        <f t="shared" ca="1" si="43"/>
        <v>0</v>
      </c>
      <c r="AG127" s="512">
        <f t="shared" ca="1" si="44"/>
        <v>0</v>
      </c>
      <c r="AH127" s="512">
        <f t="shared" ca="1" si="45"/>
        <v>0</v>
      </c>
      <c r="AI127" s="512">
        <f t="shared" ca="1" si="46"/>
        <v>0</v>
      </c>
      <c r="AJ127" s="512">
        <f t="shared" ca="1" si="47"/>
        <v>0</v>
      </c>
      <c r="AK127" s="512">
        <f t="shared" ca="1" si="48"/>
        <v>0</v>
      </c>
      <c r="AL127" s="512">
        <f t="shared" ca="1" si="49"/>
        <v>0</v>
      </c>
      <c r="AM127" s="512">
        <f t="shared" ca="1" si="50"/>
        <v>0</v>
      </c>
      <c r="AN127" s="512">
        <f t="shared" ca="1" si="51"/>
        <v>0</v>
      </c>
      <c r="AO127" s="512">
        <f t="shared" ca="1" si="52"/>
        <v>0</v>
      </c>
      <c r="AP127" s="512">
        <f t="shared" ca="1" si="53"/>
        <v>0</v>
      </c>
      <c r="AQ127" s="512" t="str">
        <f t="shared" si="54"/>
        <v/>
      </c>
      <c r="AR127" s="512"/>
      <c r="AS127" s="512" t="str">
        <f t="shared" si="55"/>
        <v/>
      </c>
      <c r="AT127" s="151">
        <f t="shared" si="56"/>
        <v>0</v>
      </c>
      <c r="AU127" s="151">
        <f>IFERROR(VLOOKUP(A127,'[7]TD CuentasBDG'!$N$5:$O$21,2,0),0)</f>
        <v>0</v>
      </c>
      <c r="AV127">
        <f t="shared" si="57"/>
        <v>0</v>
      </c>
    </row>
    <row r="128" spans="1:50" ht="45" x14ac:dyDescent="0.25">
      <c r="A128" s="508" t="s">
        <v>1857</v>
      </c>
      <c r="B128" s="508" t="s">
        <v>99</v>
      </c>
      <c r="C128" s="508" t="s">
        <v>1039</v>
      </c>
      <c r="D128" s="508" t="s">
        <v>1805</v>
      </c>
      <c r="E128" s="508"/>
      <c r="F128" s="508"/>
      <c r="G128" s="508" t="s">
        <v>1854</v>
      </c>
      <c r="H128" s="508"/>
      <c r="I128" s="508"/>
      <c r="J128" s="555"/>
      <c r="K128" s="555"/>
      <c r="L128" s="911">
        <f ca="1">IFERROR(INDEX(Lists!$O$2:$Z$2,MATCH(TRUE,INDEX((AE128:AP128&lt;&gt;0),0),0)),DATE(2018,1,1))</f>
        <v>43252</v>
      </c>
      <c r="M128" s="911">
        <f ca="1">IFERROR(INDEX(Lists!$O$3:$Z$3, VALUE(SUBSTITUTE(TEXT(ADDRESS(SUMPRODUCT(MAX((COLUMN(AE128:AP128)*(AE128:AP128&gt;0)))),1),),"$A$",""))-30),DATE(2018,1,1))</f>
        <v>43281</v>
      </c>
      <c r="N128" s="508"/>
      <c r="O128" s="508"/>
      <c r="P128" s="508"/>
      <c r="Q128" s="508"/>
      <c r="R128" s="508" t="str">
        <f t="shared" ca="1" si="29"/>
        <v>Easement &amp; Right of Way</v>
      </c>
      <c r="S128" s="508" t="str">
        <f t="shared" ca="1" si="30"/>
        <v>Hacienda Manflas - Montosa Access</v>
      </c>
      <c r="T128" s="508" t="str">
        <f t="shared" ca="1" si="31"/>
        <v xml:space="preserve">Nueva Negociacion junio 2018 (Pay regular transit) </v>
      </c>
      <c r="U128" s="508" t="str">
        <f t="shared" ca="1" si="32"/>
        <v>683 / 51-11-3339</v>
      </c>
      <c r="V128" s="508" t="str">
        <f t="shared" ca="1" si="33"/>
        <v>Contract Renewal/Renovación de Contrato</v>
      </c>
      <c r="W128" s="508">
        <f t="shared" ca="1" si="34"/>
        <v>0</v>
      </c>
      <c r="X128" s="508" t="str">
        <f t="shared" ca="1" si="35"/>
        <v>N/A</v>
      </c>
      <c r="Y128" s="508" t="str">
        <f t="shared" ca="1" si="36"/>
        <v>N/A</v>
      </c>
      <c r="Z128" s="508" t="str">
        <f t="shared" ca="1" si="37"/>
        <v>N/A</v>
      </c>
      <c r="AA128" s="508" t="str">
        <f t="shared" ca="1" si="38"/>
        <v>N/A</v>
      </c>
      <c r="AB128" s="508">
        <f t="shared" ca="1" si="39"/>
        <v>1</v>
      </c>
      <c r="AC128" s="508">
        <f t="shared" ca="1" si="40"/>
        <v>0</v>
      </c>
      <c r="AD128" s="912">
        <f t="shared" ca="1" si="41"/>
        <v>100000</v>
      </c>
      <c r="AE128" s="512">
        <f t="shared" ca="1" si="42"/>
        <v>0</v>
      </c>
      <c r="AF128" s="512">
        <f t="shared" ca="1" si="43"/>
        <v>0</v>
      </c>
      <c r="AG128" s="512">
        <f t="shared" ca="1" si="44"/>
        <v>0</v>
      </c>
      <c r="AH128" s="512">
        <f t="shared" ca="1" si="45"/>
        <v>0</v>
      </c>
      <c r="AI128" s="512">
        <f t="shared" ca="1" si="46"/>
        <v>0</v>
      </c>
      <c r="AJ128" s="512">
        <f t="shared" ca="1" si="47"/>
        <v>100000</v>
      </c>
      <c r="AK128" s="512">
        <f t="shared" ca="1" si="48"/>
        <v>0</v>
      </c>
      <c r="AL128" s="512">
        <f t="shared" ca="1" si="49"/>
        <v>0</v>
      </c>
      <c r="AM128" s="512">
        <f t="shared" ca="1" si="50"/>
        <v>0</v>
      </c>
      <c r="AN128" s="512">
        <f t="shared" ca="1" si="51"/>
        <v>0</v>
      </c>
      <c r="AO128" s="512">
        <f t="shared" ca="1" si="52"/>
        <v>0</v>
      </c>
      <c r="AP128" s="512">
        <f t="shared" ca="1" si="53"/>
        <v>0</v>
      </c>
      <c r="AQ128" s="512" t="str">
        <f t="shared" si="54"/>
        <v/>
      </c>
      <c r="AR128" s="512"/>
      <c r="AS128" s="512" t="str">
        <f t="shared" si="55"/>
        <v/>
      </c>
      <c r="AT128" s="151">
        <f t="shared" si="56"/>
        <v>0</v>
      </c>
      <c r="AU128" s="151">
        <f>IFERROR(VLOOKUP(A128,'[7]TD CuentasBDG'!$N$5:$O$21,2,0),0)</f>
        <v>0</v>
      </c>
      <c r="AV128">
        <f t="shared" si="57"/>
        <v>0</v>
      </c>
    </row>
    <row r="129" spans="1:48" ht="45" x14ac:dyDescent="0.25">
      <c r="A129" s="508" t="s">
        <v>1858</v>
      </c>
      <c r="B129" s="508" t="s">
        <v>99</v>
      </c>
      <c r="C129" s="508" t="s">
        <v>1039</v>
      </c>
      <c r="D129" s="508" t="s">
        <v>1805</v>
      </c>
      <c r="E129" s="508"/>
      <c r="F129" s="508"/>
      <c r="G129" s="508" t="s">
        <v>1852</v>
      </c>
      <c r="H129" s="508"/>
      <c r="I129" s="508"/>
      <c r="J129" s="555"/>
      <c r="K129" s="555"/>
      <c r="L129" s="911">
        <f ca="1">IFERROR(INDEX(Lists!$O$2:$Z$2,MATCH(TRUE,INDEX((AE129:AP129&lt;&gt;0),0),0)),DATE(2018,1,1))</f>
        <v>43191</v>
      </c>
      <c r="M129" s="911">
        <f ca="1">IFERROR(INDEX(Lists!$O$3:$Z$3, VALUE(SUBSTITUTE(TEXT(ADDRESS(SUMPRODUCT(MAX((COLUMN(AE129:AP129)*(AE129:AP129&gt;0)))),1),),"$A$",""))-30),DATE(2018,1,1))</f>
        <v>43220</v>
      </c>
      <c r="N129" s="508"/>
      <c r="O129" s="508"/>
      <c r="P129" s="508"/>
      <c r="Q129" s="508"/>
      <c r="R129" s="508" t="str">
        <f t="shared" ca="1" si="29"/>
        <v>Easement &amp; Right of Way</v>
      </c>
      <c r="S129" s="508" t="str">
        <f t="shared" ca="1" si="30"/>
        <v>Resto ExHacienda Pulido - Montosa Access</v>
      </c>
      <c r="T129" s="508" t="str">
        <f t="shared" ca="1" si="31"/>
        <v xml:space="preserve">Nueva Negociacion Abril 2018 (Pay regular transit) </v>
      </c>
      <c r="U129" s="508" t="str">
        <f t="shared" ca="1" si="32"/>
        <v>683 / 51-11-3339</v>
      </c>
      <c r="V129" s="508" t="str">
        <f t="shared" ca="1" si="33"/>
        <v>Contract Renewal/Renovación de Contrato</v>
      </c>
      <c r="W129" s="508">
        <f t="shared" ca="1" si="34"/>
        <v>0</v>
      </c>
      <c r="X129" s="508" t="str">
        <f t="shared" ca="1" si="35"/>
        <v>N/A</v>
      </c>
      <c r="Y129" s="508" t="str">
        <f t="shared" ca="1" si="36"/>
        <v>N/A</v>
      </c>
      <c r="Z129" s="508" t="str">
        <f t="shared" ca="1" si="37"/>
        <v>N/A</v>
      </c>
      <c r="AA129" s="508" t="str">
        <f t="shared" ca="1" si="38"/>
        <v>N/A</v>
      </c>
      <c r="AB129" s="508">
        <f t="shared" ca="1" si="39"/>
        <v>1</v>
      </c>
      <c r="AC129" s="508">
        <f t="shared" ca="1" si="40"/>
        <v>0</v>
      </c>
      <c r="AD129" s="912">
        <f t="shared" ca="1" si="41"/>
        <v>250000</v>
      </c>
      <c r="AE129" s="512">
        <f t="shared" ca="1" si="42"/>
        <v>0</v>
      </c>
      <c r="AF129" s="512">
        <f t="shared" ca="1" si="43"/>
        <v>0</v>
      </c>
      <c r="AG129" s="512">
        <f t="shared" ca="1" si="44"/>
        <v>0</v>
      </c>
      <c r="AH129" s="512">
        <f t="shared" ca="1" si="45"/>
        <v>250000</v>
      </c>
      <c r="AI129" s="512">
        <f t="shared" ca="1" si="46"/>
        <v>0</v>
      </c>
      <c r="AJ129" s="512">
        <f t="shared" ca="1" si="47"/>
        <v>0</v>
      </c>
      <c r="AK129" s="512">
        <f t="shared" ca="1" si="48"/>
        <v>0</v>
      </c>
      <c r="AL129" s="512">
        <f t="shared" ca="1" si="49"/>
        <v>0</v>
      </c>
      <c r="AM129" s="512">
        <f t="shared" ca="1" si="50"/>
        <v>0</v>
      </c>
      <c r="AN129" s="512">
        <f t="shared" ca="1" si="51"/>
        <v>0</v>
      </c>
      <c r="AO129" s="512">
        <f t="shared" ca="1" si="52"/>
        <v>0</v>
      </c>
      <c r="AP129" s="512">
        <f t="shared" ca="1" si="53"/>
        <v>0</v>
      </c>
      <c r="AQ129" s="512" t="str">
        <f t="shared" si="54"/>
        <v/>
      </c>
      <c r="AR129" s="512"/>
      <c r="AS129" s="512" t="str">
        <f t="shared" si="55"/>
        <v/>
      </c>
      <c r="AT129" s="151">
        <f t="shared" si="56"/>
        <v>0</v>
      </c>
      <c r="AU129" s="151">
        <f>IFERROR(VLOOKUP(A129,'[7]TD CuentasBDG'!$N$5:$O$21,2,0),0)</f>
        <v>0</v>
      </c>
      <c r="AV129">
        <f t="shared" si="57"/>
        <v>0</v>
      </c>
    </row>
    <row r="130" spans="1:48" ht="30" x14ac:dyDescent="0.25">
      <c r="A130" s="508" t="s">
        <v>1859</v>
      </c>
      <c r="B130" s="508" t="s">
        <v>99</v>
      </c>
      <c r="C130" s="508" t="s">
        <v>1039</v>
      </c>
      <c r="D130" s="508" t="s">
        <v>1805</v>
      </c>
      <c r="E130" s="508"/>
      <c r="F130" s="508"/>
      <c r="G130" s="914" t="s">
        <v>1852</v>
      </c>
      <c r="H130" s="508"/>
      <c r="I130" s="508"/>
      <c r="J130" s="555"/>
      <c r="K130" s="555"/>
      <c r="L130" s="911">
        <f ca="1">IFERROR(INDEX(Lists!$O$2:$Z$2,MATCH(TRUE,INDEX((AE130:AP130&lt;&gt;0),0),0)),DATE(2018,1,1))</f>
        <v>43252</v>
      </c>
      <c r="M130" s="911">
        <f ca="1">IFERROR(INDEX(Lists!$O$3:$Z$3, VALUE(SUBSTITUTE(TEXT(ADDRESS(SUMPRODUCT(MAX((COLUMN(AE130:AP130)*(AE130:AP130&gt;0)))),1),),"$A$",""))-30),DATE(2018,1,1))</f>
        <v>43281</v>
      </c>
      <c r="N130" s="508"/>
      <c r="O130" s="508"/>
      <c r="P130" s="508"/>
      <c r="Q130" s="508"/>
      <c r="R130" s="508" t="str">
        <f t="shared" ca="1" si="29"/>
        <v xml:space="preserve">NSR Purchases </v>
      </c>
      <c r="S130" s="508" t="str">
        <f t="shared" ca="1" si="30"/>
        <v>NSR Cantarito - Tronquito</v>
      </c>
      <c r="T130" s="508" t="str">
        <f t="shared" ca="1" si="31"/>
        <v>Negociacion - Valor Estimado</v>
      </c>
      <c r="U130" s="508" t="str">
        <f t="shared" ca="1" si="32"/>
        <v>683 / 51-11-3339</v>
      </c>
      <c r="V130" s="508">
        <f t="shared" ca="1" si="33"/>
        <v>0</v>
      </c>
      <c r="W130" s="508">
        <f t="shared" ca="1" si="34"/>
        <v>0</v>
      </c>
      <c r="X130" s="508" t="str">
        <f t="shared" ca="1" si="35"/>
        <v>N/A</v>
      </c>
      <c r="Y130" s="508" t="str">
        <f t="shared" ca="1" si="36"/>
        <v>N/A</v>
      </c>
      <c r="Z130" s="508" t="str">
        <f t="shared" ca="1" si="37"/>
        <v>N/A</v>
      </c>
      <c r="AA130" s="508" t="str">
        <f t="shared" ca="1" si="38"/>
        <v>N/A</v>
      </c>
      <c r="AB130" s="508">
        <f t="shared" ca="1" si="39"/>
        <v>1</v>
      </c>
      <c r="AC130" s="508">
        <f t="shared" ca="1" si="40"/>
        <v>0</v>
      </c>
      <c r="AD130" s="912">
        <f t="shared" ca="1" si="41"/>
        <v>3500000</v>
      </c>
      <c r="AE130" s="512">
        <f t="shared" ca="1" si="42"/>
        <v>0</v>
      </c>
      <c r="AF130" s="512">
        <f t="shared" ca="1" si="43"/>
        <v>0</v>
      </c>
      <c r="AG130" s="512">
        <f t="shared" ca="1" si="44"/>
        <v>0</v>
      </c>
      <c r="AH130" s="512">
        <f t="shared" ca="1" si="45"/>
        <v>0</v>
      </c>
      <c r="AI130" s="512">
        <f t="shared" ca="1" si="46"/>
        <v>0</v>
      </c>
      <c r="AJ130" s="512">
        <f t="shared" ca="1" si="47"/>
        <v>3500000</v>
      </c>
      <c r="AK130" s="512">
        <f t="shared" ca="1" si="48"/>
        <v>0</v>
      </c>
      <c r="AL130" s="512">
        <f t="shared" ca="1" si="49"/>
        <v>0</v>
      </c>
      <c r="AM130" s="512">
        <f t="shared" ca="1" si="50"/>
        <v>0</v>
      </c>
      <c r="AN130" s="512">
        <f t="shared" ca="1" si="51"/>
        <v>0</v>
      </c>
      <c r="AO130" s="512">
        <f t="shared" ca="1" si="52"/>
        <v>0</v>
      </c>
      <c r="AP130" s="512">
        <f t="shared" ca="1" si="53"/>
        <v>0</v>
      </c>
      <c r="AQ130" s="512" t="str">
        <f t="shared" si="54"/>
        <v/>
      </c>
      <c r="AR130" s="512"/>
      <c r="AS130" s="512" t="str">
        <f t="shared" si="55"/>
        <v/>
      </c>
      <c r="AT130" s="151">
        <f t="shared" si="56"/>
        <v>0</v>
      </c>
      <c r="AU130" s="151">
        <f>IFERROR(VLOOKUP(A130,'[7]TD CuentasBDG'!$N$5:$O$21,2,0),0)</f>
        <v>0</v>
      </c>
      <c r="AV130">
        <f t="shared" si="57"/>
        <v>0</v>
      </c>
    </row>
    <row r="131" spans="1:48" ht="30" x14ac:dyDescent="0.25">
      <c r="A131" s="508" t="s">
        <v>1860</v>
      </c>
      <c r="B131" s="508" t="s">
        <v>99</v>
      </c>
      <c r="C131" s="508" t="s">
        <v>1039</v>
      </c>
      <c r="D131" s="508" t="s">
        <v>1805</v>
      </c>
      <c r="E131" s="508"/>
      <c r="F131" s="508"/>
      <c r="G131" s="508" t="s">
        <v>1861</v>
      </c>
      <c r="H131" s="508"/>
      <c r="I131" s="508"/>
      <c r="J131" s="555"/>
      <c r="K131" s="555"/>
      <c r="L131" s="911">
        <f ca="1">IFERROR(INDEX(Lists!$O$2:$Z$2,MATCH(TRUE,INDEX((AE131:AP131&lt;&gt;0),0),0)),DATE(2018,1,1))</f>
        <v>43252</v>
      </c>
      <c r="M131" s="911">
        <f ca="1">IFERROR(INDEX(Lists!$O$3:$Z$3, VALUE(SUBSTITUTE(TEXT(ADDRESS(SUMPRODUCT(MAX((COLUMN(AE131:AP131)*(AE131:AP131&gt;0)))),1),),"$A$",""))-30),DATE(2018,1,1))</f>
        <v>43281</v>
      </c>
      <c r="N131" s="508"/>
      <c r="O131" s="508"/>
      <c r="P131" s="508"/>
      <c r="Q131" s="508"/>
      <c r="R131" s="508" t="str">
        <f t="shared" ref="R131:R195" ca="1" si="58">VLOOKUP($A131,INDIRECT($D131&amp;"!$A$1:$Z$300"),2,FALSE)</f>
        <v xml:space="preserve">Mining Rights Purchases </v>
      </c>
      <c r="S131" s="508" t="str">
        <f t="shared" ref="S131:S195" ca="1" si="59">VLOOKUP($A131,INDIRECT($D131&amp;"!$A$1:$Z$300"),3,FALSE)</f>
        <v>Nauches 1/4 (20 Ha)</v>
      </c>
      <c r="T131" s="508" t="str">
        <f t="shared" ref="T131:T195" ca="1" si="60">VLOOKUP($A131,INDIRECT($D131&amp;"!$A$1:$Z$300"),4,FALSE)</f>
        <v>Negociacion - Valor Estimado</v>
      </c>
      <c r="U131" s="508" t="str">
        <f t="shared" ref="U131:U195" ca="1" si="61">VLOOKUP($A131,INDIRECT($D131&amp;"!$A$1:$Z$300"),5,FALSE)</f>
        <v>683 / 51-11-3339</v>
      </c>
      <c r="V131" s="508">
        <f t="shared" ref="V131:V195" ca="1" si="62">VLOOKUP($A131,INDIRECT($D131&amp;"!$A$1:$Z$300"),6,FALSE)</f>
        <v>0</v>
      </c>
      <c r="W131" s="508">
        <f t="shared" ref="W131:W195" ca="1" si="63">VLOOKUP($A131,INDIRECT($D131&amp;"!$A$1:$Z$300"),7,FALSE)</f>
        <v>0</v>
      </c>
      <c r="X131" s="508" t="str">
        <f t="shared" ref="X131:X195" ca="1" si="64">VLOOKUP($A131,INDIRECT($D131&amp;"!$A$1:$Z$300"),8,FALSE)</f>
        <v>N/A</v>
      </c>
      <c r="Y131" s="508" t="str">
        <f t="shared" ref="Y131:Y195" ca="1" si="65">VLOOKUP($A131,INDIRECT($D131&amp;"!$A$1:$Z$300"),9,FALSE)</f>
        <v>N/A</v>
      </c>
      <c r="Z131" s="508" t="str">
        <f t="shared" ref="Z131:Z195" ca="1" si="66">VLOOKUP($A131,INDIRECT($D131&amp;"!$A$1:$Z$300"),10,FALSE)</f>
        <v>N/A</v>
      </c>
      <c r="AA131" s="508" t="str">
        <f t="shared" ref="AA131:AA195" ca="1" si="67">VLOOKUP($A131,INDIRECT($D131&amp;"!$A$1:$Z$300"),11,FALSE)</f>
        <v>N/A</v>
      </c>
      <c r="AB131" s="508">
        <f t="shared" ref="AB131:AB194" ca="1" si="68">MONTH(M131)-MONTH(L131)+1</f>
        <v>1</v>
      </c>
      <c r="AC131" s="508">
        <f t="shared" ref="AC131:AC195" ca="1" si="69">VLOOKUP($A131,INDIRECT($D131&amp;"!$A$1:$Z$300"),13,FALSE)</f>
        <v>0</v>
      </c>
      <c r="AD131" s="912">
        <f t="shared" ref="AD131:AD195" ca="1" si="70">VLOOKUP($A131,INDIRECT($D131&amp;"!$A$1:$Z$300"),14,FALSE)</f>
        <v>400000</v>
      </c>
      <c r="AE131" s="512">
        <f t="shared" ref="AE131:AE195" ca="1" si="71">VLOOKUP($A131,INDIRECT($D131&amp;"!$A$1:$Z$300"),15,FALSE)</f>
        <v>0</v>
      </c>
      <c r="AF131" s="512">
        <f t="shared" ref="AF131:AF195" ca="1" si="72">VLOOKUP($A131,INDIRECT($D131&amp;"!$A$1:$Z$300"),16,FALSE)</f>
        <v>0</v>
      </c>
      <c r="AG131" s="512">
        <f t="shared" ref="AG131:AG195" ca="1" si="73">VLOOKUP($A131,INDIRECT($D131&amp;"!$A$1:$Z$300"),17,FALSE)</f>
        <v>0</v>
      </c>
      <c r="AH131" s="512">
        <f t="shared" ref="AH131:AH195" ca="1" si="74">VLOOKUP($A131,INDIRECT($D131&amp;"!$A$1:$Z$300"),18,FALSE)</f>
        <v>0</v>
      </c>
      <c r="AI131" s="512">
        <f t="shared" ref="AI131:AI195" ca="1" si="75">VLOOKUP($A131,INDIRECT($D131&amp;"!$A$1:$Z$300"),19,FALSE)</f>
        <v>0</v>
      </c>
      <c r="AJ131" s="512">
        <f t="shared" ref="AJ131:AJ195" ca="1" si="76">VLOOKUP($A131,INDIRECT($D131&amp;"!$A$1:$Z$300"),20,FALSE)</f>
        <v>400000</v>
      </c>
      <c r="AK131" s="512">
        <f t="shared" ref="AK131:AK195" ca="1" si="77">VLOOKUP($A131,INDIRECT($D131&amp;"!$A$1:$Z$300"),21,FALSE)</f>
        <v>0</v>
      </c>
      <c r="AL131" s="512">
        <f t="shared" ref="AL131:AL195" ca="1" si="78">VLOOKUP($A131,INDIRECT($D131&amp;"!$A$1:$Z$300"),22,FALSE)</f>
        <v>0</v>
      </c>
      <c r="AM131" s="512">
        <f t="shared" ref="AM131:AM195" ca="1" si="79">VLOOKUP($A131,INDIRECT($D131&amp;"!$A$1:$Z$300"),23,FALSE)</f>
        <v>0</v>
      </c>
      <c r="AN131" s="512">
        <f t="shared" ref="AN131:AN195" ca="1" si="80">VLOOKUP($A131,INDIRECT($D131&amp;"!$A$1:$Z$300"),24,FALSE)</f>
        <v>0</v>
      </c>
      <c r="AO131" s="512">
        <f t="shared" ref="AO131:AO195" ca="1" si="81">VLOOKUP($A131,INDIRECT($D131&amp;"!$A$1:$Z$300"),25,FALSE)</f>
        <v>0</v>
      </c>
      <c r="AP131" s="512">
        <f t="shared" ref="AP131:AP195" ca="1" si="82">VLOOKUP($A131,INDIRECT($D131&amp;"!$A$1:$Z$300"),26,FALSE)</f>
        <v>0</v>
      </c>
      <c r="AQ131" s="512" t="str">
        <f t="shared" ref="AQ131:AQ195" si="83">IF(G131="Contrato/Orden de Servicio",IF(AND(Q131&lt;&gt;"Si",AD131&lt;100000),"Orden de Servicio Sin Terreno",IF(AND(Q131="Si",AD131&lt;50000),IF(AB131&lt;=3,"Orden de Servicio Con Terreno","Contrato"),"Contrato")),"")</f>
        <v/>
      </c>
      <c r="AR131" s="512"/>
      <c r="AS131" s="512" t="str">
        <f t="shared" ref="AS131:AS195" si="84">IF(G131="Contrato/Orden de Servicio",IF(AND(AD131&gt;50000,OR(N131="Renovación de Contrato",N131="Adjudicación Directa")),"Si","No"),"")</f>
        <v/>
      </c>
      <c r="AT131" s="151">
        <f t="shared" ref="AT131:AT195" si="85">IF(G131="Contrato/Orden de Servicio",AD131,0)</f>
        <v>0</v>
      </c>
      <c r="AU131" s="151">
        <f>IFERROR(VLOOKUP(A131,'[7]TD CuentasBDG'!$N$5:$O$21,2,0),0)</f>
        <v>0</v>
      </c>
      <c r="AV131">
        <f t="shared" ref="AV131:AV195" si="86">IF(N131="Licitación/Cotización",IF(AT131&lt;50000,"Licitación Corta","Licitación"),N131)</f>
        <v>0</v>
      </c>
    </row>
    <row r="132" spans="1:48" ht="30" x14ac:dyDescent="0.25">
      <c r="A132" s="508" t="s">
        <v>1862</v>
      </c>
      <c r="B132" s="508" t="s">
        <v>99</v>
      </c>
      <c r="C132" s="508" t="s">
        <v>1039</v>
      </c>
      <c r="D132" s="508" t="s">
        <v>1805</v>
      </c>
      <c r="E132" s="508"/>
      <c r="F132" s="508"/>
      <c r="G132" s="508" t="s">
        <v>1861</v>
      </c>
      <c r="H132" s="508"/>
      <c r="I132" s="508"/>
      <c r="J132" s="555"/>
      <c r="K132" s="555"/>
      <c r="L132" s="911">
        <f ca="1">IFERROR(INDEX(Lists!$O$2:$Z$2,MATCH(TRUE,INDEX((AE132:AP132&lt;&gt;0),0),0)),DATE(2018,1,1))</f>
        <v>43252</v>
      </c>
      <c r="M132" s="911">
        <f ca="1">IFERROR(INDEX(Lists!$O$3:$Z$3, VALUE(SUBSTITUTE(TEXT(ADDRESS(SUMPRODUCT(MAX((COLUMN(AE132:AP132)*(AE132:AP132&gt;0)))),1),),"$A$",""))-30),DATE(2018,1,1))</f>
        <v>43281</v>
      </c>
      <c r="N132" s="508"/>
      <c r="O132" s="508"/>
      <c r="P132" s="508"/>
      <c r="Q132" s="508"/>
      <c r="R132" s="508" t="str">
        <f t="shared" ca="1" si="58"/>
        <v xml:space="preserve">Mining Rights Purchases </v>
      </c>
      <c r="S132" s="508" t="str">
        <f t="shared" ca="1" si="59"/>
        <v>Clementina 1/4 (20 Ha)</v>
      </c>
      <c r="T132" s="508" t="str">
        <f t="shared" ca="1" si="60"/>
        <v>Negociacion - Valor Estimado</v>
      </c>
      <c r="U132" s="508" t="str">
        <f t="shared" ca="1" si="61"/>
        <v>683 / 51-11-3339</v>
      </c>
      <c r="V132" s="508">
        <f t="shared" ca="1" si="62"/>
        <v>0</v>
      </c>
      <c r="W132" s="508">
        <f t="shared" ca="1" si="63"/>
        <v>0</v>
      </c>
      <c r="X132" s="508" t="str">
        <f t="shared" ca="1" si="64"/>
        <v>N/A</v>
      </c>
      <c r="Y132" s="508" t="str">
        <f t="shared" ca="1" si="65"/>
        <v>N/A</v>
      </c>
      <c r="Z132" s="508" t="str">
        <f t="shared" ca="1" si="66"/>
        <v>N/A</v>
      </c>
      <c r="AA132" s="508" t="str">
        <f t="shared" ca="1" si="67"/>
        <v>N/A</v>
      </c>
      <c r="AB132" s="508">
        <f t="shared" ca="1" si="68"/>
        <v>1</v>
      </c>
      <c r="AC132" s="508">
        <f t="shared" ca="1" si="69"/>
        <v>0</v>
      </c>
      <c r="AD132" s="912">
        <f t="shared" ca="1" si="70"/>
        <v>600000</v>
      </c>
      <c r="AE132" s="512">
        <f t="shared" ca="1" si="71"/>
        <v>0</v>
      </c>
      <c r="AF132" s="512">
        <f t="shared" ca="1" si="72"/>
        <v>0</v>
      </c>
      <c r="AG132" s="512">
        <f t="shared" ca="1" si="73"/>
        <v>0</v>
      </c>
      <c r="AH132" s="512">
        <f t="shared" ca="1" si="74"/>
        <v>0</v>
      </c>
      <c r="AI132" s="512">
        <f t="shared" ca="1" si="75"/>
        <v>0</v>
      </c>
      <c r="AJ132" s="512">
        <f t="shared" ca="1" si="76"/>
        <v>600000</v>
      </c>
      <c r="AK132" s="512">
        <f t="shared" ca="1" si="77"/>
        <v>0</v>
      </c>
      <c r="AL132" s="512">
        <f t="shared" ca="1" si="78"/>
        <v>0</v>
      </c>
      <c r="AM132" s="512">
        <f t="shared" ca="1" si="79"/>
        <v>0</v>
      </c>
      <c r="AN132" s="512">
        <f t="shared" ca="1" si="80"/>
        <v>0</v>
      </c>
      <c r="AO132" s="512">
        <f t="shared" ca="1" si="81"/>
        <v>0</v>
      </c>
      <c r="AP132" s="512">
        <f t="shared" ca="1" si="82"/>
        <v>0</v>
      </c>
      <c r="AQ132" s="512" t="str">
        <f t="shared" si="83"/>
        <v/>
      </c>
      <c r="AR132" s="512"/>
      <c r="AS132" s="512" t="str">
        <f t="shared" si="84"/>
        <v/>
      </c>
      <c r="AT132" s="151">
        <f t="shared" si="85"/>
        <v>0</v>
      </c>
      <c r="AU132" s="151">
        <f>IFERROR(VLOOKUP(A132,'[7]TD CuentasBDG'!$N$5:$O$21,2,0),0)</f>
        <v>0</v>
      </c>
      <c r="AV132">
        <f t="shared" si="86"/>
        <v>0</v>
      </c>
    </row>
    <row r="133" spans="1:48" ht="30" x14ac:dyDescent="0.25">
      <c r="A133" s="508" t="s">
        <v>1863</v>
      </c>
      <c r="B133" s="508" t="s">
        <v>99</v>
      </c>
      <c r="C133" s="508" t="s">
        <v>1039</v>
      </c>
      <c r="D133" s="508" t="s">
        <v>1805</v>
      </c>
      <c r="E133" s="508"/>
      <c r="F133" s="508"/>
      <c r="G133" s="508" t="s">
        <v>1861</v>
      </c>
      <c r="H133" s="508"/>
      <c r="I133" s="508"/>
      <c r="J133" s="555"/>
      <c r="K133" s="555"/>
      <c r="L133" s="911">
        <f ca="1">IFERROR(INDEX(Lists!$O$2:$Z$2,MATCH(TRUE,INDEX((AE133:AP133&lt;&gt;0),0),0)),DATE(2018,1,1))</f>
        <v>43313</v>
      </c>
      <c r="M133" s="911">
        <f ca="1">IFERROR(INDEX(Lists!$O$3:$Z$3, VALUE(SUBSTITUTE(TEXT(ADDRESS(SUMPRODUCT(MAX((COLUMN(AE133:AP133)*(AE133:AP133&gt;0)))),1),),"$A$",""))-30),DATE(2018,1,1))</f>
        <v>43343</v>
      </c>
      <c r="N133" s="508"/>
      <c r="O133" s="508"/>
      <c r="P133" s="508"/>
      <c r="Q133" s="508"/>
      <c r="R133" s="508" t="str">
        <f t="shared" ca="1" si="58"/>
        <v xml:space="preserve">Mining Rights Purchases </v>
      </c>
      <c r="S133" s="508" t="str">
        <f t="shared" ca="1" si="59"/>
        <v>Aconcagua Minerals / CruceHuasco</v>
      </c>
      <c r="T133" s="508" t="str">
        <f t="shared" ca="1" si="60"/>
        <v>Negociacion - Valor Estimado</v>
      </c>
      <c r="U133" s="508" t="str">
        <f t="shared" ca="1" si="61"/>
        <v>683 / 51-11-3339</v>
      </c>
      <c r="V133" s="508">
        <f t="shared" ca="1" si="62"/>
        <v>0</v>
      </c>
      <c r="W133" s="508">
        <f t="shared" ca="1" si="63"/>
        <v>0</v>
      </c>
      <c r="X133" s="508" t="str">
        <f t="shared" ca="1" si="64"/>
        <v>N/A</v>
      </c>
      <c r="Y133" s="508" t="str">
        <f t="shared" ca="1" si="65"/>
        <v>N/A</v>
      </c>
      <c r="Z133" s="508" t="str">
        <f t="shared" ca="1" si="66"/>
        <v>N/A</v>
      </c>
      <c r="AA133" s="508" t="str">
        <f t="shared" ca="1" si="67"/>
        <v>N/A</v>
      </c>
      <c r="AB133" s="508">
        <f t="shared" ca="1" si="68"/>
        <v>1</v>
      </c>
      <c r="AC133" s="508">
        <f t="shared" ca="1" si="69"/>
        <v>0</v>
      </c>
      <c r="AD133" s="912">
        <f t="shared" ca="1" si="70"/>
        <v>1440000</v>
      </c>
      <c r="AE133" s="512">
        <f t="shared" ca="1" si="71"/>
        <v>0</v>
      </c>
      <c r="AF133" s="512">
        <f t="shared" ca="1" si="72"/>
        <v>0</v>
      </c>
      <c r="AG133" s="512">
        <f t="shared" ca="1" si="73"/>
        <v>0</v>
      </c>
      <c r="AH133" s="512">
        <f t="shared" ca="1" si="74"/>
        <v>0</v>
      </c>
      <c r="AI133" s="512">
        <f t="shared" ca="1" si="75"/>
        <v>0</v>
      </c>
      <c r="AJ133" s="512">
        <f t="shared" ca="1" si="76"/>
        <v>0</v>
      </c>
      <c r="AK133" s="512">
        <f t="shared" ca="1" si="77"/>
        <v>0</v>
      </c>
      <c r="AL133" s="512">
        <f t="shared" ca="1" si="78"/>
        <v>1440000</v>
      </c>
      <c r="AM133" s="512">
        <f t="shared" ca="1" si="79"/>
        <v>0</v>
      </c>
      <c r="AN133" s="512">
        <f t="shared" ca="1" si="80"/>
        <v>0</v>
      </c>
      <c r="AO133" s="512">
        <f t="shared" ca="1" si="81"/>
        <v>0</v>
      </c>
      <c r="AP133" s="512">
        <f t="shared" ca="1" si="82"/>
        <v>0</v>
      </c>
      <c r="AQ133" s="512" t="str">
        <f t="shared" si="83"/>
        <v/>
      </c>
      <c r="AR133" s="512"/>
      <c r="AS133" s="512" t="str">
        <f t="shared" si="84"/>
        <v/>
      </c>
      <c r="AT133" s="151">
        <f t="shared" si="85"/>
        <v>0</v>
      </c>
      <c r="AU133" s="151">
        <f>IFERROR(VLOOKUP(A133,'[7]TD CuentasBDG'!$N$5:$O$21,2,0),0)</f>
        <v>0</v>
      </c>
      <c r="AV133">
        <f t="shared" si="86"/>
        <v>0</v>
      </c>
    </row>
    <row r="134" spans="1:48" ht="30" x14ac:dyDescent="0.25">
      <c r="A134" s="508" t="s">
        <v>1864</v>
      </c>
      <c r="B134" s="508" t="s">
        <v>99</v>
      </c>
      <c r="C134" s="508" t="s">
        <v>1039</v>
      </c>
      <c r="D134" s="508" t="s">
        <v>1805</v>
      </c>
      <c r="E134" s="508"/>
      <c r="F134" s="508"/>
      <c r="G134" s="508" t="s">
        <v>1861</v>
      </c>
      <c r="H134" s="508"/>
      <c r="I134" s="508"/>
      <c r="J134" s="555"/>
      <c r="K134" s="555"/>
      <c r="L134" s="911">
        <f ca="1">IFERROR(INDEX(Lists!$O$2:$Z$2,MATCH(TRUE,INDEX((AE134:AP134&lt;&gt;0),0),0)),DATE(2018,1,1))</f>
        <v>43435</v>
      </c>
      <c r="M134" s="911">
        <f ca="1">IFERROR(INDEX(Lists!$O$3:$Z$3, VALUE(SUBSTITUTE(TEXT(ADDRESS(SUMPRODUCT(MAX((COLUMN(AE134:AP134)*(AE134:AP134&gt;0)))),1),),"$A$",""))-30),DATE(2018,1,1))</f>
        <v>43465</v>
      </c>
      <c r="N134" s="508"/>
      <c r="O134" s="508"/>
      <c r="P134" s="508"/>
      <c r="Q134" s="508"/>
      <c r="R134" s="508" t="str">
        <f t="shared" ca="1" si="58"/>
        <v xml:space="preserve">Mining Rights Purchases </v>
      </c>
      <c r="S134" s="508" t="str">
        <f t="shared" ca="1" si="59"/>
        <v>Cortadera 1/45 (90 Ha)</v>
      </c>
      <c r="T134" s="508" t="str">
        <f t="shared" ca="1" si="60"/>
        <v>Valor Contrato de Opción</v>
      </c>
      <c r="U134" s="508" t="str">
        <f t="shared" ca="1" si="61"/>
        <v>683 / 51-11-3339</v>
      </c>
      <c r="V134" s="508">
        <f t="shared" ca="1" si="62"/>
        <v>0</v>
      </c>
      <c r="W134" s="508">
        <f t="shared" ca="1" si="63"/>
        <v>0</v>
      </c>
      <c r="X134" s="508" t="str">
        <f t="shared" ca="1" si="64"/>
        <v>N/A</v>
      </c>
      <c r="Y134" s="508" t="str">
        <f t="shared" ca="1" si="65"/>
        <v>N/A</v>
      </c>
      <c r="Z134" s="508" t="str">
        <f t="shared" ca="1" si="66"/>
        <v>N/A</v>
      </c>
      <c r="AA134" s="508" t="str">
        <f t="shared" ca="1" si="67"/>
        <v>N/A</v>
      </c>
      <c r="AB134" s="508">
        <f t="shared" ca="1" si="68"/>
        <v>1</v>
      </c>
      <c r="AC134" s="508">
        <f t="shared" ca="1" si="69"/>
        <v>0</v>
      </c>
      <c r="AD134" s="912">
        <f t="shared" ca="1" si="70"/>
        <v>60000</v>
      </c>
      <c r="AE134" s="512">
        <f t="shared" ca="1" si="71"/>
        <v>0</v>
      </c>
      <c r="AF134" s="512">
        <f t="shared" ca="1" si="72"/>
        <v>0</v>
      </c>
      <c r="AG134" s="512">
        <f t="shared" ca="1" si="73"/>
        <v>0</v>
      </c>
      <c r="AH134" s="512">
        <f t="shared" ca="1" si="74"/>
        <v>0</v>
      </c>
      <c r="AI134" s="512">
        <f t="shared" ca="1" si="75"/>
        <v>0</v>
      </c>
      <c r="AJ134" s="512">
        <f t="shared" ca="1" si="76"/>
        <v>0</v>
      </c>
      <c r="AK134" s="512">
        <f t="shared" ca="1" si="77"/>
        <v>0</v>
      </c>
      <c r="AL134" s="512">
        <f t="shared" ca="1" si="78"/>
        <v>0</v>
      </c>
      <c r="AM134" s="512">
        <f t="shared" ca="1" si="79"/>
        <v>0</v>
      </c>
      <c r="AN134" s="512">
        <f t="shared" ca="1" si="80"/>
        <v>0</v>
      </c>
      <c r="AO134" s="512">
        <f t="shared" ca="1" si="81"/>
        <v>0</v>
      </c>
      <c r="AP134" s="512">
        <f t="shared" ca="1" si="82"/>
        <v>60000</v>
      </c>
      <c r="AQ134" s="512" t="str">
        <f t="shared" si="83"/>
        <v/>
      </c>
      <c r="AR134" s="512"/>
      <c r="AS134" s="512" t="str">
        <f t="shared" si="84"/>
        <v/>
      </c>
      <c r="AT134" s="151">
        <f t="shared" si="85"/>
        <v>0</v>
      </c>
      <c r="AU134" s="151">
        <f>IFERROR(VLOOKUP(A134,'[7]TD CuentasBDG'!$N$5:$O$21,2,0),0)</f>
        <v>0</v>
      </c>
      <c r="AV134">
        <f t="shared" si="86"/>
        <v>0</v>
      </c>
    </row>
    <row r="135" spans="1:48" ht="30" x14ac:dyDescent="0.25">
      <c r="A135" s="508" t="s">
        <v>1865</v>
      </c>
      <c r="B135" s="508" t="s">
        <v>99</v>
      </c>
      <c r="C135" s="508" t="s">
        <v>1039</v>
      </c>
      <c r="D135" s="508" t="s">
        <v>1805</v>
      </c>
      <c r="E135" s="508"/>
      <c r="F135" s="508"/>
      <c r="G135" s="508" t="s">
        <v>1861</v>
      </c>
      <c r="H135" s="508"/>
      <c r="I135" s="508"/>
      <c r="J135" s="555"/>
      <c r="K135" s="555"/>
      <c r="L135" s="911">
        <f ca="1">IFERROR(INDEX(Lists!$O$2:$Z$2,MATCH(TRUE,INDEX((AE135:AP135&lt;&gt;0),0),0)),DATE(2018,1,1))</f>
        <v>43221</v>
      </c>
      <c r="M135" s="911">
        <f ca="1">IFERROR(INDEX(Lists!$O$3:$Z$3, VALUE(SUBSTITUTE(TEXT(ADDRESS(SUMPRODUCT(MAX((COLUMN(AE135:AP135)*(AE135:AP135&gt;0)))),1),),"$A$",""))-30),DATE(2018,1,1))</f>
        <v>43251</v>
      </c>
      <c r="N135" s="508"/>
      <c r="O135" s="508"/>
      <c r="P135" s="508"/>
      <c r="Q135" s="508"/>
      <c r="R135" s="508" t="str">
        <f t="shared" ca="1" si="58"/>
        <v xml:space="preserve">Mining Rights Purchases </v>
      </c>
      <c r="S135" s="508" t="str">
        <f t="shared" ca="1" si="59"/>
        <v>Nicolas 1/7 (28 Ha)</v>
      </c>
      <c r="T135" s="508" t="str">
        <f t="shared" ca="1" si="60"/>
        <v>Negociacion - Valor Estimado</v>
      </c>
      <c r="U135" s="508" t="str">
        <f t="shared" ca="1" si="61"/>
        <v>683 / 51-11-3339</v>
      </c>
      <c r="V135" s="508">
        <f t="shared" ca="1" si="62"/>
        <v>0</v>
      </c>
      <c r="W135" s="508">
        <f t="shared" ca="1" si="63"/>
        <v>0</v>
      </c>
      <c r="X135" s="508" t="str">
        <f t="shared" ca="1" si="64"/>
        <v>N/A</v>
      </c>
      <c r="Y135" s="508" t="str">
        <f t="shared" ca="1" si="65"/>
        <v>N/A</v>
      </c>
      <c r="Z135" s="508" t="str">
        <f t="shared" ca="1" si="66"/>
        <v>N/A</v>
      </c>
      <c r="AA135" s="508" t="str">
        <f t="shared" ca="1" si="67"/>
        <v>N/A</v>
      </c>
      <c r="AB135" s="508">
        <f t="shared" ca="1" si="68"/>
        <v>1</v>
      </c>
      <c r="AC135" s="508">
        <f t="shared" ca="1" si="69"/>
        <v>0</v>
      </c>
      <c r="AD135" s="912">
        <f t="shared" ca="1" si="70"/>
        <v>44800</v>
      </c>
      <c r="AE135" s="512">
        <f t="shared" ca="1" si="71"/>
        <v>0</v>
      </c>
      <c r="AF135" s="512">
        <f t="shared" ca="1" si="72"/>
        <v>0</v>
      </c>
      <c r="AG135" s="512">
        <f t="shared" ca="1" si="73"/>
        <v>0</v>
      </c>
      <c r="AH135" s="512">
        <f t="shared" ca="1" si="74"/>
        <v>0</v>
      </c>
      <c r="AI135" s="512">
        <f t="shared" ca="1" si="75"/>
        <v>44800</v>
      </c>
      <c r="AJ135" s="512">
        <f t="shared" ca="1" si="76"/>
        <v>0</v>
      </c>
      <c r="AK135" s="512">
        <f t="shared" ca="1" si="77"/>
        <v>0</v>
      </c>
      <c r="AL135" s="512">
        <f t="shared" ca="1" si="78"/>
        <v>0</v>
      </c>
      <c r="AM135" s="512">
        <f t="shared" ca="1" si="79"/>
        <v>0</v>
      </c>
      <c r="AN135" s="512">
        <f t="shared" ca="1" si="80"/>
        <v>0</v>
      </c>
      <c r="AO135" s="512">
        <f t="shared" ca="1" si="81"/>
        <v>0</v>
      </c>
      <c r="AP135" s="512">
        <f t="shared" ca="1" si="82"/>
        <v>0</v>
      </c>
      <c r="AQ135" s="512" t="str">
        <f t="shared" si="83"/>
        <v/>
      </c>
      <c r="AR135" s="512"/>
      <c r="AS135" s="512" t="str">
        <f t="shared" si="84"/>
        <v/>
      </c>
      <c r="AT135" s="151">
        <f t="shared" si="85"/>
        <v>0</v>
      </c>
      <c r="AU135" s="151">
        <f>IFERROR(VLOOKUP(A135,'[7]TD CuentasBDG'!$N$5:$O$21,2,0),0)</f>
        <v>0</v>
      </c>
      <c r="AV135">
        <f t="shared" si="86"/>
        <v>0</v>
      </c>
    </row>
    <row r="136" spans="1:48" ht="30" x14ac:dyDescent="0.25">
      <c r="A136" s="508" t="s">
        <v>1866</v>
      </c>
      <c r="B136" s="508" t="s">
        <v>99</v>
      </c>
      <c r="C136" s="508" t="s">
        <v>1039</v>
      </c>
      <c r="D136" s="508" t="s">
        <v>1805</v>
      </c>
      <c r="E136" s="508"/>
      <c r="F136" s="508"/>
      <c r="G136" s="508" t="s">
        <v>1861</v>
      </c>
      <c r="H136" s="508"/>
      <c r="I136" s="508"/>
      <c r="J136" s="555"/>
      <c r="K136" s="555"/>
      <c r="L136" s="911">
        <f ca="1">IFERROR(INDEX(Lists!$O$2:$Z$2,MATCH(TRUE,INDEX((AE136:AP136&lt;&gt;0),0),0)),DATE(2018,1,1))</f>
        <v>43282</v>
      </c>
      <c r="M136" s="911">
        <f ca="1">IFERROR(INDEX(Lists!$O$3:$Z$3, VALUE(SUBSTITUTE(TEXT(ADDRESS(SUMPRODUCT(MAX((COLUMN(AE136:AP136)*(AE136:AP136&gt;0)))),1),),"$A$",""))-30),DATE(2018,1,1))</f>
        <v>43312</v>
      </c>
      <c r="N136" s="508"/>
      <c r="O136" s="508"/>
      <c r="P136" s="508"/>
      <c r="Q136" s="508"/>
      <c r="R136" s="508" t="str">
        <f t="shared" ca="1" si="58"/>
        <v xml:space="preserve">Mining Rights Purchases </v>
      </c>
      <c r="S136" s="508" t="str">
        <f t="shared" ca="1" si="59"/>
        <v>Despreciada 1/10 (44 Ha)</v>
      </c>
      <c r="T136" s="508" t="str">
        <f t="shared" ca="1" si="60"/>
        <v>Negociacion - Valor Estimado</v>
      </c>
      <c r="U136" s="508" t="str">
        <f t="shared" ca="1" si="61"/>
        <v>683 / 51-11-3339</v>
      </c>
      <c r="V136" s="508">
        <f t="shared" ca="1" si="62"/>
        <v>0</v>
      </c>
      <c r="W136" s="508">
        <f t="shared" ca="1" si="63"/>
        <v>0</v>
      </c>
      <c r="X136" s="508" t="str">
        <f t="shared" ca="1" si="64"/>
        <v>N/A</v>
      </c>
      <c r="Y136" s="508" t="str">
        <f t="shared" ca="1" si="65"/>
        <v>N/A</v>
      </c>
      <c r="Z136" s="508" t="str">
        <f t="shared" ca="1" si="66"/>
        <v>N/A</v>
      </c>
      <c r="AA136" s="508" t="str">
        <f t="shared" ca="1" si="67"/>
        <v>N/A</v>
      </c>
      <c r="AB136" s="508">
        <f t="shared" ca="1" si="68"/>
        <v>1</v>
      </c>
      <c r="AC136" s="508">
        <f t="shared" ca="1" si="69"/>
        <v>0</v>
      </c>
      <c r="AD136" s="912">
        <f t="shared" ca="1" si="70"/>
        <v>70400</v>
      </c>
      <c r="AE136" s="512">
        <f t="shared" ca="1" si="71"/>
        <v>0</v>
      </c>
      <c r="AF136" s="512">
        <f t="shared" ca="1" si="72"/>
        <v>0</v>
      </c>
      <c r="AG136" s="512">
        <f t="shared" ca="1" si="73"/>
        <v>0</v>
      </c>
      <c r="AH136" s="512">
        <f t="shared" ca="1" si="74"/>
        <v>0</v>
      </c>
      <c r="AI136" s="512">
        <f t="shared" ca="1" si="75"/>
        <v>0</v>
      </c>
      <c r="AJ136" s="512">
        <f t="shared" ca="1" si="76"/>
        <v>0</v>
      </c>
      <c r="AK136" s="512">
        <f t="shared" ca="1" si="77"/>
        <v>70400</v>
      </c>
      <c r="AL136" s="512">
        <f t="shared" ca="1" si="78"/>
        <v>0</v>
      </c>
      <c r="AM136" s="512">
        <f t="shared" ca="1" si="79"/>
        <v>0</v>
      </c>
      <c r="AN136" s="512">
        <f t="shared" ca="1" si="80"/>
        <v>0</v>
      </c>
      <c r="AO136" s="512">
        <f t="shared" ca="1" si="81"/>
        <v>0</v>
      </c>
      <c r="AP136" s="512">
        <f t="shared" ca="1" si="82"/>
        <v>0</v>
      </c>
      <c r="AQ136" s="512" t="str">
        <f t="shared" si="83"/>
        <v/>
      </c>
      <c r="AR136" s="512"/>
      <c r="AS136" s="512" t="str">
        <f t="shared" si="84"/>
        <v/>
      </c>
      <c r="AT136" s="151">
        <f t="shared" si="85"/>
        <v>0</v>
      </c>
      <c r="AU136" s="151">
        <f>IFERROR(VLOOKUP(A136,'[7]TD CuentasBDG'!$N$5:$O$21,2,0),0)</f>
        <v>0</v>
      </c>
      <c r="AV136">
        <f t="shared" si="86"/>
        <v>0</v>
      </c>
    </row>
    <row r="137" spans="1:48" ht="30" x14ac:dyDescent="0.25">
      <c r="A137" s="508" t="s">
        <v>1867</v>
      </c>
      <c r="B137" s="508" t="s">
        <v>99</v>
      </c>
      <c r="C137" s="508" t="s">
        <v>1039</v>
      </c>
      <c r="D137" s="508" t="s">
        <v>1805</v>
      </c>
      <c r="E137" s="508"/>
      <c r="F137" s="508"/>
      <c r="G137" s="508" t="s">
        <v>1854</v>
      </c>
      <c r="H137" s="508"/>
      <c r="I137" s="508"/>
      <c r="J137" s="555"/>
      <c r="K137" s="555"/>
      <c r="L137" s="911">
        <f ca="1">IFERROR(INDEX(Lists!$O$2:$Z$2,MATCH(TRUE,INDEX((AE137:AP137&lt;&gt;0),0),0)),DATE(2018,1,1))</f>
        <v>43191</v>
      </c>
      <c r="M137" s="911">
        <f ca="1">IFERROR(INDEX(Lists!$O$3:$Z$3, VALUE(SUBSTITUTE(TEXT(ADDRESS(SUMPRODUCT(MAX((COLUMN(AE137:AP137)*(AE137:AP137&gt;0)))),1),),"$A$",""))-30),DATE(2018,1,1))</f>
        <v>43220</v>
      </c>
      <c r="N137" s="508"/>
      <c r="O137" s="508"/>
      <c r="P137" s="508"/>
      <c r="Q137" s="508"/>
      <c r="R137" s="508" t="str">
        <f t="shared" ca="1" si="58"/>
        <v xml:space="preserve">Mining Rights Purchases </v>
      </c>
      <c r="S137" s="508" t="str">
        <f t="shared" ca="1" si="59"/>
        <v>Diego 1/1 ( 1 Ha)</v>
      </c>
      <c r="T137" s="508" t="str">
        <f t="shared" ca="1" si="60"/>
        <v>Negociacion - Valor Estimado</v>
      </c>
      <c r="U137" s="508" t="str">
        <f t="shared" ca="1" si="61"/>
        <v>683 / 51-11-3339</v>
      </c>
      <c r="V137" s="508">
        <f t="shared" ca="1" si="62"/>
        <v>0</v>
      </c>
      <c r="W137" s="508">
        <f t="shared" ca="1" si="63"/>
        <v>0</v>
      </c>
      <c r="X137" s="508" t="str">
        <f t="shared" ca="1" si="64"/>
        <v>N/A</v>
      </c>
      <c r="Y137" s="508" t="str">
        <f t="shared" ca="1" si="65"/>
        <v>N/A</v>
      </c>
      <c r="Z137" s="508" t="str">
        <f t="shared" ca="1" si="66"/>
        <v>N/A</v>
      </c>
      <c r="AA137" s="508" t="str">
        <f t="shared" ca="1" si="67"/>
        <v>N/A</v>
      </c>
      <c r="AB137" s="508">
        <f t="shared" ca="1" si="68"/>
        <v>1</v>
      </c>
      <c r="AC137" s="508">
        <f t="shared" ca="1" si="69"/>
        <v>0</v>
      </c>
      <c r="AD137" s="912">
        <f t="shared" ca="1" si="70"/>
        <v>100000</v>
      </c>
      <c r="AE137" s="512">
        <f t="shared" ca="1" si="71"/>
        <v>0</v>
      </c>
      <c r="AF137" s="512">
        <f t="shared" ca="1" si="72"/>
        <v>0</v>
      </c>
      <c r="AG137" s="512">
        <f t="shared" ca="1" si="73"/>
        <v>0</v>
      </c>
      <c r="AH137" s="512">
        <f t="shared" ca="1" si="74"/>
        <v>100000</v>
      </c>
      <c r="AI137" s="512">
        <f t="shared" ca="1" si="75"/>
        <v>0</v>
      </c>
      <c r="AJ137" s="512">
        <f t="shared" ca="1" si="76"/>
        <v>0</v>
      </c>
      <c r="AK137" s="512">
        <f t="shared" ca="1" si="77"/>
        <v>0</v>
      </c>
      <c r="AL137" s="512">
        <f t="shared" ca="1" si="78"/>
        <v>0</v>
      </c>
      <c r="AM137" s="512">
        <f t="shared" ca="1" si="79"/>
        <v>0</v>
      </c>
      <c r="AN137" s="512">
        <f t="shared" ca="1" si="80"/>
        <v>0</v>
      </c>
      <c r="AO137" s="512">
        <f t="shared" ca="1" si="81"/>
        <v>0</v>
      </c>
      <c r="AP137" s="512">
        <f t="shared" ca="1" si="82"/>
        <v>0</v>
      </c>
      <c r="AQ137" s="512" t="str">
        <f t="shared" si="83"/>
        <v/>
      </c>
      <c r="AR137" s="512"/>
      <c r="AS137" s="512" t="str">
        <f t="shared" si="84"/>
        <v/>
      </c>
      <c r="AT137" s="151">
        <f t="shared" si="85"/>
        <v>0</v>
      </c>
      <c r="AU137" s="151">
        <f>IFERROR(VLOOKUP(A137,'[7]TD CuentasBDG'!$N$5:$O$21,2,0),0)</f>
        <v>0</v>
      </c>
      <c r="AV137">
        <f t="shared" si="86"/>
        <v>0</v>
      </c>
    </row>
    <row r="138" spans="1:48" ht="45" x14ac:dyDescent="0.25">
      <c r="A138" s="508" t="s">
        <v>1868</v>
      </c>
      <c r="B138" s="508" t="s">
        <v>99</v>
      </c>
      <c r="C138" s="508" t="s">
        <v>1039</v>
      </c>
      <c r="D138" s="508" t="s">
        <v>1805</v>
      </c>
      <c r="E138" s="508"/>
      <c r="F138" s="508"/>
      <c r="G138" s="508" t="s">
        <v>1854</v>
      </c>
      <c r="H138" s="508"/>
      <c r="I138" s="508"/>
      <c r="J138" s="555"/>
      <c r="K138" s="555"/>
      <c r="L138" s="911">
        <f ca="1">IFERROR(INDEX(Lists!$O$2:$Z$2,MATCH(TRUE,INDEX((AE138:AP138&lt;&gt;0),0),0)),DATE(2018,1,1))</f>
        <v>43102</v>
      </c>
      <c r="M138" s="911">
        <f ca="1">IFERROR(INDEX(Lists!$O$3:$Z$3, VALUE(SUBSTITUTE(TEXT(ADDRESS(SUMPRODUCT(MAX((COLUMN(AE138:AP138)*(AE138:AP138&gt;0)))),1),),"$A$",""))-30),DATE(2018,1,1))</f>
        <v>43404</v>
      </c>
      <c r="N138" s="508"/>
      <c r="O138" s="508"/>
      <c r="P138" s="508"/>
      <c r="Q138" s="508"/>
      <c r="R138" s="508" t="str">
        <f t="shared" ca="1" si="58"/>
        <v>Easement &amp; Right of Way</v>
      </c>
      <c r="S138" s="508" t="str">
        <f t="shared" ca="1" si="59"/>
        <v>Tramitacion Servidumbres / Arriendos</v>
      </c>
      <c r="T138" s="508" t="str">
        <f t="shared" ca="1" si="60"/>
        <v>Gastos Tramitación Demandas Fiscales / Arriendos Delano</v>
      </c>
      <c r="U138" s="508" t="str">
        <f t="shared" ca="1" si="61"/>
        <v>683 / 51-11-3339</v>
      </c>
      <c r="V138" s="508">
        <f t="shared" ca="1" si="62"/>
        <v>0</v>
      </c>
      <c r="W138" s="508">
        <f t="shared" ca="1" si="63"/>
        <v>0</v>
      </c>
      <c r="X138" s="508" t="str">
        <f t="shared" ca="1" si="64"/>
        <v>N/A</v>
      </c>
      <c r="Y138" s="508" t="str">
        <f t="shared" ca="1" si="65"/>
        <v>N/A</v>
      </c>
      <c r="Z138" s="508" t="str">
        <f t="shared" ca="1" si="66"/>
        <v>N/A</v>
      </c>
      <c r="AA138" s="508" t="str">
        <f t="shared" ca="1" si="67"/>
        <v>N/A</v>
      </c>
      <c r="AB138" s="508">
        <f t="shared" ca="1" si="68"/>
        <v>10</v>
      </c>
      <c r="AC138" s="508">
        <f t="shared" ca="1" si="69"/>
        <v>0</v>
      </c>
      <c r="AD138" s="912">
        <f t="shared" ca="1" si="70"/>
        <v>875790.44117647049</v>
      </c>
      <c r="AE138" s="512">
        <f t="shared" ca="1" si="71"/>
        <v>129136.02941176471</v>
      </c>
      <c r="AF138" s="512">
        <f t="shared" ca="1" si="72"/>
        <v>126709.55882352941</v>
      </c>
      <c r="AG138" s="512">
        <f t="shared" ca="1" si="73"/>
        <v>154448.52941176467</v>
      </c>
      <c r="AH138" s="512">
        <f t="shared" ca="1" si="74"/>
        <v>173345.5882352941</v>
      </c>
      <c r="AI138" s="512">
        <f t="shared" ca="1" si="75"/>
        <v>114062.50000000001</v>
      </c>
      <c r="AJ138" s="512">
        <f t="shared" ca="1" si="76"/>
        <v>0</v>
      </c>
      <c r="AK138" s="512">
        <f t="shared" ca="1" si="77"/>
        <v>0</v>
      </c>
      <c r="AL138" s="512">
        <f t="shared" ca="1" si="78"/>
        <v>4742.6470588235288</v>
      </c>
      <c r="AM138" s="512">
        <f t="shared" ca="1" si="79"/>
        <v>0</v>
      </c>
      <c r="AN138" s="512">
        <f t="shared" ca="1" si="80"/>
        <v>173345.5882352941</v>
      </c>
      <c r="AO138" s="512">
        <f t="shared" ca="1" si="81"/>
        <v>0</v>
      </c>
      <c r="AP138" s="512">
        <f t="shared" ca="1" si="82"/>
        <v>0</v>
      </c>
      <c r="AQ138" s="512" t="str">
        <f t="shared" si="83"/>
        <v/>
      </c>
      <c r="AR138" s="512"/>
      <c r="AS138" s="512" t="str">
        <f t="shared" si="84"/>
        <v/>
      </c>
      <c r="AT138" s="151">
        <f t="shared" si="85"/>
        <v>0</v>
      </c>
      <c r="AU138" s="151">
        <f>IFERROR(VLOOKUP(A138,'[7]TD CuentasBDG'!$N$5:$O$21,2,0),0)</f>
        <v>0</v>
      </c>
      <c r="AV138">
        <f t="shared" si="86"/>
        <v>0</v>
      </c>
    </row>
    <row r="139" spans="1:48" ht="30" x14ac:dyDescent="0.25">
      <c r="A139" s="508" t="s">
        <v>1869</v>
      </c>
      <c r="B139" s="508" t="s">
        <v>99</v>
      </c>
      <c r="C139" s="508" t="s">
        <v>1039</v>
      </c>
      <c r="D139" s="508" t="s">
        <v>1805</v>
      </c>
      <c r="E139" s="508"/>
      <c r="F139" s="508"/>
      <c r="G139" s="508" t="s">
        <v>1854</v>
      </c>
      <c r="H139" s="508"/>
      <c r="I139" s="508"/>
      <c r="J139" s="555"/>
      <c r="K139" s="555"/>
      <c r="L139" s="911">
        <f ca="1">IFERROR(INDEX(Lists!$O$2:$Z$2,MATCH(TRUE,INDEX((AE139:AP139&lt;&gt;0),0),0)),DATE(2018,1,1))</f>
        <v>43160</v>
      </c>
      <c r="M139" s="911">
        <f ca="1">IFERROR(INDEX(Lists!$O$3:$Z$3, VALUE(SUBSTITUTE(TEXT(ADDRESS(SUMPRODUCT(MAX((COLUMN(AE139:AP139)*(AE139:AP139&gt;0)))),1),),"$A$",""))-30),DATE(2018,1,1))</f>
        <v>43373</v>
      </c>
      <c r="N139" s="508"/>
      <c r="O139" s="508"/>
      <c r="P139" s="508"/>
      <c r="Q139" s="508"/>
      <c r="R139" s="508" t="str">
        <f t="shared" ca="1" si="58"/>
        <v>Easement &amp; Right of Way</v>
      </c>
      <c r="S139" s="508" t="str">
        <f t="shared" ca="1" si="59"/>
        <v>Indemnizacion  Servidumbres LMinera</v>
      </c>
      <c r="T139" s="508" t="str">
        <f t="shared" ca="1" si="60"/>
        <v xml:space="preserve">Estimate - Single payment </v>
      </c>
      <c r="U139" s="508" t="str">
        <f t="shared" ca="1" si="61"/>
        <v>683 / 51-11-3339</v>
      </c>
      <c r="V139" s="508">
        <f t="shared" ca="1" si="62"/>
        <v>0</v>
      </c>
      <c r="W139" s="508">
        <f t="shared" ca="1" si="63"/>
        <v>0</v>
      </c>
      <c r="X139" s="508" t="str">
        <f t="shared" ca="1" si="64"/>
        <v>N/A</v>
      </c>
      <c r="Y139" s="508" t="str">
        <f t="shared" ca="1" si="65"/>
        <v>N/A</v>
      </c>
      <c r="Z139" s="508" t="str">
        <f t="shared" ca="1" si="66"/>
        <v>N/A</v>
      </c>
      <c r="AA139" s="508" t="str">
        <f t="shared" ca="1" si="67"/>
        <v>N/A</v>
      </c>
      <c r="AB139" s="508">
        <f t="shared" ca="1" si="68"/>
        <v>7</v>
      </c>
      <c r="AC139" s="508">
        <f t="shared" ca="1" si="69"/>
        <v>0</v>
      </c>
      <c r="AD139" s="912">
        <f t="shared" ca="1" si="70"/>
        <v>4116770.3660588237</v>
      </c>
      <c r="AE139" s="512">
        <f t="shared" ca="1" si="71"/>
        <v>0</v>
      </c>
      <c r="AF139" s="512">
        <f t="shared" ca="1" si="72"/>
        <v>0</v>
      </c>
      <c r="AG139" s="512">
        <f t="shared" ca="1" si="73"/>
        <v>586468.2426235294</v>
      </c>
      <c r="AH139" s="512">
        <f t="shared" ca="1" si="74"/>
        <v>0</v>
      </c>
      <c r="AI139" s="512">
        <f t="shared" ca="1" si="75"/>
        <v>1184429.1529411764</v>
      </c>
      <c r="AJ139" s="512">
        <f t="shared" ca="1" si="76"/>
        <v>0</v>
      </c>
      <c r="AK139" s="512">
        <f t="shared" ca="1" si="77"/>
        <v>0</v>
      </c>
      <c r="AL139" s="512">
        <f t="shared" ca="1" si="78"/>
        <v>0</v>
      </c>
      <c r="AM139" s="512">
        <f t="shared" ca="1" si="79"/>
        <v>2345872.9704941176</v>
      </c>
      <c r="AN139" s="512">
        <f t="shared" ca="1" si="80"/>
        <v>0</v>
      </c>
      <c r="AO139" s="512">
        <f t="shared" ca="1" si="81"/>
        <v>0</v>
      </c>
      <c r="AP139" s="512">
        <f t="shared" ca="1" si="82"/>
        <v>0</v>
      </c>
      <c r="AQ139" s="512" t="str">
        <f t="shared" si="83"/>
        <v/>
      </c>
      <c r="AR139" s="512"/>
      <c r="AS139" s="512" t="str">
        <f t="shared" si="84"/>
        <v/>
      </c>
      <c r="AT139" s="151">
        <f t="shared" si="85"/>
        <v>0</v>
      </c>
      <c r="AU139" s="151">
        <f>IFERROR(VLOOKUP(A139,'[7]TD CuentasBDG'!$N$5:$O$21,2,0),0)</f>
        <v>0</v>
      </c>
      <c r="AV139">
        <f t="shared" si="86"/>
        <v>0</v>
      </c>
    </row>
    <row r="140" spans="1:48" ht="30" x14ac:dyDescent="0.25">
      <c r="A140" s="508" t="s">
        <v>1870</v>
      </c>
      <c r="B140" s="508" t="s">
        <v>99</v>
      </c>
      <c r="C140" s="508" t="s">
        <v>1039</v>
      </c>
      <c r="D140" s="508" t="s">
        <v>1805</v>
      </c>
      <c r="E140" s="508"/>
      <c r="F140" s="508"/>
      <c r="G140" s="508" t="s">
        <v>1854</v>
      </c>
      <c r="H140" s="508"/>
      <c r="I140" s="508"/>
      <c r="J140" s="555"/>
      <c r="K140" s="555"/>
      <c r="L140" s="911">
        <f ca="1">IFERROR(INDEX(Lists!$O$2:$Z$2,MATCH(TRUE,INDEX((AE140:AP140&lt;&gt;0),0),0)),DATE(2018,1,1))</f>
        <v>43102</v>
      </c>
      <c r="M140" s="911">
        <f ca="1">IFERROR(INDEX(Lists!$O$3:$Z$3, VALUE(SUBSTITUTE(TEXT(ADDRESS(SUMPRODUCT(MAX((COLUMN(AE140:AP140)*(AE140:AP140&gt;0)))),1),),"$A$",""))-30),DATE(2018,1,1))</f>
        <v>43404</v>
      </c>
      <c r="N140" s="508"/>
      <c r="O140" s="508"/>
      <c r="P140" s="508"/>
      <c r="Q140" s="508"/>
      <c r="R140" s="508" t="str">
        <f t="shared" ca="1" si="58"/>
        <v>Easement &amp; Right of Way</v>
      </c>
      <c r="S140" s="508" t="str">
        <f t="shared" ca="1" si="59"/>
        <v>Contingency Easements Enero 2018</v>
      </c>
      <c r="T140" s="508" t="str">
        <f t="shared" ca="1" si="60"/>
        <v>Contingencia (20%)</v>
      </c>
      <c r="U140" s="508" t="str">
        <f t="shared" ca="1" si="61"/>
        <v>683 / 51-11-3339</v>
      </c>
      <c r="V140" s="508">
        <f t="shared" ca="1" si="62"/>
        <v>0</v>
      </c>
      <c r="W140" s="508">
        <f t="shared" ca="1" si="63"/>
        <v>0</v>
      </c>
      <c r="X140" s="508" t="str">
        <f t="shared" ca="1" si="64"/>
        <v>N/A</v>
      </c>
      <c r="Y140" s="508" t="str">
        <f t="shared" ca="1" si="65"/>
        <v>N/A</v>
      </c>
      <c r="Z140" s="508" t="str">
        <f t="shared" ca="1" si="66"/>
        <v>N/A</v>
      </c>
      <c r="AA140" s="508" t="str">
        <f t="shared" ca="1" si="67"/>
        <v>N/A</v>
      </c>
      <c r="AB140" s="508">
        <f t="shared" ca="1" si="68"/>
        <v>10</v>
      </c>
      <c r="AC140" s="508">
        <f t="shared" ca="1" si="69"/>
        <v>0</v>
      </c>
      <c r="AD140" s="912">
        <f t="shared" ca="1" si="70"/>
        <v>998512.1614470589</v>
      </c>
      <c r="AE140" s="512">
        <f t="shared" ca="1" si="71"/>
        <v>25827.205882352944</v>
      </c>
      <c r="AF140" s="512">
        <f t="shared" ca="1" si="72"/>
        <v>25341.911764705885</v>
      </c>
      <c r="AG140" s="512">
        <f t="shared" ca="1" si="73"/>
        <v>148183.35440705883</v>
      </c>
      <c r="AH140" s="512">
        <f t="shared" ca="1" si="74"/>
        <v>34669.117647058818</v>
      </c>
      <c r="AI140" s="512">
        <f t="shared" ca="1" si="75"/>
        <v>259698.33058823529</v>
      </c>
      <c r="AJ140" s="512">
        <f t="shared" ca="1" si="76"/>
        <v>0</v>
      </c>
      <c r="AK140" s="512">
        <f t="shared" ca="1" si="77"/>
        <v>0</v>
      </c>
      <c r="AL140" s="512">
        <f t="shared" ca="1" si="78"/>
        <v>948.52941176470586</v>
      </c>
      <c r="AM140" s="512">
        <f t="shared" ca="1" si="79"/>
        <v>469174.59409882355</v>
      </c>
      <c r="AN140" s="512">
        <f t="shared" ca="1" si="80"/>
        <v>34669.117647058818</v>
      </c>
      <c r="AO140" s="512">
        <f t="shared" ca="1" si="81"/>
        <v>0</v>
      </c>
      <c r="AP140" s="512">
        <f t="shared" ca="1" si="82"/>
        <v>0</v>
      </c>
      <c r="AQ140" s="512" t="str">
        <f t="shared" si="83"/>
        <v/>
      </c>
      <c r="AR140" s="512"/>
      <c r="AS140" s="512" t="str">
        <f t="shared" si="84"/>
        <v/>
      </c>
      <c r="AT140" s="151">
        <f t="shared" si="85"/>
        <v>0</v>
      </c>
      <c r="AU140" s="151">
        <f>IFERROR(VLOOKUP(A140,'[7]TD CuentasBDG'!$N$5:$O$21,2,0),0)</f>
        <v>0</v>
      </c>
      <c r="AV140">
        <f t="shared" si="86"/>
        <v>0</v>
      </c>
    </row>
    <row r="141" spans="1:48" ht="30" x14ac:dyDescent="0.25">
      <c r="A141" s="508" t="s">
        <v>1871</v>
      </c>
      <c r="B141" s="508" t="s">
        <v>99</v>
      </c>
      <c r="C141" s="508" t="s">
        <v>1039</v>
      </c>
      <c r="D141" s="508" t="s">
        <v>1805</v>
      </c>
      <c r="E141" s="508"/>
      <c r="F141" s="508"/>
      <c r="G141" s="508" t="s">
        <v>1854</v>
      </c>
      <c r="H141" s="508"/>
      <c r="I141" s="508"/>
      <c r="J141" s="555"/>
      <c r="K141" s="555"/>
      <c r="L141" s="911">
        <f ca="1">IFERROR(INDEX(Lists!$O$2:$Z$2,MATCH(TRUE,INDEX((AE141:AP141&lt;&gt;0),0),0)),DATE(2018,1,1))</f>
        <v>43221</v>
      </c>
      <c r="M141" s="911">
        <f ca="1">IFERROR(INDEX(Lists!$O$3:$Z$3, VALUE(SUBSTITUTE(TEXT(ADDRESS(SUMPRODUCT(MAX((COLUMN(AE141:AP141)*(AE141:AP141&gt;0)))),1),),"$A$",""))-30),DATE(2018,1,1))</f>
        <v>43465</v>
      </c>
      <c r="N141" s="508"/>
      <c r="O141" s="508"/>
      <c r="P141" s="508"/>
      <c r="Q141" s="508"/>
      <c r="R141" s="508" t="str">
        <f t="shared" ca="1" si="58"/>
        <v>Easement &amp; Right of Way</v>
      </c>
      <c r="S141" s="508" t="str">
        <f t="shared" ca="1" si="59"/>
        <v>Tramitacion Servidumbres</v>
      </c>
      <c r="T141" s="508" t="str">
        <f t="shared" ca="1" si="60"/>
        <v>Gastos Tramitación Demandas</v>
      </c>
      <c r="U141" s="508" t="str">
        <f t="shared" ca="1" si="61"/>
        <v>683 / 51-11-3339</v>
      </c>
      <c r="V141" s="508">
        <f t="shared" ca="1" si="62"/>
        <v>0</v>
      </c>
      <c r="W141" s="508">
        <f t="shared" ca="1" si="63"/>
        <v>0</v>
      </c>
      <c r="X141" s="508" t="str">
        <f t="shared" ca="1" si="64"/>
        <v>N/A</v>
      </c>
      <c r="Y141" s="508" t="str">
        <f t="shared" ca="1" si="65"/>
        <v>N/A</v>
      </c>
      <c r="Z141" s="508" t="str">
        <f t="shared" ca="1" si="66"/>
        <v>N/A</v>
      </c>
      <c r="AA141" s="508" t="str">
        <f t="shared" ca="1" si="67"/>
        <v>N/A</v>
      </c>
      <c r="AB141" s="508">
        <f t="shared" ca="1" si="68"/>
        <v>8</v>
      </c>
      <c r="AC141" s="508">
        <f t="shared" ca="1" si="69"/>
        <v>0</v>
      </c>
      <c r="AD141" s="912">
        <f t="shared" ca="1" si="70"/>
        <v>702047.79411764711</v>
      </c>
      <c r="AE141" s="512">
        <f t="shared" ca="1" si="71"/>
        <v>0</v>
      </c>
      <c r="AF141" s="512">
        <f t="shared" ca="1" si="72"/>
        <v>0</v>
      </c>
      <c r="AG141" s="512">
        <f t="shared" ca="1" si="73"/>
        <v>0</v>
      </c>
      <c r="AH141" s="512">
        <f t="shared" ca="1" si="74"/>
        <v>0</v>
      </c>
      <c r="AI141" s="512">
        <f t="shared" ca="1" si="75"/>
        <v>25735.29411764707</v>
      </c>
      <c r="AJ141" s="512">
        <f t="shared" ca="1" si="76"/>
        <v>19301.470588235286</v>
      </c>
      <c r="AK141" s="512">
        <f t="shared" ca="1" si="77"/>
        <v>197764.70588235286</v>
      </c>
      <c r="AL141" s="512">
        <f t="shared" ca="1" si="78"/>
        <v>0</v>
      </c>
      <c r="AM141" s="512">
        <f t="shared" ca="1" si="79"/>
        <v>102647.05882352949</v>
      </c>
      <c r="AN141" s="512">
        <f t="shared" ca="1" si="80"/>
        <v>99531.249999999985</v>
      </c>
      <c r="AO141" s="512">
        <f t="shared" ca="1" si="81"/>
        <v>118235.29411764711</v>
      </c>
      <c r="AP141" s="512">
        <f t="shared" ca="1" si="82"/>
        <v>138832.7205882353</v>
      </c>
      <c r="AQ141" s="512" t="str">
        <f t="shared" si="83"/>
        <v/>
      </c>
      <c r="AR141" s="512"/>
      <c r="AS141" s="512" t="str">
        <f t="shared" si="84"/>
        <v/>
      </c>
      <c r="AT141" s="151">
        <f t="shared" si="85"/>
        <v>0</v>
      </c>
      <c r="AU141" s="151">
        <f>IFERROR(VLOOKUP(A141,'[7]TD CuentasBDG'!$N$5:$O$21,2,0),0)</f>
        <v>0</v>
      </c>
      <c r="AV141">
        <f t="shared" si="86"/>
        <v>0</v>
      </c>
    </row>
    <row r="142" spans="1:48" ht="30" x14ac:dyDescent="0.25">
      <c r="A142" s="508" t="s">
        <v>1872</v>
      </c>
      <c r="B142" s="508" t="s">
        <v>99</v>
      </c>
      <c r="C142" s="508" t="s">
        <v>1039</v>
      </c>
      <c r="D142" s="508" t="s">
        <v>1805</v>
      </c>
      <c r="E142" s="508"/>
      <c r="F142" s="508"/>
      <c r="G142" s="508" t="s">
        <v>1854</v>
      </c>
      <c r="H142" s="508"/>
      <c r="I142" s="508"/>
      <c r="J142" s="555"/>
      <c r="K142" s="555"/>
      <c r="L142" s="911">
        <f ca="1">IFERROR(INDEX(Lists!$O$2:$Z$2,MATCH(TRUE,INDEX((AE142:AP142&lt;&gt;0),0),0)),DATE(2018,1,1))</f>
        <v>43405</v>
      </c>
      <c r="M142" s="911">
        <f ca="1">IFERROR(INDEX(Lists!$O$3:$Z$3, VALUE(SUBSTITUTE(TEXT(ADDRESS(SUMPRODUCT(MAX((COLUMN(AE142:AP142)*(AE142:AP142&gt;0)))),1),),"$A$",""))-30),DATE(2018,1,1))</f>
        <v>43434</v>
      </c>
      <c r="N142" s="508"/>
      <c r="O142" s="508"/>
      <c r="P142" s="508"/>
      <c r="Q142" s="508"/>
      <c r="R142" s="508" t="str">
        <f t="shared" ca="1" si="58"/>
        <v>Easement &amp; Right of Way</v>
      </c>
      <c r="S142" s="508" t="str">
        <f t="shared" ca="1" si="59"/>
        <v>Indemnizacion  Servidumbres LMinera</v>
      </c>
      <c r="T142" s="508" t="str">
        <f t="shared" ca="1" si="60"/>
        <v>Indemnizacion  Servidumbres Legales Minera</v>
      </c>
      <c r="U142" s="508" t="str">
        <f t="shared" ca="1" si="61"/>
        <v>683 / 51-11-3339</v>
      </c>
      <c r="V142" s="508">
        <f t="shared" ca="1" si="62"/>
        <v>0</v>
      </c>
      <c r="W142" s="508">
        <f t="shared" ca="1" si="63"/>
        <v>0</v>
      </c>
      <c r="X142" s="508" t="str">
        <f t="shared" ca="1" si="64"/>
        <v>N/A</v>
      </c>
      <c r="Y142" s="508" t="str">
        <f t="shared" ca="1" si="65"/>
        <v>N/A</v>
      </c>
      <c r="Z142" s="508" t="str">
        <f t="shared" ca="1" si="66"/>
        <v>N/A</v>
      </c>
      <c r="AA142" s="508" t="str">
        <f t="shared" ca="1" si="67"/>
        <v>N/A</v>
      </c>
      <c r="AB142" s="508">
        <f t="shared" ca="1" si="68"/>
        <v>1</v>
      </c>
      <c r="AC142" s="508">
        <f t="shared" ca="1" si="69"/>
        <v>0</v>
      </c>
      <c r="AD142" s="912">
        <f t="shared" ca="1" si="70"/>
        <v>4731164.1032682359</v>
      </c>
      <c r="AE142" s="512">
        <f t="shared" ca="1" si="71"/>
        <v>0</v>
      </c>
      <c r="AF142" s="512">
        <f t="shared" ca="1" si="72"/>
        <v>0</v>
      </c>
      <c r="AG142" s="512">
        <f t="shared" ca="1" si="73"/>
        <v>0</v>
      </c>
      <c r="AH142" s="512">
        <f t="shared" ca="1" si="74"/>
        <v>0</v>
      </c>
      <c r="AI142" s="512">
        <f t="shared" ca="1" si="75"/>
        <v>0</v>
      </c>
      <c r="AJ142" s="512">
        <f t="shared" ca="1" si="76"/>
        <v>0</v>
      </c>
      <c r="AK142" s="512">
        <f t="shared" ca="1" si="77"/>
        <v>0</v>
      </c>
      <c r="AL142" s="512">
        <f t="shared" ca="1" si="78"/>
        <v>0</v>
      </c>
      <c r="AM142" s="512">
        <f t="shared" ca="1" si="79"/>
        <v>0</v>
      </c>
      <c r="AN142" s="512">
        <f t="shared" ca="1" si="80"/>
        <v>0</v>
      </c>
      <c r="AO142" s="512">
        <f t="shared" ca="1" si="81"/>
        <v>4731164.1032682359</v>
      </c>
      <c r="AP142" s="512">
        <f t="shared" ca="1" si="82"/>
        <v>0</v>
      </c>
      <c r="AQ142" s="512" t="str">
        <f t="shared" si="83"/>
        <v/>
      </c>
      <c r="AR142" s="512"/>
      <c r="AS142" s="512" t="str">
        <f t="shared" si="84"/>
        <v/>
      </c>
      <c r="AT142" s="151">
        <f t="shared" si="85"/>
        <v>0</v>
      </c>
      <c r="AU142" s="151">
        <f>IFERROR(VLOOKUP(A142,'[7]TD CuentasBDG'!$N$5:$O$21,2,0),0)</f>
        <v>0</v>
      </c>
      <c r="AV142">
        <f t="shared" si="86"/>
        <v>0</v>
      </c>
    </row>
    <row r="143" spans="1:48" ht="45" x14ac:dyDescent="0.25">
      <c r="A143" s="508" t="s">
        <v>1873</v>
      </c>
      <c r="B143" s="508" t="s">
        <v>99</v>
      </c>
      <c r="C143" s="508" t="s">
        <v>1039</v>
      </c>
      <c r="D143" s="508" t="s">
        <v>1805</v>
      </c>
      <c r="E143" s="508"/>
      <c r="F143" s="508"/>
      <c r="G143" s="508" t="s">
        <v>1854</v>
      </c>
      <c r="H143" s="508"/>
      <c r="I143" s="508"/>
      <c r="J143" s="555"/>
      <c r="K143" s="555"/>
      <c r="L143" s="911">
        <f ca="1">IFERROR(INDEX(Lists!$O$2:$Z$2,MATCH(TRUE,INDEX((AE143:AP143&lt;&gt;0),0),0)),DATE(2018,1,1))</f>
        <v>43101</v>
      </c>
      <c r="M143" s="911">
        <f ca="1">IFERROR(INDEX(Lists!$O$3:$Z$3, VALUE(SUBSTITUTE(TEXT(ADDRESS(SUMPRODUCT(MAX((COLUMN(AE143:AP143)*(AE143:AP143&gt;0)))),1),),"$A$",""))-30),DATE(2018,1,1))</f>
        <v>43101</v>
      </c>
      <c r="N143" s="508"/>
      <c r="O143" s="508"/>
      <c r="P143" s="508"/>
      <c r="Q143" s="508"/>
      <c r="R143" s="508" t="str">
        <f t="shared" ca="1" si="58"/>
        <v>Easement &amp; Right of Way</v>
      </c>
      <c r="S143" s="508" t="str">
        <f t="shared" ca="1" si="59"/>
        <v>Tramitacion Servidumbres CORRALES</v>
      </c>
      <c r="T143" s="508" t="str">
        <f t="shared" ca="1" si="60"/>
        <v>Gastos Tramitación Demandas</v>
      </c>
      <c r="U143" s="508" t="str">
        <f t="shared" ca="1" si="61"/>
        <v>683 / 51-11-3339</v>
      </c>
      <c r="V143" s="508">
        <f t="shared" ca="1" si="62"/>
        <v>0</v>
      </c>
      <c r="W143" s="508">
        <f t="shared" ca="1" si="63"/>
        <v>0</v>
      </c>
      <c r="X143" s="508" t="str">
        <f t="shared" ca="1" si="64"/>
        <v>N/A</v>
      </c>
      <c r="Y143" s="508" t="str">
        <f t="shared" ca="1" si="65"/>
        <v>N/A</v>
      </c>
      <c r="Z143" s="508" t="str">
        <f t="shared" ca="1" si="66"/>
        <v>N/A</v>
      </c>
      <c r="AA143" s="508" t="str">
        <f t="shared" ca="1" si="67"/>
        <v>N/A</v>
      </c>
      <c r="AB143" s="508">
        <f t="shared" ca="1" si="68"/>
        <v>1</v>
      </c>
      <c r="AC143" s="508">
        <f t="shared" ca="1" si="69"/>
        <v>0</v>
      </c>
      <c r="AD143" s="912">
        <f t="shared" ca="1" si="70"/>
        <v>0</v>
      </c>
      <c r="AE143" s="512">
        <f t="shared" ca="1" si="71"/>
        <v>0</v>
      </c>
      <c r="AF143" s="512">
        <f t="shared" ca="1" si="72"/>
        <v>0</v>
      </c>
      <c r="AG143" s="512">
        <f t="shared" ca="1" si="73"/>
        <v>0</v>
      </c>
      <c r="AH143" s="512">
        <f t="shared" ca="1" si="74"/>
        <v>0</v>
      </c>
      <c r="AI143" s="512">
        <f t="shared" ca="1" si="75"/>
        <v>0</v>
      </c>
      <c r="AJ143" s="512">
        <f t="shared" ca="1" si="76"/>
        <v>0</v>
      </c>
      <c r="AK143" s="512">
        <f t="shared" ca="1" si="77"/>
        <v>0</v>
      </c>
      <c r="AL143" s="512">
        <f t="shared" ca="1" si="78"/>
        <v>0</v>
      </c>
      <c r="AM143" s="512">
        <f t="shared" ca="1" si="79"/>
        <v>0</v>
      </c>
      <c r="AN143" s="512">
        <f t="shared" ca="1" si="80"/>
        <v>0</v>
      </c>
      <c r="AO143" s="512">
        <f t="shared" ca="1" si="81"/>
        <v>0</v>
      </c>
      <c r="AP143" s="512">
        <f t="shared" ca="1" si="82"/>
        <v>0</v>
      </c>
      <c r="AQ143" s="512" t="str">
        <f t="shared" si="83"/>
        <v/>
      </c>
      <c r="AR143" s="512"/>
      <c r="AS143" s="512" t="str">
        <f t="shared" si="84"/>
        <v/>
      </c>
      <c r="AT143" s="151">
        <f t="shared" si="85"/>
        <v>0</v>
      </c>
      <c r="AU143" s="151">
        <f>IFERROR(VLOOKUP(A143,'[7]TD CuentasBDG'!$N$5:$O$21,2,0),0)</f>
        <v>0</v>
      </c>
      <c r="AV143">
        <f t="shared" si="86"/>
        <v>0</v>
      </c>
    </row>
    <row r="144" spans="1:48" ht="30" x14ac:dyDescent="0.25">
      <c r="A144" s="508" t="s">
        <v>1874</v>
      </c>
      <c r="B144" s="508" t="s">
        <v>99</v>
      </c>
      <c r="C144" s="508" t="s">
        <v>1039</v>
      </c>
      <c r="D144" s="508" t="s">
        <v>1805</v>
      </c>
      <c r="E144" s="508"/>
      <c r="F144" s="508"/>
      <c r="G144" s="508" t="s">
        <v>1854</v>
      </c>
      <c r="H144" s="508"/>
      <c r="I144" s="508"/>
      <c r="J144" s="555"/>
      <c r="K144" s="555"/>
      <c r="L144" s="911">
        <f ca="1">IFERROR(INDEX(Lists!$O$2:$Z$2,MATCH(TRUE,INDEX((AE144:AP144&lt;&gt;0),0),0)),DATE(2018,1,1))</f>
        <v>43101</v>
      </c>
      <c r="M144" s="911">
        <f ca="1">IFERROR(INDEX(Lists!$O$3:$Z$3, VALUE(SUBSTITUTE(TEXT(ADDRESS(SUMPRODUCT(MAX((COLUMN(AE144:AP144)*(AE144:AP144&gt;0)))),1),),"$A$",""))-30),DATE(2018,1,1))</f>
        <v>43101</v>
      </c>
      <c r="N144" s="508"/>
      <c r="O144" s="508"/>
      <c r="P144" s="508"/>
      <c r="Q144" s="508"/>
      <c r="R144" s="508" t="str">
        <f t="shared" ca="1" si="58"/>
        <v>Easement &amp; Right of Way</v>
      </c>
      <c r="S144" s="508" t="str">
        <f t="shared" ca="1" si="59"/>
        <v>Indemnizacion  Serv. CORRALES</v>
      </c>
      <c r="T144" s="508" t="str">
        <f t="shared" ca="1" si="60"/>
        <v>Indemnizacion  Servidumbres Legales Minera</v>
      </c>
      <c r="U144" s="508" t="str">
        <f t="shared" ca="1" si="61"/>
        <v>683 / 51-11-3339</v>
      </c>
      <c r="V144" s="508">
        <f t="shared" ca="1" si="62"/>
        <v>0</v>
      </c>
      <c r="W144" s="508">
        <f t="shared" ca="1" si="63"/>
        <v>0</v>
      </c>
      <c r="X144" s="508" t="str">
        <f t="shared" ca="1" si="64"/>
        <v>N/A</v>
      </c>
      <c r="Y144" s="508" t="str">
        <f t="shared" ca="1" si="65"/>
        <v>N/A</v>
      </c>
      <c r="Z144" s="508" t="str">
        <f t="shared" ca="1" si="66"/>
        <v>N/A</v>
      </c>
      <c r="AA144" s="508" t="str">
        <f t="shared" ca="1" si="67"/>
        <v>N/A</v>
      </c>
      <c r="AB144" s="508">
        <f t="shared" ca="1" si="68"/>
        <v>1</v>
      </c>
      <c r="AC144" s="508">
        <f t="shared" ca="1" si="69"/>
        <v>0</v>
      </c>
      <c r="AD144" s="912">
        <f t="shared" ca="1" si="70"/>
        <v>0</v>
      </c>
      <c r="AE144" s="512">
        <f t="shared" ca="1" si="71"/>
        <v>0</v>
      </c>
      <c r="AF144" s="512">
        <f t="shared" ca="1" si="72"/>
        <v>0</v>
      </c>
      <c r="AG144" s="512">
        <f t="shared" ca="1" si="73"/>
        <v>0</v>
      </c>
      <c r="AH144" s="512">
        <f t="shared" ca="1" si="74"/>
        <v>0</v>
      </c>
      <c r="AI144" s="512">
        <f t="shared" ca="1" si="75"/>
        <v>0</v>
      </c>
      <c r="AJ144" s="512">
        <f t="shared" ca="1" si="76"/>
        <v>0</v>
      </c>
      <c r="AK144" s="512">
        <f t="shared" ca="1" si="77"/>
        <v>0</v>
      </c>
      <c r="AL144" s="512">
        <f t="shared" ca="1" si="78"/>
        <v>0</v>
      </c>
      <c r="AM144" s="512">
        <f t="shared" ca="1" si="79"/>
        <v>0</v>
      </c>
      <c r="AN144" s="512">
        <f t="shared" ca="1" si="80"/>
        <v>0</v>
      </c>
      <c r="AO144" s="512">
        <f t="shared" ca="1" si="81"/>
        <v>0</v>
      </c>
      <c r="AP144" s="512">
        <f t="shared" ca="1" si="82"/>
        <v>0</v>
      </c>
      <c r="AQ144" s="512" t="str">
        <f t="shared" si="83"/>
        <v/>
      </c>
      <c r="AR144" s="512"/>
      <c r="AS144" s="512" t="str">
        <f t="shared" si="84"/>
        <v/>
      </c>
      <c r="AT144" s="151">
        <f t="shared" si="85"/>
        <v>0</v>
      </c>
      <c r="AU144" s="151">
        <f>IFERROR(VLOOKUP(A144,'[7]TD CuentasBDG'!$N$5:$O$21,2,0),0)</f>
        <v>0</v>
      </c>
      <c r="AV144">
        <f t="shared" si="86"/>
        <v>0</v>
      </c>
    </row>
    <row r="145" spans="1:50" ht="45" x14ac:dyDescent="0.25">
      <c r="A145" s="508" t="s">
        <v>1875</v>
      </c>
      <c r="B145" s="508" t="s">
        <v>99</v>
      </c>
      <c r="C145" s="508" t="s">
        <v>1039</v>
      </c>
      <c r="D145" s="508" t="s">
        <v>1805</v>
      </c>
      <c r="E145" s="508"/>
      <c r="F145" s="508"/>
      <c r="G145" s="508" t="s">
        <v>1854</v>
      </c>
      <c r="H145" s="508"/>
      <c r="I145" s="508"/>
      <c r="J145" s="555"/>
      <c r="K145" s="555"/>
      <c r="L145" s="911">
        <f ca="1">IFERROR(INDEX(Lists!$O$2:$Z$2,MATCH(TRUE,INDEX((AE145:AP145&lt;&gt;0),0),0)),DATE(2018,1,1))</f>
        <v>43252</v>
      </c>
      <c r="M145" s="911">
        <f ca="1">IFERROR(INDEX(Lists!$O$3:$Z$3, VALUE(SUBSTITUTE(TEXT(ADDRESS(SUMPRODUCT(MAX((COLUMN(AE145:AP145)*(AE145:AP145&gt;0)))),1),),"$A$",""))-30),DATE(2018,1,1))</f>
        <v>43465</v>
      </c>
      <c r="N145" s="508"/>
      <c r="O145" s="508"/>
      <c r="P145" s="508"/>
      <c r="Q145" s="508"/>
      <c r="R145" s="508" t="str">
        <f t="shared" ca="1" si="58"/>
        <v>Easement &amp; Right of Way</v>
      </c>
      <c r="S145" s="508" t="str">
        <f t="shared" ca="1" si="59"/>
        <v xml:space="preserve">Tramitacion Servidumbres Electrica </v>
      </c>
      <c r="T145" s="508" t="str">
        <f t="shared" ca="1" si="60"/>
        <v>Gastos Tramitación Servidumbres electricas</v>
      </c>
      <c r="U145" s="508" t="str">
        <f t="shared" ca="1" si="61"/>
        <v>683 / 51-11-3339</v>
      </c>
      <c r="V145" s="508">
        <f t="shared" ca="1" si="62"/>
        <v>0</v>
      </c>
      <c r="W145" s="508">
        <f t="shared" ca="1" si="63"/>
        <v>0</v>
      </c>
      <c r="X145" s="508" t="str">
        <f t="shared" ca="1" si="64"/>
        <v>N/A</v>
      </c>
      <c r="Y145" s="508" t="str">
        <f t="shared" ca="1" si="65"/>
        <v>N/A</v>
      </c>
      <c r="Z145" s="508" t="str">
        <f t="shared" ca="1" si="66"/>
        <v>N/A</v>
      </c>
      <c r="AA145" s="508" t="str">
        <f t="shared" ca="1" si="67"/>
        <v>N/A</v>
      </c>
      <c r="AB145" s="508">
        <f t="shared" ca="1" si="68"/>
        <v>7</v>
      </c>
      <c r="AC145" s="508">
        <f t="shared" ca="1" si="69"/>
        <v>0</v>
      </c>
      <c r="AD145" s="912">
        <f t="shared" ca="1" si="70"/>
        <v>259554.76764705882</v>
      </c>
      <c r="AE145" s="512">
        <f t="shared" ca="1" si="71"/>
        <v>0</v>
      </c>
      <c r="AF145" s="512">
        <f t="shared" ca="1" si="72"/>
        <v>0</v>
      </c>
      <c r="AG145" s="512">
        <f t="shared" ca="1" si="73"/>
        <v>0</v>
      </c>
      <c r="AH145" s="512">
        <f t="shared" ca="1" si="74"/>
        <v>0</v>
      </c>
      <c r="AI145" s="512">
        <f t="shared" ca="1" si="75"/>
        <v>0</v>
      </c>
      <c r="AJ145" s="512">
        <f t="shared" ca="1" si="76"/>
        <v>7169.1176470588234</v>
      </c>
      <c r="AK145" s="512">
        <f t="shared" ca="1" si="77"/>
        <v>12867.64705882353</v>
      </c>
      <c r="AL145" s="512">
        <f t="shared" ca="1" si="78"/>
        <v>238782.70882352942</v>
      </c>
      <c r="AM145" s="512">
        <f t="shared" ca="1" si="79"/>
        <v>0</v>
      </c>
      <c r="AN145" s="512">
        <f t="shared" ca="1" si="80"/>
        <v>0</v>
      </c>
      <c r="AO145" s="512">
        <f t="shared" ca="1" si="81"/>
        <v>0</v>
      </c>
      <c r="AP145" s="512">
        <f t="shared" ca="1" si="82"/>
        <v>735.29411764705878</v>
      </c>
      <c r="AQ145" s="512" t="str">
        <f t="shared" si="83"/>
        <v/>
      </c>
      <c r="AR145" s="512"/>
      <c r="AS145" s="512" t="str">
        <f t="shared" si="84"/>
        <v/>
      </c>
      <c r="AT145" s="151">
        <f t="shared" si="85"/>
        <v>0</v>
      </c>
      <c r="AU145" s="151">
        <f>IFERROR(VLOOKUP(A145,'[7]TD CuentasBDG'!$N$5:$O$21,2,0),0)</f>
        <v>0</v>
      </c>
      <c r="AV145">
        <f t="shared" si="86"/>
        <v>0</v>
      </c>
    </row>
    <row r="146" spans="1:50" ht="30" x14ac:dyDescent="0.25">
      <c r="A146" s="508" t="s">
        <v>1876</v>
      </c>
      <c r="B146" s="508" t="s">
        <v>99</v>
      </c>
      <c r="C146" s="508" t="s">
        <v>1039</v>
      </c>
      <c r="D146" s="508" t="s">
        <v>1805</v>
      </c>
      <c r="E146" s="508"/>
      <c r="F146" s="508"/>
      <c r="G146" s="508" t="s">
        <v>1854</v>
      </c>
      <c r="H146" s="508"/>
      <c r="I146" s="508"/>
      <c r="J146" s="555"/>
      <c r="K146" s="555"/>
      <c r="L146" s="911">
        <f ca="1">IFERROR(INDEX(Lists!$O$2:$Z$2,MATCH(TRUE,INDEX((AE146:AP146&lt;&gt;0),0),0)),DATE(2018,1,1))</f>
        <v>43101</v>
      </c>
      <c r="M146" s="911">
        <f ca="1">IFERROR(INDEX(Lists!$O$3:$Z$3, VALUE(SUBSTITUTE(TEXT(ADDRESS(SUMPRODUCT(MAX((COLUMN(AE146:AP146)*(AE146:AP146&gt;0)))),1),),"$A$",""))-30),DATE(2018,1,1))</f>
        <v>43101</v>
      </c>
      <c r="N146" s="508"/>
      <c r="O146" s="508"/>
      <c r="P146" s="508"/>
      <c r="Q146" s="508"/>
      <c r="R146" s="508" t="str">
        <f t="shared" ca="1" si="58"/>
        <v>Easement &amp; Right of Way</v>
      </c>
      <c r="S146" s="508" t="str">
        <f t="shared" ca="1" si="59"/>
        <v>Indemnizacion  Serv. Electrica</v>
      </c>
      <c r="T146" s="508" t="str">
        <f t="shared" ca="1" si="60"/>
        <v>Indemnizacion  Serv. Electrica</v>
      </c>
      <c r="U146" s="508" t="str">
        <f t="shared" ca="1" si="61"/>
        <v>683 / 51-11-3339</v>
      </c>
      <c r="V146" s="508">
        <f t="shared" ca="1" si="62"/>
        <v>0</v>
      </c>
      <c r="W146" s="508">
        <f t="shared" ca="1" si="63"/>
        <v>0</v>
      </c>
      <c r="X146" s="508" t="str">
        <f t="shared" ca="1" si="64"/>
        <v>N/A</v>
      </c>
      <c r="Y146" s="508" t="str">
        <f t="shared" ca="1" si="65"/>
        <v>N/A</v>
      </c>
      <c r="Z146" s="508" t="str">
        <f t="shared" ca="1" si="66"/>
        <v>N/A</v>
      </c>
      <c r="AA146" s="508" t="str">
        <f t="shared" ca="1" si="67"/>
        <v>N/A</v>
      </c>
      <c r="AB146" s="508">
        <f t="shared" ca="1" si="68"/>
        <v>1</v>
      </c>
      <c r="AC146" s="508">
        <f t="shared" ca="1" si="69"/>
        <v>0</v>
      </c>
      <c r="AD146" s="912">
        <f t="shared" ca="1" si="70"/>
        <v>0</v>
      </c>
      <c r="AE146" s="512">
        <f t="shared" ca="1" si="71"/>
        <v>0</v>
      </c>
      <c r="AF146" s="512">
        <f t="shared" ca="1" si="72"/>
        <v>0</v>
      </c>
      <c r="AG146" s="512">
        <f t="shared" ca="1" si="73"/>
        <v>0</v>
      </c>
      <c r="AH146" s="512">
        <f t="shared" ca="1" si="74"/>
        <v>0</v>
      </c>
      <c r="AI146" s="512">
        <f t="shared" ca="1" si="75"/>
        <v>0</v>
      </c>
      <c r="AJ146" s="512">
        <f t="shared" ca="1" si="76"/>
        <v>0</v>
      </c>
      <c r="AK146" s="512">
        <f t="shared" ca="1" si="77"/>
        <v>0</v>
      </c>
      <c r="AL146" s="512">
        <f t="shared" ca="1" si="78"/>
        <v>0</v>
      </c>
      <c r="AM146" s="512">
        <f t="shared" ca="1" si="79"/>
        <v>0</v>
      </c>
      <c r="AN146" s="512">
        <f t="shared" ca="1" si="80"/>
        <v>0</v>
      </c>
      <c r="AO146" s="512">
        <f t="shared" ca="1" si="81"/>
        <v>0</v>
      </c>
      <c r="AP146" s="512">
        <f t="shared" ca="1" si="82"/>
        <v>0</v>
      </c>
      <c r="AQ146" s="512" t="str">
        <f t="shared" si="83"/>
        <v/>
      </c>
      <c r="AR146" s="512"/>
      <c r="AS146" s="512" t="str">
        <f t="shared" si="84"/>
        <v/>
      </c>
      <c r="AT146" s="151">
        <f t="shared" si="85"/>
        <v>0</v>
      </c>
      <c r="AU146" s="151">
        <f>IFERROR(VLOOKUP(A146,'[7]TD CuentasBDG'!$N$5:$O$21,2,0),0)</f>
        <v>0</v>
      </c>
      <c r="AV146">
        <f t="shared" si="86"/>
        <v>0</v>
      </c>
    </row>
    <row r="147" spans="1:50" ht="30" x14ac:dyDescent="0.25">
      <c r="A147" s="508" t="s">
        <v>1877</v>
      </c>
      <c r="B147" s="508" t="s">
        <v>99</v>
      </c>
      <c r="C147" s="508" t="s">
        <v>1039</v>
      </c>
      <c r="D147" s="508" t="s">
        <v>1805</v>
      </c>
      <c r="E147" s="508"/>
      <c r="F147" s="508"/>
      <c r="G147" s="508" t="s">
        <v>1854</v>
      </c>
      <c r="H147" s="508"/>
      <c r="I147" s="508"/>
      <c r="J147" s="555"/>
      <c r="K147" s="555"/>
      <c r="L147" s="911">
        <f ca="1">IFERROR(INDEX(Lists!$O$2:$Z$2,MATCH(TRUE,INDEX((AE147:AP147&lt;&gt;0),0),0)),DATE(2018,1,1))</f>
        <v>43221</v>
      </c>
      <c r="M147" s="911">
        <f ca="1">IFERROR(INDEX(Lists!$O$3:$Z$3, VALUE(SUBSTITUTE(TEXT(ADDRESS(SUMPRODUCT(MAX((COLUMN(AE147:AP147)*(AE147:AP147&gt;0)))),1),),"$A$",""))-30),DATE(2018,1,1))</f>
        <v>43465</v>
      </c>
      <c r="N147" s="508"/>
      <c r="O147" s="508"/>
      <c r="P147" s="508"/>
      <c r="Q147" s="508"/>
      <c r="R147" s="508" t="str">
        <f t="shared" ca="1" si="58"/>
        <v>Easement &amp; Right of Way</v>
      </c>
      <c r="S147" s="508" t="str">
        <f t="shared" ca="1" si="59"/>
        <v>Contingency Easements Sep 2018</v>
      </c>
      <c r="T147" s="508" t="str">
        <f t="shared" ca="1" si="60"/>
        <v>Contingencia (20%)</v>
      </c>
      <c r="U147" s="508" t="str">
        <f t="shared" ca="1" si="61"/>
        <v>683 / 51-11-3339</v>
      </c>
      <c r="V147" s="508">
        <f t="shared" ca="1" si="62"/>
        <v>0</v>
      </c>
      <c r="W147" s="508">
        <f t="shared" ca="1" si="63"/>
        <v>0</v>
      </c>
      <c r="X147" s="508" t="str">
        <f t="shared" ca="1" si="64"/>
        <v>N/A</v>
      </c>
      <c r="Y147" s="508" t="str">
        <f t="shared" ca="1" si="65"/>
        <v>N/A</v>
      </c>
      <c r="Z147" s="508" t="str">
        <f t="shared" ca="1" si="66"/>
        <v>N/A</v>
      </c>
      <c r="AA147" s="508" t="str">
        <f t="shared" ca="1" si="67"/>
        <v>N/A</v>
      </c>
      <c r="AB147" s="508">
        <f t="shared" ca="1" si="68"/>
        <v>8</v>
      </c>
      <c r="AC147" s="508">
        <f t="shared" ca="1" si="69"/>
        <v>0</v>
      </c>
      <c r="AD147" s="912">
        <f t="shared" ca="1" si="70"/>
        <v>1138553.3330065883</v>
      </c>
      <c r="AE147" s="512">
        <f t="shared" ca="1" si="71"/>
        <v>0</v>
      </c>
      <c r="AF147" s="512">
        <f t="shared" ca="1" si="72"/>
        <v>0</v>
      </c>
      <c r="AG147" s="512">
        <f t="shared" ca="1" si="73"/>
        <v>0</v>
      </c>
      <c r="AH147" s="512">
        <f t="shared" ca="1" si="74"/>
        <v>0</v>
      </c>
      <c r="AI147" s="512">
        <f t="shared" ca="1" si="75"/>
        <v>5147.0588235294144</v>
      </c>
      <c r="AJ147" s="512">
        <f t="shared" ca="1" si="76"/>
        <v>5294.1176470588225</v>
      </c>
      <c r="AK147" s="512">
        <f t="shared" ca="1" si="77"/>
        <v>42126.470588235279</v>
      </c>
      <c r="AL147" s="512">
        <f t="shared" ca="1" si="78"/>
        <v>47756.541764705886</v>
      </c>
      <c r="AM147" s="512">
        <f t="shared" ca="1" si="79"/>
        <v>20529.411764705899</v>
      </c>
      <c r="AN147" s="512">
        <f t="shared" ca="1" si="80"/>
        <v>19906.25</v>
      </c>
      <c r="AO147" s="512">
        <f t="shared" ca="1" si="81"/>
        <v>969879.8794771767</v>
      </c>
      <c r="AP147" s="512">
        <f t="shared" ca="1" si="82"/>
        <v>27913.602941176472</v>
      </c>
      <c r="AQ147" s="512" t="str">
        <f t="shared" si="83"/>
        <v/>
      </c>
      <c r="AR147" s="512"/>
      <c r="AS147" s="512" t="str">
        <f t="shared" si="84"/>
        <v/>
      </c>
      <c r="AT147" s="151">
        <f t="shared" si="85"/>
        <v>0</v>
      </c>
      <c r="AU147" s="151">
        <f>IFERROR(VLOOKUP(A147,'[7]TD CuentasBDG'!$N$5:$O$21,2,0),0)</f>
        <v>0</v>
      </c>
      <c r="AV147">
        <f t="shared" si="86"/>
        <v>0</v>
      </c>
    </row>
    <row r="148" spans="1:50" ht="21" customHeight="1" x14ac:dyDescent="0.25">
      <c r="A148" s="508" t="s">
        <v>1878</v>
      </c>
      <c r="B148" s="508" t="s">
        <v>99</v>
      </c>
      <c r="C148" s="508" t="s">
        <v>1039</v>
      </c>
      <c r="D148" s="508" t="s">
        <v>1805</v>
      </c>
      <c r="E148" s="508"/>
      <c r="F148" s="508"/>
      <c r="G148" s="508" t="s">
        <v>1665</v>
      </c>
      <c r="H148" s="508"/>
      <c r="I148" s="508"/>
      <c r="J148" s="555"/>
      <c r="K148" s="555"/>
      <c r="L148" s="911">
        <f ca="1">IFERROR(INDEX(Lists!$O$2:$Z$2,MATCH(TRUE,INDEX((AE148:AP148&lt;&gt;0),0),0)),DATE(2018,1,1))</f>
        <v>43282</v>
      </c>
      <c r="M148" s="911">
        <f ca="1">IFERROR(INDEX(Lists!$O$3:$Z$3, VALUE(SUBSTITUTE(TEXT(ADDRESS(SUMPRODUCT(MAX((COLUMN(AE148:AP148)*(AE148:AP148&gt;0)))),1),),"$A$",""))-30),DATE(2018,1,1))</f>
        <v>43465</v>
      </c>
      <c r="N148" s="508"/>
      <c r="O148" s="508"/>
      <c r="P148" s="508"/>
      <c r="Q148" s="508"/>
      <c r="R148" s="508" t="str">
        <f t="shared" ca="1" si="58"/>
        <v xml:space="preserve">Predios Compensación </v>
      </c>
      <c r="S148" s="508" t="str">
        <f t="shared" ca="1" si="59"/>
        <v>Predios Compensación Ambiental</v>
      </c>
      <c r="T148" s="508" t="str">
        <f t="shared" ca="1" si="60"/>
        <v>Pagos Contrato de Promesa Predio Compensación (1era cuota)</v>
      </c>
      <c r="U148" s="508" t="str">
        <f t="shared" ca="1" si="61"/>
        <v>683 / 51-11-3339</v>
      </c>
      <c r="V148" s="508">
        <f t="shared" ca="1" si="62"/>
        <v>0</v>
      </c>
      <c r="W148" s="508">
        <f t="shared" ca="1" si="63"/>
        <v>0</v>
      </c>
      <c r="X148" s="508" t="str">
        <f t="shared" ca="1" si="64"/>
        <v>N/A</v>
      </c>
      <c r="Y148" s="508" t="str">
        <f t="shared" ca="1" si="65"/>
        <v>N/A</v>
      </c>
      <c r="Z148" s="508" t="str">
        <f t="shared" ca="1" si="66"/>
        <v>N/A</v>
      </c>
      <c r="AA148" s="508" t="str">
        <f t="shared" ca="1" si="67"/>
        <v>N/A</v>
      </c>
      <c r="AB148" s="508">
        <f t="shared" ca="1" si="68"/>
        <v>6</v>
      </c>
      <c r="AC148" s="508">
        <f t="shared" ca="1" si="69"/>
        <v>0</v>
      </c>
      <c r="AD148" s="912">
        <f t="shared" ca="1" si="70"/>
        <v>60000</v>
      </c>
      <c r="AE148" s="512">
        <f t="shared" ca="1" si="71"/>
        <v>0</v>
      </c>
      <c r="AF148" s="512">
        <f t="shared" ca="1" si="72"/>
        <v>0</v>
      </c>
      <c r="AG148" s="512">
        <f t="shared" ca="1" si="73"/>
        <v>0</v>
      </c>
      <c r="AH148" s="512">
        <f t="shared" ca="1" si="74"/>
        <v>0</v>
      </c>
      <c r="AI148" s="512">
        <f t="shared" ca="1" si="75"/>
        <v>0</v>
      </c>
      <c r="AJ148" s="512">
        <f t="shared" ca="1" si="76"/>
        <v>0</v>
      </c>
      <c r="AK148" s="512">
        <f t="shared" ca="1" si="77"/>
        <v>20000</v>
      </c>
      <c r="AL148" s="512">
        <f t="shared" ca="1" si="78"/>
        <v>0</v>
      </c>
      <c r="AM148" s="512">
        <f t="shared" ca="1" si="79"/>
        <v>0</v>
      </c>
      <c r="AN148" s="512">
        <f t="shared" ca="1" si="80"/>
        <v>20000</v>
      </c>
      <c r="AO148" s="512">
        <f t="shared" ca="1" si="81"/>
        <v>0</v>
      </c>
      <c r="AP148" s="512">
        <f t="shared" ca="1" si="82"/>
        <v>20000</v>
      </c>
      <c r="AQ148" s="512" t="str">
        <f t="shared" si="83"/>
        <v/>
      </c>
      <c r="AR148" s="512"/>
      <c r="AS148" s="512" t="str">
        <f t="shared" si="84"/>
        <v/>
      </c>
      <c r="AT148" s="151">
        <f t="shared" si="85"/>
        <v>0</v>
      </c>
      <c r="AU148" s="151">
        <f>IFERROR(VLOOKUP(A148,'[7]TD CuentasBDG'!$N$5:$O$21,2,0),0)</f>
        <v>0</v>
      </c>
      <c r="AV148">
        <f t="shared" si="86"/>
        <v>0</v>
      </c>
    </row>
    <row r="149" spans="1:50" ht="30" x14ac:dyDescent="0.25">
      <c r="A149" s="508" t="s">
        <v>1879</v>
      </c>
      <c r="B149" s="508" t="s">
        <v>99</v>
      </c>
      <c r="C149" s="508" t="s">
        <v>1039</v>
      </c>
      <c r="D149" s="508" t="s">
        <v>1805</v>
      </c>
      <c r="E149" s="508"/>
      <c r="F149" s="508"/>
      <c r="G149" s="508" t="s">
        <v>1665</v>
      </c>
      <c r="H149" s="508"/>
      <c r="I149" s="508"/>
      <c r="J149" s="555"/>
      <c r="K149" s="555"/>
      <c r="L149" s="911">
        <f ca="1">IFERROR(INDEX(Lists!$O$2:$Z$2,MATCH(TRUE,INDEX((AE149:AP149&lt;&gt;0),0),0)),DATE(2018,1,1))</f>
        <v>43101</v>
      </c>
      <c r="M149" s="911">
        <f ca="1">IFERROR(INDEX(Lists!$O$3:$Z$3, VALUE(SUBSTITUTE(TEXT(ADDRESS(SUMPRODUCT(MAX((COLUMN(AE149:AP149)*(AE149:AP149&gt;0)))),1),),"$A$",""))-30),DATE(2018,1,1))</f>
        <v>43101</v>
      </c>
      <c r="N149" s="508"/>
      <c r="O149" s="508"/>
      <c r="P149" s="508"/>
      <c r="Q149" s="508"/>
      <c r="R149" s="508" t="str">
        <f t="shared" ca="1" si="58"/>
        <v xml:space="preserve">Predios Compensación </v>
      </c>
      <c r="S149" s="508" t="str">
        <f t="shared" ca="1" si="59"/>
        <v>Predios Reasentamiento</v>
      </c>
      <c r="T149" s="508" t="str">
        <f t="shared" ca="1" si="60"/>
        <v>Pagos Predio Reasentamiento</v>
      </c>
      <c r="U149" s="508" t="str">
        <f t="shared" ca="1" si="61"/>
        <v>683 / 51-11-3339</v>
      </c>
      <c r="V149" s="508">
        <f t="shared" ca="1" si="62"/>
        <v>0</v>
      </c>
      <c r="W149" s="508">
        <f t="shared" ca="1" si="63"/>
        <v>0</v>
      </c>
      <c r="X149" s="508" t="str">
        <f t="shared" ca="1" si="64"/>
        <v>N/A</v>
      </c>
      <c r="Y149" s="508" t="str">
        <f t="shared" ca="1" si="65"/>
        <v>N/A</v>
      </c>
      <c r="Z149" s="508" t="str">
        <f t="shared" ca="1" si="66"/>
        <v>N/A</v>
      </c>
      <c r="AA149" s="508" t="str">
        <f t="shared" ca="1" si="67"/>
        <v>N/A</v>
      </c>
      <c r="AB149" s="508">
        <f t="shared" ca="1" si="68"/>
        <v>1</v>
      </c>
      <c r="AC149" s="508">
        <f t="shared" ca="1" si="69"/>
        <v>0</v>
      </c>
      <c r="AD149" s="912">
        <f t="shared" ca="1" si="70"/>
        <v>0</v>
      </c>
      <c r="AE149" s="512">
        <f t="shared" ca="1" si="71"/>
        <v>0</v>
      </c>
      <c r="AF149" s="512">
        <f t="shared" ca="1" si="72"/>
        <v>0</v>
      </c>
      <c r="AG149" s="512">
        <f t="shared" ca="1" si="73"/>
        <v>0</v>
      </c>
      <c r="AH149" s="512">
        <f t="shared" ca="1" si="74"/>
        <v>0</v>
      </c>
      <c r="AI149" s="512">
        <f t="shared" ca="1" si="75"/>
        <v>0</v>
      </c>
      <c r="AJ149" s="512">
        <f t="shared" ca="1" si="76"/>
        <v>0</v>
      </c>
      <c r="AK149" s="512">
        <f t="shared" ca="1" si="77"/>
        <v>0</v>
      </c>
      <c r="AL149" s="512">
        <f t="shared" ca="1" si="78"/>
        <v>0</v>
      </c>
      <c r="AM149" s="512">
        <f t="shared" ca="1" si="79"/>
        <v>0</v>
      </c>
      <c r="AN149" s="512">
        <f t="shared" ca="1" si="80"/>
        <v>0</v>
      </c>
      <c r="AO149" s="512">
        <f t="shared" ca="1" si="81"/>
        <v>0</v>
      </c>
      <c r="AP149" s="512">
        <f t="shared" ca="1" si="82"/>
        <v>0</v>
      </c>
      <c r="AQ149" s="512" t="str">
        <f t="shared" si="83"/>
        <v/>
      </c>
      <c r="AR149" s="512"/>
      <c r="AS149" s="512" t="str">
        <f t="shared" si="84"/>
        <v/>
      </c>
      <c r="AT149" s="151">
        <f t="shared" si="85"/>
        <v>0</v>
      </c>
      <c r="AU149" s="151">
        <f>IFERROR(VLOOKUP(A149,'[7]TD CuentasBDG'!$N$5:$O$21,2,0),0)</f>
        <v>0</v>
      </c>
      <c r="AV149">
        <f t="shared" si="86"/>
        <v>0</v>
      </c>
    </row>
    <row r="150" spans="1:50" ht="30" x14ac:dyDescent="0.25">
      <c r="A150" s="508" t="s">
        <v>1880</v>
      </c>
      <c r="B150" s="508" t="s">
        <v>99</v>
      </c>
      <c r="C150" s="508" t="s">
        <v>1039</v>
      </c>
      <c r="D150" s="508" t="s">
        <v>1805</v>
      </c>
      <c r="E150" s="508"/>
      <c r="F150" s="508"/>
      <c r="G150" s="508" t="s">
        <v>1665</v>
      </c>
      <c r="H150" s="508"/>
      <c r="I150" s="508"/>
      <c r="J150" s="555"/>
      <c r="K150" s="555"/>
      <c r="L150" s="911">
        <f ca="1">IFERROR(INDEX(Lists!$O$2:$Z$2,MATCH(TRUE,INDEX((AE150:AP150&lt;&gt;0),0),0)),DATE(2018,1,1))</f>
        <v>43101</v>
      </c>
      <c r="M150" s="911">
        <f ca="1">IFERROR(INDEX(Lists!$O$3:$Z$3, VALUE(SUBSTITUTE(TEXT(ADDRESS(SUMPRODUCT(MAX((COLUMN(AE150:AP150)*(AE150:AP150&gt;0)))),1),),"$A$",""))-30),DATE(2018,1,1))</f>
        <v>43101</v>
      </c>
      <c r="N150" s="508"/>
      <c r="O150" s="508"/>
      <c r="P150" s="508"/>
      <c r="Q150" s="508"/>
      <c r="R150" s="508" t="str">
        <f t="shared" ca="1" si="58"/>
        <v xml:space="preserve">Predios Compensación </v>
      </c>
      <c r="S150" s="508" t="str">
        <f t="shared" ca="1" si="59"/>
        <v>Plan de Cierre</v>
      </c>
      <c r="T150" s="508" t="str">
        <f t="shared" ca="1" si="60"/>
        <v>Plan de Cierre Proyecto  (Prorroga Servidumbres)</v>
      </c>
      <c r="U150" s="508" t="str">
        <f t="shared" ca="1" si="61"/>
        <v>683 / 51-11-3339</v>
      </c>
      <c r="V150" s="508">
        <f t="shared" ca="1" si="62"/>
        <v>0</v>
      </c>
      <c r="W150" s="508">
        <f t="shared" ca="1" si="63"/>
        <v>0</v>
      </c>
      <c r="X150" s="508" t="str">
        <f t="shared" ca="1" si="64"/>
        <v>N/A</v>
      </c>
      <c r="Y150" s="508" t="str">
        <f t="shared" ca="1" si="65"/>
        <v>N/A</v>
      </c>
      <c r="Z150" s="508" t="str">
        <f t="shared" ca="1" si="66"/>
        <v>N/A</v>
      </c>
      <c r="AA150" s="508" t="str">
        <f t="shared" ca="1" si="67"/>
        <v>N/A</v>
      </c>
      <c r="AB150" s="508">
        <f t="shared" ca="1" si="68"/>
        <v>1</v>
      </c>
      <c r="AC150" s="508">
        <f t="shared" ca="1" si="69"/>
        <v>0</v>
      </c>
      <c r="AD150" s="912">
        <f t="shared" ca="1" si="70"/>
        <v>0</v>
      </c>
      <c r="AE150" s="512">
        <f t="shared" ca="1" si="71"/>
        <v>0</v>
      </c>
      <c r="AF150" s="512">
        <f t="shared" ca="1" si="72"/>
        <v>0</v>
      </c>
      <c r="AG150" s="512">
        <f t="shared" ca="1" si="73"/>
        <v>0</v>
      </c>
      <c r="AH150" s="512">
        <f t="shared" ca="1" si="74"/>
        <v>0</v>
      </c>
      <c r="AI150" s="512">
        <f t="shared" ca="1" si="75"/>
        <v>0</v>
      </c>
      <c r="AJ150" s="512">
        <f t="shared" ca="1" si="76"/>
        <v>0</v>
      </c>
      <c r="AK150" s="512">
        <f t="shared" ca="1" si="77"/>
        <v>0</v>
      </c>
      <c r="AL150" s="512">
        <f t="shared" ca="1" si="78"/>
        <v>0</v>
      </c>
      <c r="AM150" s="512">
        <f t="shared" ca="1" si="79"/>
        <v>0</v>
      </c>
      <c r="AN150" s="512">
        <f t="shared" ca="1" si="80"/>
        <v>0</v>
      </c>
      <c r="AO150" s="512">
        <f t="shared" ca="1" si="81"/>
        <v>0</v>
      </c>
      <c r="AP150" s="512">
        <f t="shared" ca="1" si="82"/>
        <v>0</v>
      </c>
      <c r="AQ150" s="512" t="str">
        <f t="shared" si="83"/>
        <v/>
      </c>
      <c r="AR150" s="512"/>
      <c r="AS150" s="512" t="str">
        <f t="shared" si="84"/>
        <v/>
      </c>
      <c r="AT150" s="151">
        <f t="shared" si="85"/>
        <v>0</v>
      </c>
      <c r="AU150" s="151">
        <f>IFERROR(VLOOKUP(A150,'[7]TD CuentasBDG'!$N$5:$O$21,2,0),0)</f>
        <v>0</v>
      </c>
      <c r="AV150">
        <f t="shared" si="86"/>
        <v>0</v>
      </c>
    </row>
    <row r="151" spans="1:50" ht="45" x14ac:dyDescent="0.25">
      <c r="A151" s="508" t="s">
        <v>1881</v>
      </c>
      <c r="B151" s="508" t="s">
        <v>99</v>
      </c>
      <c r="C151" s="508" t="s">
        <v>1039</v>
      </c>
      <c r="D151" s="508" t="s">
        <v>1805</v>
      </c>
      <c r="E151" s="508"/>
      <c r="F151" s="508"/>
      <c r="G151" s="508" t="s">
        <v>1852</v>
      </c>
      <c r="H151" s="508"/>
      <c r="I151" s="508"/>
      <c r="J151" s="555"/>
      <c r="K151" s="555"/>
      <c r="L151" s="911">
        <f ca="1">IFERROR(INDEX(Lists!$O$2:$Z$2,MATCH(TRUE,INDEX((AE151:AP151&lt;&gt;0),0),0)),DATE(2018,1,1))</f>
        <v>43435</v>
      </c>
      <c r="M151" s="911">
        <f ca="1">IFERROR(INDEX(Lists!$O$3:$Z$3, VALUE(SUBSTITUTE(TEXT(ADDRESS(SUMPRODUCT(MAX((COLUMN(AE151:AP151)*(AE151:AP151&gt;0)))),1),),"$A$",""))-30),DATE(2018,1,1))</f>
        <v>43465</v>
      </c>
      <c r="N151" s="508"/>
      <c r="O151" s="508"/>
      <c r="P151" s="508"/>
      <c r="Q151" s="508"/>
      <c r="R151" s="508" t="str">
        <f t="shared" ca="1" si="58"/>
        <v>Predio Oficina Vallenar</v>
      </c>
      <c r="S151" s="508" t="str">
        <f t="shared" ca="1" si="59"/>
        <v>Predio Oficina Vallenar</v>
      </c>
      <c r="T151" s="508" t="str">
        <f t="shared" ca="1" si="60"/>
        <v>Pagos Contrato de Promesa de Compra (1era cuota 10%),  pago final DIC 2019</v>
      </c>
      <c r="U151" s="508" t="str">
        <f t="shared" ca="1" si="61"/>
        <v>683 / 51-11-3339</v>
      </c>
      <c r="V151" s="508">
        <f t="shared" ca="1" si="62"/>
        <v>0</v>
      </c>
      <c r="W151" s="508">
        <f t="shared" ca="1" si="63"/>
        <v>0</v>
      </c>
      <c r="X151" s="508" t="str">
        <f t="shared" ca="1" si="64"/>
        <v>N/A</v>
      </c>
      <c r="Y151" s="508" t="str">
        <f t="shared" ca="1" si="65"/>
        <v>N/A</v>
      </c>
      <c r="Z151" s="508" t="str">
        <f t="shared" ca="1" si="66"/>
        <v>N/A</v>
      </c>
      <c r="AA151" s="508" t="str">
        <f t="shared" ca="1" si="67"/>
        <v>N/A</v>
      </c>
      <c r="AB151" s="508">
        <f t="shared" ca="1" si="68"/>
        <v>1</v>
      </c>
      <c r="AC151" s="508">
        <f t="shared" ca="1" si="69"/>
        <v>0</v>
      </c>
      <c r="AD151" s="912">
        <f t="shared" ca="1" si="70"/>
        <v>555382.6</v>
      </c>
      <c r="AE151" s="512">
        <f t="shared" ca="1" si="71"/>
        <v>0</v>
      </c>
      <c r="AF151" s="512">
        <f t="shared" ca="1" si="72"/>
        <v>0</v>
      </c>
      <c r="AG151" s="512">
        <f t="shared" ca="1" si="73"/>
        <v>0</v>
      </c>
      <c r="AH151" s="512">
        <f t="shared" ca="1" si="74"/>
        <v>0</v>
      </c>
      <c r="AI151" s="512">
        <f t="shared" ca="1" si="75"/>
        <v>0</v>
      </c>
      <c r="AJ151" s="512">
        <f t="shared" ca="1" si="76"/>
        <v>0</v>
      </c>
      <c r="AK151" s="512">
        <f t="shared" ca="1" si="77"/>
        <v>0</v>
      </c>
      <c r="AL151" s="512">
        <f t="shared" ca="1" si="78"/>
        <v>0</v>
      </c>
      <c r="AM151" s="512">
        <f t="shared" ca="1" si="79"/>
        <v>0</v>
      </c>
      <c r="AN151" s="512">
        <f t="shared" ca="1" si="80"/>
        <v>0</v>
      </c>
      <c r="AO151" s="512">
        <f t="shared" ca="1" si="81"/>
        <v>0</v>
      </c>
      <c r="AP151" s="512">
        <f t="shared" ca="1" si="82"/>
        <v>555382.6</v>
      </c>
      <c r="AQ151" s="512" t="str">
        <f t="shared" si="83"/>
        <v/>
      </c>
      <c r="AR151" s="512"/>
      <c r="AS151" s="512" t="str">
        <f t="shared" si="84"/>
        <v/>
      </c>
      <c r="AT151" s="151">
        <f t="shared" si="85"/>
        <v>0</v>
      </c>
      <c r="AU151" s="151">
        <f>IFERROR(VLOOKUP(A151,'[7]TD CuentasBDG'!$N$5:$O$21,2,0),0)</f>
        <v>0</v>
      </c>
      <c r="AV151">
        <f t="shared" si="86"/>
        <v>0</v>
      </c>
    </row>
    <row r="152" spans="1:50" ht="75" x14ac:dyDescent="0.25">
      <c r="A152" s="508" t="s">
        <v>1882</v>
      </c>
      <c r="B152" s="508" t="s">
        <v>99</v>
      </c>
      <c r="C152" s="508" t="s">
        <v>1039</v>
      </c>
      <c r="D152" s="508" t="s">
        <v>1805</v>
      </c>
      <c r="E152" s="508"/>
      <c r="F152" s="508"/>
      <c r="G152" s="508" t="s">
        <v>1665</v>
      </c>
      <c r="H152" s="508"/>
      <c r="I152" s="508"/>
      <c r="J152" s="555"/>
      <c r="K152" s="555"/>
      <c r="L152" s="911">
        <f ca="1">IFERROR(INDEX(Lists!$O$2:$Z$2,MATCH(TRUE,INDEX((AE152:AP152&lt;&gt;0),0),0)),DATE(2018,1,1))</f>
        <v>43101</v>
      </c>
      <c r="M152" s="911">
        <f ca="1">IFERROR(INDEX(Lists!$O$3:$Z$3, VALUE(SUBSTITUTE(TEXT(ADDRESS(SUMPRODUCT(MAX((COLUMN(AE152:AP152)*(AE152:AP152&gt;0)))),1),),"$A$",""))-30),DATE(2018,1,1))</f>
        <v>43101</v>
      </c>
      <c r="N152" s="508"/>
      <c r="O152" s="508"/>
      <c r="P152" s="508"/>
      <c r="Q152" s="508"/>
      <c r="R152" s="508" t="str">
        <f t="shared" ca="1" si="58"/>
        <v>Servidumbres construcción</v>
      </c>
      <c r="S152" s="508" t="str">
        <f t="shared" ca="1" si="59"/>
        <v xml:space="preserve">Servidumbres para Construccion </v>
      </c>
      <c r="T152" s="508" t="str">
        <f t="shared" ca="1" si="60"/>
        <v>Otras areas además de trazados (Botaderos, emprestitos, campamento Poniete Ruta 5, Pipeline Agua Construcción y otros) Enero 2019</v>
      </c>
      <c r="U152" s="508" t="str">
        <f t="shared" ca="1" si="61"/>
        <v>683 / 51-11-3339</v>
      </c>
      <c r="V152" s="508">
        <f t="shared" ca="1" si="62"/>
        <v>0</v>
      </c>
      <c r="W152" s="508">
        <f t="shared" ca="1" si="63"/>
        <v>0</v>
      </c>
      <c r="X152" s="508" t="str">
        <f t="shared" ca="1" si="64"/>
        <v>N/A</v>
      </c>
      <c r="Y152" s="508" t="str">
        <f t="shared" ca="1" si="65"/>
        <v>N/A</v>
      </c>
      <c r="Z152" s="508" t="str">
        <f t="shared" ca="1" si="66"/>
        <v>N/A</v>
      </c>
      <c r="AA152" s="508" t="str">
        <f t="shared" ca="1" si="67"/>
        <v>N/A</v>
      </c>
      <c r="AB152" s="508">
        <f t="shared" ca="1" si="68"/>
        <v>1</v>
      </c>
      <c r="AC152" s="508">
        <f t="shared" ca="1" si="69"/>
        <v>0</v>
      </c>
      <c r="AD152" s="912">
        <f t="shared" ca="1" si="70"/>
        <v>0</v>
      </c>
      <c r="AE152" s="512">
        <f t="shared" ca="1" si="71"/>
        <v>0</v>
      </c>
      <c r="AF152" s="512">
        <f t="shared" ca="1" si="72"/>
        <v>0</v>
      </c>
      <c r="AG152" s="512">
        <f t="shared" ca="1" si="73"/>
        <v>0</v>
      </c>
      <c r="AH152" s="512">
        <f t="shared" ca="1" si="74"/>
        <v>0</v>
      </c>
      <c r="AI152" s="512">
        <f t="shared" ca="1" si="75"/>
        <v>0</v>
      </c>
      <c r="AJ152" s="512">
        <f t="shared" ca="1" si="76"/>
        <v>0</v>
      </c>
      <c r="AK152" s="512">
        <f t="shared" ca="1" si="77"/>
        <v>0</v>
      </c>
      <c r="AL152" s="512">
        <f t="shared" ca="1" si="78"/>
        <v>0</v>
      </c>
      <c r="AM152" s="512">
        <f t="shared" ca="1" si="79"/>
        <v>0</v>
      </c>
      <c r="AN152" s="512">
        <f t="shared" ca="1" si="80"/>
        <v>0</v>
      </c>
      <c r="AO152" s="512">
        <f t="shared" ca="1" si="81"/>
        <v>0</v>
      </c>
      <c r="AP152" s="512">
        <f t="shared" ca="1" si="82"/>
        <v>0</v>
      </c>
      <c r="AQ152" s="512" t="str">
        <f t="shared" si="83"/>
        <v/>
      </c>
      <c r="AR152" s="512"/>
      <c r="AS152" s="512" t="str">
        <f t="shared" si="84"/>
        <v/>
      </c>
      <c r="AT152" s="151">
        <f t="shared" si="85"/>
        <v>0</v>
      </c>
      <c r="AU152" s="151">
        <f>IFERROR(VLOOKUP(A152,'[7]TD CuentasBDG'!$N$5:$O$21,2,0),0)</f>
        <v>0</v>
      </c>
      <c r="AV152">
        <f t="shared" si="86"/>
        <v>0</v>
      </c>
    </row>
    <row r="153" spans="1:50" x14ac:dyDescent="0.25">
      <c r="A153" s="508" t="s">
        <v>1883</v>
      </c>
      <c r="B153" s="508" t="s">
        <v>99</v>
      </c>
      <c r="C153" s="508" t="s">
        <v>1039</v>
      </c>
      <c r="D153" s="508" t="s">
        <v>1805</v>
      </c>
      <c r="E153" s="508"/>
      <c r="F153" s="508"/>
      <c r="G153" s="508" t="s">
        <v>1665</v>
      </c>
      <c r="H153" s="508"/>
      <c r="I153" s="508"/>
      <c r="J153" s="555"/>
      <c r="K153" s="555"/>
      <c r="L153" s="911">
        <f ca="1">IFERROR(INDEX(Lists!$O$2:$Z$2,MATCH(TRUE,INDEX((AE153:AP153&lt;&gt;0),0),0)),DATE(2018,1,1))</f>
        <v>43282</v>
      </c>
      <c r="M153" s="911">
        <f ca="1">IFERROR(INDEX(Lists!$O$3:$Z$3, VALUE(SUBSTITUTE(TEXT(ADDRESS(SUMPRODUCT(MAX((COLUMN(AE153:AP153)*(AE153:AP153&gt;0)))),1),),"$A$",""))-30),DATE(2018,1,1))</f>
        <v>43465</v>
      </c>
      <c r="N153" s="508"/>
      <c r="O153" s="508"/>
      <c r="P153" s="508"/>
      <c r="Q153" s="508"/>
      <c r="R153" s="508" t="str">
        <f t="shared" ca="1" si="58"/>
        <v>Contingency</v>
      </c>
      <c r="S153" s="508" t="str">
        <f t="shared" ca="1" si="59"/>
        <v xml:space="preserve">Contingency </v>
      </c>
      <c r="T153" s="508" t="str">
        <f t="shared" ca="1" si="60"/>
        <v>Contingencia (20%)</v>
      </c>
      <c r="U153" s="508" t="str">
        <f t="shared" ca="1" si="61"/>
        <v>683 / 51-11-3339</v>
      </c>
      <c r="V153" s="508">
        <f t="shared" ca="1" si="62"/>
        <v>0</v>
      </c>
      <c r="W153" s="508">
        <f t="shared" ca="1" si="63"/>
        <v>0</v>
      </c>
      <c r="X153" s="508" t="str">
        <f t="shared" ca="1" si="64"/>
        <v>N/A</v>
      </c>
      <c r="Y153" s="508" t="str">
        <f t="shared" ca="1" si="65"/>
        <v>N/A</v>
      </c>
      <c r="Z153" s="508" t="str">
        <f t="shared" ca="1" si="66"/>
        <v>N/A</v>
      </c>
      <c r="AA153" s="508" t="str">
        <f t="shared" ca="1" si="67"/>
        <v>N/A</v>
      </c>
      <c r="AB153" s="508">
        <f t="shared" ca="1" si="68"/>
        <v>6</v>
      </c>
      <c r="AC153" s="508">
        <f t="shared" ca="1" si="69"/>
        <v>0</v>
      </c>
      <c r="AD153" s="912">
        <f t="shared" ca="1" si="70"/>
        <v>123076.52</v>
      </c>
      <c r="AE153" s="512">
        <f t="shared" ca="1" si="71"/>
        <v>0</v>
      </c>
      <c r="AF153" s="512">
        <f t="shared" ca="1" si="72"/>
        <v>0</v>
      </c>
      <c r="AG153" s="512">
        <f t="shared" ca="1" si="73"/>
        <v>0</v>
      </c>
      <c r="AH153" s="512">
        <f t="shared" ca="1" si="74"/>
        <v>0</v>
      </c>
      <c r="AI153" s="512">
        <f t="shared" ca="1" si="75"/>
        <v>0</v>
      </c>
      <c r="AJ153" s="512">
        <f t="shared" ca="1" si="76"/>
        <v>0</v>
      </c>
      <c r="AK153" s="512">
        <f t="shared" ca="1" si="77"/>
        <v>4000</v>
      </c>
      <c r="AL153" s="512">
        <f t="shared" ca="1" si="78"/>
        <v>0</v>
      </c>
      <c r="AM153" s="512">
        <f t="shared" ca="1" si="79"/>
        <v>0</v>
      </c>
      <c r="AN153" s="512">
        <f t="shared" ca="1" si="80"/>
        <v>4000</v>
      </c>
      <c r="AO153" s="512">
        <f t="shared" ca="1" si="81"/>
        <v>0</v>
      </c>
      <c r="AP153" s="512">
        <f t="shared" ca="1" si="82"/>
        <v>115076.52</v>
      </c>
      <c r="AQ153" s="512" t="str">
        <f t="shared" si="83"/>
        <v/>
      </c>
      <c r="AR153" s="512"/>
      <c r="AS153" s="512" t="str">
        <f t="shared" si="84"/>
        <v/>
      </c>
      <c r="AT153" s="151">
        <f t="shared" si="85"/>
        <v>0</v>
      </c>
      <c r="AU153" s="151">
        <f>IFERROR(VLOOKUP(A153,'[7]TD CuentasBDG'!$N$5:$O$21,2,0),0)</f>
        <v>0</v>
      </c>
      <c r="AV153">
        <f t="shared" si="86"/>
        <v>0</v>
      </c>
    </row>
    <row r="154" spans="1:50" ht="30" x14ac:dyDescent="0.25">
      <c r="A154" s="508" t="s">
        <v>1884</v>
      </c>
      <c r="B154" s="508" t="s">
        <v>99</v>
      </c>
      <c r="C154" s="508" t="s">
        <v>1039</v>
      </c>
      <c r="D154" s="508" t="s">
        <v>1805</v>
      </c>
      <c r="E154" s="508"/>
      <c r="F154" s="508"/>
      <c r="G154" s="508" t="s">
        <v>1665</v>
      </c>
      <c r="H154" s="508"/>
      <c r="I154" s="508"/>
      <c r="J154" s="555"/>
      <c r="K154" s="555"/>
      <c r="L154" s="911">
        <f ca="1">IFERROR(INDEX(Lists!$O$2:$Z$2,MATCH(TRUE,INDEX((AE154:AP154&lt;&gt;0),0),0)),DATE(2018,1,1))</f>
        <v>43101</v>
      </c>
      <c r="M154" s="911">
        <f ca="1">IFERROR(INDEX(Lists!$O$3:$Z$3, VALUE(SUBSTITUTE(TEXT(ADDRESS(SUMPRODUCT(MAX((COLUMN(AE154:AP154)*(AE154:AP154&gt;0)))),1),),"$A$",""))-30),DATE(2018,1,1))</f>
        <v>43101</v>
      </c>
      <c r="N154" s="508"/>
      <c r="O154" s="508"/>
      <c r="P154" s="508"/>
      <c r="Q154" s="508"/>
      <c r="R154" s="508" t="str">
        <f t="shared" ca="1" si="58"/>
        <v>Agua Construcción</v>
      </c>
      <c r="S154" s="508" t="str">
        <f t="shared" ca="1" si="59"/>
        <v>Compra Agua para Construcción</v>
      </c>
      <c r="T154" s="508" t="str">
        <f t="shared" ca="1" si="60"/>
        <v>Reserva Aguas Chañar - agua industrial (Enero 2019)</v>
      </c>
      <c r="U154" s="508" t="str">
        <f t="shared" ca="1" si="61"/>
        <v>683 / 51-11-3339</v>
      </c>
      <c r="V154" s="508">
        <f t="shared" ca="1" si="62"/>
        <v>0</v>
      </c>
      <c r="W154" s="508">
        <f t="shared" ca="1" si="63"/>
        <v>0</v>
      </c>
      <c r="X154" s="508" t="str">
        <f t="shared" ca="1" si="64"/>
        <v>N/A</v>
      </c>
      <c r="Y154" s="508" t="str">
        <f t="shared" ca="1" si="65"/>
        <v>N/A</v>
      </c>
      <c r="Z154" s="508" t="str">
        <f t="shared" ca="1" si="66"/>
        <v>N/A</v>
      </c>
      <c r="AA154" s="508" t="str">
        <f t="shared" ca="1" si="67"/>
        <v>N/A</v>
      </c>
      <c r="AB154" s="508">
        <f t="shared" ca="1" si="68"/>
        <v>1</v>
      </c>
      <c r="AC154" s="508">
        <f t="shared" ca="1" si="69"/>
        <v>0</v>
      </c>
      <c r="AD154" s="912">
        <f t="shared" ca="1" si="70"/>
        <v>0</v>
      </c>
      <c r="AE154" s="512">
        <f t="shared" ca="1" si="71"/>
        <v>0</v>
      </c>
      <c r="AF154" s="512">
        <f t="shared" ca="1" si="72"/>
        <v>0</v>
      </c>
      <c r="AG154" s="512">
        <f t="shared" ca="1" si="73"/>
        <v>0</v>
      </c>
      <c r="AH154" s="512">
        <f t="shared" ca="1" si="74"/>
        <v>0</v>
      </c>
      <c r="AI154" s="512">
        <f t="shared" ca="1" si="75"/>
        <v>0</v>
      </c>
      <c r="AJ154" s="512">
        <f t="shared" ca="1" si="76"/>
        <v>0</v>
      </c>
      <c r="AK154" s="512">
        <f t="shared" ca="1" si="77"/>
        <v>0</v>
      </c>
      <c r="AL154" s="512">
        <f t="shared" ca="1" si="78"/>
        <v>0</v>
      </c>
      <c r="AM154" s="512">
        <f t="shared" ca="1" si="79"/>
        <v>0</v>
      </c>
      <c r="AN154" s="512">
        <f t="shared" ca="1" si="80"/>
        <v>0</v>
      </c>
      <c r="AO154" s="512">
        <f t="shared" ca="1" si="81"/>
        <v>0</v>
      </c>
      <c r="AP154" s="512">
        <f t="shared" ca="1" si="82"/>
        <v>0</v>
      </c>
      <c r="AQ154" s="512" t="str">
        <f t="shared" si="83"/>
        <v/>
      </c>
      <c r="AR154" s="512"/>
      <c r="AS154" s="512" t="str">
        <f t="shared" si="84"/>
        <v/>
      </c>
      <c r="AT154" s="151">
        <f t="shared" si="85"/>
        <v>0</v>
      </c>
      <c r="AU154" s="151">
        <f>IFERROR(VLOOKUP(A154,'[7]TD CuentasBDG'!$N$5:$O$21,2,0),0)</f>
        <v>0</v>
      </c>
      <c r="AV154">
        <f t="shared" si="86"/>
        <v>0</v>
      </c>
    </row>
    <row r="155" spans="1:50" ht="45" x14ac:dyDescent="0.25">
      <c r="A155" s="508" t="s">
        <v>1885</v>
      </c>
      <c r="B155" s="508" t="s">
        <v>99</v>
      </c>
      <c r="C155" s="508" t="s">
        <v>1039</v>
      </c>
      <c r="D155" s="508" t="s">
        <v>1805</v>
      </c>
      <c r="E155" s="508"/>
      <c r="F155" s="508"/>
      <c r="G155" s="508" t="s">
        <v>1665</v>
      </c>
      <c r="H155" s="508"/>
      <c r="I155" s="508"/>
      <c r="J155" s="555"/>
      <c r="K155" s="555"/>
      <c r="L155" s="911">
        <f ca="1">IFERROR(INDEX(Lists!$O$2:$Z$2,MATCH(TRUE,INDEX((AE155:AP155&lt;&gt;0),0),0)),DATE(2018,1,1))</f>
        <v>43101</v>
      </c>
      <c r="M155" s="911">
        <f ca="1">IFERROR(INDEX(Lists!$O$3:$Z$3, VALUE(SUBSTITUTE(TEXT(ADDRESS(SUMPRODUCT(MAX((COLUMN(AE155:AP155)*(AE155:AP155&gt;0)))),1),),"$A$",""))-30),DATE(2018,1,1))</f>
        <v>43101</v>
      </c>
      <c r="N155" s="508"/>
      <c r="O155" s="508"/>
      <c r="P155" s="508"/>
      <c r="Q155" s="508"/>
      <c r="R155" s="508" t="str">
        <f t="shared" ca="1" si="58"/>
        <v>Agua Construcción</v>
      </c>
      <c r="S155" s="508" t="str">
        <f t="shared" ca="1" si="59"/>
        <v>Compra Agua para Construcción</v>
      </c>
      <c r="T155" s="508" t="str">
        <f t="shared" ca="1" si="60"/>
        <v>Inicio Consumo estimado Q1 2020 - No considera trasporte (costo estimad Fluor 22-ago-2017)</v>
      </c>
      <c r="U155" s="508" t="str">
        <f t="shared" ca="1" si="61"/>
        <v>683 / 51-11-3339</v>
      </c>
      <c r="V155" s="508">
        <f t="shared" ca="1" si="62"/>
        <v>0</v>
      </c>
      <c r="W155" s="508">
        <f t="shared" ca="1" si="63"/>
        <v>0</v>
      </c>
      <c r="X155" s="508" t="str">
        <f t="shared" ca="1" si="64"/>
        <v>N/A</v>
      </c>
      <c r="Y155" s="508" t="str">
        <f t="shared" ca="1" si="65"/>
        <v>N/A</v>
      </c>
      <c r="Z155" s="508" t="str">
        <f t="shared" ca="1" si="66"/>
        <v>N/A</v>
      </c>
      <c r="AA155" s="508" t="str">
        <f t="shared" ca="1" si="67"/>
        <v>N/A</v>
      </c>
      <c r="AB155" s="508">
        <f t="shared" ca="1" si="68"/>
        <v>1</v>
      </c>
      <c r="AC155" s="508">
        <f t="shared" ca="1" si="69"/>
        <v>0</v>
      </c>
      <c r="AD155" s="912">
        <f t="shared" ca="1" si="70"/>
        <v>0</v>
      </c>
      <c r="AE155" s="512">
        <f t="shared" ca="1" si="71"/>
        <v>0</v>
      </c>
      <c r="AF155" s="512">
        <f t="shared" ca="1" si="72"/>
        <v>0</v>
      </c>
      <c r="AG155" s="512">
        <f t="shared" ca="1" si="73"/>
        <v>0</v>
      </c>
      <c r="AH155" s="512">
        <f t="shared" ca="1" si="74"/>
        <v>0</v>
      </c>
      <c r="AI155" s="512">
        <f t="shared" ca="1" si="75"/>
        <v>0</v>
      </c>
      <c r="AJ155" s="512">
        <f t="shared" ca="1" si="76"/>
        <v>0</v>
      </c>
      <c r="AK155" s="512">
        <f t="shared" ca="1" si="77"/>
        <v>0</v>
      </c>
      <c r="AL155" s="512">
        <f t="shared" ca="1" si="78"/>
        <v>0</v>
      </c>
      <c r="AM155" s="512">
        <f t="shared" ca="1" si="79"/>
        <v>0</v>
      </c>
      <c r="AN155" s="512">
        <f t="shared" ca="1" si="80"/>
        <v>0</v>
      </c>
      <c r="AO155" s="512">
        <f t="shared" ca="1" si="81"/>
        <v>0</v>
      </c>
      <c r="AP155" s="512">
        <f t="shared" ca="1" si="82"/>
        <v>0</v>
      </c>
      <c r="AQ155" s="512" t="str">
        <f t="shared" si="83"/>
        <v/>
      </c>
      <c r="AR155" s="512"/>
      <c r="AS155" s="512" t="str">
        <f t="shared" si="84"/>
        <v/>
      </c>
      <c r="AT155" s="151">
        <f t="shared" si="85"/>
        <v>0</v>
      </c>
      <c r="AU155" s="151">
        <f>IFERROR(VLOOKUP(A155,'[7]TD CuentasBDG'!$N$5:$O$21,2,0),0)</f>
        <v>0</v>
      </c>
      <c r="AV155">
        <f t="shared" si="86"/>
        <v>0</v>
      </c>
    </row>
    <row r="156" spans="1:50" ht="30" x14ac:dyDescent="0.25">
      <c r="A156" s="508" t="s">
        <v>1886</v>
      </c>
      <c r="B156" s="508" t="s">
        <v>99</v>
      </c>
      <c r="C156" s="508" t="s">
        <v>1039</v>
      </c>
      <c r="D156" s="508" t="s">
        <v>1805</v>
      </c>
      <c r="E156" s="508"/>
      <c r="F156" s="508"/>
      <c r="G156" s="508" t="s">
        <v>1665</v>
      </c>
      <c r="H156" s="508"/>
      <c r="I156" s="508"/>
      <c r="J156" s="555"/>
      <c r="K156" s="555"/>
      <c r="L156" s="911">
        <f ca="1">IFERROR(INDEX(Lists!$O$2:$Z$2,MATCH(TRUE,INDEX((AE156:AP156&lt;&gt;0),0),0)),DATE(2018,1,1))</f>
        <v>43101</v>
      </c>
      <c r="M156" s="911">
        <f ca="1">IFERROR(INDEX(Lists!$O$3:$Z$3, VALUE(SUBSTITUTE(TEXT(ADDRESS(SUMPRODUCT(MAX((COLUMN(AE156:AP156)*(AE156:AP156&gt;0)))),1),),"$A$",""))-30),DATE(2018,1,1))</f>
        <v>43101</v>
      </c>
      <c r="N156" s="508"/>
      <c r="O156" s="508"/>
      <c r="P156" s="508"/>
      <c r="Q156" s="508"/>
      <c r="R156" s="508" t="str">
        <f t="shared" ca="1" si="58"/>
        <v>Agua Potable Operación</v>
      </c>
      <c r="S156" s="508" t="str">
        <f t="shared" ca="1" si="59"/>
        <v>Compra Agua Potable</v>
      </c>
      <c r="T156" s="508" t="str">
        <f t="shared" ca="1" si="60"/>
        <v>Valores consumo con desaladora operando ????</v>
      </c>
      <c r="U156" s="508" t="str">
        <f t="shared" ca="1" si="61"/>
        <v>683 / 51-11-3339</v>
      </c>
      <c r="V156" s="508">
        <f t="shared" ca="1" si="62"/>
        <v>0</v>
      </c>
      <c r="W156" s="508">
        <f t="shared" ca="1" si="63"/>
        <v>0</v>
      </c>
      <c r="X156" s="508" t="str">
        <f t="shared" ca="1" si="64"/>
        <v>N/A</v>
      </c>
      <c r="Y156" s="508" t="str">
        <f t="shared" ca="1" si="65"/>
        <v>N/A</v>
      </c>
      <c r="Z156" s="508" t="str">
        <f t="shared" ca="1" si="66"/>
        <v>N/A</v>
      </c>
      <c r="AA156" s="508" t="str">
        <f t="shared" ca="1" si="67"/>
        <v>N/A</v>
      </c>
      <c r="AB156" s="508">
        <f t="shared" ca="1" si="68"/>
        <v>1</v>
      </c>
      <c r="AC156" s="508">
        <f t="shared" ca="1" si="69"/>
        <v>0</v>
      </c>
      <c r="AD156" s="912">
        <f t="shared" ca="1" si="70"/>
        <v>0</v>
      </c>
      <c r="AE156" s="512">
        <f t="shared" ca="1" si="71"/>
        <v>0</v>
      </c>
      <c r="AF156" s="512">
        <f t="shared" ca="1" si="72"/>
        <v>0</v>
      </c>
      <c r="AG156" s="512">
        <f t="shared" ca="1" si="73"/>
        <v>0</v>
      </c>
      <c r="AH156" s="512">
        <f t="shared" ca="1" si="74"/>
        <v>0</v>
      </c>
      <c r="AI156" s="512">
        <f t="shared" ca="1" si="75"/>
        <v>0</v>
      </c>
      <c r="AJ156" s="512">
        <f t="shared" ca="1" si="76"/>
        <v>0</v>
      </c>
      <c r="AK156" s="512">
        <f t="shared" ca="1" si="77"/>
        <v>0</v>
      </c>
      <c r="AL156" s="512">
        <f t="shared" ca="1" si="78"/>
        <v>0</v>
      </c>
      <c r="AM156" s="512">
        <f t="shared" ca="1" si="79"/>
        <v>0</v>
      </c>
      <c r="AN156" s="512">
        <f t="shared" ca="1" si="80"/>
        <v>0</v>
      </c>
      <c r="AO156" s="512">
        <f t="shared" ca="1" si="81"/>
        <v>0</v>
      </c>
      <c r="AP156" s="512">
        <f t="shared" ca="1" si="82"/>
        <v>0</v>
      </c>
      <c r="AQ156" s="512" t="str">
        <f t="shared" si="83"/>
        <v/>
      </c>
      <c r="AR156" s="512"/>
      <c r="AS156" s="512" t="str">
        <f t="shared" si="84"/>
        <v/>
      </c>
      <c r="AT156" s="151">
        <f t="shared" si="85"/>
        <v>0</v>
      </c>
      <c r="AU156" s="151">
        <f>IFERROR(VLOOKUP(A156,'[7]TD CuentasBDG'!$N$5:$O$21,2,0),0)</f>
        <v>0</v>
      </c>
      <c r="AV156">
        <f t="shared" si="86"/>
        <v>0</v>
      </c>
    </row>
    <row r="157" spans="1:50" x14ac:dyDescent="0.25">
      <c r="A157" s="508" t="s">
        <v>1887</v>
      </c>
      <c r="B157" s="508" t="s">
        <v>99</v>
      </c>
      <c r="C157" s="508" t="s">
        <v>1039</v>
      </c>
      <c r="D157" s="508" t="s">
        <v>1805</v>
      </c>
      <c r="E157" s="508"/>
      <c r="F157" s="508"/>
      <c r="G157" s="508" t="s">
        <v>1665</v>
      </c>
      <c r="H157" s="508"/>
      <c r="I157" s="508"/>
      <c r="J157" s="555"/>
      <c r="K157" s="555"/>
      <c r="L157" s="911">
        <f ca="1">IFERROR(INDEX(Lists!$O$2:$Z$2,MATCH(TRUE,INDEX((AE157:AP157&lt;&gt;0),0),0)),DATE(2018,1,1))</f>
        <v>43101</v>
      </c>
      <c r="M157" s="911">
        <f ca="1">IFERROR(INDEX(Lists!$O$3:$Z$3, VALUE(SUBSTITUTE(TEXT(ADDRESS(SUMPRODUCT(MAX((COLUMN(AE157:AP157)*(AE157:AP157&gt;0)))),1),),"$A$",""))-30),DATE(2018,1,1))</f>
        <v>43101</v>
      </c>
      <c r="N157" s="508"/>
      <c r="O157" s="508"/>
      <c r="P157" s="508"/>
      <c r="Q157" s="508"/>
      <c r="R157" s="508" t="str">
        <f t="shared" ca="1" si="58"/>
        <v>Contingency</v>
      </c>
      <c r="S157" s="508" t="str">
        <f t="shared" ca="1" si="59"/>
        <v xml:space="preserve">Contingency </v>
      </c>
      <c r="T157" s="508" t="str">
        <f t="shared" ca="1" si="60"/>
        <v>Contingencia (20%)</v>
      </c>
      <c r="U157" s="508" t="str">
        <f t="shared" ca="1" si="61"/>
        <v>683 / 51-11-3339</v>
      </c>
      <c r="V157" s="508">
        <f t="shared" ca="1" si="62"/>
        <v>0</v>
      </c>
      <c r="W157" s="508">
        <f t="shared" ca="1" si="63"/>
        <v>0</v>
      </c>
      <c r="X157" s="508" t="str">
        <f t="shared" ca="1" si="64"/>
        <v>N/A</v>
      </c>
      <c r="Y157" s="508" t="str">
        <f t="shared" ca="1" si="65"/>
        <v>N/A</v>
      </c>
      <c r="Z157" s="508" t="str">
        <f t="shared" ca="1" si="66"/>
        <v>N/A</v>
      </c>
      <c r="AA157" s="508" t="str">
        <f t="shared" ca="1" si="67"/>
        <v>N/A</v>
      </c>
      <c r="AB157" s="508">
        <f t="shared" ca="1" si="68"/>
        <v>1</v>
      </c>
      <c r="AC157" s="508">
        <f t="shared" ca="1" si="69"/>
        <v>0</v>
      </c>
      <c r="AD157" s="912">
        <f t="shared" ca="1" si="70"/>
        <v>0</v>
      </c>
      <c r="AE157" s="512">
        <f t="shared" ca="1" si="71"/>
        <v>0</v>
      </c>
      <c r="AF157" s="512">
        <f t="shared" ca="1" si="72"/>
        <v>0</v>
      </c>
      <c r="AG157" s="512">
        <f t="shared" ca="1" si="73"/>
        <v>0</v>
      </c>
      <c r="AH157" s="512">
        <f t="shared" ca="1" si="74"/>
        <v>0</v>
      </c>
      <c r="AI157" s="512">
        <f t="shared" ca="1" si="75"/>
        <v>0</v>
      </c>
      <c r="AJ157" s="512">
        <f t="shared" ca="1" si="76"/>
        <v>0</v>
      </c>
      <c r="AK157" s="512">
        <f t="shared" ca="1" si="77"/>
        <v>0</v>
      </c>
      <c r="AL157" s="512">
        <f t="shared" ca="1" si="78"/>
        <v>0</v>
      </c>
      <c r="AM157" s="512">
        <f t="shared" ca="1" si="79"/>
        <v>0</v>
      </c>
      <c r="AN157" s="512">
        <f t="shared" ca="1" si="80"/>
        <v>0</v>
      </c>
      <c r="AO157" s="512">
        <f t="shared" ca="1" si="81"/>
        <v>0</v>
      </c>
      <c r="AP157" s="512">
        <f t="shared" ca="1" si="82"/>
        <v>0</v>
      </c>
      <c r="AQ157" s="512" t="str">
        <f t="shared" si="83"/>
        <v/>
      </c>
      <c r="AR157" s="512"/>
      <c r="AS157" s="512" t="str">
        <f t="shared" si="84"/>
        <v/>
      </c>
      <c r="AT157" s="151">
        <f t="shared" si="85"/>
        <v>0</v>
      </c>
      <c r="AU157" s="151">
        <f>IFERROR(VLOOKUP(A157,'[7]TD CuentasBDG'!$N$5:$O$21,2,0),0)</f>
        <v>0</v>
      </c>
      <c r="AV157">
        <f t="shared" si="86"/>
        <v>0</v>
      </c>
    </row>
    <row r="158" spans="1:50" ht="30" x14ac:dyDescent="0.25">
      <c r="A158" s="508" t="s">
        <v>2311</v>
      </c>
      <c r="B158" s="508" t="s">
        <v>99</v>
      </c>
      <c r="C158" s="508" t="s">
        <v>1039</v>
      </c>
      <c r="D158" s="508" t="s">
        <v>1805</v>
      </c>
      <c r="E158" s="508"/>
      <c r="F158" s="508"/>
      <c r="G158" s="508" t="s">
        <v>1665</v>
      </c>
      <c r="H158" s="508"/>
      <c r="I158" s="508"/>
      <c r="J158" s="555"/>
      <c r="K158" s="555"/>
      <c r="L158" s="911">
        <f ca="1">IFERROR(INDEX(Lists!$O$2:$Z$2,MATCH(TRUE,INDEX((AE158:AP158&lt;&gt;0),0),0)),DATE(2018,1,1))</f>
        <v>43102</v>
      </c>
      <c r="M158" s="911">
        <f ca="1">IFERROR(INDEX(Lists!$O$3:$Z$3, VALUE(SUBSTITUTE(TEXT(ADDRESS(SUMPRODUCT(MAX((COLUMN(AE158:AP158)*(AE158:AP158&gt;0)))),1),),"$A$",""))-30),DATE(2018,1,1))</f>
        <v>43465</v>
      </c>
      <c r="N158" s="508"/>
      <c r="O158" s="508"/>
      <c r="P158" s="508"/>
      <c r="Q158" s="508"/>
      <c r="R158" s="508" t="str">
        <f t="shared" ca="1" si="58"/>
        <v>Gastos Varios Legal</v>
      </c>
      <c r="S158" s="508" t="str">
        <f t="shared" ca="1" si="59"/>
        <v>Contingencia  (10%)</v>
      </c>
      <c r="T158" s="508" t="str">
        <f t="shared" ca="1" si="60"/>
        <v>Unexpected costs gastos y consultoria</v>
      </c>
      <c r="U158" s="508" t="str">
        <f t="shared" ca="1" si="61"/>
        <v>683 / 51-11-3339</v>
      </c>
      <c r="V158" s="508">
        <f t="shared" ca="1" si="62"/>
        <v>0</v>
      </c>
      <c r="W158" s="508">
        <f t="shared" ca="1" si="63"/>
        <v>0</v>
      </c>
      <c r="X158" s="508" t="str">
        <f t="shared" ca="1" si="64"/>
        <v>N/A</v>
      </c>
      <c r="Y158" s="508" t="str">
        <f t="shared" ca="1" si="65"/>
        <v>N/A</v>
      </c>
      <c r="Z158" s="508" t="str">
        <f t="shared" ca="1" si="66"/>
        <v>N/A</v>
      </c>
      <c r="AA158" s="508" t="str">
        <f t="shared" ca="1" si="67"/>
        <v>N/A</v>
      </c>
      <c r="AB158" s="508">
        <f t="shared" ca="1" si="68"/>
        <v>12</v>
      </c>
      <c r="AC158" s="508">
        <f t="shared" ca="1" si="69"/>
        <v>0</v>
      </c>
      <c r="AD158" s="912">
        <f t="shared" ca="1" si="70"/>
        <v>181451.76470588238</v>
      </c>
      <c r="AE158" s="512">
        <f t="shared" ca="1" si="71"/>
        <v>6309.7058823529414</v>
      </c>
      <c r="AF158" s="512">
        <f t="shared" ca="1" si="72"/>
        <v>6309.7058823529414</v>
      </c>
      <c r="AG158" s="512">
        <f t="shared" ca="1" si="73"/>
        <v>6309.7058823529414</v>
      </c>
      <c r="AH158" s="512">
        <f t="shared" ca="1" si="74"/>
        <v>6309.7058823529414</v>
      </c>
      <c r="AI158" s="512">
        <f t="shared" ca="1" si="75"/>
        <v>11568.529411764706</v>
      </c>
      <c r="AJ158" s="512">
        <f t="shared" ca="1" si="76"/>
        <v>11568.529411764706</v>
      </c>
      <c r="AK158" s="512">
        <f t="shared" ca="1" si="77"/>
        <v>15480.294117647061</v>
      </c>
      <c r="AL158" s="512">
        <f t="shared" ca="1" si="78"/>
        <v>15480.294117647061</v>
      </c>
      <c r="AM158" s="512">
        <f t="shared" ca="1" si="79"/>
        <v>16480.294117647059</v>
      </c>
      <c r="AN158" s="512">
        <f t="shared" ca="1" si="80"/>
        <v>15480.294117647061</v>
      </c>
      <c r="AO158" s="512">
        <f t="shared" ca="1" si="81"/>
        <v>15480.294117647061</v>
      </c>
      <c r="AP158" s="512">
        <f t="shared" ca="1" si="82"/>
        <v>54674.411764705896</v>
      </c>
      <c r="AQ158" s="512"/>
      <c r="AR158" s="512"/>
      <c r="AS158" s="512"/>
      <c r="AT158" s="151">
        <f t="shared" ref="AT158" si="87">IF(G158="Contrato/Orden de Servicio",AD158,0)</f>
        <v>0</v>
      </c>
      <c r="AU158" s="151">
        <f>IFERROR(VLOOKUP(A158,'[7]TD CuentasBDG'!$N$5:$O$21,2,0),0)</f>
        <v>0</v>
      </c>
      <c r="AV158">
        <f t="shared" ref="AV158" si="88">IF(N158="Licitación/Cotización",IF(AT158&lt;50000,"Licitación Corta","Licitación"),N158)</f>
        <v>0</v>
      </c>
    </row>
    <row r="159" spans="1:50" ht="30" x14ac:dyDescent="0.25">
      <c r="A159" s="508" t="s">
        <v>1888</v>
      </c>
      <c r="B159" s="508" t="s">
        <v>99</v>
      </c>
      <c r="C159" s="508" t="s">
        <v>94</v>
      </c>
      <c r="D159" s="508" t="s">
        <v>1805</v>
      </c>
      <c r="E159" s="508"/>
      <c r="F159" s="508"/>
      <c r="G159" s="508" t="s">
        <v>1665</v>
      </c>
      <c r="H159" s="508"/>
      <c r="I159" s="508"/>
      <c r="J159" s="555"/>
      <c r="K159" s="555"/>
      <c r="L159" s="911">
        <f ca="1">IFERROR(INDEX(Lists!$O$2:$Z$2,MATCH(TRUE,INDEX((AE159:AP159&lt;&gt;0),0),0)),DATE(2018,1,1))</f>
        <v>43191</v>
      </c>
      <c r="M159" s="911">
        <f ca="1">IFERROR(INDEX(Lists!$O$3:$Z$3, VALUE(SUBSTITUTE(TEXT(ADDRESS(SUMPRODUCT(MAX((COLUMN(AE159:AP159)*(AE159:AP159&gt;0)))),1),),"$A$",""))-30),DATE(2018,1,1))</f>
        <v>43434</v>
      </c>
      <c r="N159" s="508"/>
      <c r="O159" s="508"/>
      <c r="P159" s="508"/>
      <c r="Q159" s="508"/>
      <c r="R159" s="508" t="str">
        <f t="shared" ca="1" si="58"/>
        <v>Contribuciones</v>
      </c>
      <c r="S159" s="508" t="str">
        <f t="shared" ca="1" si="59"/>
        <v>Predios NuevaUnión - SCM El Morro</v>
      </c>
      <c r="T159" s="508" t="str">
        <f t="shared" ca="1" si="60"/>
        <v>Contribuciones Predios SCM El Morro - Lote A Jarilla</v>
      </c>
      <c r="U159" s="508" t="str">
        <f t="shared" ca="1" si="61"/>
        <v>683 / 51-11-3340</v>
      </c>
      <c r="V159" s="508">
        <f t="shared" ca="1" si="62"/>
        <v>0</v>
      </c>
      <c r="W159" s="508">
        <f t="shared" ca="1" si="63"/>
        <v>0</v>
      </c>
      <c r="X159" s="508" t="str">
        <f t="shared" ca="1" si="64"/>
        <v>N/A</v>
      </c>
      <c r="Y159" s="508" t="str">
        <f t="shared" ca="1" si="65"/>
        <v>N/A</v>
      </c>
      <c r="Z159" s="508" t="str">
        <f t="shared" ca="1" si="66"/>
        <v>N/A</v>
      </c>
      <c r="AA159" s="508" t="str">
        <f t="shared" ca="1" si="67"/>
        <v>N/A</v>
      </c>
      <c r="AB159" s="508">
        <f t="shared" ca="1" si="68"/>
        <v>8</v>
      </c>
      <c r="AC159" s="508">
        <f t="shared" ca="1" si="69"/>
        <v>0</v>
      </c>
      <c r="AD159" s="912">
        <f t="shared" ca="1" si="70"/>
        <v>40000</v>
      </c>
      <c r="AE159" s="512">
        <f t="shared" ca="1" si="71"/>
        <v>0</v>
      </c>
      <c r="AF159" s="512">
        <f t="shared" ca="1" si="72"/>
        <v>0</v>
      </c>
      <c r="AG159" s="512">
        <f t="shared" ca="1" si="73"/>
        <v>0</v>
      </c>
      <c r="AH159" s="512">
        <f t="shared" ca="1" si="74"/>
        <v>10000</v>
      </c>
      <c r="AI159" s="512">
        <f t="shared" ca="1" si="75"/>
        <v>0</v>
      </c>
      <c r="AJ159" s="512">
        <f t="shared" ca="1" si="76"/>
        <v>10000</v>
      </c>
      <c r="AK159" s="512">
        <f t="shared" ca="1" si="77"/>
        <v>0</v>
      </c>
      <c r="AL159" s="512">
        <f t="shared" ca="1" si="78"/>
        <v>0</v>
      </c>
      <c r="AM159" s="512">
        <f t="shared" ca="1" si="79"/>
        <v>10000</v>
      </c>
      <c r="AN159" s="512">
        <f t="shared" ca="1" si="80"/>
        <v>0</v>
      </c>
      <c r="AO159" s="512">
        <f t="shared" ca="1" si="81"/>
        <v>10000</v>
      </c>
      <c r="AP159" s="512">
        <f t="shared" ca="1" si="82"/>
        <v>0</v>
      </c>
      <c r="AQ159" s="512" t="str">
        <f t="shared" si="83"/>
        <v/>
      </c>
      <c r="AR159" s="512"/>
      <c r="AS159" s="512" t="str">
        <f t="shared" si="84"/>
        <v/>
      </c>
      <c r="AT159" s="151">
        <f t="shared" si="85"/>
        <v>0</v>
      </c>
      <c r="AU159" s="151">
        <f>IFERROR(VLOOKUP(A159,'[7]TD CuentasBDG'!$N$5:$O$21,2,0),0)</f>
        <v>0</v>
      </c>
      <c r="AV159">
        <f t="shared" si="86"/>
        <v>0</v>
      </c>
    </row>
    <row r="160" spans="1:50" ht="45" x14ac:dyDescent="0.25">
      <c r="A160" s="918" t="s">
        <v>1889</v>
      </c>
      <c r="B160" s="508" t="s">
        <v>113</v>
      </c>
      <c r="C160" s="508" t="s">
        <v>1890</v>
      </c>
      <c r="D160" s="508" t="s">
        <v>536</v>
      </c>
      <c r="E160" s="508"/>
      <c r="F160" s="508"/>
      <c r="G160" s="508" t="s">
        <v>1647</v>
      </c>
      <c r="H160" s="508" t="s">
        <v>1891</v>
      </c>
      <c r="I160" s="508" t="s">
        <v>1087</v>
      </c>
      <c r="J160" s="555" t="s">
        <v>1650</v>
      </c>
      <c r="K160" s="555" t="s">
        <v>1651</v>
      </c>
      <c r="L160" s="911">
        <f ca="1">IFERROR(INDEX(Lists!$O$2:$Z$2,MATCH(TRUE,INDEX((AE160:AP160&lt;&gt;0),0),0)),DATE(2018,1,1))</f>
        <v>43102</v>
      </c>
      <c r="M160" s="911">
        <f ca="1">IFERROR(INDEX(Lists!$O$3:$Z$3, VALUE(SUBSTITUTE(TEXT(ADDRESS(SUMPRODUCT(MAX((COLUMN(AE160:AP160)*(AE160:AP160&gt;0)))),1),),"$A$",""))-30),DATE(2018,1,1))</f>
        <v>43465</v>
      </c>
      <c r="N160" s="508" t="s">
        <v>1652</v>
      </c>
      <c r="O160" s="508" t="s">
        <v>1653</v>
      </c>
      <c r="P160" s="508" t="s">
        <v>1071</v>
      </c>
      <c r="Q160" s="508" t="s">
        <v>1071</v>
      </c>
      <c r="R160" s="508" t="str">
        <f t="shared" ca="1" si="58"/>
        <v>Graphic design</v>
      </c>
      <c r="S160" s="508" t="str">
        <f t="shared" ca="1" si="59"/>
        <v>Graphic design consultant</v>
      </c>
      <c r="T160" s="508" t="str">
        <f t="shared" ca="1" si="60"/>
        <v>advise on design and production of multimedia materials for communication</v>
      </c>
      <c r="U160" s="508" t="str">
        <f t="shared" ca="1" si="61"/>
        <v>684 / 51-11-3341</v>
      </c>
      <c r="V160" s="508" t="str">
        <f t="shared" ca="1" si="62"/>
        <v>Current Contract/Contrato Activo</v>
      </c>
      <c r="W160" s="508" t="str">
        <f t="shared" ca="1" si="63"/>
        <v>AB Marketing</v>
      </c>
      <c r="X160" s="508" t="str">
        <f t="shared" ca="1" si="64"/>
        <v>N/A</v>
      </c>
      <c r="Y160" s="508" t="str">
        <f t="shared" ca="1" si="65"/>
        <v>N/A</v>
      </c>
      <c r="Z160" s="508" t="str">
        <f t="shared" ca="1" si="66"/>
        <v>N/A</v>
      </c>
      <c r="AA160" s="508" t="str">
        <f t="shared" ca="1" si="67"/>
        <v>Ene</v>
      </c>
      <c r="AB160" s="508">
        <f t="shared" ca="1" si="68"/>
        <v>12</v>
      </c>
      <c r="AC160" s="508">
        <f t="shared" ca="1" si="69"/>
        <v>0</v>
      </c>
      <c r="AD160" s="912">
        <f t="shared" ca="1" si="70"/>
        <v>36000</v>
      </c>
      <c r="AE160" s="512">
        <f t="shared" ca="1" si="71"/>
        <v>3000</v>
      </c>
      <c r="AF160" s="512">
        <f t="shared" ca="1" si="72"/>
        <v>3000</v>
      </c>
      <c r="AG160" s="512">
        <f t="shared" ca="1" si="73"/>
        <v>3000</v>
      </c>
      <c r="AH160" s="512">
        <f t="shared" ca="1" si="74"/>
        <v>3000</v>
      </c>
      <c r="AI160" s="512">
        <f t="shared" ca="1" si="75"/>
        <v>3000</v>
      </c>
      <c r="AJ160" s="512">
        <f t="shared" ca="1" si="76"/>
        <v>3000</v>
      </c>
      <c r="AK160" s="512">
        <f t="shared" ca="1" si="77"/>
        <v>3000</v>
      </c>
      <c r="AL160" s="512">
        <f t="shared" ca="1" si="78"/>
        <v>3000</v>
      </c>
      <c r="AM160" s="512">
        <f t="shared" ca="1" si="79"/>
        <v>3000</v>
      </c>
      <c r="AN160" s="512">
        <f t="shared" ca="1" si="80"/>
        <v>3000</v>
      </c>
      <c r="AO160" s="512">
        <f t="shared" ca="1" si="81"/>
        <v>3000</v>
      </c>
      <c r="AP160" s="512">
        <f t="shared" ca="1" si="82"/>
        <v>3000</v>
      </c>
      <c r="AQ160" s="512" t="str">
        <f t="shared" ca="1" si="83"/>
        <v>Orden de Servicio Sin Terreno</v>
      </c>
      <c r="AR160" s="512"/>
      <c r="AS160" s="512" t="str">
        <f t="shared" ca="1" si="84"/>
        <v>No</v>
      </c>
      <c r="AT160" s="151">
        <f t="shared" ca="1" si="85"/>
        <v>36000</v>
      </c>
      <c r="AU160" s="151">
        <f>IFERROR(VLOOKUP(A160,'[7]TD CuentasBDG'!$N$5:$O$21,2,0),0)</f>
        <v>0</v>
      </c>
      <c r="AV160" t="str">
        <f t="shared" si="86"/>
        <v>Renovación de Contrato</v>
      </c>
      <c r="AW160" t="s">
        <v>1669</v>
      </c>
      <c r="AX160" t="s">
        <v>1655</v>
      </c>
    </row>
    <row r="161" spans="1:50" ht="45" x14ac:dyDescent="0.25">
      <c r="A161" s="918" t="s">
        <v>1892</v>
      </c>
      <c r="B161" s="508" t="s">
        <v>113</v>
      </c>
      <c r="C161" s="508" t="s">
        <v>1890</v>
      </c>
      <c r="D161" s="508" t="s">
        <v>536</v>
      </c>
      <c r="E161" s="508"/>
      <c r="F161" s="508"/>
      <c r="G161" s="508" t="s">
        <v>1647</v>
      </c>
      <c r="H161" s="508" t="s">
        <v>1893</v>
      </c>
      <c r="I161" s="508" t="s">
        <v>1091</v>
      </c>
      <c r="J161" s="555" t="s">
        <v>1650</v>
      </c>
      <c r="K161" s="555" t="s">
        <v>1651</v>
      </c>
      <c r="L161" s="911">
        <f ca="1">IFERROR(INDEX(Lists!$O$2:$Z$2,MATCH(TRUE,INDEX((AE161:AP161&lt;&gt;0),0),0)),DATE(2018,1,1))</f>
        <v>43102</v>
      </c>
      <c r="M161" s="911">
        <f ca="1">IFERROR(INDEX(Lists!$O$3:$Z$3, VALUE(SUBSTITUTE(TEXT(ADDRESS(SUMPRODUCT(MAX((COLUMN(AE161:AP161)*(AE161:AP161&gt;0)))),1),),"$A$",""))-30),DATE(2018,1,1))</f>
        <v>43465</v>
      </c>
      <c r="N161" s="508" t="s">
        <v>1652</v>
      </c>
      <c r="O161" s="508" t="s">
        <v>1653</v>
      </c>
      <c r="P161" s="508" t="s">
        <v>1071</v>
      </c>
      <c r="Q161" s="508" t="s">
        <v>1071</v>
      </c>
      <c r="R161" s="508" t="str">
        <f t="shared" ca="1" si="58"/>
        <v>Strategic communication</v>
      </c>
      <c r="S161" s="508" t="str">
        <f t="shared" ca="1" si="59"/>
        <v>Strategic communication consultant</v>
      </c>
      <c r="T161" s="508" t="str">
        <f t="shared" ca="1" si="60"/>
        <v xml:space="preserve">advise on corporate communications </v>
      </c>
      <c r="U161" s="508" t="str">
        <f t="shared" ca="1" si="61"/>
        <v>684 / 51-11-3341</v>
      </c>
      <c r="V161" s="508" t="str">
        <f t="shared" ca="1" si="62"/>
        <v>Current Contract/Contrato Activo</v>
      </c>
      <c r="W161" s="508" t="str">
        <f t="shared" ca="1" si="63"/>
        <v>The Bridge Communications</v>
      </c>
      <c r="X161" s="508" t="str">
        <f t="shared" ca="1" si="64"/>
        <v>N/A</v>
      </c>
      <c r="Y161" s="508" t="str">
        <f t="shared" ca="1" si="65"/>
        <v>N/A</v>
      </c>
      <c r="Z161" s="508" t="str">
        <f t="shared" ca="1" si="66"/>
        <v>N/A</v>
      </c>
      <c r="AA161" s="508" t="str">
        <f t="shared" ca="1" si="67"/>
        <v>Ene</v>
      </c>
      <c r="AB161" s="508">
        <f t="shared" ca="1" si="68"/>
        <v>12</v>
      </c>
      <c r="AC161" s="508">
        <f t="shared" ca="1" si="69"/>
        <v>0</v>
      </c>
      <c r="AD161" s="912">
        <f t="shared" ca="1" si="70"/>
        <v>57996</v>
      </c>
      <c r="AE161" s="512">
        <f t="shared" ca="1" si="71"/>
        <v>4833</v>
      </c>
      <c r="AF161" s="512">
        <f t="shared" ca="1" si="72"/>
        <v>4833</v>
      </c>
      <c r="AG161" s="512">
        <f t="shared" ca="1" si="73"/>
        <v>4833</v>
      </c>
      <c r="AH161" s="512">
        <f t="shared" ca="1" si="74"/>
        <v>4833</v>
      </c>
      <c r="AI161" s="512">
        <f t="shared" ca="1" si="75"/>
        <v>4833</v>
      </c>
      <c r="AJ161" s="512">
        <f t="shared" ca="1" si="76"/>
        <v>4833</v>
      </c>
      <c r="AK161" s="512">
        <f t="shared" ca="1" si="77"/>
        <v>4833</v>
      </c>
      <c r="AL161" s="512">
        <f t="shared" ca="1" si="78"/>
        <v>4833</v>
      </c>
      <c r="AM161" s="512">
        <f t="shared" ca="1" si="79"/>
        <v>4833</v>
      </c>
      <c r="AN161" s="512">
        <f t="shared" ca="1" si="80"/>
        <v>4833</v>
      </c>
      <c r="AO161" s="512">
        <f t="shared" ca="1" si="81"/>
        <v>4833</v>
      </c>
      <c r="AP161" s="512">
        <f t="shared" ca="1" si="82"/>
        <v>4833</v>
      </c>
      <c r="AQ161" s="512" t="str">
        <f t="shared" ca="1" si="83"/>
        <v>Orden de Servicio Sin Terreno</v>
      </c>
      <c r="AR161" s="512"/>
      <c r="AS161" s="512" t="str">
        <f t="shared" ca="1" si="84"/>
        <v>Si</v>
      </c>
      <c r="AT161" s="151">
        <f t="shared" ca="1" si="85"/>
        <v>57996</v>
      </c>
      <c r="AU161" s="151">
        <f>IFERROR(VLOOKUP(A161,'[7]TD CuentasBDG'!$N$5:$O$21,2,0),0)</f>
        <v>0</v>
      </c>
      <c r="AV161" t="str">
        <f t="shared" si="86"/>
        <v>Renovación de Contrato</v>
      </c>
      <c r="AW161" t="s">
        <v>1669</v>
      </c>
      <c r="AX161" t="s">
        <v>1655</v>
      </c>
    </row>
    <row r="162" spans="1:50" ht="45" x14ac:dyDescent="0.25">
      <c r="A162" s="919" t="s">
        <v>1894</v>
      </c>
      <c r="B162" s="508" t="s">
        <v>113</v>
      </c>
      <c r="C162" s="508" t="s">
        <v>1890</v>
      </c>
      <c r="D162" s="508" t="s">
        <v>536</v>
      </c>
      <c r="E162" s="508"/>
      <c r="F162" s="508"/>
      <c r="G162" s="508" t="s">
        <v>1707</v>
      </c>
      <c r="H162" s="508"/>
      <c r="I162" s="508"/>
      <c r="J162" s="555"/>
      <c r="K162" s="555"/>
      <c r="L162" s="911">
        <f ca="1">IFERROR(INDEX(Lists!$O$2:$Z$2,MATCH(TRUE,INDEX((AE162:AP162&lt;&gt;0),0),0)),DATE(2018,1,1))</f>
        <v>43102</v>
      </c>
      <c r="M162" s="911">
        <f ca="1">IFERROR(INDEX(Lists!$O$3:$Z$3, VALUE(SUBSTITUTE(TEXT(ADDRESS(SUMPRODUCT(MAX((COLUMN(AE162:AP162)*(AE162:AP162&gt;0)))),1),),"$A$",""))-30),DATE(2018,1,1))</f>
        <v>43465</v>
      </c>
      <c r="N162" s="508"/>
      <c r="O162" s="508" t="s">
        <v>1653</v>
      </c>
      <c r="P162" s="508" t="s">
        <v>1071</v>
      </c>
      <c r="Q162" s="508" t="s">
        <v>1071</v>
      </c>
      <c r="R162" s="508" t="str">
        <f t="shared" ca="1" si="58"/>
        <v>media plan</v>
      </c>
      <c r="S162" s="508" t="str">
        <f t="shared" ca="1" si="59"/>
        <v>implementation of media plan</v>
      </c>
      <c r="T162" s="508" t="str">
        <f t="shared" ca="1" si="60"/>
        <v>activities regarding media and press to enhance communication</v>
      </c>
      <c r="U162" s="508" t="str">
        <f t="shared" ca="1" si="61"/>
        <v>684 / 51-11-3341</v>
      </c>
      <c r="V162" s="508" t="str">
        <f t="shared" ca="1" si="62"/>
        <v>Open PO/Orden de Compra Abierta</v>
      </c>
      <c r="W162" s="508" t="str">
        <f t="shared" ca="1" si="63"/>
        <v>to be defined</v>
      </c>
      <c r="X162" s="508" t="str">
        <f t="shared" ca="1" si="64"/>
        <v>N/A</v>
      </c>
      <c r="Y162" s="508" t="str">
        <f t="shared" ca="1" si="65"/>
        <v>N/A</v>
      </c>
      <c r="Z162" s="508" t="str">
        <f t="shared" ca="1" si="66"/>
        <v>N/A</v>
      </c>
      <c r="AA162" s="508" t="str">
        <f t="shared" ca="1" si="67"/>
        <v>Ene</v>
      </c>
      <c r="AB162" s="508">
        <f t="shared" ca="1" si="68"/>
        <v>12</v>
      </c>
      <c r="AC162" s="508">
        <f t="shared" ca="1" si="69"/>
        <v>0</v>
      </c>
      <c r="AD162" s="912">
        <f t="shared" ca="1" si="70"/>
        <v>48000</v>
      </c>
      <c r="AE162" s="512">
        <f t="shared" ca="1" si="71"/>
        <v>4000</v>
      </c>
      <c r="AF162" s="512">
        <f t="shared" ca="1" si="72"/>
        <v>4000</v>
      </c>
      <c r="AG162" s="512">
        <f t="shared" ca="1" si="73"/>
        <v>4000</v>
      </c>
      <c r="AH162" s="512">
        <f t="shared" ca="1" si="74"/>
        <v>4000</v>
      </c>
      <c r="AI162" s="512">
        <f t="shared" ca="1" si="75"/>
        <v>4000</v>
      </c>
      <c r="AJ162" s="512">
        <f t="shared" ca="1" si="76"/>
        <v>4000</v>
      </c>
      <c r="AK162" s="512">
        <f t="shared" ca="1" si="77"/>
        <v>4000</v>
      </c>
      <c r="AL162" s="512">
        <f t="shared" ca="1" si="78"/>
        <v>4000</v>
      </c>
      <c r="AM162" s="512">
        <f t="shared" ca="1" si="79"/>
        <v>4000</v>
      </c>
      <c r="AN162" s="512">
        <f t="shared" ca="1" si="80"/>
        <v>4000</v>
      </c>
      <c r="AO162" s="512">
        <f t="shared" ca="1" si="81"/>
        <v>4000</v>
      </c>
      <c r="AP162" s="512">
        <f t="shared" ca="1" si="82"/>
        <v>4000</v>
      </c>
      <c r="AQ162" s="512" t="str">
        <f t="shared" si="83"/>
        <v/>
      </c>
      <c r="AR162" s="512"/>
      <c r="AS162" s="512" t="str">
        <f t="shared" si="84"/>
        <v/>
      </c>
      <c r="AT162" s="151">
        <f t="shared" si="85"/>
        <v>0</v>
      </c>
      <c r="AU162" s="151">
        <f>IFERROR(VLOOKUP(A162,'[7]TD CuentasBDG'!$N$5:$O$21,2,0),0)</f>
        <v>0</v>
      </c>
      <c r="AV162">
        <f t="shared" si="86"/>
        <v>0</v>
      </c>
    </row>
    <row r="163" spans="1:50" ht="45" x14ac:dyDescent="0.25">
      <c r="A163" s="918" t="s">
        <v>1895</v>
      </c>
      <c r="B163" s="508" t="s">
        <v>113</v>
      </c>
      <c r="C163" s="508" t="s">
        <v>1890</v>
      </c>
      <c r="D163" s="508" t="s">
        <v>536</v>
      </c>
      <c r="E163" s="508"/>
      <c r="F163" s="508"/>
      <c r="G163" s="508" t="s">
        <v>1647</v>
      </c>
      <c r="H163" s="508" t="s">
        <v>1896</v>
      </c>
      <c r="I163" s="508" t="s">
        <v>1027</v>
      </c>
      <c r="J163" s="555" t="s">
        <v>1650</v>
      </c>
      <c r="K163" s="555" t="s">
        <v>1651</v>
      </c>
      <c r="L163" s="911">
        <f ca="1">IFERROR(INDEX(Lists!$O$2:$Z$2,MATCH(TRUE,INDEX((AE163:AP163&lt;&gt;0),0),0)),DATE(2018,1,1))</f>
        <v>43102</v>
      </c>
      <c r="M163" s="911">
        <f ca="1">IFERROR(INDEX(Lists!$O$3:$Z$3, VALUE(SUBSTITUTE(TEXT(ADDRESS(SUMPRODUCT(MAX((COLUMN(AE163:AP163)*(AE163:AP163&gt;0)))),1),),"$A$",""))-30),DATE(2018,1,1))</f>
        <v>43465</v>
      </c>
      <c r="N163" s="508" t="s">
        <v>1652</v>
      </c>
      <c r="O163" s="508" t="s">
        <v>1786</v>
      </c>
      <c r="P163" s="508" t="s">
        <v>1676</v>
      </c>
      <c r="Q163" s="508" t="s">
        <v>1071</v>
      </c>
      <c r="R163" s="508" t="str">
        <f t="shared" ca="1" si="58"/>
        <v>media monitoring</v>
      </c>
      <c r="S163" s="508" t="str">
        <f t="shared" ca="1" si="59"/>
        <v>monitoring of local and regional media</v>
      </c>
      <c r="T163" s="508" t="str">
        <f t="shared" ca="1" si="60"/>
        <v>monthly fee</v>
      </c>
      <c r="U163" s="508" t="str">
        <f t="shared" ca="1" si="61"/>
        <v>684 / 51-11-3341</v>
      </c>
      <c r="V163" s="508" t="str">
        <f t="shared" ca="1" si="62"/>
        <v>Current Contract/Contrato Activo</v>
      </c>
      <c r="W163" s="508" t="str">
        <f t="shared" ca="1" si="63"/>
        <v>Carlos Opazo</v>
      </c>
      <c r="X163" s="508" t="str">
        <f t="shared" ca="1" si="64"/>
        <v>N/A</v>
      </c>
      <c r="Y163" s="508" t="str">
        <f t="shared" ca="1" si="65"/>
        <v>N/A</v>
      </c>
      <c r="Z163" s="508" t="str">
        <f t="shared" ca="1" si="66"/>
        <v>N/A</v>
      </c>
      <c r="AA163" s="508" t="str">
        <f t="shared" ca="1" si="67"/>
        <v>Ene</v>
      </c>
      <c r="AB163" s="508">
        <f t="shared" ca="1" si="68"/>
        <v>12</v>
      </c>
      <c r="AC163" s="508">
        <f t="shared" ca="1" si="69"/>
        <v>0</v>
      </c>
      <c r="AD163" s="912">
        <f t="shared" ca="1" si="70"/>
        <v>15996</v>
      </c>
      <c r="AE163" s="512">
        <f t="shared" ca="1" si="71"/>
        <v>1333</v>
      </c>
      <c r="AF163" s="512">
        <f t="shared" ca="1" si="72"/>
        <v>1333</v>
      </c>
      <c r="AG163" s="512">
        <f t="shared" ca="1" si="73"/>
        <v>1333</v>
      </c>
      <c r="AH163" s="512">
        <f t="shared" ca="1" si="74"/>
        <v>1333</v>
      </c>
      <c r="AI163" s="512">
        <f t="shared" ca="1" si="75"/>
        <v>1333</v>
      </c>
      <c r="AJ163" s="512">
        <f t="shared" ca="1" si="76"/>
        <v>1333</v>
      </c>
      <c r="AK163" s="512">
        <f t="shared" ca="1" si="77"/>
        <v>1333</v>
      </c>
      <c r="AL163" s="512">
        <f t="shared" ca="1" si="78"/>
        <v>1333</v>
      </c>
      <c r="AM163" s="512">
        <f t="shared" ca="1" si="79"/>
        <v>1333</v>
      </c>
      <c r="AN163" s="512">
        <f t="shared" ca="1" si="80"/>
        <v>1333</v>
      </c>
      <c r="AO163" s="512">
        <f t="shared" ca="1" si="81"/>
        <v>1333</v>
      </c>
      <c r="AP163" s="512">
        <f t="shared" ca="1" si="82"/>
        <v>1333</v>
      </c>
      <c r="AQ163" s="512" t="str">
        <f t="shared" ca="1" si="83"/>
        <v>Orden de Servicio Sin Terreno</v>
      </c>
      <c r="AR163" s="512"/>
      <c r="AS163" s="512" t="str">
        <f t="shared" ca="1" si="84"/>
        <v>No</v>
      </c>
      <c r="AT163" s="151">
        <f t="shared" ca="1" si="85"/>
        <v>15996</v>
      </c>
      <c r="AU163" s="151">
        <f>IFERROR(VLOOKUP(A163,'[7]TD CuentasBDG'!$N$5:$O$21,2,0),0)</f>
        <v>0</v>
      </c>
      <c r="AV163" t="str">
        <f t="shared" si="86"/>
        <v>Renovación de Contrato</v>
      </c>
      <c r="AW163" t="s">
        <v>1897</v>
      </c>
      <c r="AX163" t="s">
        <v>1655</v>
      </c>
    </row>
    <row r="164" spans="1:50" ht="45" x14ac:dyDescent="0.25">
      <c r="A164" s="918" t="s">
        <v>1898</v>
      </c>
      <c r="B164" s="508" t="s">
        <v>113</v>
      </c>
      <c r="C164" s="508" t="s">
        <v>1890</v>
      </c>
      <c r="D164" s="508" t="s">
        <v>536</v>
      </c>
      <c r="E164" s="508"/>
      <c r="F164" s="508"/>
      <c r="G164" s="508" t="s">
        <v>1647</v>
      </c>
      <c r="H164" s="508" t="s">
        <v>1896</v>
      </c>
      <c r="I164" s="508" t="s">
        <v>1027</v>
      </c>
      <c r="J164" s="555" t="s">
        <v>1650</v>
      </c>
      <c r="K164" s="555" t="s">
        <v>1651</v>
      </c>
      <c r="L164" s="911">
        <f ca="1">IFERROR(INDEX(Lists!$O$2:$Z$2,MATCH(TRUE,INDEX((AE164:AP164&lt;&gt;0),0),0)),DATE(2018,1,1))</f>
        <v>43102</v>
      </c>
      <c r="M164" s="911">
        <f ca="1">IFERROR(INDEX(Lists!$O$3:$Z$3, VALUE(SUBSTITUTE(TEXT(ADDRESS(SUMPRODUCT(MAX((COLUMN(AE164:AP164)*(AE164:AP164&gt;0)))),1),),"$A$",""))-30),DATE(2018,1,1))</f>
        <v>43465</v>
      </c>
      <c r="N164" s="508" t="s">
        <v>1652</v>
      </c>
      <c r="O164" s="508" t="s">
        <v>1786</v>
      </c>
      <c r="P164" s="508" t="s">
        <v>1676</v>
      </c>
      <c r="Q164" s="508" t="s">
        <v>1071</v>
      </c>
      <c r="R164" s="508" t="str">
        <f t="shared" ca="1" si="58"/>
        <v>social media monitoring</v>
      </c>
      <c r="S164" s="508" t="str">
        <f t="shared" ca="1" si="59"/>
        <v>monitoring of social media</v>
      </c>
      <c r="T164" s="508" t="str">
        <f t="shared" ca="1" si="60"/>
        <v>monthly fee</v>
      </c>
      <c r="U164" s="508" t="str">
        <f t="shared" ca="1" si="61"/>
        <v>684 / 51-11-3341</v>
      </c>
      <c r="V164" s="508" t="str">
        <f t="shared" ca="1" si="62"/>
        <v>Current Contract/Contrato Activo</v>
      </c>
      <c r="W164" s="508" t="str">
        <f t="shared" ca="1" si="63"/>
        <v>Mi Voz</v>
      </c>
      <c r="X164" s="508" t="str">
        <f t="shared" ca="1" si="64"/>
        <v>N/A</v>
      </c>
      <c r="Y164" s="508" t="str">
        <f t="shared" ca="1" si="65"/>
        <v>N/A</v>
      </c>
      <c r="Z164" s="508" t="str">
        <f t="shared" ca="1" si="66"/>
        <v>N/A</v>
      </c>
      <c r="AA164" s="508" t="str">
        <f t="shared" ca="1" si="67"/>
        <v>Ene</v>
      </c>
      <c r="AB164" s="508">
        <f t="shared" ca="1" si="68"/>
        <v>12</v>
      </c>
      <c r="AC164" s="508">
        <f t="shared" ca="1" si="69"/>
        <v>0</v>
      </c>
      <c r="AD164" s="912">
        <f t="shared" ca="1" si="70"/>
        <v>12492</v>
      </c>
      <c r="AE164" s="512">
        <f t="shared" ca="1" si="71"/>
        <v>1041</v>
      </c>
      <c r="AF164" s="512">
        <f t="shared" ca="1" si="72"/>
        <v>1041</v>
      </c>
      <c r="AG164" s="512">
        <f t="shared" ca="1" si="73"/>
        <v>1041</v>
      </c>
      <c r="AH164" s="512">
        <f t="shared" ca="1" si="74"/>
        <v>1041</v>
      </c>
      <c r="AI164" s="512">
        <f t="shared" ca="1" si="75"/>
        <v>1041</v>
      </c>
      <c r="AJ164" s="512">
        <f t="shared" ca="1" si="76"/>
        <v>1041</v>
      </c>
      <c r="AK164" s="512">
        <f t="shared" ca="1" si="77"/>
        <v>1041</v>
      </c>
      <c r="AL164" s="512">
        <f t="shared" ca="1" si="78"/>
        <v>1041</v>
      </c>
      <c r="AM164" s="512">
        <f t="shared" ca="1" si="79"/>
        <v>1041</v>
      </c>
      <c r="AN164" s="512">
        <f t="shared" ca="1" si="80"/>
        <v>1041</v>
      </c>
      <c r="AO164" s="512">
        <f t="shared" ca="1" si="81"/>
        <v>1041</v>
      </c>
      <c r="AP164" s="512">
        <f t="shared" ca="1" si="82"/>
        <v>1041</v>
      </c>
      <c r="AQ164" s="512" t="str">
        <f t="shared" ca="1" si="83"/>
        <v>Orden de Servicio Sin Terreno</v>
      </c>
      <c r="AR164" s="512"/>
      <c r="AS164" s="512" t="str">
        <f t="shared" ca="1" si="84"/>
        <v>No</v>
      </c>
      <c r="AT164" s="151">
        <f t="shared" ca="1" si="85"/>
        <v>12492</v>
      </c>
      <c r="AU164" s="151">
        <f>IFERROR(VLOOKUP(A164,'[7]TD CuentasBDG'!$N$5:$O$21,2,0),0)</f>
        <v>0</v>
      </c>
      <c r="AV164" t="str">
        <f t="shared" si="86"/>
        <v>Renovación de Contrato</v>
      </c>
      <c r="AW164" t="s">
        <v>1897</v>
      </c>
      <c r="AX164" t="s">
        <v>1655</v>
      </c>
    </row>
    <row r="165" spans="1:50" ht="45" x14ac:dyDescent="0.25">
      <c r="A165" s="918" t="s">
        <v>1899</v>
      </c>
      <c r="B165" s="508" t="s">
        <v>113</v>
      </c>
      <c r="C165" s="508" t="s">
        <v>1890</v>
      </c>
      <c r="D165" s="508" t="s">
        <v>536</v>
      </c>
      <c r="E165" s="508"/>
      <c r="F165" s="508"/>
      <c r="G165" s="508" t="s">
        <v>1707</v>
      </c>
      <c r="H165" s="508"/>
      <c r="I165" s="508"/>
      <c r="J165" s="555"/>
      <c r="K165" s="555"/>
      <c r="L165" s="911">
        <f ca="1">IFERROR(INDEX(Lists!$O$2:$Z$2,MATCH(TRUE,INDEX((AE165:AP165&lt;&gt;0),0),0)),DATE(2018,1,1))</f>
        <v>43191</v>
      </c>
      <c r="M165" s="911">
        <f ca="1">IFERROR(INDEX(Lists!$O$3:$Z$3, VALUE(SUBSTITUTE(TEXT(ADDRESS(SUMPRODUCT(MAX((COLUMN(AE165:AP165)*(AE165:AP165&gt;0)))),1),),"$A$",""))-30),DATE(2018,1,1))</f>
        <v>43220</v>
      </c>
      <c r="N165" s="508"/>
      <c r="O165" s="508" t="s">
        <v>1653</v>
      </c>
      <c r="P165" s="508" t="s">
        <v>1071</v>
      </c>
      <c r="Q165" s="508" t="s">
        <v>1071</v>
      </c>
      <c r="R165" s="508" t="str">
        <f t="shared" ca="1" si="58"/>
        <v>media training</v>
      </c>
      <c r="S165" s="508" t="str">
        <f t="shared" ca="1" si="59"/>
        <v>training to face media</v>
      </c>
      <c r="T165" s="508" t="str">
        <f t="shared" ca="1" si="60"/>
        <v>training to NuevaUnión executives</v>
      </c>
      <c r="U165" s="508" t="str">
        <f t="shared" ca="1" si="61"/>
        <v>684 / 51-11-3341</v>
      </c>
      <c r="V165" s="508" t="str">
        <f t="shared" ca="1" si="62"/>
        <v>Current Contract/Contrato Activo</v>
      </c>
      <c r="W165" s="508" t="str">
        <f t="shared" ca="1" si="63"/>
        <v>The Bridge Communications</v>
      </c>
      <c r="X165" s="508" t="str">
        <f t="shared" ca="1" si="64"/>
        <v>N/A</v>
      </c>
      <c r="Y165" s="508" t="str">
        <f t="shared" ca="1" si="65"/>
        <v>N/A</v>
      </c>
      <c r="Z165" s="508" t="str">
        <f t="shared" ca="1" si="66"/>
        <v>N/A</v>
      </c>
      <c r="AA165" s="508" t="str">
        <f t="shared" ca="1" si="67"/>
        <v>Abr</v>
      </c>
      <c r="AB165" s="508">
        <f t="shared" ca="1" si="68"/>
        <v>1</v>
      </c>
      <c r="AC165" s="508">
        <f t="shared" ca="1" si="69"/>
        <v>0</v>
      </c>
      <c r="AD165" s="912">
        <f t="shared" ca="1" si="70"/>
        <v>10000</v>
      </c>
      <c r="AE165" s="512">
        <f t="shared" ca="1" si="71"/>
        <v>0</v>
      </c>
      <c r="AF165" s="512">
        <f t="shared" ca="1" si="72"/>
        <v>0</v>
      </c>
      <c r="AG165" s="512">
        <f t="shared" ca="1" si="73"/>
        <v>0</v>
      </c>
      <c r="AH165" s="512">
        <f t="shared" ca="1" si="74"/>
        <v>10000</v>
      </c>
      <c r="AI165" s="512">
        <f t="shared" ca="1" si="75"/>
        <v>0</v>
      </c>
      <c r="AJ165" s="512">
        <f t="shared" ca="1" si="76"/>
        <v>0</v>
      </c>
      <c r="AK165" s="512">
        <f t="shared" ca="1" si="77"/>
        <v>0</v>
      </c>
      <c r="AL165" s="512">
        <f t="shared" ca="1" si="78"/>
        <v>0</v>
      </c>
      <c r="AM165" s="512">
        <f t="shared" ca="1" si="79"/>
        <v>0</v>
      </c>
      <c r="AN165" s="512">
        <f t="shared" ca="1" si="80"/>
        <v>0</v>
      </c>
      <c r="AO165" s="512">
        <f t="shared" ca="1" si="81"/>
        <v>0</v>
      </c>
      <c r="AP165" s="512">
        <f t="shared" ca="1" si="82"/>
        <v>0</v>
      </c>
      <c r="AQ165" s="512" t="str">
        <f t="shared" si="83"/>
        <v/>
      </c>
      <c r="AR165" s="512"/>
      <c r="AS165" s="512" t="str">
        <f t="shared" si="84"/>
        <v/>
      </c>
      <c r="AT165" s="151">
        <f t="shared" si="85"/>
        <v>0</v>
      </c>
      <c r="AU165" s="151">
        <f>IFERROR(VLOOKUP(A165,'[7]TD CuentasBDG'!$N$5:$O$21,2,0),0)</f>
        <v>0</v>
      </c>
      <c r="AV165">
        <f t="shared" si="86"/>
        <v>0</v>
      </c>
    </row>
    <row r="166" spans="1:50" ht="45" x14ac:dyDescent="0.25">
      <c r="A166" s="919" t="s">
        <v>1900</v>
      </c>
      <c r="B166" s="508" t="s">
        <v>113</v>
      </c>
      <c r="C166" s="508" t="s">
        <v>1890</v>
      </c>
      <c r="D166" s="508" t="s">
        <v>536</v>
      </c>
      <c r="E166" s="508"/>
      <c r="F166" s="508"/>
      <c r="G166" s="508" t="s">
        <v>1707</v>
      </c>
      <c r="H166" s="508"/>
      <c r="I166" s="508"/>
      <c r="J166" s="555"/>
      <c r="K166" s="555"/>
      <c r="L166" s="911">
        <f ca="1">IFERROR(INDEX(Lists!$O$2:$Z$2,MATCH(TRUE,INDEX((AE166:AP166&lt;&gt;0),0),0)),DATE(2018,1,1))</f>
        <v>43102</v>
      </c>
      <c r="M166" s="911">
        <f ca="1">IFERROR(INDEX(Lists!$O$3:$Z$3, VALUE(SUBSTITUTE(TEXT(ADDRESS(SUMPRODUCT(MAX((COLUMN(AE166:AP166)*(AE166:AP166&gt;0)))),1),),"$A$",""))-30),DATE(2018,1,1))</f>
        <v>43465</v>
      </c>
      <c r="N166" s="508"/>
      <c r="O166" s="508" t="s">
        <v>1653</v>
      </c>
      <c r="P166" s="508" t="s">
        <v>1071</v>
      </c>
      <c r="Q166" s="508" t="s">
        <v>1071</v>
      </c>
      <c r="R166" s="508" t="str">
        <f t="shared" ca="1" si="58"/>
        <v>multimedia material production</v>
      </c>
      <c r="S166" s="508" t="str">
        <f t="shared" ca="1" si="59"/>
        <v>production of audiovisual material</v>
      </c>
      <c r="T166" s="508" t="str">
        <f t="shared" ca="1" si="60"/>
        <v>production of multimedia material for corporate communications</v>
      </c>
      <c r="U166" s="508" t="str">
        <f t="shared" ca="1" si="61"/>
        <v>684 / 51-11-3341</v>
      </c>
      <c r="V166" s="508" t="str">
        <f t="shared" ca="1" si="62"/>
        <v>Purchase Order (PO)/Orden de Compra</v>
      </c>
      <c r="W166" s="508" t="str">
        <f t="shared" ca="1" si="63"/>
        <v>to be defined</v>
      </c>
      <c r="X166" s="508" t="str">
        <f t="shared" ca="1" si="64"/>
        <v>N/A</v>
      </c>
      <c r="Y166" s="508" t="str">
        <f t="shared" ca="1" si="65"/>
        <v>N/A</v>
      </c>
      <c r="Z166" s="508" t="str">
        <f t="shared" ca="1" si="66"/>
        <v>N/A</v>
      </c>
      <c r="AA166" s="508" t="str">
        <f t="shared" ca="1" si="67"/>
        <v>Ene</v>
      </c>
      <c r="AB166" s="508">
        <f t="shared" ca="1" si="68"/>
        <v>12</v>
      </c>
      <c r="AC166" s="508">
        <f t="shared" ca="1" si="69"/>
        <v>0</v>
      </c>
      <c r="AD166" s="912">
        <f t="shared" ca="1" si="70"/>
        <v>30000</v>
      </c>
      <c r="AE166" s="512">
        <f t="shared" ca="1" si="71"/>
        <v>2000</v>
      </c>
      <c r="AF166" s="512">
        <f t="shared" ca="1" si="72"/>
        <v>2000</v>
      </c>
      <c r="AG166" s="512">
        <f t="shared" ca="1" si="73"/>
        <v>4000</v>
      </c>
      <c r="AH166" s="512">
        <f t="shared" ca="1" si="74"/>
        <v>2000</v>
      </c>
      <c r="AI166" s="512">
        <f t="shared" ca="1" si="75"/>
        <v>2000</v>
      </c>
      <c r="AJ166" s="512">
        <f t="shared" ca="1" si="76"/>
        <v>4000</v>
      </c>
      <c r="AK166" s="512">
        <f t="shared" ca="1" si="77"/>
        <v>2000</v>
      </c>
      <c r="AL166" s="512">
        <f t="shared" ca="1" si="78"/>
        <v>2000</v>
      </c>
      <c r="AM166" s="512">
        <f t="shared" ca="1" si="79"/>
        <v>4000</v>
      </c>
      <c r="AN166" s="512">
        <f t="shared" ca="1" si="80"/>
        <v>2000</v>
      </c>
      <c r="AO166" s="512">
        <f t="shared" ca="1" si="81"/>
        <v>2000</v>
      </c>
      <c r="AP166" s="512">
        <f t="shared" ca="1" si="82"/>
        <v>2000</v>
      </c>
      <c r="AQ166" s="512" t="str">
        <f t="shared" si="83"/>
        <v/>
      </c>
      <c r="AR166" s="512"/>
      <c r="AS166" s="512" t="str">
        <f t="shared" si="84"/>
        <v/>
      </c>
      <c r="AT166" s="151">
        <f t="shared" si="85"/>
        <v>0</v>
      </c>
      <c r="AU166" s="151">
        <f>IFERROR(VLOOKUP(A166,'[7]TD CuentasBDG'!$N$5:$O$21,2,0),0)</f>
        <v>0</v>
      </c>
      <c r="AV166">
        <f t="shared" si="86"/>
        <v>0</v>
      </c>
    </row>
    <row r="167" spans="1:50" ht="45" x14ac:dyDescent="0.25">
      <c r="A167" s="918" t="s">
        <v>1901</v>
      </c>
      <c r="B167" s="508" t="s">
        <v>113</v>
      </c>
      <c r="C167" s="508" t="s">
        <v>1890</v>
      </c>
      <c r="D167" s="508" t="s">
        <v>536</v>
      </c>
      <c r="E167" s="508"/>
      <c r="F167" s="508"/>
      <c r="G167" s="508" t="s">
        <v>1647</v>
      </c>
      <c r="H167" s="508" t="s">
        <v>1902</v>
      </c>
      <c r="I167" s="508" t="s">
        <v>1110</v>
      </c>
      <c r="J167" s="555" t="s">
        <v>1650</v>
      </c>
      <c r="K167" s="555" t="s">
        <v>1651</v>
      </c>
      <c r="L167" s="911">
        <f ca="1">IFERROR(INDEX(Lists!$O$2:$Z$2,MATCH(TRUE,INDEX((AE167:AP167&lt;&gt;0),0),0)),DATE(2018,1,1))</f>
        <v>43160</v>
      </c>
      <c r="M167" s="911">
        <f ca="1">IFERROR(INDEX(Lists!$O$3:$Z$3, VALUE(SUBSTITUTE(TEXT(ADDRESS(SUMPRODUCT(MAX((COLUMN(AE167:AP167)*(AE167:AP167&gt;0)))),1),),"$A$",""))-30),DATE(2018,1,1))</f>
        <v>43404</v>
      </c>
      <c r="N167" s="508" t="s">
        <v>1652</v>
      </c>
      <c r="O167" s="508" t="s">
        <v>1653</v>
      </c>
      <c r="P167" s="508" t="s">
        <v>1071</v>
      </c>
      <c r="Q167" s="508" t="s">
        <v>1071</v>
      </c>
      <c r="R167" s="508" t="str">
        <f t="shared" ca="1" si="58"/>
        <v>image archive</v>
      </c>
      <c r="S167" s="508" t="str">
        <f t="shared" ca="1" si="59"/>
        <v>image archive</v>
      </c>
      <c r="T167" s="508" t="str">
        <f t="shared" ca="1" si="60"/>
        <v>image archive of project development</v>
      </c>
      <c r="U167" s="508" t="str">
        <f t="shared" ca="1" si="61"/>
        <v>684 / 51-11-3341</v>
      </c>
      <c r="V167" s="508" t="str">
        <f t="shared" ca="1" si="62"/>
        <v>Current Contract/Contrato Activo</v>
      </c>
      <c r="W167" s="508" t="str">
        <f t="shared" ca="1" si="63"/>
        <v>Cristóbal Correa</v>
      </c>
      <c r="X167" s="508" t="str">
        <f t="shared" ca="1" si="64"/>
        <v>N/A</v>
      </c>
      <c r="Y167" s="508" t="str">
        <f t="shared" ca="1" si="65"/>
        <v>N/A</v>
      </c>
      <c r="Z167" s="508" t="str">
        <f t="shared" ca="1" si="66"/>
        <v>N/A</v>
      </c>
      <c r="AA167" s="508" t="str">
        <f t="shared" ca="1" si="67"/>
        <v>Ene</v>
      </c>
      <c r="AB167" s="508">
        <f t="shared" ca="1" si="68"/>
        <v>8</v>
      </c>
      <c r="AC167" s="508">
        <f t="shared" ca="1" si="69"/>
        <v>0</v>
      </c>
      <c r="AD167" s="912">
        <f t="shared" ca="1" si="70"/>
        <v>8000</v>
      </c>
      <c r="AE167" s="512">
        <f t="shared" ca="1" si="71"/>
        <v>0</v>
      </c>
      <c r="AF167" s="512">
        <f t="shared" ca="1" si="72"/>
        <v>0</v>
      </c>
      <c r="AG167" s="512">
        <f t="shared" ca="1" si="73"/>
        <v>2700</v>
      </c>
      <c r="AH167" s="512">
        <f t="shared" ca="1" si="74"/>
        <v>0</v>
      </c>
      <c r="AI167" s="512">
        <f t="shared" ca="1" si="75"/>
        <v>0</v>
      </c>
      <c r="AJ167" s="512">
        <f t="shared" ca="1" si="76"/>
        <v>2650</v>
      </c>
      <c r="AK167" s="512">
        <f t="shared" ca="1" si="77"/>
        <v>0</v>
      </c>
      <c r="AL167" s="512">
        <f t="shared" ca="1" si="78"/>
        <v>0</v>
      </c>
      <c r="AM167" s="512">
        <f t="shared" ca="1" si="79"/>
        <v>0</v>
      </c>
      <c r="AN167" s="512">
        <f t="shared" ca="1" si="80"/>
        <v>2650</v>
      </c>
      <c r="AO167" s="512">
        <f t="shared" ca="1" si="81"/>
        <v>0</v>
      </c>
      <c r="AP167" s="512">
        <f t="shared" ca="1" si="82"/>
        <v>0</v>
      </c>
      <c r="AQ167" s="512" t="str">
        <f t="shared" ca="1" si="83"/>
        <v>Orden de Servicio Sin Terreno</v>
      </c>
      <c r="AR167" s="512"/>
      <c r="AS167" s="512" t="str">
        <f t="shared" ca="1" si="84"/>
        <v>No</v>
      </c>
      <c r="AT167" s="151">
        <f t="shared" ca="1" si="85"/>
        <v>8000</v>
      </c>
      <c r="AU167" s="151">
        <f>IFERROR(VLOOKUP(A167,'[7]TD CuentasBDG'!$N$5:$O$21,2,0),0)</f>
        <v>0</v>
      </c>
      <c r="AV167" t="str">
        <f t="shared" si="86"/>
        <v>Renovación de Contrato</v>
      </c>
      <c r="AW167" t="s">
        <v>1669</v>
      </c>
      <c r="AX167" t="s">
        <v>1655</v>
      </c>
    </row>
    <row r="168" spans="1:50" ht="45" x14ac:dyDescent="0.25">
      <c r="A168" s="918" t="s">
        <v>1903</v>
      </c>
      <c r="B168" s="508" t="s">
        <v>113</v>
      </c>
      <c r="C168" s="508" t="s">
        <v>1890</v>
      </c>
      <c r="D168" s="508" t="s">
        <v>536</v>
      </c>
      <c r="E168" s="508"/>
      <c r="F168" s="508"/>
      <c r="G168" s="508" t="s">
        <v>1647</v>
      </c>
      <c r="H168" s="508" t="s">
        <v>1904</v>
      </c>
      <c r="I168" s="508" t="s">
        <v>1027</v>
      </c>
      <c r="J168" s="555" t="s">
        <v>1650</v>
      </c>
      <c r="K168" s="555" t="s">
        <v>1651</v>
      </c>
      <c r="L168" s="911">
        <f ca="1">IFERROR(INDEX(Lists!$O$2:$Z$2,MATCH(TRUE,INDEX((AE168:AP168&lt;&gt;0),0),0)),DATE(2018,1,1))</f>
        <v>43102</v>
      </c>
      <c r="M168" s="911">
        <f ca="1">IFERROR(INDEX(Lists!$O$3:$Z$3, VALUE(SUBSTITUTE(TEXT(ADDRESS(SUMPRODUCT(MAX((COLUMN(AE168:AP168)*(AE168:AP168&gt;0)))),1),),"$A$",""))-30),DATE(2018,1,1))</f>
        <v>43465</v>
      </c>
      <c r="N168" s="508" t="s">
        <v>1652</v>
      </c>
      <c r="O168" s="508" t="s">
        <v>1653</v>
      </c>
      <c r="P168" s="508" t="s">
        <v>1071</v>
      </c>
      <c r="Q168" s="508" t="s">
        <v>1071</v>
      </c>
      <c r="R168" s="508" t="str">
        <f t="shared" ca="1" si="58"/>
        <v>website maintenance</v>
      </c>
      <c r="S168" s="508" t="str">
        <f t="shared" ca="1" si="59"/>
        <v>website monthly maintenance</v>
      </c>
      <c r="T168" s="508" t="str">
        <f t="shared" ca="1" si="60"/>
        <v>monthly fee</v>
      </c>
      <c r="U168" s="508" t="str">
        <f t="shared" ca="1" si="61"/>
        <v>684 / 51-11-3341</v>
      </c>
      <c r="V168" s="508" t="str">
        <f t="shared" ca="1" si="62"/>
        <v>Current Contract/Contrato Activo</v>
      </c>
      <c r="W168" s="508" t="str">
        <f t="shared" ca="1" si="63"/>
        <v>Colabra</v>
      </c>
      <c r="X168" s="508" t="str">
        <f t="shared" ca="1" si="64"/>
        <v>N/A</v>
      </c>
      <c r="Y168" s="508" t="str">
        <f t="shared" ca="1" si="65"/>
        <v>N/A</v>
      </c>
      <c r="Z168" s="508" t="str">
        <f t="shared" ca="1" si="66"/>
        <v>N/A</v>
      </c>
      <c r="AA168" s="508" t="str">
        <f t="shared" ca="1" si="67"/>
        <v>Ene</v>
      </c>
      <c r="AB168" s="508">
        <f t="shared" ca="1" si="68"/>
        <v>12</v>
      </c>
      <c r="AC168" s="508">
        <f t="shared" ca="1" si="69"/>
        <v>0</v>
      </c>
      <c r="AD168" s="912">
        <f t="shared" ca="1" si="70"/>
        <v>7200</v>
      </c>
      <c r="AE168" s="512">
        <f t="shared" ca="1" si="71"/>
        <v>600</v>
      </c>
      <c r="AF168" s="512">
        <f t="shared" ca="1" si="72"/>
        <v>600</v>
      </c>
      <c r="AG168" s="512">
        <f t="shared" ca="1" si="73"/>
        <v>600</v>
      </c>
      <c r="AH168" s="512">
        <f t="shared" ca="1" si="74"/>
        <v>600</v>
      </c>
      <c r="AI168" s="512">
        <f t="shared" ca="1" si="75"/>
        <v>600</v>
      </c>
      <c r="AJ168" s="512">
        <f t="shared" ca="1" si="76"/>
        <v>600</v>
      </c>
      <c r="AK168" s="512">
        <f t="shared" ca="1" si="77"/>
        <v>600</v>
      </c>
      <c r="AL168" s="512">
        <f t="shared" ca="1" si="78"/>
        <v>600</v>
      </c>
      <c r="AM168" s="512">
        <f t="shared" ca="1" si="79"/>
        <v>600</v>
      </c>
      <c r="AN168" s="512">
        <f t="shared" ca="1" si="80"/>
        <v>600</v>
      </c>
      <c r="AO168" s="512">
        <f t="shared" ca="1" si="81"/>
        <v>600</v>
      </c>
      <c r="AP168" s="512">
        <f t="shared" ca="1" si="82"/>
        <v>600</v>
      </c>
      <c r="AQ168" s="512" t="str">
        <f t="shared" ca="1" si="83"/>
        <v>Orden de Servicio Sin Terreno</v>
      </c>
      <c r="AR168" s="512"/>
      <c r="AS168" s="512" t="str">
        <f t="shared" ca="1" si="84"/>
        <v>No</v>
      </c>
      <c r="AT168" s="151">
        <f t="shared" ca="1" si="85"/>
        <v>7200</v>
      </c>
      <c r="AU168" s="151">
        <f>IFERROR(VLOOKUP(A168,'[7]TD CuentasBDG'!$N$5:$O$21,2,0),0)</f>
        <v>0</v>
      </c>
      <c r="AV168" t="str">
        <f t="shared" si="86"/>
        <v>Renovación de Contrato</v>
      </c>
      <c r="AW168" t="s">
        <v>1669</v>
      </c>
      <c r="AX168" t="s">
        <v>1655</v>
      </c>
    </row>
    <row r="169" spans="1:50" ht="45" x14ac:dyDescent="0.25">
      <c r="A169" s="919" t="s">
        <v>1905</v>
      </c>
      <c r="B169" s="508" t="s">
        <v>113</v>
      </c>
      <c r="C169" s="508" t="s">
        <v>1890</v>
      </c>
      <c r="D169" s="508" t="s">
        <v>536</v>
      </c>
      <c r="E169" s="508"/>
      <c r="F169" s="508"/>
      <c r="G169" s="508" t="s">
        <v>1647</v>
      </c>
      <c r="H169" s="508" t="s">
        <v>1906</v>
      </c>
      <c r="I169" s="508" t="s">
        <v>1207</v>
      </c>
      <c r="J169" s="555" t="s">
        <v>1650</v>
      </c>
      <c r="K169" s="555" t="s">
        <v>1651</v>
      </c>
      <c r="L169" s="911">
        <f ca="1">IFERROR(INDEX(Lists!$O$2:$Z$2,MATCH(TRUE,INDEX((AE169:AP169&lt;&gt;0),0),0)),DATE(2018,1,1))</f>
        <v>43252</v>
      </c>
      <c r="M169" s="911">
        <f ca="1">IFERROR(INDEX(Lists!$O$3:$Z$3, VALUE(SUBSTITUTE(TEXT(ADDRESS(SUMPRODUCT(MAX((COLUMN(AE169:AP169)*(AE169:AP169&gt;0)))),1),),"$A$",""))-30),DATE(2018,1,1))</f>
        <v>43343</v>
      </c>
      <c r="N169" s="508" t="s">
        <v>1683</v>
      </c>
      <c r="O169" s="508" t="s">
        <v>1653</v>
      </c>
      <c r="P169" s="508" t="s">
        <v>1071</v>
      </c>
      <c r="Q169" s="508" t="s">
        <v>1676</v>
      </c>
      <c r="R169" s="508" t="str">
        <f t="shared" ca="1" si="58"/>
        <v>Perception Survey 2018</v>
      </c>
      <c r="S169" s="508" t="str">
        <f t="shared" ca="1" si="59"/>
        <v>Perception Surver 2018</v>
      </c>
      <c r="T169" s="508" t="str">
        <f t="shared" ca="1" si="60"/>
        <v>survey to determine perception and status of reputation of proyect in Atacama</v>
      </c>
      <c r="U169" s="508">
        <f t="shared" ca="1" si="61"/>
        <v>0</v>
      </c>
      <c r="V169" s="508">
        <f t="shared" ca="1" si="62"/>
        <v>0</v>
      </c>
      <c r="W169" s="508">
        <f t="shared" ca="1" si="63"/>
        <v>0</v>
      </c>
      <c r="X169" s="508">
        <f t="shared" ca="1" si="64"/>
        <v>0</v>
      </c>
      <c r="Y169" s="508">
        <f t="shared" ca="1" si="65"/>
        <v>0</v>
      </c>
      <c r="Z169" s="508">
        <f t="shared" ca="1" si="66"/>
        <v>0</v>
      </c>
      <c r="AA169" s="508">
        <f t="shared" ca="1" si="67"/>
        <v>0</v>
      </c>
      <c r="AB169" s="508">
        <f t="shared" ca="1" si="68"/>
        <v>3</v>
      </c>
      <c r="AC169" s="508">
        <f t="shared" ca="1" si="69"/>
        <v>0</v>
      </c>
      <c r="AD169" s="912">
        <f t="shared" ca="1" si="70"/>
        <v>25000</v>
      </c>
      <c r="AE169" s="512">
        <f t="shared" ca="1" si="71"/>
        <v>0</v>
      </c>
      <c r="AF169" s="512">
        <f t="shared" ca="1" si="72"/>
        <v>0</v>
      </c>
      <c r="AG169" s="512">
        <f t="shared" ca="1" si="73"/>
        <v>0</v>
      </c>
      <c r="AH169" s="512">
        <f t="shared" ca="1" si="74"/>
        <v>0</v>
      </c>
      <c r="AI169" s="512">
        <f t="shared" ca="1" si="75"/>
        <v>0</v>
      </c>
      <c r="AJ169" s="512">
        <f t="shared" ca="1" si="76"/>
        <v>12500</v>
      </c>
      <c r="AK169" s="512">
        <f t="shared" ca="1" si="77"/>
        <v>0</v>
      </c>
      <c r="AL169" s="512">
        <f t="shared" ca="1" si="78"/>
        <v>12500</v>
      </c>
      <c r="AM169" s="512">
        <f t="shared" ca="1" si="79"/>
        <v>0</v>
      </c>
      <c r="AN169" s="512">
        <f t="shared" ca="1" si="80"/>
        <v>0</v>
      </c>
      <c r="AO169" s="512">
        <f t="shared" ca="1" si="81"/>
        <v>0</v>
      </c>
      <c r="AP169" s="512">
        <f t="shared" ca="1" si="82"/>
        <v>0</v>
      </c>
      <c r="AQ169" s="512" t="str">
        <f t="shared" ca="1" si="83"/>
        <v>Orden de Servicio Con Terreno</v>
      </c>
      <c r="AR169" s="512"/>
      <c r="AS169" s="512" t="str">
        <f t="shared" ca="1" si="84"/>
        <v>No</v>
      </c>
      <c r="AT169" s="151">
        <f t="shared" ca="1" si="85"/>
        <v>25000</v>
      </c>
      <c r="AU169" s="151">
        <f>IFERROR(VLOOKUP(A169,'[7]TD CuentasBDG'!$N$5:$O$21,2,0),0)</f>
        <v>0</v>
      </c>
      <c r="AV169" t="str">
        <f t="shared" si="86"/>
        <v>Adjudicación Directa</v>
      </c>
      <c r="AW169" t="s">
        <v>1897</v>
      </c>
      <c r="AX169" t="s">
        <v>1655</v>
      </c>
    </row>
    <row r="170" spans="1:50" ht="45" x14ac:dyDescent="0.25">
      <c r="A170" s="919" t="s">
        <v>1907</v>
      </c>
      <c r="B170" s="508" t="s">
        <v>113</v>
      </c>
      <c r="C170" s="508" t="s">
        <v>1890</v>
      </c>
      <c r="D170" s="508" t="s">
        <v>536</v>
      </c>
      <c r="E170" s="508"/>
      <c r="F170" s="508"/>
      <c r="G170" s="508" t="s">
        <v>1707</v>
      </c>
      <c r="H170" s="508"/>
      <c r="I170" s="508"/>
      <c r="J170" s="555"/>
      <c r="K170" s="555"/>
      <c r="L170" s="911">
        <f ca="1">IFERROR(INDEX(Lists!$O$2:$Z$2,MATCH(TRUE,INDEX((AE170:AP170&lt;&gt;0),0),0)),DATE(2018,1,1))</f>
        <v>43102</v>
      </c>
      <c r="M170" s="911">
        <f ca="1">IFERROR(INDEX(Lists!$O$3:$Z$3, VALUE(SUBSTITUTE(TEXT(ADDRESS(SUMPRODUCT(MAX((COLUMN(AE170:AP170)*(AE170:AP170&gt;0)))),1),),"$A$",""))-30),DATE(2018,1,1))</f>
        <v>43465</v>
      </c>
      <c r="N170" s="508"/>
      <c r="O170" s="508" t="s">
        <v>1653</v>
      </c>
      <c r="P170" s="508" t="s">
        <v>1071</v>
      </c>
      <c r="Q170" s="508" t="s">
        <v>1071</v>
      </c>
      <c r="R170" s="508" t="str">
        <f t="shared" ca="1" si="58"/>
        <v xml:space="preserve">internal newsletter </v>
      </c>
      <c r="S170" s="508" t="str">
        <f t="shared" ca="1" si="59"/>
        <v>production of internal newsletter</v>
      </c>
      <c r="T170" s="508" t="str">
        <f t="shared" ca="1" si="60"/>
        <v>multimedia material</v>
      </c>
      <c r="U170" s="508" t="str">
        <f t="shared" ca="1" si="61"/>
        <v>684 / 51-11-3341</v>
      </c>
      <c r="V170" s="508" t="str">
        <f t="shared" ca="1" si="62"/>
        <v>Purchase Order (PO)/Orden de Compra</v>
      </c>
      <c r="W170" s="508" t="str">
        <f t="shared" ca="1" si="63"/>
        <v>to be defined</v>
      </c>
      <c r="X170" s="508" t="str">
        <f t="shared" ca="1" si="64"/>
        <v>N/A</v>
      </c>
      <c r="Y170" s="508" t="str">
        <f t="shared" ca="1" si="65"/>
        <v>N/A</v>
      </c>
      <c r="Z170" s="508" t="str">
        <f t="shared" ca="1" si="66"/>
        <v>N/A</v>
      </c>
      <c r="AA170" s="508" t="str">
        <f t="shared" ca="1" si="67"/>
        <v>Ene</v>
      </c>
      <c r="AB170" s="508">
        <f t="shared" ca="1" si="68"/>
        <v>12</v>
      </c>
      <c r="AC170" s="508">
        <f t="shared" ca="1" si="69"/>
        <v>0</v>
      </c>
      <c r="AD170" s="912">
        <f t="shared" ca="1" si="70"/>
        <v>6000</v>
      </c>
      <c r="AE170" s="512">
        <f t="shared" ca="1" si="71"/>
        <v>500</v>
      </c>
      <c r="AF170" s="512">
        <f t="shared" ca="1" si="72"/>
        <v>500</v>
      </c>
      <c r="AG170" s="512">
        <f t="shared" ca="1" si="73"/>
        <v>500</v>
      </c>
      <c r="AH170" s="512">
        <f t="shared" ca="1" si="74"/>
        <v>500</v>
      </c>
      <c r="AI170" s="512">
        <f t="shared" ca="1" si="75"/>
        <v>500</v>
      </c>
      <c r="AJ170" s="512">
        <f t="shared" ca="1" si="76"/>
        <v>500</v>
      </c>
      <c r="AK170" s="512">
        <f t="shared" ca="1" si="77"/>
        <v>500</v>
      </c>
      <c r="AL170" s="512">
        <f t="shared" ca="1" si="78"/>
        <v>500</v>
      </c>
      <c r="AM170" s="512">
        <f t="shared" ca="1" si="79"/>
        <v>500</v>
      </c>
      <c r="AN170" s="512">
        <f t="shared" ca="1" si="80"/>
        <v>500</v>
      </c>
      <c r="AO170" s="512">
        <f t="shared" ca="1" si="81"/>
        <v>500</v>
      </c>
      <c r="AP170" s="512">
        <f t="shared" ca="1" si="82"/>
        <v>500</v>
      </c>
      <c r="AQ170" s="512" t="str">
        <f t="shared" si="83"/>
        <v/>
      </c>
      <c r="AR170" s="512"/>
      <c r="AS170" s="512" t="str">
        <f t="shared" si="84"/>
        <v/>
      </c>
      <c r="AT170" s="151">
        <f t="shared" si="85"/>
        <v>0</v>
      </c>
      <c r="AU170" s="151">
        <f>IFERROR(VLOOKUP(A170,'[7]TD CuentasBDG'!$N$5:$O$21,2,0),0)</f>
        <v>0</v>
      </c>
      <c r="AV170">
        <f t="shared" si="86"/>
        <v>0</v>
      </c>
    </row>
    <row r="171" spans="1:50" ht="45" x14ac:dyDescent="0.25">
      <c r="A171" s="919" t="s">
        <v>1908</v>
      </c>
      <c r="B171" s="508" t="s">
        <v>113</v>
      </c>
      <c r="C171" s="508" t="s">
        <v>1890</v>
      </c>
      <c r="D171" s="508" t="s">
        <v>536</v>
      </c>
      <c r="E171" s="508"/>
      <c r="F171" s="508"/>
      <c r="G171" s="508" t="s">
        <v>1647</v>
      </c>
      <c r="H171" s="508" t="s">
        <v>1909</v>
      </c>
      <c r="I171" s="508" t="s">
        <v>1120</v>
      </c>
      <c r="J171" s="555" t="s">
        <v>1650</v>
      </c>
      <c r="K171" s="555" t="s">
        <v>1651</v>
      </c>
      <c r="L171" s="911">
        <f ca="1">IFERROR(INDEX(Lists!$O$2:$Z$2,MATCH(TRUE,INDEX((AE171:AP171&lt;&gt;0),0),0)),DATE(2018,1,1))</f>
        <v>43102</v>
      </c>
      <c r="M171" s="911">
        <f ca="1">IFERROR(INDEX(Lists!$O$3:$Z$3, VALUE(SUBSTITUTE(TEXT(ADDRESS(SUMPRODUCT(MAX((COLUMN(AE171:AP171)*(AE171:AP171&gt;0)))),1),),"$A$",""))-30),DATE(2018,1,1))</f>
        <v>43465</v>
      </c>
      <c r="N171" s="508" t="s">
        <v>1668</v>
      </c>
      <c r="O171" s="508" t="s">
        <v>1653</v>
      </c>
      <c r="P171" s="508" t="s">
        <v>1071</v>
      </c>
      <c r="Q171" s="508" t="s">
        <v>1071</v>
      </c>
      <c r="R171" s="508" t="str">
        <f t="shared" ca="1" si="58"/>
        <v>development and maintenance of intranet</v>
      </c>
      <c r="S171" s="508" t="str">
        <f t="shared" ca="1" si="59"/>
        <v>NuevaUnión intranet</v>
      </c>
      <c r="T171" s="508" t="str">
        <f t="shared" ca="1" si="60"/>
        <v>development and monthly fee maintenance of intranet</v>
      </c>
      <c r="U171" s="508" t="str">
        <f t="shared" ca="1" si="61"/>
        <v>684 / 51-11-3341</v>
      </c>
      <c r="V171" s="508" t="str">
        <f t="shared" ca="1" si="62"/>
        <v>Purchase Order (PO)/Orden de Compra</v>
      </c>
      <c r="W171" s="508" t="str">
        <f t="shared" ca="1" si="63"/>
        <v>to be defined</v>
      </c>
      <c r="X171" s="508" t="str">
        <f t="shared" ca="1" si="64"/>
        <v>N/A</v>
      </c>
      <c r="Y171" s="508" t="str">
        <f t="shared" ca="1" si="65"/>
        <v>N/A</v>
      </c>
      <c r="Z171" s="508" t="str">
        <f t="shared" ca="1" si="66"/>
        <v>N/A</v>
      </c>
      <c r="AA171" s="508" t="str">
        <f t="shared" ca="1" si="67"/>
        <v>Ene</v>
      </c>
      <c r="AB171" s="508">
        <f t="shared" ca="1" si="68"/>
        <v>12</v>
      </c>
      <c r="AC171" s="508">
        <f t="shared" ca="1" si="69"/>
        <v>0</v>
      </c>
      <c r="AD171" s="912">
        <f t="shared" ca="1" si="70"/>
        <v>54800</v>
      </c>
      <c r="AE171" s="512">
        <f t="shared" ca="1" si="71"/>
        <v>12500</v>
      </c>
      <c r="AF171" s="512">
        <f t="shared" ca="1" si="72"/>
        <v>12500</v>
      </c>
      <c r="AG171" s="512">
        <f t="shared" ca="1" si="73"/>
        <v>12500</v>
      </c>
      <c r="AH171" s="512">
        <f t="shared" ca="1" si="74"/>
        <v>12500</v>
      </c>
      <c r="AI171" s="512">
        <f t="shared" ca="1" si="75"/>
        <v>600</v>
      </c>
      <c r="AJ171" s="512">
        <f t="shared" ca="1" si="76"/>
        <v>600</v>
      </c>
      <c r="AK171" s="512">
        <f t="shared" ca="1" si="77"/>
        <v>600</v>
      </c>
      <c r="AL171" s="512">
        <f t="shared" ca="1" si="78"/>
        <v>600</v>
      </c>
      <c r="AM171" s="512">
        <f t="shared" ca="1" si="79"/>
        <v>600</v>
      </c>
      <c r="AN171" s="512">
        <f t="shared" ca="1" si="80"/>
        <v>600</v>
      </c>
      <c r="AO171" s="512">
        <f t="shared" ca="1" si="81"/>
        <v>600</v>
      </c>
      <c r="AP171" s="512">
        <f t="shared" ca="1" si="82"/>
        <v>600</v>
      </c>
      <c r="AQ171" s="512" t="str">
        <f t="shared" ca="1" si="83"/>
        <v>Orden de Servicio Sin Terreno</v>
      </c>
      <c r="AR171" s="512"/>
      <c r="AS171" s="512" t="str">
        <f t="shared" ca="1" si="84"/>
        <v>No</v>
      </c>
      <c r="AT171" s="151">
        <f t="shared" ca="1" si="85"/>
        <v>54800</v>
      </c>
      <c r="AU171" s="151">
        <f>IFERROR(VLOOKUP(A171,'[7]TD CuentasBDG'!$N$5:$O$21,2,0),0)</f>
        <v>0</v>
      </c>
      <c r="AV171" t="str">
        <f t="shared" ca="1" si="86"/>
        <v>Licitación</v>
      </c>
      <c r="AW171" t="s">
        <v>1669</v>
      </c>
      <c r="AX171" t="s">
        <v>1655</v>
      </c>
    </row>
    <row r="172" spans="1:50" ht="60" x14ac:dyDescent="0.25">
      <c r="A172" s="919" t="s">
        <v>1910</v>
      </c>
      <c r="B172" s="508" t="s">
        <v>113</v>
      </c>
      <c r="C172" s="508" t="s">
        <v>1890</v>
      </c>
      <c r="D172" s="508" t="s">
        <v>536</v>
      </c>
      <c r="E172" s="508"/>
      <c r="F172" s="508"/>
      <c r="G172" s="508" t="s">
        <v>1707</v>
      </c>
      <c r="H172" s="508"/>
      <c r="I172" s="508"/>
      <c r="J172" s="555"/>
      <c r="K172" s="555"/>
      <c r="L172" s="911">
        <f ca="1">IFERROR(INDEX(Lists!$O$2:$Z$2,MATCH(TRUE,INDEX((AE172:AP172&lt;&gt;0),0),0)),DATE(2018,1,1))</f>
        <v>43102</v>
      </c>
      <c r="M172" s="911">
        <f ca="1">IFERROR(INDEX(Lists!$O$3:$Z$3, VALUE(SUBSTITUTE(TEXT(ADDRESS(SUMPRODUCT(MAX((COLUMN(AE172:AP172)*(AE172:AP172&gt;0)))),1),),"$A$",""))-30),DATE(2018,1,1))</f>
        <v>43465</v>
      </c>
      <c r="N172" s="508"/>
      <c r="O172" s="508" t="s">
        <v>1653</v>
      </c>
      <c r="P172" s="508" t="s">
        <v>1071</v>
      </c>
      <c r="Q172" s="508" t="s">
        <v>1071</v>
      </c>
      <c r="R172" s="508" t="str">
        <f t="shared" ca="1" si="58"/>
        <v>production of graphic material NuestraRuta and SyS group</v>
      </c>
      <c r="S172" s="508" t="str">
        <f t="shared" ca="1" si="59"/>
        <v>NuestraRuta and SyS multimedia material</v>
      </c>
      <c r="T172" s="508" t="str">
        <f t="shared" ca="1" si="60"/>
        <v>production of multimedia material for NuestraRuta and SyS committee</v>
      </c>
      <c r="U172" s="508" t="str">
        <f t="shared" ca="1" si="61"/>
        <v>684 / 51-11-3341</v>
      </c>
      <c r="V172" s="508" t="str">
        <f t="shared" ca="1" si="62"/>
        <v>Purchase Order (PO)/Orden de Compra</v>
      </c>
      <c r="W172" s="508" t="str">
        <f t="shared" ca="1" si="63"/>
        <v>to be defined</v>
      </c>
      <c r="X172" s="508" t="str">
        <f t="shared" ca="1" si="64"/>
        <v>N/A</v>
      </c>
      <c r="Y172" s="508" t="str">
        <f t="shared" ca="1" si="65"/>
        <v>N/A</v>
      </c>
      <c r="Z172" s="508" t="str">
        <f t="shared" ca="1" si="66"/>
        <v>N/A</v>
      </c>
      <c r="AA172" s="508" t="str">
        <f t="shared" ca="1" si="67"/>
        <v>Ene</v>
      </c>
      <c r="AB172" s="508">
        <f t="shared" ca="1" si="68"/>
        <v>12</v>
      </c>
      <c r="AC172" s="508">
        <f t="shared" ca="1" si="69"/>
        <v>0</v>
      </c>
      <c r="AD172" s="912">
        <f t="shared" ca="1" si="70"/>
        <v>28000</v>
      </c>
      <c r="AE172" s="512">
        <f t="shared" ca="1" si="71"/>
        <v>5000</v>
      </c>
      <c r="AF172" s="512">
        <f t="shared" ca="1" si="72"/>
        <v>2000</v>
      </c>
      <c r="AG172" s="512">
        <f t="shared" ca="1" si="73"/>
        <v>2000</v>
      </c>
      <c r="AH172" s="512">
        <f t="shared" ca="1" si="74"/>
        <v>2000</v>
      </c>
      <c r="AI172" s="512">
        <f t="shared" ca="1" si="75"/>
        <v>2000</v>
      </c>
      <c r="AJ172" s="512">
        <f t="shared" ca="1" si="76"/>
        <v>2000</v>
      </c>
      <c r="AK172" s="512">
        <f t="shared" ca="1" si="77"/>
        <v>2000</v>
      </c>
      <c r="AL172" s="512">
        <f t="shared" ca="1" si="78"/>
        <v>1000</v>
      </c>
      <c r="AM172" s="512">
        <f t="shared" ca="1" si="79"/>
        <v>1000</v>
      </c>
      <c r="AN172" s="512">
        <f t="shared" ca="1" si="80"/>
        <v>5000</v>
      </c>
      <c r="AO172" s="512">
        <f t="shared" ca="1" si="81"/>
        <v>2000</v>
      </c>
      <c r="AP172" s="512">
        <f t="shared" ca="1" si="82"/>
        <v>2000</v>
      </c>
      <c r="AQ172" s="512" t="str">
        <f t="shared" si="83"/>
        <v/>
      </c>
      <c r="AR172" s="512"/>
      <c r="AS172" s="512" t="str">
        <f t="shared" si="84"/>
        <v/>
      </c>
      <c r="AT172" s="151">
        <f t="shared" si="85"/>
        <v>0</v>
      </c>
      <c r="AU172" s="151">
        <f>IFERROR(VLOOKUP(A172,'[7]TD CuentasBDG'!$N$5:$O$21,2,0),0)</f>
        <v>0</v>
      </c>
      <c r="AV172">
        <f t="shared" si="86"/>
        <v>0</v>
      </c>
    </row>
    <row r="173" spans="1:50" ht="60" x14ac:dyDescent="0.25">
      <c r="A173" s="919" t="s">
        <v>1911</v>
      </c>
      <c r="B173" s="508" t="s">
        <v>113</v>
      </c>
      <c r="C173" s="508" t="s">
        <v>1890</v>
      </c>
      <c r="D173" s="508" t="s">
        <v>536</v>
      </c>
      <c r="E173" s="508"/>
      <c r="F173" s="508"/>
      <c r="G173" s="508" t="s">
        <v>1647</v>
      </c>
      <c r="H173" s="508" t="s">
        <v>1209</v>
      </c>
      <c r="I173" s="508" t="s">
        <v>1912</v>
      </c>
      <c r="J173" s="555" t="s">
        <v>1650</v>
      </c>
      <c r="K173" s="555" t="s">
        <v>1651</v>
      </c>
      <c r="L173" s="911">
        <f ca="1">IFERROR(INDEX(Lists!$O$2:$Z$2,MATCH(TRUE,INDEX((AE173:AP173&lt;&gt;0),0),0)),DATE(2018,1,1))</f>
        <v>43102</v>
      </c>
      <c r="M173" s="911">
        <f ca="1">IFERROR(INDEX(Lists!$O$3:$Z$3, VALUE(SUBSTITUTE(TEXT(ADDRESS(SUMPRODUCT(MAX((COLUMN(AE173:AP173)*(AE173:AP173&gt;0)))),1),),"$A$",""))-30),DATE(2018,1,1))</f>
        <v>43465</v>
      </c>
      <c r="N173" s="508" t="s">
        <v>1652</v>
      </c>
      <c r="O173" s="508" t="s">
        <v>1653</v>
      </c>
      <c r="P173" s="508" t="s">
        <v>1071</v>
      </c>
      <c r="Q173" s="508" t="s">
        <v>1071</v>
      </c>
      <c r="R173" s="508" t="str">
        <f t="shared" ca="1" si="58"/>
        <v>support of internal communication</v>
      </c>
      <c r="S173" s="508" t="str">
        <f t="shared" ca="1" si="59"/>
        <v>Communication Coordinator</v>
      </c>
      <c r="T173" s="508" t="str">
        <f t="shared" ca="1" si="60"/>
        <v>coordination to support and assist with internal communication, intranet maintenance, multimedia content, graphic material</v>
      </c>
      <c r="U173" s="508">
        <f t="shared" ca="1" si="61"/>
        <v>0</v>
      </c>
      <c r="V173" s="508">
        <f t="shared" ca="1" si="62"/>
        <v>0</v>
      </c>
      <c r="W173" s="508">
        <f t="shared" ca="1" si="63"/>
        <v>0</v>
      </c>
      <c r="X173" s="508">
        <f t="shared" ca="1" si="64"/>
        <v>0</v>
      </c>
      <c r="Y173" s="508">
        <f t="shared" ca="1" si="65"/>
        <v>0</v>
      </c>
      <c r="Z173" s="508">
        <f t="shared" ca="1" si="66"/>
        <v>0</v>
      </c>
      <c r="AA173" s="508">
        <f t="shared" ca="1" si="67"/>
        <v>0</v>
      </c>
      <c r="AB173" s="508">
        <f t="shared" ca="1" si="68"/>
        <v>12</v>
      </c>
      <c r="AC173" s="508">
        <f t="shared" ca="1" si="69"/>
        <v>0</v>
      </c>
      <c r="AD173" s="912">
        <f t="shared" ca="1" si="70"/>
        <v>60000</v>
      </c>
      <c r="AE173" s="512">
        <f t="shared" ca="1" si="71"/>
        <v>5000</v>
      </c>
      <c r="AF173" s="512">
        <f t="shared" ca="1" si="72"/>
        <v>5000</v>
      </c>
      <c r="AG173" s="512">
        <f t="shared" ca="1" si="73"/>
        <v>5000</v>
      </c>
      <c r="AH173" s="512">
        <f t="shared" ca="1" si="74"/>
        <v>5000</v>
      </c>
      <c r="AI173" s="512">
        <f t="shared" ca="1" si="75"/>
        <v>5000</v>
      </c>
      <c r="AJ173" s="512">
        <f t="shared" ca="1" si="76"/>
        <v>5000</v>
      </c>
      <c r="AK173" s="512">
        <f t="shared" ca="1" si="77"/>
        <v>5000</v>
      </c>
      <c r="AL173" s="512">
        <f t="shared" ca="1" si="78"/>
        <v>5000</v>
      </c>
      <c r="AM173" s="512">
        <f t="shared" ca="1" si="79"/>
        <v>5000</v>
      </c>
      <c r="AN173" s="512">
        <f t="shared" ca="1" si="80"/>
        <v>5000</v>
      </c>
      <c r="AO173" s="512">
        <f t="shared" ca="1" si="81"/>
        <v>5000</v>
      </c>
      <c r="AP173" s="512">
        <f t="shared" ca="1" si="82"/>
        <v>5000</v>
      </c>
      <c r="AQ173" s="512" t="str">
        <f t="shared" ca="1" si="83"/>
        <v>Orden de Servicio Sin Terreno</v>
      </c>
      <c r="AR173" s="512"/>
      <c r="AS173" s="512" t="str">
        <f t="shared" ca="1" si="84"/>
        <v>Si</v>
      </c>
      <c r="AT173" s="151">
        <f t="shared" ca="1" si="85"/>
        <v>60000</v>
      </c>
      <c r="AU173" s="151">
        <f>IFERROR(VLOOKUP(A173,'[7]TD CuentasBDG'!$N$5:$O$21,2,0),0)</f>
        <v>0</v>
      </c>
      <c r="AV173" t="str">
        <f t="shared" si="86"/>
        <v>Renovación de Contrato</v>
      </c>
      <c r="AW173" t="s">
        <v>1669</v>
      </c>
      <c r="AX173" t="s">
        <v>1655</v>
      </c>
    </row>
    <row r="174" spans="1:50" ht="45" x14ac:dyDescent="0.25">
      <c r="A174" s="918" t="s">
        <v>1913</v>
      </c>
      <c r="B174" s="508" t="s">
        <v>113</v>
      </c>
      <c r="C174" s="508" t="s">
        <v>1890</v>
      </c>
      <c r="D174" s="508" t="s">
        <v>536</v>
      </c>
      <c r="E174" s="508"/>
      <c r="F174" s="508"/>
      <c r="G174" s="508" t="s">
        <v>1707</v>
      </c>
      <c r="H174" s="508"/>
      <c r="I174" s="508"/>
      <c r="J174" s="555"/>
      <c r="K174" s="555"/>
      <c r="L174" s="911">
        <f ca="1">IFERROR(INDEX(Lists!$O$2:$Z$2,MATCH(TRUE,INDEX((AE174:AP174&lt;&gt;0),0),0)),DATE(2018,1,1))</f>
        <v>43160</v>
      </c>
      <c r="M174" s="911">
        <f ca="1">IFERROR(INDEX(Lists!$O$3:$Z$3, VALUE(SUBSTITUTE(TEXT(ADDRESS(SUMPRODUCT(MAX((COLUMN(AE174:AP174)*(AE174:AP174&gt;0)))),1),),"$A$",""))-30),DATE(2018,1,1))</f>
        <v>43190</v>
      </c>
      <c r="N174" s="508"/>
      <c r="O174" s="508"/>
      <c r="P174" s="508"/>
      <c r="Q174" s="508"/>
      <c r="R174" s="508" t="str">
        <f t="shared" ca="1" si="58"/>
        <v>Sonami</v>
      </c>
      <c r="S174" s="508" t="str">
        <f t="shared" ca="1" si="59"/>
        <v>membership Sonami</v>
      </c>
      <c r="T174" s="508" t="str">
        <f t="shared" ca="1" si="60"/>
        <v>annual membership</v>
      </c>
      <c r="U174" s="508" t="str">
        <f t="shared" ca="1" si="61"/>
        <v>684 / 51-11-3341</v>
      </c>
      <c r="V174" s="508" t="str">
        <f t="shared" ca="1" si="62"/>
        <v>Purchase Order (PO)/Orden de Compra</v>
      </c>
      <c r="W174" s="508" t="str">
        <f t="shared" ca="1" si="63"/>
        <v>Sonami</v>
      </c>
      <c r="X174" s="508" t="str">
        <f t="shared" ca="1" si="64"/>
        <v>N/A</v>
      </c>
      <c r="Y174" s="508" t="str">
        <f t="shared" ca="1" si="65"/>
        <v>N/A</v>
      </c>
      <c r="Z174" s="508" t="str">
        <f t="shared" ca="1" si="66"/>
        <v>N/A</v>
      </c>
      <c r="AA174" s="508" t="str">
        <f t="shared" ca="1" si="67"/>
        <v>Ene</v>
      </c>
      <c r="AB174" s="508">
        <f t="shared" ca="1" si="68"/>
        <v>1</v>
      </c>
      <c r="AC174" s="508">
        <f t="shared" ca="1" si="69"/>
        <v>0</v>
      </c>
      <c r="AD174" s="912">
        <f t="shared" ca="1" si="70"/>
        <v>4000</v>
      </c>
      <c r="AE174" s="512">
        <f t="shared" ca="1" si="71"/>
        <v>0</v>
      </c>
      <c r="AF174" s="512">
        <f t="shared" ca="1" si="72"/>
        <v>0</v>
      </c>
      <c r="AG174" s="512">
        <f t="shared" ca="1" si="73"/>
        <v>4000</v>
      </c>
      <c r="AH174" s="512">
        <f t="shared" ca="1" si="74"/>
        <v>0</v>
      </c>
      <c r="AI174" s="512">
        <f t="shared" ca="1" si="75"/>
        <v>0</v>
      </c>
      <c r="AJ174" s="512">
        <f t="shared" ca="1" si="76"/>
        <v>0</v>
      </c>
      <c r="AK174" s="512">
        <f t="shared" ca="1" si="77"/>
        <v>0</v>
      </c>
      <c r="AL174" s="512">
        <f t="shared" ca="1" si="78"/>
        <v>0</v>
      </c>
      <c r="AM174" s="512">
        <f t="shared" ca="1" si="79"/>
        <v>0</v>
      </c>
      <c r="AN174" s="512">
        <f t="shared" ca="1" si="80"/>
        <v>0</v>
      </c>
      <c r="AO174" s="512">
        <f t="shared" ca="1" si="81"/>
        <v>0</v>
      </c>
      <c r="AP174" s="512">
        <f t="shared" ca="1" si="82"/>
        <v>0</v>
      </c>
      <c r="AQ174" s="512" t="str">
        <f t="shared" si="83"/>
        <v/>
      </c>
      <c r="AR174" s="512"/>
      <c r="AS174" s="512" t="str">
        <f t="shared" si="84"/>
        <v/>
      </c>
      <c r="AT174" s="151">
        <f t="shared" si="85"/>
        <v>0</v>
      </c>
      <c r="AU174" s="151">
        <f>IFERROR(VLOOKUP(A174,'[7]TD CuentasBDG'!$N$5:$O$21,2,0),0)</f>
        <v>0</v>
      </c>
      <c r="AV174">
        <f t="shared" si="86"/>
        <v>0</v>
      </c>
    </row>
    <row r="175" spans="1:50" ht="45" x14ac:dyDescent="0.25">
      <c r="A175" s="918" t="s">
        <v>1914</v>
      </c>
      <c r="B175" s="508" t="s">
        <v>113</v>
      </c>
      <c r="C175" s="508" t="s">
        <v>1890</v>
      </c>
      <c r="D175" s="508" t="s">
        <v>536</v>
      </c>
      <c r="E175" s="508"/>
      <c r="F175" s="508"/>
      <c r="G175" s="508" t="s">
        <v>1707</v>
      </c>
      <c r="H175" s="508"/>
      <c r="I175" s="508"/>
      <c r="J175" s="555"/>
      <c r="K175" s="555"/>
      <c r="L175" s="911">
        <f ca="1">IFERROR(INDEX(Lists!$O$2:$Z$2,MATCH(TRUE,INDEX((AE175:AP175&lt;&gt;0),0),0)),DATE(2018,1,1))</f>
        <v>43160</v>
      </c>
      <c r="M175" s="911">
        <f ca="1">IFERROR(INDEX(Lists!$O$3:$Z$3, VALUE(SUBSTITUTE(TEXT(ADDRESS(SUMPRODUCT(MAX((COLUMN(AE175:AP175)*(AE175:AP175&gt;0)))),1),),"$A$",""))-30),DATE(2018,1,1))</f>
        <v>43404</v>
      </c>
      <c r="N175" s="508"/>
      <c r="O175" s="508"/>
      <c r="P175" s="508"/>
      <c r="Q175" s="508"/>
      <c r="R175" s="508" t="str">
        <f t="shared" ca="1" si="58"/>
        <v xml:space="preserve">Chilean - Canadian Chamber of Commerce </v>
      </c>
      <c r="S175" s="508" t="str">
        <f t="shared" ca="1" si="59"/>
        <v>membership CHCC</v>
      </c>
      <c r="T175" s="508" t="str">
        <f t="shared" ca="1" si="60"/>
        <v>annual membership</v>
      </c>
      <c r="U175" s="508" t="str">
        <f t="shared" ca="1" si="61"/>
        <v>684 / 51-11-3341</v>
      </c>
      <c r="V175" s="508" t="str">
        <f t="shared" ca="1" si="62"/>
        <v>Purchase Order (PO)/Orden de Compra</v>
      </c>
      <c r="W175" s="508" t="str">
        <f t="shared" ca="1" si="63"/>
        <v>Chilean - Canadian Chamber of Commerce</v>
      </c>
      <c r="X175" s="508" t="str">
        <f t="shared" ca="1" si="64"/>
        <v>N/A</v>
      </c>
      <c r="Y175" s="508" t="str">
        <f t="shared" ca="1" si="65"/>
        <v>N/A</v>
      </c>
      <c r="Z175" s="508" t="str">
        <f t="shared" ca="1" si="66"/>
        <v>N/A</v>
      </c>
      <c r="AA175" s="508" t="str">
        <f t="shared" ca="1" si="67"/>
        <v>Ene</v>
      </c>
      <c r="AB175" s="508">
        <f t="shared" ca="1" si="68"/>
        <v>8</v>
      </c>
      <c r="AC175" s="508">
        <f t="shared" ca="1" si="69"/>
        <v>0</v>
      </c>
      <c r="AD175" s="912">
        <f t="shared" ca="1" si="70"/>
        <v>5000</v>
      </c>
      <c r="AE175" s="512">
        <f t="shared" ca="1" si="71"/>
        <v>0</v>
      </c>
      <c r="AF175" s="512">
        <f t="shared" ca="1" si="72"/>
        <v>0</v>
      </c>
      <c r="AG175" s="512">
        <f t="shared" ca="1" si="73"/>
        <v>2500</v>
      </c>
      <c r="AH175" s="512">
        <f t="shared" ca="1" si="74"/>
        <v>0</v>
      </c>
      <c r="AI175" s="512">
        <f t="shared" ca="1" si="75"/>
        <v>0</v>
      </c>
      <c r="AJ175" s="512">
        <f t="shared" ca="1" si="76"/>
        <v>0</v>
      </c>
      <c r="AK175" s="512">
        <f t="shared" ca="1" si="77"/>
        <v>0</v>
      </c>
      <c r="AL175" s="512">
        <f t="shared" ca="1" si="78"/>
        <v>0</v>
      </c>
      <c r="AM175" s="512">
        <f t="shared" ca="1" si="79"/>
        <v>0</v>
      </c>
      <c r="AN175" s="512">
        <f t="shared" ca="1" si="80"/>
        <v>2500</v>
      </c>
      <c r="AO175" s="512">
        <f t="shared" ca="1" si="81"/>
        <v>0</v>
      </c>
      <c r="AP175" s="512">
        <f t="shared" ca="1" si="82"/>
        <v>0</v>
      </c>
      <c r="AQ175" s="512" t="str">
        <f t="shared" si="83"/>
        <v/>
      </c>
      <c r="AR175" s="512"/>
      <c r="AS175" s="512" t="str">
        <f t="shared" si="84"/>
        <v/>
      </c>
      <c r="AT175" s="151">
        <f t="shared" si="85"/>
        <v>0</v>
      </c>
      <c r="AU175" s="151">
        <f>IFERROR(VLOOKUP(A175,'[7]TD CuentasBDG'!$N$5:$O$21,2,0),0)</f>
        <v>0</v>
      </c>
      <c r="AV175">
        <f t="shared" si="86"/>
        <v>0</v>
      </c>
    </row>
    <row r="176" spans="1:50" ht="45" x14ac:dyDescent="0.25">
      <c r="A176" s="918" t="s">
        <v>1915</v>
      </c>
      <c r="B176" s="508" t="s">
        <v>113</v>
      </c>
      <c r="C176" s="508" t="s">
        <v>1890</v>
      </c>
      <c r="D176" s="508" t="s">
        <v>536</v>
      </c>
      <c r="E176" s="508"/>
      <c r="F176" s="508"/>
      <c r="G176" s="508" t="s">
        <v>1707</v>
      </c>
      <c r="H176" s="508"/>
      <c r="I176" s="508"/>
      <c r="J176" s="555"/>
      <c r="K176" s="555"/>
      <c r="L176" s="911">
        <f ca="1">IFERROR(INDEX(Lists!$O$2:$Z$2,MATCH(TRUE,INDEX((AE176:AP176&lt;&gt;0),0),0)),DATE(2018,1,1))</f>
        <v>43160</v>
      </c>
      <c r="M176" s="911">
        <f ca="1">IFERROR(INDEX(Lists!$O$3:$Z$3, VALUE(SUBSTITUTE(TEXT(ADDRESS(SUMPRODUCT(MAX((COLUMN(AE176:AP176)*(AE176:AP176&gt;0)))),1),),"$A$",""))-30),DATE(2018,1,1))</f>
        <v>43190</v>
      </c>
      <c r="N176" s="508"/>
      <c r="O176" s="508"/>
      <c r="P176" s="508"/>
      <c r="Q176" s="508"/>
      <c r="R176" s="508" t="str">
        <f t="shared" ca="1" si="58"/>
        <v>Corproa</v>
      </c>
      <c r="S176" s="508" t="str">
        <f t="shared" ca="1" si="59"/>
        <v>membership Corproa</v>
      </c>
      <c r="T176" s="508" t="str">
        <f t="shared" ca="1" si="60"/>
        <v>annual membership</v>
      </c>
      <c r="U176" s="508" t="str">
        <f t="shared" ca="1" si="61"/>
        <v>684 / 51-11-3341</v>
      </c>
      <c r="V176" s="508" t="str">
        <f t="shared" ca="1" si="62"/>
        <v>Purchase Order (PO)/Orden de Compra</v>
      </c>
      <c r="W176" s="508" t="str">
        <f t="shared" ca="1" si="63"/>
        <v>Corproa</v>
      </c>
      <c r="X176" s="508" t="str">
        <f t="shared" ca="1" si="64"/>
        <v>N/A</v>
      </c>
      <c r="Y176" s="508" t="str">
        <f t="shared" ca="1" si="65"/>
        <v>N/A</v>
      </c>
      <c r="Z176" s="508" t="str">
        <f t="shared" ca="1" si="66"/>
        <v>N/A</v>
      </c>
      <c r="AA176" s="508" t="str">
        <f t="shared" ca="1" si="67"/>
        <v>Ene</v>
      </c>
      <c r="AB176" s="508">
        <f t="shared" ca="1" si="68"/>
        <v>1</v>
      </c>
      <c r="AC176" s="508">
        <f t="shared" ca="1" si="69"/>
        <v>0</v>
      </c>
      <c r="AD176" s="912">
        <f t="shared" ca="1" si="70"/>
        <v>5000</v>
      </c>
      <c r="AE176" s="512">
        <f t="shared" ca="1" si="71"/>
        <v>0</v>
      </c>
      <c r="AF176" s="512">
        <f t="shared" ca="1" si="72"/>
        <v>0</v>
      </c>
      <c r="AG176" s="512">
        <f t="shared" ca="1" si="73"/>
        <v>5000</v>
      </c>
      <c r="AH176" s="512">
        <f t="shared" ca="1" si="74"/>
        <v>0</v>
      </c>
      <c r="AI176" s="512">
        <f t="shared" ca="1" si="75"/>
        <v>0</v>
      </c>
      <c r="AJ176" s="512">
        <f t="shared" ca="1" si="76"/>
        <v>0</v>
      </c>
      <c r="AK176" s="512">
        <f t="shared" ca="1" si="77"/>
        <v>0</v>
      </c>
      <c r="AL176" s="512">
        <f t="shared" ca="1" si="78"/>
        <v>0</v>
      </c>
      <c r="AM176" s="512">
        <f t="shared" ca="1" si="79"/>
        <v>0</v>
      </c>
      <c r="AN176" s="512">
        <f t="shared" ca="1" si="80"/>
        <v>0</v>
      </c>
      <c r="AO176" s="512">
        <f t="shared" ca="1" si="81"/>
        <v>0</v>
      </c>
      <c r="AP176" s="512">
        <f t="shared" ca="1" si="82"/>
        <v>0</v>
      </c>
      <c r="AQ176" s="512" t="str">
        <f t="shared" si="83"/>
        <v/>
      </c>
      <c r="AR176" s="512"/>
      <c r="AS176" s="512" t="str">
        <f t="shared" si="84"/>
        <v/>
      </c>
      <c r="AT176" s="151">
        <f t="shared" si="85"/>
        <v>0</v>
      </c>
      <c r="AU176" s="151">
        <f>IFERROR(VLOOKUP(A176,'[7]TD CuentasBDG'!$N$5:$O$21,2,0),0)</f>
        <v>0</v>
      </c>
      <c r="AV176">
        <f t="shared" si="86"/>
        <v>0</v>
      </c>
    </row>
    <row r="177" spans="1:51" ht="45" x14ac:dyDescent="0.25">
      <c r="A177" s="918" t="s">
        <v>1916</v>
      </c>
      <c r="B177" s="508" t="s">
        <v>113</v>
      </c>
      <c r="C177" s="508" t="s">
        <v>1890</v>
      </c>
      <c r="D177" s="508" t="s">
        <v>536</v>
      </c>
      <c r="E177" s="508"/>
      <c r="F177" s="508"/>
      <c r="G177" s="508" t="s">
        <v>1707</v>
      </c>
      <c r="H177" s="508"/>
      <c r="I177" s="508"/>
      <c r="J177" s="555"/>
      <c r="K177" s="555"/>
      <c r="L177" s="911">
        <f ca="1">IFERROR(INDEX(Lists!$O$2:$Z$2,MATCH(TRUE,INDEX((AE177:AP177&lt;&gt;0),0),0)),DATE(2018,1,1))</f>
        <v>43160</v>
      </c>
      <c r="M177" s="911">
        <f ca="1">IFERROR(INDEX(Lists!$O$3:$Z$3, VALUE(SUBSTITUTE(TEXT(ADDRESS(SUMPRODUCT(MAX((COLUMN(AE177:AP177)*(AE177:AP177&gt;0)))),1),),"$A$",""))-30),DATE(2018,1,1))</f>
        <v>43190</v>
      </c>
      <c r="N177" s="508"/>
      <c r="O177" s="508"/>
      <c r="P177" s="508"/>
      <c r="Q177" s="508"/>
      <c r="R177" s="508" t="str">
        <f t="shared" ca="1" si="58"/>
        <v>Chilean Chamber of Construction - Copiapó Branch</v>
      </c>
      <c r="S177" s="508" t="str">
        <f t="shared" ca="1" si="59"/>
        <v>CCHC</v>
      </c>
      <c r="T177" s="508" t="str">
        <f t="shared" ca="1" si="60"/>
        <v>annual membership</v>
      </c>
      <c r="U177" s="508" t="str">
        <f t="shared" ca="1" si="61"/>
        <v>684 / 51-11-3341</v>
      </c>
      <c r="V177" s="508" t="str">
        <f t="shared" ca="1" si="62"/>
        <v>Purchase Order (PO)/Orden de Compra</v>
      </c>
      <c r="W177" s="508" t="str">
        <f t="shared" ca="1" si="63"/>
        <v>Chilean Chamber of Construction - Copiapó branch</v>
      </c>
      <c r="X177" s="508" t="str">
        <f t="shared" ca="1" si="64"/>
        <v>N/A</v>
      </c>
      <c r="Y177" s="508" t="str">
        <f t="shared" ca="1" si="65"/>
        <v>N/A</v>
      </c>
      <c r="Z177" s="508" t="str">
        <f t="shared" ca="1" si="66"/>
        <v>N/A</v>
      </c>
      <c r="AA177" s="508" t="str">
        <f t="shared" ca="1" si="67"/>
        <v>Ene</v>
      </c>
      <c r="AB177" s="508">
        <f t="shared" ca="1" si="68"/>
        <v>1</v>
      </c>
      <c r="AC177" s="508">
        <f t="shared" ca="1" si="69"/>
        <v>0</v>
      </c>
      <c r="AD177" s="912">
        <f t="shared" ca="1" si="70"/>
        <v>2000</v>
      </c>
      <c r="AE177" s="512">
        <f t="shared" ca="1" si="71"/>
        <v>0</v>
      </c>
      <c r="AF177" s="512">
        <f t="shared" ca="1" si="72"/>
        <v>0</v>
      </c>
      <c r="AG177" s="512">
        <f t="shared" ca="1" si="73"/>
        <v>2000</v>
      </c>
      <c r="AH177" s="512">
        <f t="shared" ca="1" si="74"/>
        <v>0</v>
      </c>
      <c r="AI177" s="512">
        <f t="shared" ca="1" si="75"/>
        <v>0</v>
      </c>
      <c r="AJ177" s="512">
        <f t="shared" ca="1" si="76"/>
        <v>0</v>
      </c>
      <c r="AK177" s="512">
        <f t="shared" ca="1" si="77"/>
        <v>0</v>
      </c>
      <c r="AL177" s="512">
        <f t="shared" ca="1" si="78"/>
        <v>0</v>
      </c>
      <c r="AM177" s="512">
        <f t="shared" ca="1" si="79"/>
        <v>0</v>
      </c>
      <c r="AN177" s="512">
        <f t="shared" ca="1" si="80"/>
        <v>0</v>
      </c>
      <c r="AO177" s="512">
        <f t="shared" ca="1" si="81"/>
        <v>0</v>
      </c>
      <c r="AP177" s="512">
        <f t="shared" ca="1" si="82"/>
        <v>0</v>
      </c>
      <c r="AQ177" s="512" t="str">
        <f t="shared" si="83"/>
        <v/>
      </c>
      <c r="AR177" s="512"/>
      <c r="AS177" s="512" t="str">
        <f t="shared" si="84"/>
        <v/>
      </c>
      <c r="AT177" s="151">
        <f t="shared" si="85"/>
        <v>0</v>
      </c>
      <c r="AU177" s="151">
        <f>IFERROR(VLOOKUP(A177,'[7]TD CuentasBDG'!$N$5:$O$21,2,0),0)</f>
        <v>0</v>
      </c>
      <c r="AV177">
        <f t="shared" si="86"/>
        <v>0</v>
      </c>
    </row>
    <row r="178" spans="1:51" ht="45" x14ac:dyDescent="0.25">
      <c r="A178" s="918" t="s">
        <v>1917</v>
      </c>
      <c r="B178" s="508" t="s">
        <v>113</v>
      </c>
      <c r="C178" s="508" t="s">
        <v>1890</v>
      </c>
      <c r="D178" s="508" t="s">
        <v>536</v>
      </c>
      <c r="E178" s="508"/>
      <c r="F178" s="508"/>
      <c r="G178" s="508" t="s">
        <v>1707</v>
      </c>
      <c r="H178" s="508"/>
      <c r="I178" s="508"/>
      <c r="J178" s="555"/>
      <c r="K178" s="555"/>
      <c r="L178" s="911">
        <f ca="1">IFERROR(INDEX(Lists!$O$2:$Z$2,MATCH(TRUE,INDEX((AE178:AP178&lt;&gt;0),0),0)),DATE(2018,1,1))</f>
        <v>43160</v>
      </c>
      <c r="M178" s="911">
        <f ca="1">IFERROR(INDEX(Lists!$O$3:$Z$3, VALUE(SUBSTITUTE(TEXT(ADDRESS(SUMPRODUCT(MAX((COLUMN(AE178:AP178)*(AE178:AP178&gt;0)))),1),),"$A$",""))-30),DATE(2018,1,1))</f>
        <v>43190</v>
      </c>
      <c r="N178" s="508"/>
      <c r="O178" s="508"/>
      <c r="P178" s="508"/>
      <c r="Q178" s="508"/>
      <c r="R178" s="508" t="str">
        <f t="shared" ca="1" si="58"/>
        <v>CCIRA - Atacama</v>
      </c>
      <c r="S178" s="508" t="str">
        <f t="shared" ca="1" si="59"/>
        <v>CCIRA</v>
      </c>
      <c r="T178" s="508" t="str">
        <f t="shared" ca="1" si="60"/>
        <v>annual membership</v>
      </c>
      <c r="U178" s="508" t="str">
        <f t="shared" ca="1" si="61"/>
        <v>684 / 51-11-3341</v>
      </c>
      <c r="V178" s="508" t="str">
        <f t="shared" ca="1" si="62"/>
        <v>Purchase Order (PO)/Orden de Compra</v>
      </c>
      <c r="W178" s="508" t="str">
        <f t="shared" ca="1" si="63"/>
        <v>CCIRA -Atacama</v>
      </c>
      <c r="X178" s="508" t="str">
        <f t="shared" ca="1" si="64"/>
        <v>N/A</v>
      </c>
      <c r="Y178" s="508" t="str">
        <f t="shared" ca="1" si="65"/>
        <v>N/A</v>
      </c>
      <c r="Z178" s="508" t="str">
        <f t="shared" ca="1" si="66"/>
        <v>N/A</v>
      </c>
      <c r="AA178" s="508" t="str">
        <f t="shared" ca="1" si="67"/>
        <v>Ene</v>
      </c>
      <c r="AB178" s="508">
        <f t="shared" ca="1" si="68"/>
        <v>1</v>
      </c>
      <c r="AC178" s="508">
        <f t="shared" ca="1" si="69"/>
        <v>0</v>
      </c>
      <c r="AD178" s="912">
        <f t="shared" ca="1" si="70"/>
        <v>3000</v>
      </c>
      <c r="AE178" s="512">
        <f t="shared" ca="1" si="71"/>
        <v>0</v>
      </c>
      <c r="AF178" s="512">
        <f t="shared" ca="1" si="72"/>
        <v>0</v>
      </c>
      <c r="AG178" s="512">
        <f t="shared" ca="1" si="73"/>
        <v>3000</v>
      </c>
      <c r="AH178" s="512">
        <f t="shared" ca="1" si="74"/>
        <v>0</v>
      </c>
      <c r="AI178" s="512">
        <f t="shared" ca="1" si="75"/>
        <v>0</v>
      </c>
      <c r="AJ178" s="512">
        <f t="shared" ca="1" si="76"/>
        <v>0</v>
      </c>
      <c r="AK178" s="512">
        <f t="shared" ca="1" si="77"/>
        <v>0</v>
      </c>
      <c r="AL178" s="512">
        <f t="shared" ca="1" si="78"/>
        <v>0</v>
      </c>
      <c r="AM178" s="512">
        <f t="shared" ca="1" si="79"/>
        <v>0</v>
      </c>
      <c r="AN178" s="512">
        <f t="shared" ca="1" si="80"/>
        <v>0</v>
      </c>
      <c r="AO178" s="512">
        <f t="shared" ca="1" si="81"/>
        <v>0</v>
      </c>
      <c r="AP178" s="512">
        <f t="shared" ca="1" si="82"/>
        <v>0</v>
      </c>
      <c r="AQ178" s="512" t="str">
        <f t="shared" si="83"/>
        <v/>
      </c>
      <c r="AR178" s="512"/>
      <c r="AS178" s="512" t="str">
        <f t="shared" si="84"/>
        <v/>
      </c>
      <c r="AT178" s="151">
        <f t="shared" si="85"/>
        <v>0</v>
      </c>
      <c r="AU178" s="151">
        <f>IFERROR(VLOOKUP(A178,'[7]TD CuentasBDG'!$N$5:$O$21,2,0),0)</f>
        <v>0</v>
      </c>
      <c r="AV178">
        <f t="shared" si="86"/>
        <v>0</v>
      </c>
    </row>
    <row r="179" spans="1:51" ht="45" x14ac:dyDescent="0.25">
      <c r="A179" s="919" t="s">
        <v>1918</v>
      </c>
      <c r="B179" s="508" t="s">
        <v>113</v>
      </c>
      <c r="C179" s="508" t="s">
        <v>1890</v>
      </c>
      <c r="D179" s="508" t="s">
        <v>536</v>
      </c>
      <c r="E179" s="508"/>
      <c r="F179" s="508"/>
      <c r="G179" s="508" t="s">
        <v>1647</v>
      </c>
      <c r="H179" s="508" t="s">
        <v>1919</v>
      </c>
      <c r="I179" s="508" t="s">
        <v>1140</v>
      </c>
      <c r="J179" s="555" t="s">
        <v>1650</v>
      </c>
      <c r="K179" s="555" t="s">
        <v>1689</v>
      </c>
      <c r="L179" s="911">
        <f ca="1">IFERROR(INDEX(Lists!$O$2:$Z$2,MATCH(TRUE,INDEX((AE179:AP179&lt;&gt;0),0),0)),DATE(2018,1,1))</f>
        <v>43221</v>
      </c>
      <c r="M179" s="911">
        <f ca="1">IFERROR(INDEX(Lists!$O$3:$Z$3, VALUE(SUBSTITUTE(TEXT(ADDRESS(SUMPRODUCT(MAX((COLUMN(AE179:AP179)*(AE179:AP179&gt;0)))),1),),"$A$",""))-30),DATE(2018,1,1))</f>
        <v>43251</v>
      </c>
      <c r="N179" s="508" t="s">
        <v>1668</v>
      </c>
      <c r="O179" s="508" t="s">
        <v>1653</v>
      </c>
      <c r="P179" s="508" t="s">
        <v>1071</v>
      </c>
      <c r="Q179" s="508" t="s">
        <v>1071</v>
      </c>
      <c r="R179" s="508" t="str">
        <f t="shared" ca="1" si="58"/>
        <v>Expomin</v>
      </c>
      <c r="S179" s="508" t="str">
        <f t="shared" ca="1" si="59"/>
        <v>Expomin Fair</v>
      </c>
      <c r="T179" s="508" t="str">
        <f t="shared" ca="1" si="60"/>
        <v>presentation of NuevaUnión at Expomin</v>
      </c>
      <c r="U179" s="508" t="str">
        <f t="shared" ca="1" si="61"/>
        <v>684 / 51-11-3341</v>
      </c>
      <c r="V179" s="508" t="str">
        <f t="shared" ca="1" si="62"/>
        <v>Purchase Order (PO)/Orden de Compra</v>
      </c>
      <c r="W179" s="508" t="str">
        <f t="shared" ca="1" si="63"/>
        <v>to be defined</v>
      </c>
      <c r="X179" s="508" t="str">
        <f t="shared" ca="1" si="64"/>
        <v>N/A</v>
      </c>
      <c r="Y179" s="508" t="str">
        <f t="shared" ca="1" si="65"/>
        <v>N/A</v>
      </c>
      <c r="Z179" s="508" t="str">
        <f t="shared" ca="1" si="66"/>
        <v>N/A</v>
      </c>
      <c r="AA179" s="508" t="str">
        <f t="shared" ca="1" si="67"/>
        <v>Abr</v>
      </c>
      <c r="AB179" s="508">
        <f t="shared" ca="1" si="68"/>
        <v>1</v>
      </c>
      <c r="AC179" s="508">
        <f t="shared" ca="1" si="69"/>
        <v>0</v>
      </c>
      <c r="AD179" s="912">
        <f t="shared" ca="1" si="70"/>
        <v>25000</v>
      </c>
      <c r="AE179" s="512">
        <f t="shared" ca="1" si="71"/>
        <v>0</v>
      </c>
      <c r="AF179" s="512">
        <f t="shared" ca="1" si="72"/>
        <v>0</v>
      </c>
      <c r="AG179" s="512">
        <f t="shared" ca="1" si="73"/>
        <v>0</v>
      </c>
      <c r="AH179" s="512">
        <f t="shared" ca="1" si="74"/>
        <v>0</v>
      </c>
      <c r="AI179" s="512">
        <f t="shared" ca="1" si="75"/>
        <v>25000</v>
      </c>
      <c r="AJ179" s="512">
        <f t="shared" ca="1" si="76"/>
        <v>0</v>
      </c>
      <c r="AK179" s="512">
        <f t="shared" ca="1" si="77"/>
        <v>0</v>
      </c>
      <c r="AL179" s="512">
        <f t="shared" ca="1" si="78"/>
        <v>0</v>
      </c>
      <c r="AM179" s="512">
        <f t="shared" ca="1" si="79"/>
        <v>0</v>
      </c>
      <c r="AN179" s="512">
        <f t="shared" ca="1" si="80"/>
        <v>0</v>
      </c>
      <c r="AO179" s="512">
        <f t="shared" ca="1" si="81"/>
        <v>0</v>
      </c>
      <c r="AP179" s="512">
        <f t="shared" ca="1" si="82"/>
        <v>0</v>
      </c>
      <c r="AQ179" s="512" t="str">
        <f t="shared" ca="1" si="83"/>
        <v>Orden de Servicio Sin Terreno</v>
      </c>
      <c r="AR179" s="512"/>
      <c r="AS179" s="512" t="str">
        <f t="shared" ca="1" si="84"/>
        <v>No</v>
      </c>
      <c r="AT179" s="151">
        <f t="shared" ca="1" si="85"/>
        <v>25000</v>
      </c>
      <c r="AU179" s="151">
        <f>IFERROR(VLOOKUP(A179,'[7]TD CuentasBDG'!$N$5:$O$21,2,0),0)</f>
        <v>0</v>
      </c>
      <c r="AV179" t="str">
        <f t="shared" ca="1" si="86"/>
        <v>Licitación Corta</v>
      </c>
      <c r="AW179" t="s">
        <v>1669</v>
      </c>
      <c r="AX179" t="s">
        <v>1655</v>
      </c>
      <c r="AY179" t="s">
        <v>1920</v>
      </c>
    </row>
    <row r="180" spans="1:51" ht="45" x14ac:dyDescent="0.25">
      <c r="A180" s="918" t="s">
        <v>1921</v>
      </c>
      <c r="B180" s="508" t="s">
        <v>113</v>
      </c>
      <c r="C180" s="508" t="s">
        <v>1890</v>
      </c>
      <c r="D180" s="508" t="s">
        <v>536</v>
      </c>
      <c r="E180" s="508"/>
      <c r="F180" s="508"/>
      <c r="G180" s="508" t="s">
        <v>1707</v>
      </c>
      <c r="H180" s="508"/>
      <c r="I180" s="508"/>
      <c r="J180" s="555"/>
      <c r="K180" s="555"/>
      <c r="L180" s="911">
        <f ca="1">IFERROR(INDEX(Lists!$O$2:$Z$2,MATCH(TRUE,INDEX((AE180:AP180&lt;&gt;0),0),0)),DATE(2018,1,1))</f>
        <v>43191</v>
      </c>
      <c r="M180" s="911">
        <f ca="1">IFERROR(INDEX(Lists!$O$3:$Z$3, VALUE(SUBSTITUTE(TEXT(ADDRESS(SUMPRODUCT(MAX((COLUMN(AE180:AP180)*(AE180:AP180&gt;0)))),1),),"$A$",""))-30),DATE(2018,1,1))</f>
        <v>43220</v>
      </c>
      <c r="N180" s="508"/>
      <c r="O180" s="508"/>
      <c r="P180" s="508"/>
      <c r="Q180" s="508"/>
      <c r="R180" s="508" t="str">
        <f t="shared" ca="1" si="58"/>
        <v>Cesco Dinner</v>
      </c>
      <c r="S180" s="508" t="str">
        <f t="shared" ca="1" si="59"/>
        <v>Cesco Dinner</v>
      </c>
      <c r="T180" s="508" t="str">
        <f t="shared" ca="1" si="60"/>
        <v>Attendance of NuevaUnión executives to Cesco Dinner</v>
      </c>
      <c r="U180" s="508" t="str">
        <f t="shared" ca="1" si="61"/>
        <v>684 / 51-11-3341</v>
      </c>
      <c r="V180" s="508" t="str">
        <f t="shared" ca="1" si="62"/>
        <v>Purchase Order (PO)/Orden de Compra</v>
      </c>
      <c r="W180" s="508" t="str">
        <f t="shared" ca="1" si="63"/>
        <v>Cesco</v>
      </c>
      <c r="X180" s="508" t="str">
        <f t="shared" ca="1" si="64"/>
        <v>N/A</v>
      </c>
      <c r="Y180" s="508" t="str">
        <f t="shared" ca="1" si="65"/>
        <v>N/A</v>
      </c>
      <c r="Z180" s="508" t="str">
        <f t="shared" ca="1" si="66"/>
        <v>N/A</v>
      </c>
      <c r="AA180" s="508" t="str">
        <f t="shared" ca="1" si="67"/>
        <v>Mar</v>
      </c>
      <c r="AB180" s="508">
        <f t="shared" ca="1" si="68"/>
        <v>1</v>
      </c>
      <c r="AC180" s="508">
        <f t="shared" ca="1" si="69"/>
        <v>0</v>
      </c>
      <c r="AD180" s="912">
        <f t="shared" ca="1" si="70"/>
        <v>1500</v>
      </c>
      <c r="AE180" s="512">
        <f t="shared" ca="1" si="71"/>
        <v>0</v>
      </c>
      <c r="AF180" s="512">
        <f t="shared" ca="1" si="72"/>
        <v>0</v>
      </c>
      <c r="AG180" s="512">
        <f t="shared" ca="1" si="73"/>
        <v>0</v>
      </c>
      <c r="AH180" s="512">
        <f t="shared" ca="1" si="74"/>
        <v>1500</v>
      </c>
      <c r="AI180" s="512">
        <f t="shared" ca="1" si="75"/>
        <v>0</v>
      </c>
      <c r="AJ180" s="512">
        <f t="shared" ca="1" si="76"/>
        <v>0</v>
      </c>
      <c r="AK180" s="512">
        <f t="shared" ca="1" si="77"/>
        <v>0</v>
      </c>
      <c r="AL180" s="512">
        <f t="shared" ca="1" si="78"/>
        <v>0</v>
      </c>
      <c r="AM180" s="512">
        <f t="shared" ca="1" si="79"/>
        <v>0</v>
      </c>
      <c r="AN180" s="512">
        <f t="shared" ca="1" si="80"/>
        <v>0</v>
      </c>
      <c r="AO180" s="512">
        <f t="shared" ca="1" si="81"/>
        <v>0</v>
      </c>
      <c r="AP180" s="512">
        <f t="shared" ca="1" si="82"/>
        <v>0</v>
      </c>
      <c r="AQ180" s="512" t="str">
        <f t="shared" si="83"/>
        <v/>
      </c>
      <c r="AR180" s="512"/>
      <c r="AS180" s="512" t="str">
        <f t="shared" si="84"/>
        <v/>
      </c>
      <c r="AT180" s="151">
        <f t="shared" si="85"/>
        <v>0</v>
      </c>
      <c r="AU180" s="151">
        <f>IFERROR(VLOOKUP(A180,'[7]TD CuentasBDG'!$N$5:$O$21,2,0),0)</f>
        <v>0</v>
      </c>
      <c r="AV180">
        <f t="shared" si="86"/>
        <v>0</v>
      </c>
    </row>
    <row r="181" spans="1:51" ht="45" x14ac:dyDescent="0.25">
      <c r="A181" s="918" t="s">
        <v>1922</v>
      </c>
      <c r="B181" s="508" t="s">
        <v>113</v>
      </c>
      <c r="C181" s="508" t="s">
        <v>1890</v>
      </c>
      <c r="D181" s="508" t="s">
        <v>536</v>
      </c>
      <c r="E181" s="508"/>
      <c r="F181" s="508"/>
      <c r="G181" s="508" t="s">
        <v>1707</v>
      </c>
      <c r="H181" s="508"/>
      <c r="I181" s="508"/>
      <c r="J181" s="555"/>
      <c r="K181" s="555"/>
      <c r="L181" s="911">
        <f ca="1">IFERROR(INDEX(Lists!$O$2:$Z$2,MATCH(TRUE,INDEX((AE181:AP181&lt;&gt;0),0),0)),DATE(2018,1,1))</f>
        <v>43313</v>
      </c>
      <c r="M181" s="911">
        <f ca="1">IFERROR(INDEX(Lists!$O$3:$Z$3, VALUE(SUBSTITUTE(TEXT(ADDRESS(SUMPRODUCT(MAX((COLUMN(AE181:AP181)*(AE181:AP181&gt;0)))),1),),"$A$",""))-30),DATE(2018,1,1))</f>
        <v>43343</v>
      </c>
      <c r="N181" s="508"/>
      <c r="O181" s="508"/>
      <c r="P181" s="508"/>
      <c r="Q181" s="508"/>
      <c r="R181" s="508" t="str">
        <f t="shared" ca="1" si="58"/>
        <v>Sonami Dinner</v>
      </c>
      <c r="S181" s="508" t="str">
        <f t="shared" ca="1" si="59"/>
        <v>Sonami Dinner</v>
      </c>
      <c r="T181" s="508" t="str">
        <f t="shared" ca="1" si="60"/>
        <v>Attendance of NuevaUnión executives to Sonami Dinner</v>
      </c>
      <c r="U181" s="508" t="str">
        <f t="shared" ca="1" si="61"/>
        <v>684 / 51-11-3341</v>
      </c>
      <c r="V181" s="508" t="str">
        <f t="shared" ca="1" si="62"/>
        <v>Purchase Order (PO)/Orden de Compra</v>
      </c>
      <c r="W181" s="508" t="str">
        <f t="shared" ca="1" si="63"/>
        <v>Sonami</v>
      </c>
      <c r="X181" s="508" t="str">
        <f t="shared" ca="1" si="64"/>
        <v>N/A</v>
      </c>
      <c r="Y181" s="508" t="str">
        <f t="shared" ca="1" si="65"/>
        <v>N/A</v>
      </c>
      <c r="Z181" s="508" t="str">
        <f t="shared" ca="1" si="66"/>
        <v>N/A</v>
      </c>
      <c r="AA181" s="508" t="str">
        <f t="shared" ca="1" si="67"/>
        <v>Ago</v>
      </c>
      <c r="AB181" s="508">
        <f t="shared" ca="1" si="68"/>
        <v>1</v>
      </c>
      <c r="AC181" s="508">
        <f t="shared" ca="1" si="69"/>
        <v>0</v>
      </c>
      <c r="AD181" s="912">
        <f t="shared" ca="1" si="70"/>
        <v>1500</v>
      </c>
      <c r="AE181" s="512">
        <f t="shared" ca="1" si="71"/>
        <v>0</v>
      </c>
      <c r="AF181" s="512">
        <f t="shared" ca="1" si="72"/>
        <v>0</v>
      </c>
      <c r="AG181" s="512">
        <f t="shared" ca="1" si="73"/>
        <v>0</v>
      </c>
      <c r="AH181" s="512">
        <f t="shared" ca="1" si="74"/>
        <v>0</v>
      </c>
      <c r="AI181" s="512">
        <f t="shared" ca="1" si="75"/>
        <v>0</v>
      </c>
      <c r="AJ181" s="512">
        <f t="shared" ca="1" si="76"/>
        <v>0</v>
      </c>
      <c r="AK181" s="512">
        <f t="shared" ca="1" si="77"/>
        <v>0</v>
      </c>
      <c r="AL181" s="512">
        <f t="shared" ca="1" si="78"/>
        <v>1500</v>
      </c>
      <c r="AM181" s="512">
        <f t="shared" ca="1" si="79"/>
        <v>0</v>
      </c>
      <c r="AN181" s="512">
        <f t="shared" ca="1" si="80"/>
        <v>0</v>
      </c>
      <c r="AO181" s="512">
        <f t="shared" ca="1" si="81"/>
        <v>0</v>
      </c>
      <c r="AP181" s="512">
        <f t="shared" ca="1" si="82"/>
        <v>0</v>
      </c>
      <c r="AQ181" s="512" t="str">
        <f t="shared" si="83"/>
        <v/>
      </c>
      <c r="AR181" s="512"/>
      <c r="AS181" s="512" t="str">
        <f t="shared" si="84"/>
        <v/>
      </c>
      <c r="AT181" s="151">
        <f t="shared" si="85"/>
        <v>0</v>
      </c>
      <c r="AU181" s="151">
        <f>IFERROR(VLOOKUP(A181,'[7]TD CuentasBDG'!$N$5:$O$21,2,0),0)</f>
        <v>0</v>
      </c>
      <c r="AV181">
        <f t="shared" si="86"/>
        <v>0</v>
      </c>
    </row>
    <row r="182" spans="1:51" ht="45" x14ac:dyDescent="0.25">
      <c r="A182" s="919" t="s">
        <v>1923</v>
      </c>
      <c r="B182" s="508" t="s">
        <v>113</v>
      </c>
      <c r="C182" s="508" t="s">
        <v>1890</v>
      </c>
      <c r="D182" s="508" t="s">
        <v>536</v>
      </c>
      <c r="E182" s="508"/>
      <c r="F182" s="508"/>
      <c r="G182" s="508" t="s">
        <v>1707</v>
      </c>
      <c r="H182" s="508"/>
      <c r="I182" s="508"/>
      <c r="J182" s="555"/>
      <c r="K182" s="555"/>
      <c r="L182" s="911">
        <f ca="1">IFERROR(INDEX(Lists!$O$2:$Z$2,MATCH(TRUE,INDEX((AE182:AP182&lt;&gt;0),0),0)),DATE(2018,1,1))</f>
        <v>43405</v>
      </c>
      <c r="M182" s="911">
        <f ca="1">IFERROR(INDEX(Lists!$O$3:$Z$3, VALUE(SUBSTITUTE(TEXT(ADDRESS(SUMPRODUCT(MAX((COLUMN(AE182:AP182)*(AE182:AP182&gt;0)))),1),),"$A$",""))-30),DATE(2018,1,1))</f>
        <v>43434</v>
      </c>
      <c r="N182" s="508"/>
      <c r="O182" s="508"/>
      <c r="P182" s="508"/>
      <c r="Q182" s="508"/>
      <c r="R182" s="508" t="str">
        <f t="shared" ca="1" si="58"/>
        <v>Forede Copiapó</v>
      </c>
      <c r="S182" s="508" t="str">
        <f t="shared" ca="1" si="59"/>
        <v>Forede fair in Copiapó</v>
      </c>
      <c r="T182" s="508" t="str">
        <f t="shared" ca="1" si="60"/>
        <v>participation of NuevaUnión in Forede Fair in Copiapó</v>
      </c>
      <c r="U182" s="508" t="str">
        <f t="shared" ca="1" si="61"/>
        <v>684 / 51-11-3341</v>
      </c>
      <c r="V182" s="508" t="str">
        <f t="shared" ca="1" si="62"/>
        <v>Purchase Order (PO)/Orden de Compra</v>
      </c>
      <c r="W182" s="508" t="str">
        <f t="shared" ca="1" si="63"/>
        <v>to be defined</v>
      </c>
      <c r="X182" s="508" t="str">
        <f t="shared" ca="1" si="64"/>
        <v>N/A</v>
      </c>
      <c r="Y182" s="508" t="str">
        <f t="shared" ca="1" si="65"/>
        <v>N/A</v>
      </c>
      <c r="Z182" s="508" t="str">
        <f t="shared" ca="1" si="66"/>
        <v>N/A</v>
      </c>
      <c r="AA182" s="508" t="str">
        <f t="shared" ca="1" si="67"/>
        <v>Sept</v>
      </c>
      <c r="AB182" s="508">
        <f t="shared" ca="1" si="68"/>
        <v>1</v>
      </c>
      <c r="AC182" s="508">
        <f t="shared" ca="1" si="69"/>
        <v>0</v>
      </c>
      <c r="AD182" s="912">
        <f t="shared" ca="1" si="70"/>
        <v>10000</v>
      </c>
      <c r="AE182" s="512">
        <f t="shared" ca="1" si="71"/>
        <v>0</v>
      </c>
      <c r="AF182" s="512">
        <f t="shared" ca="1" si="72"/>
        <v>0</v>
      </c>
      <c r="AG182" s="512">
        <f t="shared" ca="1" si="73"/>
        <v>0</v>
      </c>
      <c r="AH182" s="512">
        <f t="shared" ca="1" si="74"/>
        <v>0</v>
      </c>
      <c r="AI182" s="512">
        <f t="shared" ca="1" si="75"/>
        <v>0</v>
      </c>
      <c r="AJ182" s="512">
        <f t="shared" ca="1" si="76"/>
        <v>0</v>
      </c>
      <c r="AK182" s="512">
        <f t="shared" ca="1" si="77"/>
        <v>0</v>
      </c>
      <c r="AL182" s="512">
        <f t="shared" ca="1" si="78"/>
        <v>0</v>
      </c>
      <c r="AM182" s="512">
        <f t="shared" ca="1" si="79"/>
        <v>0</v>
      </c>
      <c r="AN182" s="512">
        <f t="shared" ca="1" si="80"/>
        <v>0</v>
      </c>
      <c r="AO182" s="512">
        <f t="shared" ca="1" si="81"/>
        <v>10000</v>
      </c>
      <c r="AP182" s="512">
        <f t="shared" ca="1" si="82"/>
        <v>0</v>
      </c>
      <c r="AQ182" s="512" t="str">
        <f t="shared" si="83"/>
        <v/>
      </c>
      <c r="AR182" s="512"/>
      <c r="AS182" s="512" t="str">
        <f t="shared" si="84"/>
        <v/>
      </c>
      <c r="AT182" s="151">
        <f t="shared" si="85"/>
        <v>0</v>
      </c>
      <c r="AU182" s="151">
        <f>IFERROR(VLOOKUP(A182,'[7]TD CuentasBDG'!$N$5:$O$21,2,0),0)</f>
        <v>0</v>
      </c>
      <c r="AV182">
        <f t="shared" si="86"/>
        <v>0</v>
      </c>
    </row>
    <row r="183" spans="1:51" ht="60" x14ac:dyDescent="0.25">
      <c r="A183" s="918" t="s">
        <v>1924</v>
      </c>
      <c r="B183" s="508" t="s">
        <v>113</v>
      </c>
      <c r="C183" s="508" t="s">
        <v>100</v>
      </c>
      <c r="D183" s="508" t="s">
        <v>100</v>
      </c>
      <c r="E183" s="508" t="s">
        <v>1925</v>
      </c>
      <c r="F183" s="508" t="s">
        <v>1674</v>
      </c>
      <c r="G183" s="508" t="s">
        <v>1647</v>
      </c>
      <c r="H183" s="508" t="s">
        <v>1926</v>
      </c>
      <c r="I183" s="508" t="s">
        <v>1027</v>
      </c>
      <c r="J183" s="555" t="s">
        <v>1927</v>
      </c>
      <c r="K183" s="555" t="s">
        <v>1651</v>
      </c>
      <c r="L183" s="911">
        <f ca="1">IFERROR(INDEX(Lists!$O$2:$Z$2,MATCH(TRUE,INDEX((AE183:AP183&lt;&gt;0),0),0)),DATE(2018,1,1))</f>
        <v>43102</v>
      </c>
      <c r="M183" s="911">
        <f ca="1">IFERROR(INDEX(Lists!$O$3:$Z$3, VALUE(SUBSTITUTE(TEXT(ADDRESS(SUMPRODUCT(MAX((COLUMN(AE183:AP183)*(AE183:AP183&gt;0)))),1),),"$A$",""))-30),DATE(2018,1,1))</f>
        <v>43465</v>
      </c>
      <c r="N183" s="508" t="s">
        <v>1928</v>
      </c>
      <c r="O183" s="508" t="s">
        <v>1653</v>
      </c>
      <c r="P183" s="508" t="s">
        <v>1071</v>
      </c>
      <c r="Q183" s="508" t="s">
        <v>1676</v>
      </c>
      <c r="R183" s="508" t="str">
        <f t="shared" ca="1" si="58"/>
        <v>RC Consultores</v>
      </c>
      <c r="S183" s="508" t="str">
        <f t="shared" ca="1" si="59"/>
        <v>Asesoría Plan de Reasenamiento Comunidades Humanas</v>
      </c>
      <c r="T183" s="508" t="str">
        <f t="shared" ca="1" si="60"/>
        <v>monthly fee</v>
      </c>
      <c r="U183" s="508" t="str">
        <f t="shared" ca="1" si="61"/>
        <v>684 / 51-11-3360</v>
      </c>
      <c r="V183" s="508" t="str">
        <f t="shared" ca="1" si="62"/>
        <v>Current Contract/Contrato Activo</v>
      </c>
      <c r="W183" s="508" t="str">
        <f t="shared" ca="1" si="63"/>
        <v>RC Consultores</v>
      </c>
      <c r="X183" s="508" t="str">
        <f t="shared" ca="1" si="64"/>
        <v>N/A</v>
      </c>
      <c r="Y183" s="508" t="str">
        <f t="shared" ca="1" si="65"/>
        <v>N/A</v>
      </c>
      <c r="Z183" s="508" t="str">
        <f t="shared" ca="1" si="66"/>
        <v>N/A</v>
      </c>
      <c r="AA183" s="508" t="str">
        <f t="shared" ca="1" si="67"/>
        <v>Ene</v>
      </c>
      <c r="AB183" s="508">
        <f t="shared" ca="1" si="68"/>
        <v>12</v>
      </c>
      <c r="AC183" s="508">
        <f t="shared" ca="1" si="69"/>
        <v>0</v>
      </c>
      <c r="AD183" s="912">
        <f t="shared" ca="1" si="70"/>
        <v>376959</v>
      </c>
      <c r="AE183" s="512">
        <f t="shared" ca="1" si="71"/>
        <v>31180</v>
      </c>
      <c r="AF183" s="512">
        <f t="shared" ca="1" si="72"/>
        <v>31180</v>
      </c>
      <c r="AG183" s="512">
        <f t="shared" ca="1" si="73"/>
        <v>31180</v>
      </c>
      <c r="AH183" s="512">
        <f t="shared" ca="1" si="74"/>
        <v>31491</v>
      </c>
      <c r="AI183" s="512">
        <f t="shared" ca="1" si="75"/>
        <v>31491</v>
      </c>
      <c r="AJ183" s="512">
        <f t="shared" ca="1" si="76"/>
        <v>31491</v>
      </c>
      <c r="AK183" s="512">
        <f t="shared" ca="1" si="77"/>
        <v>31491</v>
      </c>
      <c r="AL183" s="512">
        <f t="shared" ca="1" si="78"/>
        <v>31491</v>
      </c>
      <c r="AM183" s="512">
        <f t="shared" ca="1" si="79"/>
        <v>31491</v>
      </c>
      <c r="AN183" s="512">
        <f t="shared" ca="1" si="80"/>
        <v>31491</v>
      </c>
      <c r="AO183" s="512">
        <f t="shared" ca="1" si="81"/>
        <v>31491</v>
      </c>
      <c r="AP183" s="512">
        <f t="shared" ca="1" si="82"/>
        <v>31491</v>
      </c>
      <c r="AQ183" s="512" t="str">
        <f t="shared" ca="1" si="83"/>
        <v>Contrato</v>
      </c>
      <c r="AR183" s="512"/>
      <c r="AS183" s="512" t="str">
        <f t="shared" ca="1" si="84"/>
        <v>No</v>
      </c>
      <c r="AT183" s="151">
        <f t="shared" ca="1" si="85"/>
        <v>376959</v>
      </c>
      <c r="AU183" s="151">
        <f>IFERROR(VLOOKUP(A183,'[7]TD CuentasBDG'!$N$5:$O$21,2,0),0)</f>
        <v>112822.25558823529</v>
      </c>
      <c r="AV183" t="str">
        <f t="shared" si="86"/>
        <v>Contrato Activo</v>
      </c>
      <c r="AW183" t="s">
        <v>1690</v>
      </c>
      <c r="AX183" t="s">
        <v>1929</v>
      </c>
    </row>
    <row r="184" spans="1:51" ht="45" x14ac:dyDescent="0.25">
      <c r="A184" s="918" t="s">
        <v>1930</v>
      </c>
      <c r="B184" s="508" t="s">
        <v>113</v>
      </c>
      <c r="C184" s="508" t="s">
        <v>100</v>
      </c>
      <c r="D184" s="508" t="s">
        <v>100</v>
      </c>
      <c r="E184" s="508" t="s">
        <v>1931</v>
      </c>
      <c r="F184" s="508" t="s">
        <v>1674</v>
      </c>
      <c r="G184" s="508" t="s">
        <v>1647</v>
      </c>
      <c r="H184" s="508" t="s">
        <v>1932</v>
      </c>
      <c r="I184" s="508" t="s">
        <v>1029</v>
      </c>
      <c r="J184" s="555" t="s">
        <v>1927</v>
      </c>
      <c r="K184" s="555" t="s">
        <v>1651</v>
      </c>
      <c r="L184" s="911">
        <f ca="1">IFERROR(INDEX(Lists!$O$2:$Z$2,MATCH(TRUE,INDEX((AE184:AP184&lt;&gt;0),0),0)),DATE(2018,1,1))</f>
        <v>43102</v>
      </c>
      <c r="M184" s="911">
        <f ca="1">IFERROR(INDEX(Lists!$O$3:$Z$3, VALUE(SUBSTITUTE(TEXT(ADDRESS(SUMPRODUCT(MAX((COLUMN(AE184:AP184)*(AE184:AP184&gt;0)))),1),),"$A$",""))-30),DATE(2018,1,1))</f>
        <v>43465</v>
      </c>
      <c r="N184" s="914" t="s">
        <v>1652</v>
      </c>
      <c r="O184" s="508" t="s">
        <v>1653</v>
      </c>
      <c r="P184" s="508" t="s">
        <v>1071</v>
      </c>
      <c r="Q184" s="508" t="s">
        <v>1071</v>
      </c>
      <c r="R184" s="508" t="str">
        <f t="shared" ca="1" si="58"/>
        <v>rePlan</v>
      </c>
      <c r="S184" s="508" t="str">
        <f t="shared" ca="1" si="59"/>
        <v>Estrategia de Reasentamiento NU.</v>
      </c>
      <c r="T184" s="508" t="str">
        <f t="shared" ca="1" si="60"/>
        <v xml:space="preserve">monthly fee - </v>
      </c>
      <c r="U184" s="508" t="str">
        <f t="shared" ca="1" si="61"/>
        <v>684 / 51-11-3360</v>
      </c>
      <c r="V184" s="508" t="str">
        <f t="shared" ca="1" si="62"/>
        <v>Current Contract/Contrato Activo</v>
      </c>
      <c r="W184" s="508" t="str">
        <f t="shared" ca="1" si="63"/>
        <v>rePlan</v>
      </c>
      <c r="X184" s="508" t="str">
        <f t="shared" ca="1" si="64"/>
        <v>N/A</v>
      </c>
      <c r="Y184" s="508" t="str">
        <f t="shared" ca="1" si="65"/>
        <v>N/A</v>
      </c>
      <c r="Z184" s="508" t="str">
        <f t="shared" ca="1" si="66"/>
        <v>N/A</v>
      </c>
      <c r="AA184" s="508" t="str">
        <f t="shared" ca="1" si="67"/>
        <v>Ene</v>
      </c>
      <c r="AB184" s="508">
        <f t="shared" ca="1" si="68"/>
        <v>12</v>
      </c>
      <c r="AC184" s="508">
        <f t="shared" ca="1" si="69"/>
        <v>0</v>
      </c>
      <c r="AD184" s="912">
        <f t="shared" ca="1" si="70"/>
        <v>182000</v>
      </c>
      <c r="AE184" s="512">
        <f t="shared" ca="1" si="71"/>
        <v>14800</v>
      </c>
      <c r="AF184" s="512">
        <f t="shared" ca="1" si="72"/>
        <v>14800</v>
      </c>
      <c r="AG184" s="512">
        <f t="shared" ca="1" si="73"/>
        <v>17000</v>
      </c>
      <c r="AH184" s="512">
        <f t="shared" ca="1" si="74"/>
        <v>14800</v>
      </c>
      <c r="AI184" s="512">
        <f t="shared" ca="1" si="75"/>
        <v>14800</v>
      </c>
      <c r="AJ184" s="512">
        <f t="shared" ca="1" si="76"/>
        <v>14800</v>
      </c>
      <c r="AK184" s="512">
        <f t="shared" ca="1" si="77"/>
        <v>14800</v>
      </c>
      <c r="AL184" s="512">
        <f t="shared" ca="1" si="78"/>
        <v>14800</v>
      </c>
      <c r="AM184" s="512">
        <f t="shared" ca="1" si="79"/>
        <v>17000</v>
      </c>
      <c r="AN184" s="512">
        <f t="shared" ca="1" si="80"/>
        <v>14800</v>
      </c>
      <c r="AO184" s="512">
        <f t="shared" ca="1" si="81"/>
        <v>14800</v>
      </c>
      <c r="AP184" s="512">
        <f t="shared" ca="1" si="82"/>
        <v>14800</v>
      </c>
      <c r="AQ184" s="512" t="str">
        <f t="shared" ca="1" si="83"/>
        <v>Contrato</v>
      </c>
      <c r="AR184" s="512"/>
      <c r="AS184" s="512" t="str">
        <f t="shared" ca="1" si="84"/>
        <v>Si</v>
      </c>
      <c r="AT184" s="151">
        <f t="shared" ca="1" si="85"/>
        <v>182000</v>
      </c>
      <c r="AU184" s="151">
        <f>IFERROR(VLOOKUP(A184,'[7]TD CuentasBDG'!$N$5:$O$21,2,0),0)</f>
        <v>44100</v>
      </c>
      <c r="AV184" t="str">
        <f t="shared" si="86"/>
        <v>Renovación de Contrato</v>
      </c>
      <c r="AW184" t="s">
        <v>1690</v>
      </c>
      <c r="AX184" t="s">
        <v>1929</v>
      </c>
    </row>
    <row r="185" spans="1:51" ht="45" x14ac:dyDescent="0.25">
      <c r="A185" s="918" t="s">
        <v>1933</v>
      </c>
      <c r="B185" s="508" t="s">
        <v>113</v>
      </c>
      <c r="C185" s="508" t="s">
        <v>100</v>
      </c>
      <c r="D185" s="508" t="s">
        <v>100</v>
      </c>
      <c r="E185" s="508" t="s">
        <v>1931</v>
      </c>
      <c r="F185" s="508" t="s">
        <v>1674</v>
      </c>
      <c r="G185" s="508" t="s">
        <v>1647</v>
      </c>
      <c r="H185" s="508" t="s">
        <v>1934</v>
      </c>
      <c r="I185" s="508" t="s">
        <v>1030</v>
      </c>
      <c r="J185" s="555" t="s">
        <v>1927</v>
      </c>
      <c r="K185" s="555" t="s">
        <v>1651</v>
      </c>
      <c r="L185" s="911">
        <f ca="1">IFERROR(INDEX(Lists!$O$2:$Z$2,MATCH(TRUE,INDEX((AE185:AP185&lt;&gt;0),0),0)),DATE(2018,1,1))</f>
        <v>43102</v>
      </c>
      <c r="M185" s="911">
        <f ca="1">IFERROR(INDEX(Lists!$O$3:$Z$3, VALUE(SUBSTITUTE(TEXT(ADDRESS(SUMPRODUCT(MAX((COLUMN(AE185:AP185)*(AE185:AP185&gt;0)))),1),),"$A$",""))-30),DATE(2018,1,1))</f>
        <v>43465</v>
      </c>
      <c r="N185" s="914" t="s">
        <v>1652</v>
      </c>
      <c r="O185" s="508" t="s">
        <v>1653</v>
      </c>
      <c r="P185" s="508" t="s">
        <v>1071</v>
      </c>
      <c r="Q185" s="508" t="s">
        <v>1676</v>
      </c>
      <c r="R185" s="508" t="str">
        <f t="shared" ca="1" si="58"/>
        <v>rePlan</v>
      </c>
      <c r="S185" s="508" t="str">
        <f t="shared" ca="1" si="59"/>
        <v>Estrategia de Reasentamiento NU.-Reembolsables</v>
      </c>
      <c r="T185" s="508" t="str">
        <f t="shared" ca="1" si="60"/>
        <v>reimbursable expenses</v>
      </c>
      <c r="U185" s="508" t="str">
        <f t="shared" ca="1" si="61"/>
        <v>684 / 51-11-3360</v>
      </c>
      <c r="V185" s="508" t="str">
        <f t="shared" ca="1" si="62"/>
        <v>Current Contract/Contrato Activo</v>
      </c>
      <c r="W185" s="508" t="str">
        <f t="shared" ca="1" si="63"/>
        <v>rePlan</v>
      </c>
      <c r="X185" s="508" t="str">
        <f t="shared" ca="1" si="64"/>
        <v>N/A</v>
      </c>
      <c r="Y185" s="508" t="str">
        <f t="shared" ca="1" si="65"/>
        <v>N/A</v>
      </c>
      <c r="Z185" s="508" t="str">
        <f t="shared" ca="1" si="66"/>
        <v>N/A</v>
      </c>
      <c r="AA185" s="508" t="str">
        <f t="shared" ca="1" si="67"/>
        <v>Ene</v>
      </c>
      <c r="AB185" s="508">
        <f t="shared" ca="1" si="68"/>
        <v>12</v>
      </c>
      <c r="AC185" s="508">
        <f t="shared" ca="1" si="69"/>
        <v>0</v>
      </c>
      <c r="AD185" s="912">
        <f t="shared" ca="1" si="70"/>
        <v>62090</v>
      </c>
      <c r="AE185" s="512">
        <f t="shared" ca="1" si="71"/>
        <v>4640</v>
      </c>
      <c r="AF185" s="512">
        <f t="shared" ca="1" si="72"/>
        <v>4640</v>
      </c>
      <c r="AG185" s="512">
        <f t="shared" ca="1" si="73"/>
        <v>7845</v>
      </c>
      <c r="AH185" s="512">
        <f t="shared" ca="1" si="74"/>
        <v>4640</v>
      </c>
      <c r="AI185" s="512">
        <f t="shared" ca="1" si="75"/>
        <v>4640</v>
      </c>
      <c r="AJ185" s="512">
        <f t="shared" ca="1" si="76"/>
        <v>4640</v>
      </c>
      <c r="AK185" s="512">
        <f t="shared" ca="1" si="77"/>
        <v>4640</v>
      </c>
      <c r="AL185" s="512">
        <f t="shared" ca="1" si="78"/>
        <v>4640</v>
      </c>
      <c r="AM185" s="512">
        <f t="shared" ca="1" si="79"/>
        <v>7845</v>
      </c>
      <c r="AN185" s="512">
        <f t="shared" ca="1" si="80"/>
        <v>4640</v>
      </c>
      <c r="AO185" s="512">
        <f t="shared" ca="1" si="81"/>
        <v>4640</v>
      </c>
      <c r="AP185" s="512">
        <f t="shared" ca="1" si="82"/>
        <v>4640</v>
      </c>
      <c r="AQ185" s="512" t="str">
        <f t="shared" ca="1" si="83"/>
        <v>Contrato</v>
      </c>
      <c r="AR185" s="512"/>
      <c r="AS185" s="512" t="str">
        <f t="shared" ca="1" si="84"/>
        <v>Si</v>
      </c>
      <c r="AT185" s="151">
        <f t="shared" ca="1" si="85"/>
        <v>62090</v>
      </c>
      <c r="AU185" s="151">
        <f>IFERROR(VLOOKUP(A185,'[7]TD CuentasBDG'!$N$5:$O$21,2,0),0)</f>
        <v>0</v>
      </c>
      <c r="AV185" t="str">
        <f t="shared" si="86"/>
        <v>Renovación de Contrato</v>
      </c>
      <c r="AW185" t="s">
        <v>1690</v>
      </c>
      <c r="AX185" t="s">
        <v>1929</v>
      </c>
    </row>
    <row r="186" spans="1:51" ht="45" x14ac:dyDescent="0.25">
      <c r="A186" s="918" t="s">
        <v>1935</v>
      </c>
      <c r="B186" s="508" t="s">
        <v>113</v>
      </c>
      <c r="C186" s="508" t="s">
        <v>100</v>
      </c>
      <c r="D186" s="508" t="s">
        <v>100</v>
      </c>
      <c r="E186" s="508"/>
      <c r="F186" s="508"/>
      <c r="G186" s="508" t="s">
        <v>1665</v>
      </c>
      <c r="H186" s="508"/>
      <c r="I186" s="508"/>
      <c r="J186" s="555"/>
      <c r="K186" s="555"/>
      <c r="L186" s="911">
        <f ca="1">IFERROR(INDEX(Lists!$O$2:$Z$2,MATCH(TRUE,INDEX((AE186:AP186&lt;&gt;0),0),0)),DATE(2018,1,1))</f>
        <v>43102</v>
      </c>
      <c r="M186" s="911">
        <f ca="1">IFERROR(INDEX(Lists!$O$3:$Z$3, VALUE(SUBSTITUTE(TEXT(ADDRESS(SUMPRODUCT(MAX((COLUMN(AE186:AP186)*(AE186:AP186&gt;0)))),1),),"$A$",""))-30),DATE(2018,1,1))</f>
        <v>43465</v>
      </c>
      <c r="N186" s="508"/>
      <c r="O186" s="508"/>
      <c r="P186" s="508"/>
      <c r="Q186" s="508"/>
      <c r="R186" s="508" t="str">
        <f t="shared" ca="1" si="58"/>
        <v>Administrative expenses</v>
      </c>
      <c r="S186" s="508" t="str">
        <f t="shared" ca="1" si="59"/>
        <v xml:space="preserve">expenses NuevaUnión </v>
      </c>
      <c r="T186" s="508" t="str">
        <f t="shared" ca="1" si="60"/>
        <v>truck rental, legal expenses, meeting organization, etc</v>
      </c>
      <c r="U186" s="508" t="str">
        <f t="shared" ca="1" si="61"/>
        <v>684 / 51-11-3360</v>
      </c>
      <c r="V186" s="508" t="str">
        <f t="shared" ca="1" si="62"/>
        <v>Current Contract/Contrato Activo</v>
      </c>
      <c r="W186" s="508">
        <f t="shared" ca="1" si="63"/>
        <v>0</v>
      </c>
      <c r="X186" s="508">
        <f t="shared" ca="1" si="64"/>
        <v>0</v>
      </c>
      <c r="Y186" s="508">
        <f t="shared" ca="1" si="65"/>
        <v>0</v>
      </c>
      <c r="Z186" s="508">
        <f t="shared" ca="1" si="66"/>
        <v>0</v>
      </c>
      <c r="AA186" s="508">
        <f t="shared" ca="1" si="67"/>
        <v>0</v>
      </c>
      <c r="AB186" s="508">
        <f t="shared" ca="1" si="68"/>
        <v>12</v>
      </c>
      <c r="AC186" s="508">
        <f t="shared" ca="1" si="69"/>
        <v>0</v>
      </c>
      <c r="AD186" s="912">
        <f t="shared" ca="1" si="70"/>
        <v>36996</v>
      </c>
      <c r="AE186" s="512">
        <f t="shared" ca="1" si="71"/>
        <v>6833</v>
      </c>
      <c r="AF186" s="512">
        <f t="shared" ca="1" si="72"/>
        <v>6833</v>
      </c>
      <c r="AG186" s="512">
        <f t="shared" ca="1" si="73"/>
        <v>6833</v>
      </c>
      <c r="AH186" s="512">
        <f t="shared" ca="1" si="74"/>
        <v>1833</v>
      </c>
      <c r="AI186" s="512">
        <f t="shared" ca="1" si="75"/>
        <v>1833</v>
      </c>
      <c r="AJ186" s="512">
        <f t="shared" ca="1" si="76"/>
        <v>1833</v>
      </c>
      <c r="AK186" s="512">
        <f t="shared" ca="1" si="77"/>
        <v>1833</v>
      </c>
      <c r="AL186" s="512">
        <f t="shared" ca="1" si="78"/>
        <v>1833</v>
      </c>
      <c r="AM186" s="512">
        <f t="shared" ca="1" si="79"/>
        <v>1833</v>
      </c>
      <c r="AN186" s="512">
        <f t="shared" ca="1" si="80"/>
        <v>1833</v>
      </c>
      <c r="AO186" s="512">
        <f t="shared" ca="1" si="81"/>
        <v>1833</v>
      </c>
      <c r="AP186" s="512">
        <f t="shared" ca="1" si="82"/>
        <v>1833</v>
      </c>
      <c r="AQ186" s="512" t="str">
        <f t="shared" si="83"/>
        <v/>
      </c>
      <c r="AR186" s="512"/>
      <c r="AS186" s="512" t="str">
        <f t="shared" si="84"/>
        <v/>
      </c>
      <c r="AT186" s="151">
        <f t="shared" si="85"/>
        <v>0</v>
      </c>
      <c r="AU186" s="151">
        <f>IFERROR(VLOOKUP(A186,'[7]TD CuentasBDG'!$N$5:$O$21,2,0),0)</f>
        <v>0</v>
      </c>
      <c r="AV186">
        <f t="shared" si="86"/>
        <v>0</v>
      </c>
    </row>
    <row r="187" spans="1:51" ht="30" x14ac:dyDescent="0.25">
      <c r="A187" s="919" t="s">
        <v>1936</v>
      </c>
      <c r="B187" s="508" t="s">
        <v>113</v>
      </c>
      <c r="C187" s="508" t="s">
        <v>100</v>
      </c>
      <c r="D187" s="508" t="s">
        <v>100</v>
      </c>
      <c r="E187" s="508"/>
      <c r="F187" s="508"/>
      <c r="G187" s="508" t="s">
        <v>1665</v>
      </c>
      <c r="H187" s="508"/>
      <c r="I187" s="508"/>
      <c r="J187" s="555"/>
      <c r="K187" s="555"/>
      <c r="L187" s="911">
        <f ca="1">IFERROR(INDEX(Lists!$O$2:$Z$2,MATCH(TRUE,INDEX((AE187:AP187&lt;&gt;0),0),0)),DATE(2018,1,1))</f>
        <v>43102</v>
      </c>
      <c r="M187" s="911">
        <f ca="1">IFERROR(INDEX(Lists!$O$3:$Z$3, VALUE(SUBSTITUTE(TEXT(ADDRESS(SUMPRODUCT(MAX((COLUMN(AE187:AP187)*(AE187:AP187&gt;0)))),1),),"$A$",""))-30),DATE(2018,1,1))</f>
        <v>43465</v>
      </c>
      <c r="N187" s="508"/>
      <c r="O187" s="508"/>
      <c r="P187" s="508"/>
      <c r="Q187" s="508"/>
      <c r="R187" s="508">
        <f t="shared" ca="1" si="58"/>
        <v>0</v>
      </c>
      <c r="S187" s="508" t="str">
        <f t="shared" ca="1" si="59"/>
        <v>Community development program</v>
      </c>
      <c r="T187" s="508">
        <f t="shared" ca="1" si="60"/>
        <v>0</v>
      </c>
      <c r="U187" s="508" t="str">
        <f t="shared" ca="1" si="61"/>
        <v>684 / 51-11-3360</v>
      </c>
      <c r="V187" s="508" t="str">
        <f t="shared" ca="1" si="62"/>
        <v>Bidding/Licitación</v>
      </c>
      <c r="W187" s="508">
        <f t="shared" ca="1" si="63"/>
        <v>0</v>
      </c>
      <c r="X187" s="508" t="str">
        <f t="shared" ca="1" si="64"/>
        <v>N/A</v>
      </c>
      <c r="Y187" s="508" t="str">
        <f t="shared" ca="1" si="65"/>
        <v>N/A</v>
      </c>
      <c r="Z187" s="508" t="str">
        <f t="shared" ca="1" si="66"/>
        <v>N/A</v>
      </c>
      <c r="AA187" s="508">
        <f t="shared" ca="1" si="67"/>
        <v>0</v>
      </c>
      <c r="AB187" s="508">
        <f t="shared" ca="1" si="68"/>
        <v>12</v>
      </c>
      <c r="AC187" s="508">
        <f t="shared" ca="1" si="69"/>
        <v>0</v>
      </c>
      <c r="AD187" s="912">
        <f t="shared" ca="1" si="70"/>
        <v>99999.999999999985</v>
      </c>
      <c r="AE187" s="512">
        <f t="shared" ca="1" si="71"/>
        <v>8333.3333333333339</v>
      </c>
      <c r="AF187" s="512">
        <f t="shared" ca="1" si="72"/>
        <v>8333.3333333333339</v>
      </c>
      <c r="AG187" s="512">
        <f t="shared" ca="1" si="73"/>
        <v>8333.3333333333339</v>
      </c>
      <c r="AH187" s="512">
        <f t="shared" ca="1" si="74"/>
        <v>8333.3333333333339</v>
      </c>
      <c r="AI187" s="512">
        <f t="shared" ca="1" si="75"/>
        <v>8333.3333333333339</v>
      </c>
      <c r="AJ187" s="512">
        <f t="shared" ca="1" si="76"/>
        <v>8333.3333333333339</v>
      </c>
      <c r="AK187" s="512">
        <f t="shared" ca="1" si="77"/>
        <v>8333.3333333333339</v>
      </c>
      <c r="AL187" s="512">
        <f t="shared" ca="1" si="78"/>
        <v>8333.3333333333339</v>
      </c>
      <c r="AM187" s="512">
        <f t="shared" ca="1" si="79"/>
        <v>8333.3333333333339</v>
      </c>
      <c r="AN187" s="512">
        <f t="shared" ca="1" si="80"/>
        <v>8333.3333333333339</v>
      </c>
      <c r="AO187" s="512">
        <f t="shared" ca="1" si="81"/>
        <v>8333.3333333333339</v>
      </c>
      <c r="AP187" s="512">
        <f t="shared" ca="1" si="82"/>
        <v>8333.3333333333339</v>
      </c>
      <c r="AQ187" s="512" t="str">
        <f t="shared" si="83"/>
        <v/>
      </c>
      <c r="AR187" s="512"/>
      <c r="AS187" s="512" t="str">
        <f t="shared" si="84"/>
        <v/>
      </c>
      <c r="AT187" s="151">
        <f t="shared" si="85"/>
        <v>0</v>
      </c>
      <c r="AU187" s="151">
        <f>IFERROR(VLOOKUP(A187,'[7]TD CuentasBDG'!$N$5:$O$21,2,0),0)</f>
        <v>0</v>
      </c>
      <c r="AV187">
        <f t="shared" si="86"/>
        <v>0</v>
      </c>
    </row>
    <row r="188" spans="1:51" ht="45" x14ac:dyDescent="0.25">
      <c r="A188" s="918" t="s">
        <v>1937</v>
      </c>
      <c r="B188" s="508" t="s">
        <v>113</v>
      </c>
      <c r="C188" s="508" t="s">
        <v>103</v>
      </c>
      <c r="D188" s="508" t="s">
        <v>1938</v>
      </c>
      <c r="E188" s="508" t="s">
        <v>1939</v>
      </c>
      <c r="F188" s="508" t="s">
        <v>1698</v>
      </c>
      <c r="G188" s="508" t="s">
        <v>1647</v>
      </c>
      <c r="H188" s="508" t="s">
        <v>1940</v>
      </c>
      <c r="I188" s="508" t="s">
        <v>1051</v>
      </c>
      <c r="J188" s="555" t="s">
        <v>1650</v>
      </c>
      <c r="K188" s="555" t="s">
        <v>1651</v>
      </c>
      <c r="L188" s="911">
        <f ca="1">IFERROR(INDEX(Lists!$O$2:$Z$2,MATCH(TRUE,INDEX((AE188:AP188&lt;&gt;0),0),0)),DATE(2018,1,1))</f>
        <v>43221</v>
      </c>
      <c r="M188" s="911">
        <f ca="1">IFERROR(INDEX(Lists!$O$3:$Z$3, VALUE(SUBSTITUTE(TEXT(ADDRESS(SUMPRODUCT(MAX((COLUMN(AE188:AP188)*(AE188:AP188&gt;0)))),1),),"$A$",""))-30),DATE(2018,1,1))</f>
        <v>43434</v>
      </c>
      <c r="N188" s="508" t="s">
        <v>1652</v>
      </c>
      <c r="O188" s="508" t="s">
        <v>1653</v>
      </c>
      <c r="P188" s="508" t="s">
        <v>1071</v>
      </c>
      <c r="Q188" s="508" t="s">
        <v>1071</v>
      </c>
      <c r="R188" s="508" t="str">
        <f t="shared" ca="1" si="58"/>
        <v>Special Need 1</v>
      </c>
      <c r="S188" s="508" t="str">
        <f t="shared" ca="1" si="59"/>
        <v>Training and Human Capital</v>
      </c>
      <c r="T188" s="508">
        <f t="shared" ca="1" si="60"/>
        <v>0</v>
      </c>
      <c r="U188" s="508" t="str">
        <f t="shared" ca="1" si="61"/>
        <v>684 / 51-11-3342</v>
      </c>
      <c r="V188" s="508" t="str">
        <f t="shared" ca="1" si="62"/>
        <v>Bidding/Licitación</v>
      </c>
      <c r="W188" s="508" t="str">
        <f t="shared" ca="1" si="63"/>
        <v>No</v>
      </c>
      <c r="X188" s="508" t="str">
        <f t="shared" ca="1" si="64"/>
        <v>Feb</v>
      </c>
      <c r="Y188" s="508" t="str">
        <f t="shared" ca="1" si="65"/>
        <v>Mar</v>
      </c>
      <c r="Z188" s="508" t="str">
        <f t="shared" ca="1" si="66"/>
        <v>Abr</v>
      </c>
      <c r="AA188" s="508" t="str">
        <f t="shared" ca="1" si="67"/>
        <v>Abr</v>
      </c>
      <c r="AB188" s="508">
        <f t="shared" ca="1" si="68"/>
        <v>7</v>
      </c>
      <c r="AC188" s="508">
        <f t="shared" ca="1" si="69"/>
        <v>12</v>
      </c>
      <c r="AD188" s="912">
        <f t="shared" ca="1" si="70"/>
        <v>200000</v>
      </c>
      <c r="AE188" s="512">
        <f t="shared" ca="1" si="71"/>
        <v>0</v>
      </c>
      <c r="AF188" s="512">
        <f t="shared" ca="1" si="72"/>
        <v>0</v>
      </c>
      <c r="AG188" s="512">
        <f t="shared" ca="1" si="73"/>
        <v>0</v>
      </c>
      <c r="AH188" s="512">
        <f t="shared" ca="1" si="74"/>
        <v>0</v>
      </c>
      <c r="AI188" s="512">
        <f t="shared" ca="1" si="75"/>
        <v>66666</v>
      </c>
      <c r="AJ188" s="512">
        <f t="shared" ca="1" si="76"/>
        <v>0</v>
      </c>
      <c r="AK188" s="512">
        <f t="shared" ca="1" si="77"/>
        <v>0</v>
      </c>
      <c r="AL188" s="512">
        <f t="shared" ca="1" si="78"/>
        <v>66667</v>
      </c>
      <c r="AM188" s="512">
        <f t="shared" ca="1" si="79"/>
        <v>0</v>
      </c>
      <c r="AN188" s="512">
        <f t="shared" ca="1" si="80"/>
        <v>0</v>
      </c>
      <c r="AO188" s="512">
        <f t="shared" ca="1" si="81"/>
        <v>66667</v>
      </c>
      <c r="AP188" s="512">
        <f t="shared" ca="1" si="82"/>
        <v>0</v>
      </c>
      <c r="AQ188" s="512" t="str">
        <f t="shared" ca="1" si="83"/>
        <v>Contrato</v>
      </c>
      <c r="AR188" s="512"/>
      <c r="AS188" s="512" t="str">
        <f t="shared" ca="1" si="84"/>
        <v>Si</v>
      </c>
      <c r="AT188" s="151">
        <f t="shared" ca="1" si="85"/>
        <v>200000</v>
      </c>
      <c r="AU188" s="151">
        <f>IFERROR(VLOOKUP(A188,'[7]TD CuentasBDG'!$N$5:$O$21,2,0),0)</f>
        <v>27614.147058823532</v>
      </c>
      <c r="AV188" t="str">
        <f t="shared" si="86"/>
        <v>Renovación de Contrato</v>
      </c>
      <c r="AW188" t="s">
        <v>1690</v>
      </c>
      <c r="AX188" t="s">
        <v>1941</v>
      </c>
    </row>
    <row r="189" spans="1:51" ht="45" x14ac:dyDescent="0.25">
      <c r="A189" s="918" t="s">
        <v>1942</v>
      </c>
      <c r="B189" s="508" t="s">
        <v>113</v>
      </c>
      <c r="C189" s="508" t="s">
        <v>103</v>
      </c>
      <c r="D189" s="508" t="s">
        <v>1938</v>
      </c>
      <c r="E189" s="508"/>
      <c r="F189" s="508"/>
      <c r="G189" s="508" t="s">
        <v>1647</v>
      </c>
      <c r="H189" s="508" t="s">
        <v>1943</v>
      </c>
      <c r="I189" s="508" t="s">
        <v>1053</v>
      </c>
      <c r="J189" s="555" t="s">
        <v>1944</v>
      </c>
      <c r="K189" s="555" t="s">
        <v>1651</v>
      </c>
      <c r="L189" s="911">
        <f ca="1">IFERROR(INDEX(Lists!$O$2:$Z$2,MATCH(TRUE,INDEX((AE189:AP189&lt;&gt;0),0),0)),DATE(2018,1,1))</f>
        <v>43191</v>
      </c>
      <c r="M189" s="911">
        <f ca="1">IFERROR(INDEX(Lists!$O$3:$Z$3, VALUE(SUBSTITUTE(TEXT(ADDRESS(SUMPRODUCT(MAX((COLUMN(AE189:AP189)*(AE189:AP189&gt;0)))),1),),"$A$",""))-30),DATE(2018,1,1))</f>
        <v>43434</v>
      </c>
      <c r="N189" s="920" t="s">
        <v>1652</v>
      </c>
      <c r="O189" s="590" t="s">
        <v>1653</v>
      </c>
      <c r="P189" s="508" t="s">
        <v>1071</v>
      </c>
      <c r="Q189" s="508" t="s">
        <v>1071</v>
      </c>
      <c r="R189" s="508" t="str">
        <f t="shared" ca="1" si="58"/>
        <v>Special Need 3</v>
      </c>
      <c r="S189" s="508" t="str">
        <f t="shared" ca="1" si="59"/>
        <v>Professional Development for Teachers</v>
      </c>
      <c r="T189" s="508">
        <f t="shared" ca="1" si="60"/>
        <v>0</v>
      </c>
      <c r="U189" s="508" t="str">
        <f t="shared" ca="1" si="61"/>
        <v>684 / 51-11-3342</v>
      </c>
      <c r="V189" s="508" t="str">
        <f t="shared" ca="1" si="62"/>
        <v>Contract Renewal/Renovación de Contrato</v>
      </c>
      <c r="W189" s="508" t="str">
        <f t="shared" ca="1" si="63"/>
        <v>FCH</v>
      </c>
      <c r="X189" s="508">
        <f t="shared" ca="1" si="64"/>
        <v>0</v>
      </c>
      <c r="Y189" s="508">
        <f t="shared" ca="1" si="65"/>
        <v>0</v>
      </c>
      <c r="Z189" s="508">
        <f t="shared" ca="1" si="66"/>
        <v>0</v>
      </c>
      <c r="AA189" s="508">
        <f t="shared" ca="1" si="67"/>
        <v>0</v>
      </c>
      <c r="AB189" s="508">
        <f t="shared" ca="1" si="68"/>
        <v>8</v>
      </c>
      <c r="AC189" s="508">
        <f t="shared" ca="1" si="69"/>
        <v>0</v>
      </c>
      <c r="AD189" s="912">
        <f t="shared" ca="1" si="70"/>
        <v>100000</v>
      </c>
      <c r="AE189" s="512">
        <f t="shared" ca="1" si="71"/>
        <v>0</v>
      </c>
      <c r="AF189" s="512">
        <f t="shared" ca="1" si="72"/>
        <v>0</v>
      </c>
      <c r="AG189" s="512">
        <f t="shared" ca="1" si="73"/>
        <v>0</v>
      </c>
      <c r="AH189" s="512">
        <f t="shared" ca="1" si="74"/>
        <v>35000</v>
      </c>
      <c r="AI189" s="512">
        <f t="shared" ca="1" si="75"/>
        <v>0</v>
      </c>
      <c r="AJ189" s="512">
        <f t="shared" ca="1" si="76"/>
        <v>0</v>
      </c>
      <c r="AK189" s="512">
        <f t="shared" ca="1" si="77"/>
        <v>35000</v>
      </c>
      <c r="AL189" s="512">
        <f t="shared" ca="1" si="78"/>
        <v>0</v>
      </c>
      <c r="AM189" s="512">
        <f t="shared" ca="1" si="79"/>
        <v>0</v>
      </c>
      <c r="AN189" s="512">
        <f t="shared" ca="1" si="80"/>
        <v>0</v>
      </c>
      <c r="AO189" s="512">
        <f t="shared" ca="1" si="81"/>
        <v>30000</v>
      </c>
      <c r="AP189" s="512">
        <f t="shared" ca="1" si="82"/>
        <v>0</v>
      </c>
      <c r="AQ189" s="512" t="str">
        <f t="shared" ca="1" si="83"/>
        <v>Contrato</v>
      </c>
      <c r="AR189" s="512"/>
      <c r="AS189" s="512" t="str">
        <f t="shared" ca="1" si="84"/>
        <v>Si</v>
      </c>
      <c r="AT189" s="151">
        <f t="shared" ca="1" si="85"/>
        <v>100000</v>
      </c>
      <c r="AU189" s="151">
        <f>IFERROR(VLOOKUP(A189,'[7]TD CuentasBDG'!$N$5:$O$21,2,0),0)</f>
        <v>0</v>
      </c>
      <c r="AV189" t="str">
        <f t="shared" si="86"/>
        <v>Renovación de Contrato</v>
      </c>
      <c r="AW189" t="s">
        <v>1945</v>
      </c>
      <c r="AX189" t="s">
        <v>1941</v>
      </c>
    </row>
    <row r="190" spans="1:51" ht="45" x14ac:dyDescent="0.25">
      <c r="A190" s="918" t="s">
        <v>1946</v>
      </c>
      <c r="B190" s="508" t="s">
        <v>113</v>
      </c>
      <c r="C190" s="508" t="s">
        <v>103</v>
      </c>
      <c r="D190" s="508" t="s">
        <v>1938</v>
      </c>
      <c r="E190" s="508"/>
      <c r="F190" s="508"/>
      <c r="G190" s="508" t="s">
        <v>1647</v>
      </c>
      <c r="H190" s="508" t="s">
        <v>1947</v>
      </c>
      <c r="I190" s="508" t="s">
        <v>1055</v>
      </c>
      <c r="J190" s="555" t="s">
        <v>1650</v>
      </c>
      <c r="K190" s="555" t="s">
        <v>1651</v>
      </c>
      <c r="L190" s="911">
        <f ca="1">IFERROR(INDEX(Lists!$O$2:$Z$2,MATCH(TRUE,INDEX((AE190:AP190&lt;&gt;0),0),0)),DATE(2018,1,1))</f>
        <v>43191</v>
      </c>
      <c r="M190" s="911">
        <f ca="1">IFERROR(INDEX(Lists!$O$3:$Z$3, VALUE(SUBSTITUTE(TEXT(ADDRESS(SUMPRODUCT(MAX((COLUMN(AE190:AP190)*(AE190:AP190&gt;0)))),1),),"$A$",""))-30),DATE(2018,1,1))</f>
        <v>43465</v>
      </c>
      <c r="N190" s="508" t="s">
        <v>1668</v>
      </c>
      <c r="O190" s="590" t="s">
        <v>1786</v>
      </c>
      <c r="P190" s="508" t="s">
        <v>1676</v>
      </c>
      <c r="Q190" s="508" t="s">
        <v>1071</v>
      </c>
      <c r="R190" s="508" t="str">
        <f t="shared" ca="1" si="58"/>
        <v>Special Need 4</v>
      </c>
      <c r="S190" s="508" t="str">
        <f t="shared" ca="1" si="59"/>
        <v>Vocational Educations (new career)</v>
      </c>
      <c r="T190" s="508">
        <f t="shared" ca="1" si="60"/>
        <v>0</v>
      </c>
      <c r="U190" s="508" t="str">
        <f t="shared" ca="1" si="61"/>
        <v>684 / 51-11-3342</v>
      </c>
      <c r="V190" s="508" t="str">
        <f t="shared" ca="1" si="62"/>
        <v>Sole Source/Adjudicación Directa</v>
      </c>
      <c r="W190" s="508" t="str">
        <f t="shared" ca="1" si="63"/>
        <v>No</v>
      </c>
      <c r="X190" s="508" t="str">
        <f t="shared" ca="1" si="64"/>
        <v>Mar</v>
      </c>
      <c r="Y190" s="508" t="str">
        <f t="shared" ca="1" si="65"/>
        <v>N/A</v>
      </c>
      <c r="Z190" s="508">
        <f t="shared" ca="1" si="66"/>
        <v>0</v>
      </c>
      <c r="AA190" s="508">
        <f t="shared" ca="1" si="67"/>
        <v>0</v>
      </c>
      <c r="AB190" s="508">
        <f t="shared" ca="1" si="68"/>
        <v>9</v>
      </c>
      <c r="AC190" s="508">
        <f t="shared" ca="1" si="69"/>
        <v>0</v>
      </c>
      <c r="AD190" s="912">
        <f t="shared" ca="1" si="70"/>
        <v>250000</v>
      </c>
      <c r="AE190" s="512">
        <f t="shared" ca="1" si="71"/>
        <v>0</v>
      </c>
      <c r="AF190" s="512">
        <f t="shared" ca="1" si="72"/>
        <v>0</v>
      </c>
      <c r="AG190" s="512">
        <f t="shared" ca="1" si="73"/>
        <v>0</v>
      </c>
      <c r="AH190" s="512">
        <f t="shared" ca="1" si="74"/>
        <v>50000</v>
      </c>
      <c r="AI190" s="512">
        <f t="shared" ca="1" si="75"/>
        <v>0</v>
      </c>
      <c r="AJ190" s="512">
        <f t="shared" ca="1" si="76"/>
        <v>0</v>
      </c>
      <c r="AK190" s="512">
        <f t="shared" ca="1" si="77"/>
        <v>70000</v>
      </c>
      <c r="AL190" s="512">
        <f t="shared" ca="1" si="78"/>
        <v>0</v>
      </c>
      <c r="AM190" s="512">
        <f t="shared" ca="1" si="79"/>
        <v>0</v>
      </c>
      <c r="AN190" s="512">
        <f t="shared" ca="1" si="80"/>
        <v>70000</v>
      </c>
      <c r="AO190" s="512">
        <f t="shared" ca="1" si="81"/>
        <v>0</v>
      </c>
      <c r="AP190" s="512">
        <f t="shared" ca="1" si="82"/>
        <v>60000</v>
      </c>
      <c r="AQ190" s="512" t="str">
        <f t="shared" ca="1" si="83"/>
        <v>Contrato</v>
      </c>
      <c r="AR190" s="512"/>
      <c r="AS190" s="512" t="str">
        <f t="shared" ca="1" si="84"/>
        <v>No</v>
      </c>
      <c r="AT190" s="151">
        <f t="shared" ca="1" si="85"/>
        <v>250000</v>
      </c>
      <c r="AU190" s="151">
        <f>IFERROR(VLOOKUP(A190,'[7]TD CuentasBDG'!$N$5:$O$21,2,0),0)</f>
        <v>0</v>
      </c>
      <c r="AV190" t="str">
        <f t="shared" ca="1" si="86"/>
        <v>Licitación</v>
      </c>
      <c r="AW190" t="s">
        <v>1690</v>
      </c>
      <c r="AX190" t="s">
        <v>1941</v>
      </c>
    </row>
    <row r="191" spans="1:51" ht="45" x14ac:dyDescent="0.25">
      <c r="A191" s="918" t="s">
        <v>1948</v>
      </c>
      <c r="B191" s="508" t="s">
        <v>113</v>
      </c>
      <c r="C191" s="508" t="s">
        <v>103</v>
      </c>
      <c r="D191" s="508" t="s">
        <v>1938</v>
      </c>
      <c r="E191" s="508"/>
      <c r="F191" s="508"/>
      <c r="G191" s="508" t="s">
        <v>1647</v>
      </c>
      <c r="H191" s="508" t="s">
        <v>1949</v>
      </c>
      <c r="I191" s="508" t="s">
        <v>1057</v>
      </c>
      <c r="J191" s="555" t="s">
        <v>1650</v>
      </c>
      <c r="K191" s="555" t="s">
        <v>1651</v>
      </c>
      <c r="L191" s="911">
        <f ca="1">IFERROR(INDEX(Lists!$O$2:$Z$2,MATCH(TRUE,INDEX((AE191:AP191&lt;&gt;0),0),0)),DATE(2018,1,1))</f>
        <v>43191</v>
      </c>
      <c r="M191" s="911">
        <f ca="1">IFERROR(INDEX(Lists!$O$3:$Z$3, VALUE(SUBSTITUTE(TEXT(ADDRESS(SUMPRODUCT(MAX((COLUMN(AE191:AP191)*(AE191:AP191&gt;0)))),1),),"$A$",""))-30),DATE(2018,1,1))</f>
        <v>43434</v>
      </c>
      <c r="N191" s="508" t="s">
        <v>1683</v>
      </c>
      <c r="O191" s="590" t="s">
        <v>1786</v>
      </c>
      <c r="P191" s="508" t="s">
        <v>1676</v>
      </c>
      <c r="Q191" s="508" t="s">
        <v>1676</v>
      </c>
      <c r="R191" s="508" t="str">
        <f t="shared" ca="1" si="58"/>
        <v>Special Need 3</v>
      </c>
      <c r="S191" s="508" t="str">
        <f t="shared" ca="1" si="59"/>
        <v>Adult Education in Alto del Carmen</v>
      </c>
      <c r="T191" s="508">
        <f t="shared" ca="1" si="60"/>
        <v>0</v>
      </c>
      <c r="U191" s="508" t="str">
        <f t="shared" ca="1" si="61"/>
        <v>684 / 51-11-3342</v>
      </c>
      <c r="V191" s="508" t="str">
        <f t="shared" ca="1" si="62"/>
        <v>Sole Source/Adjudicación Directa</v>
      </c>
      <c r="W191" s="508" t="str">
        <f t="shared" ca="1" si="63"/>
        <v>OTEC Alto del Carmen / Instituto Portales</v>
      </c>
      <c r="X191" s="508" t="str">
        <f t="shared" ca="1" si="64"/>
        <v>N/A</v>
      </c>
      <c r="Y191" s="508" t="str">
        <f t="shared" ca="1" si="65"/>
        <v>N/A</v>
      </c>
      <c r="Z191" s="508">
        <f t="shared" ca="1" si="66"/>
        <v>0</v>
      </c>
      <c r="AA191" s="508">
        <f t="shared" ca="1" si="67"/>
        <v>0</v>
      </c>
      <c r="AB191" s="508">
        <f t="shared" ca="1" si="68"/>
        <v>8</v>
      </c>
      <c r="AC191" s="508">
        <f t="shared" ca="1" si="69"/>
        <v>0</v>
      </c>
      <c r="AD191" s="912">
        <f t="shared" ca="1" si="70"/>
        <v>25000</v>
      </c>
      <c r="AE191" s="512">
        <f t="shared" ca="1" si="71"/>
        <v>0</v>
      </c>
      <c r="AF191" s="512">
        <f t="shared" ca="1" si="72"/>
        <v>0</v>
      </c>
      <c r="AG191" s="512">
        <f t="shared" ca="1" si="73"/>
        <v>0</v>
      </c>
      <c r="AH191" s="512">
        <f t="shared" ca="1" si="74"/>
        <v>10000</v>
      </c>
      <c r="AI191" s="512">
        <f t="shared" ca="1" si="75"/>
        <v>0</v>
      </c>
      <c r="AJ191" s="512">
        <f t="shared" ca="1" si="76"/>
        <v>0</v>
      </c>
      <c r="AK191" s="512">
        <f t="shared" ca="1" si="77"/>
        <v>0</v>
      </c>
      <c r="AL191" s="512">
        <f t="shared" ca="1" si="78"/>
        <v>0</v>
      </c>
      <c r="AM191" s="512">
        <f t="shared" ca="1" si="79"/>
        <v>10000</v>
      </c>
      <c r="AN191" s="512">
        <f t="shared" ca="1" si="80"/>
        <v>0</v>
      </c>
      <c r="AO191" s="512">
        <f t="shared" ca="1" si="81"/>
        <v>5000</v>
      </c>
      <c r="AP191" s="512">
        <f t="shared" ca="1" si="82"/>
        <v>0</v>
      </c>
      <c r="AQ191" s="512" t="str">
        <f t="shared" ca="1" si="83"/>
        <v>Contrato</v>
      </c>
      <c r="AR191" s="512"/>
      <c r="AS191" s="512" t="str">
        <f t="shared" ca="1" si="84"/>
        <v>No</v>
      </c>
      <c r="AT191" s="151">
        <f t="shared" ca="1" si="85"/>
        <v>25000</v>
      </c>
      <c r="AU191" s="151">
        <f>IFERROR(VLOOKUP(A191,'[7]TD CuentasBDG'!$N$5:$O$21,2,0),0)</f>
        <v>0</v>
      </c>
      <c r="AV191" t="str">
        <f t="shared" si="86"/>
        <v>Adjudicación Directa</v>
      </c>
      <c r="AW191" t="s">
        <v>1690</v>
      </c>
      <c r="AX191" t="s">
        <v>1941</v>
      </c>
    </row>
    <row r="192" spans="1:51" ht="45" x14ac:dyDescent="0.25">
      <c r="A192" s="918" t="s">
        <v>1950</v>
      </c>
      <c r="B192" s="508" t="s">
        <v>113</v>
      </c>
      <c r="C192" s="508" t="s">
        <v>103</v>
      </c>
      <c r="D192" s="508" t="s">
        <v>1938</v>
      </c>
      <c r="E192" s="508"/>
      <c r="F192" s="508"/>
      <c r="G192" s="508" t="s">
        <v>1647</v>
      </c>
      <c r="H192" s="508" t="s">
        <v>1951</v>
      </c>
      <c r="I192" s="508" t="s">
        <v>1058</v>
      </c>
      <c r="J192" s="555" t="s">
        <v>1650</v>
      </c>
      <c r="K192" s="555" t="s">
        <v>1651</v>
      </c>
      <c r="L192" s="911">
        <f ca="1">IFERROR(INDEX(Lists!$O$2:$Z$2,MATCH(TRUE,INDEX((AE192:AP192&lt;&gt;0),0),0)),DATE(2018,1,1))</f>
        <v>43221</v>
      </c>
      <c r="M192" s="911">
        <f ca="1">IFERROR(INDEX(Lists!$O$3:$Z$3, VALUE(SUBSTITUTE(TEXT(ADDRESS(SUMPRODUCT(MAX((COLUMN(AE192:AP192)*(AE192:AP192&gt;0)))),1),),"$A$",""))-30),DATE(2018,1,1))</f>
        <v>43434</v>
      </c>
      <c r="N192" s="508" t="s">
        <v>1668</v>
      </c>
      <c r="O192" s="590" t="s">
        <v>1786</v>
      </c>
      <c r="P192" s="508" t="s">
        <v>1071</v>
      </c>
      <c r="Q192" s="508" t="s">
        <v>1071</v>
      </c>
      <c r="R192" s="508" t="str">
        <f t="shared" ca="1" si="58"/>
        <v>Special Need 4</v>
      </c>
      <c r="S192" s="508" t="str">
        <f t="shared" ca="1" si="59"/>
        <v>Soft skills for mining.</v>
      </c>
      <c r="T192" s="508">
        <f t="shared" ca="1" si="60"/>
        <v>0</v>
      </c>
      <c r="U192" s="508" t="str">
        <f t="shared" ca="1" si="61"/>
        <v>684 / 51-11-3342</v>
      </c>
      <c r="V192" s="508" t="str">
        <f t="shared" ca="1" si="62"/>
        <v>Bidding/Licitación</v>
      </c>
      <c r="W192" s="508" t="str">
        <f t="shared" ca="1" si="63"/>
        <v>No</v>
      </c>
      <c r="X192" s="508" t="str">
        <f t="shared" ca="1" si="64"/>
        <v>N/A</v>
      </c>
      <c r="Y192" s="508" t="str">
        <f t="shared" ca="1" si="65"/>
        <v>N/A</v>
      </c>
      <c r="Z192" s="508">
        <f t="shared" ca="1" si="66"/>
        <v>0</v>
      </c>
      <c r="AA192" s="508">
        <f t="shared" ca="1" si="67"/>
        <v>0</v>
      </c>
      <c r="AB192" s="508">
        <f t="shared" ca="1" si="68"/>
        <v>7</v>
      </c>
      <c r="AC192" s="508">
        <f t="shared" ca="1" si="69"/>
        <v>0</v>
      </c>
      <c r="AD192" s="912">
        <f t="shared" ca="1" si="70"/>
        <v>25000</v>
      </c>
      <c r="AE192" s="512">
        <f t="shared" ca="1" si="71"/>
        <v>0</v>
      </c>
      <c r="AF192" s="512">
        <f t="shared" ca="1" si="72"/>
        <v>0</v>
      </c>
      <c r="AG192" s="512">
        <f t="shared" ca="1" si="73"/>
        <v>0</v>
      </c>
      <c r="AH192" s="512">
        <f t="shared" ca="1" si="74"/>
        <v>0</v>
      </c>
      <c r="AI192" s="512">
        <f t="shared" ca="1" si="75"/>
        <v>10000</v>
      </c>
      <c r="AJ192" s="512">
        <f t="shared" ca="1" si="76"/>
        <v>0</v>
      </c>
      <c r="AK192" s="512">
        <f t="shared" ca="1" si="77"/>
        <v>0</v>
      </c>
      <c r="AL192" s="512">
        <f t="shared" ca="1" si="78"/>
        <v>0</v>
      </c>
      <c r="AM192" s="512">
        <f t="shared" ca="1" si="79"/>
        <v>10000</v>
      </c>
      <c r="AN192" s="512">
        <f t="shared" ca="1" si="80"/>
        <v>0</v>
      </c>
      <c r="AO192" s="512">
        <f t="shared" ca="1" si="81"/>
        <v>5000</v>
      </c>
      <c r="AP192" s="512">
        <f t="shared" ca="1" si="82"/>
        <v>0</v>
      </c>
      <c r="AQ192" s="512" t="str">
        <f t="shared" ca="1" si="83"/>
        <v>Orden de Servicio Sin Terreno</v>
      </c>
      <c r="AR192" s="512"/>
      <c r="AS192" s="512" t="str">
        <f t="shared" ca="1" si="84"/>
        <v>No</v>
      </c>
      <c r="AT192" s="151">
        <f t="shared" ca="1" si="85"/>
        <v>25000</v>
      </c>
      <c r="AU192" s="151">
        <f>IFERROR(VLOOKUP(A192,'[7]TD CuentasBDG'!$N$5:$O$21,2,0),0)</f>
        <v>0</v>
      </c>
      <c r="AV192" t="str">
        <f t="shared" ca="1" si="86"/>
        <v>Licitación Corta</v>
      </c>
      <c r="AW192" t="s">
        <v>1690</v>
      </c>
      <c r="AX192" t="s">
        <v>1941</v>
      </c>
    </row>
    <row r="193" spans="1:50" ht="30" x14ac:dyDescent="0.25">
      <c r="A193" s="918" t="s">
        <v>1952</v>
      </c>
      <c r="B193" s="508" t="s">
        <v>113</v>
      </c>
      <c r="C193" s="508" t="s">
        <v>103</v>
      </c>
      <c r="D193" s="508" t="s">
        <v>1938</v>
      </c>
      <c r="E193" s="508"/>
      <c r="F193" s="508"/>
      <c r="G193" s="508" t="s">
        <v>1647</v>
      </c>
      <c r="H193" s="508" t="s">
        <v>1953</v>
      </c>
      <c r="I193" s="508" t="s">
        <v>1074</v>
      </c>
      <c r="J193" s="555" t="s">
        <v>1650</v>
      </c>
      <c r="K193" s="555" t="s">
        <v>1651</v>
      </c>
      <c r="L193" s="911">
        <f ca="1">IFERROR(INDEX(Lists!$O$2:$Z$2,MATCH(TRUE,INDEX((AE193:AP193&lt;&gt;0),0),0)),DATE(2018,1,1))</f>
        <v>43102</v>
      </c>
      <c r="M193" s="911">
        <f ca="1">IFERROR(INDEX(Lists!$O$3:$Z$3, VALUE(SUBSTITUTE(TEXT(ADDRESS(SUMPRODUCT(MAX((COLUMN(AE193:AP193)*(AE193:AP193&gt;0)))),1),),"$A$",""))-30),DATE(2018,1,1))</f>
        <v>43159</v>
      </c>
      <c r="N193" s="508" t="s">
        <v>1668</v>
      </c>
      <c r="O193" s="590" t="s">
        <v>1653</v>
      </c>
      <c r="P193" s="508" t="s">
        <v>1676</v>
      </c>
      <c r="Q193" s="508" t="s">
        <v>1676</v>
      </c>
      <c r="R193" s="508" t="str">
        <f t="shared" ca="1" si="58"/>
        <v>Special Need 5</v>
      </c>
      <c r="S193" s="508" t="str">
        <f t="shared" ca="1" si="59"/>
        <v>Culture and local identity</v>
      </c>
      <c r="T193" s="508">
        <f t="shared" ca="1" si="60"/>
        <v>0</v>
      </c>
      <c r="U193" s="508" t="str">
        <f t="shared" ca="1" si="61"/>
        <v>684 / 51-11-3342</v>
      </c>
      <c r="V193" s="508" t="str">
        <f t="shared" ca="1" si="62"/>
        <v>Bidding/Licitación</v>
      </c>
      <c r="W193" s="508" t="str">
        <f t="shared" ca="1" si="63"/>
        <v>No</v>
      </c>
      <c r="X193" s="508" t="str">
        <f t="shared" ca="1" si="64"/>
        <v>N/A</v>
      </c>
      <c r="Y193" s="508" t="str">
        <f t="shared" ca="1" si="65"/>
        <v>N/A</v>
      </c>
      <c r="Z193" s="508">
        <f t="shared" ca="1" si="66"/>
        <v>0</v>
      </c>
      <c r="AA193" s="508">
        <f t="shared" ca="1" si="67"/>
        <v>0</v>
      </c>
      <c r="AB193" s="508">
        <f t="shared" ca="1" si="68"/>
        <v>2</v>
      </c>
      <c r="AC193" s="508">
        <f t="shared" ca="1" si="69"/>
        <v>0</v>
      </c>
      <c r="AD193" s="912">
        <f t="shared" ca="1" si="70"/>
        <v>50000</v>
      </c>
      <c r="AE193" s="512">
        <f t="shared" ca="1" si="71"/>
        <v>30000</v>
      </c>
      <c r="AF193" s="512">
        <f t="shared" ca="1" si="72"/>
        <v>20000</v>
      </c>
      <c r="AG193" s="512">
        <f t="shared" ca="1" si="73"/>
        <v>0</v>
      </c>
      <c r="AH193" s="512">
        <f t="shared" ca="1" si="74"/>
        <v>0</v>
      </c>
      <c r="AI193" s="512">
        <f t="shared" ca="1" si="75"/>
        <v>0</v>
      </c>
      <c r="AJ193" s="512">
        <f t="shared" ca="1" si="76"/>
        <v>0</v>
      </c>
      <c r="AK193" s="512">
        <f t="shared" ca="1" si="77"/>
        <v>0</v>
      </c>
      <c r="AL193" s="512">
        <f t="shared" ca="1" si="78"/>
        <v>0</v>
      </c>
      <c r="AM193" s="512">
        <f t="shared" ca="1" si="79"/>
        <v>0</v>
      </c>
      <c r="AN193" s="512">
        <f t="shared" ca="1" si="80"/>
        <v>0</v>
      </c>
      <c r="AO193" s="512">
        <f t="shared" ca="1" si="81"/>
        <v>0</v>
      </c>
      <c r="AP193" s="512">
        <f t="shared" ca="1" si="82"/>
        <v>0</v>
      </c>
      <c r="AQ193" s="512" t="str">
        <f t="shared" ca="1" si="83"/>
        <v>Contrato</v>
      </c>
      <c r="AR193" s="512"/>
      <c r="AS193" s="512" t="str">
        <f t="shared" ca="1" si="84"/>
        <v>No</v>
      </c>
      <c r="AT193" s="151">
        <f t="shared" ca="1" si="85"/>
        <v>50000</v>
      </c>
      <c r="AU193" s="151">
        <f>IFERROR(VLOOKUP(A193,'[7]TD CuentasBDG'!$N$5:$O$21,2,0),0)</f>
        <v>0</v>
      </c>
      <c r="AV193" t="str">
        <f t="shared" ca="1" si="86"/>
        <v>Licitación</v>
      </c>
      <c r="AW193" t="s">
        <v>1690</v>
      </c>
      <c r="AX193" t="s">
        <v>1941</v>
      </c>
    </row>
    <row r="194" spans="1:50" ht="30" x14ac:dyDescent="0.25">
      <c r="A194" s="918" t="s">
        <v>1954</v>
      </c>
      <c r="B194" s="508" t="s">
        <v>113</v>
      </c>
      <c r="C194" s="508" t="s">
        <v>103</v>
      </c>
      <c r="D194" s="508" t="s">
        <v>1938</v>
      </c>
      <c r="E194" s="508"/>
      <c r="F194" s="508"/>
      <c r="G194" s="508" t="s">
        <v>1647</v>
      </c>
      <c r="H194" s="508" t="s">
        <v>1955</v>
      </c>
      <c r="I194" s="508" t="s">
        <v>1061</v>
      </c>
      <c r="J194" s="555" t="s">
        <v>1944</v>
      </c>
      <c r="K194" s="555" t="s">
        <v>1651</v>
      </c>
      <c r="L194" s="911">
        <f ca="1">IFERROR(INDEX(Lists!$O$2:$Z$2,MATCH(TRUE,INDEX((AE194:AP194&lt;&gt;0),0),0)),DATE(2018,1,1))</f>
        <v>43221</v>
      </c>
      <c r="M194" s="911">
        <f ca="1">IFERROR(INDEX(Lists!$O$3:$Z$3, VALUE(SUBSTITUTE(TEXT(ADDRESS(SUMPRODUCT(MAX((COLUMN(AE194:AP194)*(AE194:AP194&gt;0)))),1),),"$A$",""))-30),DATE(2018,1,1))</f>
        <v>43434</v>
      </c>
      <c r="N194" s="508" t="s">
        <v>1945</v>
      </c>
      <c r="O194" s="590" t="s">
        <v>1786</v>
      </c>
      <c r="P194" s="508" t="s">
        <v>1676</v>
      </c>
      <c r="Q194" s="508" t="s">
        <v>1676</v>
      </c>
      <c r="R194" s="508" t="str">
        <f t="shared" ca="1" si="58"/>
        <v>Special Need 1</v>
      </c>
      <c r="S194" s="508" t="str">
        <f t="shared" ca="1" si="59"/>
        <v>Local suppliers development</v>
      </c>
      <c r="T194" s="508">
        <f t="shared" ca="1" si="60"/>
        <v>0</v>
      </c>
      <c r="U194" s="508" t="str">
        <f t="shared" ca="1" si="61"/>
        <v>684 / 51-11-3342</v>
      </c>
      <c r="V194" s="508" t="str">
        <f t="shared" ca="1" si="62"/>
        <v>Agreement/Convenio</v>
      </c>
      <c r="W194" s="508" t="str">
        <f t="shared" ca="1" si="63"/>
        <v>No</v>
      </c>
      <c r="X194" s="508" t="str">
        <f t="shared" ca="1" si="64"/>
        <v>Mar</v>
      </c>
      <c r="Y194" s="508" t="str">
        <f t="shared" ca="1" si="65"/>
        <v>Abr</v>
      </c>
      <c r="Z194" s="508" t="str">
        <f t="shared" ca="1" si="66"/>
        <v>May</v>
      </c>
      <c r="AA194" s="508" t="str">
        <f t="shared" ca="1" si="67"/>
        <v>May</v>
      </c>
      <c r="AB194" s="508">
        <f t="shared" ca="1" si="68"/>
        <v>7</v>
      </c>
      <c r="AC194" s="508">
        <f t="shared" ca="1" si="69"/>
        <v>0</v>
      </c>
      <c r="AD194" s="912">
        <f t="shared" ca="1" si="70"/>
        <v>200000</v>
      </c>
      <c r="AE194" s="512">
        <f t="shared" ca="1" si="71"/>
        <v>0</v>
      </c>
      <c r="AF194" s="512">
        <f t="shared" ca="1" si="72"/>
        <v>0</v>
      </c>
      <c r="AG194" s="512">
        <f t="shared" ca="1" si="73"/>
        <v>0</v>
      </c>
      <c r="AH194" s="512">
        <f t="shared" ca="1" si="74"/>
        <v>0</v>
      </c>
      <c r="AI194" s="512">
        <f t="shared" ca="1" si="75"/>
        <v>50000</v>
      </c>
      <c r="AJ194" s="512">
        <f t="shared" ca="1" si="76"/>
        <v>0</v>
      </c>
      <c r="AK194" s="512">
        <f t="shared" ca="1" si="77"/>
        <v>50000</v>
      </c>
      <c r="AL194" s="512">
        <f t="shared" ca="1" si="78"/>
        <v>0</v>
      </c>
      <c r="AM194" s="512">
        <f t="shared" ca="1" si="79"/>
        <v>50000</v>
      </c>
      <c r="AN194" s="512">
        <f t="shared" ca="1" si="80"/>
        <v>0</v>
      </c>
      <c r="AO194" s="512">
        <f t="shared" ca="1" si="81"/>
        <v>50000</v>
      </c>
      <c r="AP194" s="512">
        <f t="shared" ca="1" si="82"/>
        <v>0</v>
      </c>
      <c r="AQ194" s="512" t="str">
        <f t="shared" ca="1" si="83"/>
        <v>Contrato</v>
      </c>
      <c r="AR194" s="512"/>
      <c r="AS194" s="512" t="str">
        <f t="shared" ca="1" si="84"/>
        <v>No</v>
      </c>
      <c r="AT194" s="151">
        <f t="shared" ca="1" si="85"/>
        <v>200000</v>
      </c>
      <c r="AU194" s="151">
        <f>IFERROR(VLOOKUP(A194,'[7]TD CuentasBDG'!$N$5:$O$21,2,0),0)</f>
        <v>0</v>
      </c>
      <c r="AV194" t="str">
        <f t="shared" si="86"/>
        <v>Convenio</v>
      </c>
      <c r="AW194" t="s">
        <v>1945</v>
      </c>
      <c r="AX194" t="s">
        <v>1941</v>
      </c>
    </row>
    <row r="195" spans="1:50" ht="30" x14ac:dyDescent="0.25">
      <c r="A195" s="918" t="s">
        <v>1956</v>
      </c>
      <c r="B195" s="508" t="s">
        <v>113</v>
      </c>
      <c r="C195" s="508" t="s">
        <v>103</v>
      </c>
      <c r="D195" s="508" t="s">
        <v>1938</v>
      </c>
      <c r="E195" s="508"/>
      <c r="F195" s="508"/>
      <c r="G195" s="508" t="s">
        <v>1647</v>
      </c>
      <c r="H195" s="508" t="s">
        <v>1957</v>
      </c>
      <c r="I195" s="508" t="s">
        <v>1062</v>
      </c>
      <c r="J195" s="555" t="s">
        <v>1650</v>
      </c>
      <c r="K195" s="555" t="s">
        <v>1651</v>
      </c>
      <c r="L195" s="911">
        <f ca="1">IFERROR(INDEX(Lists!$O$2:$Z$2,MATCH(TRUE,INDEX((AE195:AP195&lt;&gt;0),0),0)),DATE(2018,1,1))</f>
        <v>43252</v>
      </c>
      <c r="M195" s="911">
        <f ca="1">IFERROR(INDEX(Lists!$O$3:$Z$3, VALUE(SUBSTITUTE(TEXT(ADDRESS(SUMPRODUCT(MAX((COLUMN(AE195:AP195)*(AE195:AP195&gt;0)))),1),),"$A$",""))-30),DATE(2018,1,1))</f>
        <v>43434</v>
      </c>
      <c r="N195" s="508" t="s">
        <v>1668</v>
      </c>
      <c r="O195" s="590" t="s">
        <v>1653</v>
      </c>
      <c r="P195" s="508" t="s">
        <v>1071</v>
      </c>
      <c r="Q195" s="508" t="s">
        <v>1071</v>
      </c>
      <c r="R195" s="508" t="str">
        <f t="shared" ca="1" si="58"/>
        <v>Special Need 2</v>
      </c>
      <c r="S195" s="508" t="str">
        <f t="shared" ca="1" si="59"/>
        <v>Entrepreneurship</v>
      </c>
      <c r="T195" s="508">
        <f t="shared" ca="1" si="60"/>
        <v>0</v>
      </c>
      <c r="U195" s="508" t="str">
        <f t="shared" ca="1" si="61"/>
        <v>684 / 51-11-3342</v>
      </c>
      <c r="V195" s="508" t="str">
        <f t="shared" ca="1" si="62"/>
        <v>Bidding/Licitación</v>
      </c>
      <c r="W195" s="508" t="str">
        <f t="shared" ca="1" si="63"/>
        <v>No</v>
      </c>
      <c r="X195" s="508" t="str">
        <f t="shared" ca="1" si="64"/>
        <v>Mar</v>
      </c>
      <c r="Y195" s="508" t="str">
        <f t="shared" ca="1" si="65"/>
        <v>Abr</v>
      </c>
      <c r="Z195" s="508" t="str">
        <f t="shared" ca="1" si="66"/>
        <v>May</v>
      </c>
      <c r="AA195" s="508" t="str">
        <f t="shared" ca="1" si="67"/>
        <v>May</v>
      </c>
      <c r="AB195" s="508">
        <f t="shared" ref="AB195:AB258" ca="1" si="89">MONTH(M195)-MONTH(L195)+1</f>
        <v>6</v>
      </c>
      <c r="AC195" s="508">
        <f t="shared" ca="1" si="69"/>
        <v>0</v>
      </c>
      <c r="AD195" s="912">
        <f t="shared" ca="1" si="70"/>
        <v>100000</v>
      </c>
      <c r="AE195" s="512">
        <f t="shared" ca="1" si="71"/>
        <v>0</v>
      </c>
      <c r="AF195" s="512">
        <f t="shared" ca="1" si="72"/>
        <v>0</v>
      </c>
      <c r="AG195" s="512">
        <f t="shared" ca="1" si="73"/>
        <v>0</v>
      </c>
      <c r="AH195" s="512">
        <f t="shared" ca="1" si="74"/>
        <v>0</v>
      </c>
      <c r="AI195" s="512">
        <f t="shared" ca="1" si="75"/>
        <v>0</v>
      </c>
      <c r="AJ195" s="512">
        <f t="shared" ca="1" si="76"/>
        <v>35000</v>
      </c>
      <c r="AK195" s="512">
        <f t="shared" ca="1" si="77"/>
        <v>0</v>
      </c>
      <c r="AL195" s="512">
        <f t="shared" ca="1" si="78"/>
        <v>0</v>
      </c>
      <c r="AM195" s="512">
        <f t="shared" ca="1" si="79"/>
        <v>35000</v>
      </c>
      <c r="AN195" s="512">
        <f t="shared" ca="1" si="80"/>
        <v>0</v>
      </c>
      <c r="AO195" s="512">
        <f t="shared" ca="1" si="81"/>
        <v>30000</v>
      </c>
      <c r="AP195" s="512">
        <f t="shared" ca="1" si="82"/>
        <v>0</v>
      </c>
      <c r="AQ195" s="512" t="str">
        <f t="shared" ca="1" si="83"/>
        <v>Contrato</v>
      </c>
      <c r="AR195" s="512"/>
      <c r="AS195" s="512" t="str">
        <f t="shared" ca="1" si="84"/>
        <v>No</v>
      </c>
      <c r="AT195" s="151">
        <f t="shared" ca="1" si="85"/>
        <v>100000</v>
      </c>
      <c r="AU195" s="151">
        <f>IFERROR(VLOOKUP(A195,'[7]TD CuentasBDG'!$N$5:$O$21,2,0),0)</f>
        <v>0</v>
      </c>
      <c r="AV195" t="str">
        <f t="shared" ca="1" si="86"/>
        <v>Licitación</v>
      </c>
      <c r="AW195" t="s">
        <v>1690</v>
      </c>
      <c r="AX195" t="s">
        <v>1941</v>
      </c>
    </row>
    <row r="196" spans="1:50" ht="30" x14ac:dyDescent="0.25">
      <c r="A196" s="918" t="s">
        <v>1958</v>
      </c>
      <c r="B196" s="508" t="s">
        <v>113</v>
      </c>
      <c r="C196" s="508" t="s">
        <v>103</v>
      </c>
      <c r="D196" s="508" t="s">
        <v>1938</v>
      </c>
      <c r="E196" s="508"/>
      <c r="F196" s="508"/>
      <c r="G196" s="508" t="s">
        <v>1647</v>
      </c>
      <c r="H196" s="508" t="s">
        <v>1959</v>
      </c>
      <c r="I196" s="508" t="s">
        <v>1042</v>
      </c>
      <c r="J196" s="555" t="s">
        <v>1650</v>
      </c>
      <c r="K196" s="555" t="s">
        <v>1651</v>
      </c>
      <c r="L196" s="911">
        <f ca="1">IFERROR(INDEX(Lists!$O$2:$Z$2,MATCH(TRUE,INDEX((AE196:AP196&lt;&gt;0),0),0)),DATE(2018,1,1))</f>
        <v>43282</v>
      </c>
      <c r="M196" s="911">
        <f ca="1">IFERROR(INDEX(Lists!$O$3:$Z$3, VALUE(SUBSTITUTE(TEXT(ADDRESS(SUMPRODUCT(MAX((COLUMN(AE196:AP196)*(AE196:AP196&gt;0)))),1),),"$A$",""))-30),DATE(2018,1,1))</f>
        <v>43434</v>
      </c>
      <c r="N196" s="508" t="s">
        <v>1668</v>
      </c>
      <c r="O196" s="590" t="s">
        <v>1653</v>
      </c>
      <c r="P196" s="508" t="s">
        <v>1071</v>
      </c>
      <c r="Q196" s="508" t="s">
        <v>1676</v>
      </c>
      <c r="R196" s="508" t="str">
        <f t="shared" ref="R196:R259" ca="1" si="90">VLOOKUP($A196,INDIRECT($D196&amp;"!$A$1:$Z$300"),2,FALSE)</f>
        <v>Special Need 3</v>
      </c>
      <c r="S196" s="508" t="str">
        <f t="shared" ref="S196:S259" ca="1" si="91">VLOOKUP($A196,INDIRECT($D196&amp;"!$A$1:$Z$300"),3,FALSE)</f>
        <v>Productive Development</v>
      </c>
      <c r="T196" s="508">
        <f t="shared" ref="T196:T259" ca="1" si="92">VLOOKUP($A196,INDIRECT($D196&amp;"!$A$1:$Z$300"),4,FALSE)</f>
        <v>0</v>
      </c>
      <c r="U196" s="508" t="str">
        <f t="shared" ref="U196:U259" ca="1" si="93">VLOOKUP($A196,INDIRECT($D196&amp;"!$A$1:$Z$300"),5,FALSE)</f>
        <v>684 / 51-11-3342</v>
      </c>
      <c r="V196" s="508" t="str">
        <f t="shared" ref="V196:V259" ca="1" si="94">VLOOKUP($A196,INDIRECT($D196&amp;"!$A$1:$Z$300"),6,FALSE)</f>
        <v>Bidding/Licitación</v>
      </c>
      <c r="W196" s="508" t="str">
        <f t="shared" ref="W196:W259" ca="1" si="95">VLOOKUP($A196,INDIRECT($D196&amp;"!$A$1:$Z$300"),7,FALSE)</f>
        <v>No</v>
      </c>
      <c r="X196" s="508" t="str">
        <f t="shared" ref="X196:X259" ca="1" si="96">VLOOKUP($A196,INDIRECT($D196&amp;"!$A$1:$Z$300"),8,FALSE)</f>
        <v>Mar</v>
      </c>
      <c r="Y196" s="508" t="str">
        <f t="shared" ref="Y196:Y259" ca="1" si="97">VLOOKUP($A196,INDIRECT($D196&amp;"!$A$1:$Z$300"),9,FALSE)</f>
        <v>Abr</v>
      </c>
      <c r="Z196" s="508" t="str">
        <f t="shared" ref="Z196:Z259" ca="1" si="98">VLOOKUP($A196,INDIRECT($D196&amp;"!$A$1:$Z$300"),10,FALSE)</f>
        <v>May</v>
      </c>
      <c r="AA196" s="508" t="str">
        <f t="shared" ref="AA196:AA259" ca="1" si="99">VLOOKUP($A196,INDIRECT($D196&amp;"!$A$1:$Z$300"),11,FALSE)</f>
        <v>May</v>
      </c>
      <c r="AB196" s="508">
        <f t="shared" ca="1" si="89"/>
        <v>5</v>
      </c>
      <c r="AC196" s="508">
        <f t="shared" ref="AC196:AC259" ca="1" si="100">VLOOKUP($A196,INDIRECT($D196&amp;"!$A$1:$Z$300"),13,FALSE)</f>
        <v>0</v>
      </c>
      <c r="AD196" s="912">
        <f t="shared" ref="AD196:AD259" ca="1" si="101">VLOOKUP($A196,INDIRECT($D196&amp;"!$A$1:$Z$300"),14,FALSE)</f>
        <v>100000</v>
      </c>
      <c r="AE196" s="512">
        <f t="shared" ref="AE196:AE259" ca="1" si="102">VLOOKUP($A196,INDIRECT($D196&amp;"!$A$1:$Z$300"),15,FALSE)</f>
        <v>0</v>
      </c>
      <c r="AF196" s="512">
        <f t="shared" ref="AF196:AF259" ca="1" si="103">VLOOKUP($A196,INDIRECT($D196&amp;"!$A$1:$Z$300"),16,FALSE)</f>
        <v>0</v>
      </c>
      <c r="AG196" s="512">
        <f t="shared" ref="AG196:AG259" ca="1" si="104">VLOOKUP($A196,INDIRECT($D196&amp;"!$A$1:$Z$300"),17,FALSE)</f>
        <v>0</v>
      </c>
      <c r="AH196" s="512">
        <f t="shared" ref="AH196:AH259" ca="1" si="105">VLOOKUP($A196,INDIRECT($D196&amp;"!$A$1:$Z$300"),18,FALSE)</f>
        <v>0</v>
      </c>
      <c r="AI196" s="512">
        <f t="shared" ref="AI196:AI259" ca="1" si="106">VLOOKUP($A196,INDIRECT($D196&amp;"!$A$1:$Z$300"),19,FALSE)</f>
        <v>0</v>
      </c>
      <c r="AJ196" s="512">
        <f t="shared" ref="AJ196:AJ259" ca="1" si="107">VLOOKUP($A196,INDIRECT($D196&amp;"!$A$1:$Z$300"),20,FALSE)</f>
        <v>0</v>
      </c>
      <c r="AK196" s="512">
        <f t="shared" ref="AK196:AK259" ca="1" si="108">VLOOKUP($A196,INDIRECT($D196&amp;"!$A$1:$Z$300"),21,FALSE)</f>
        <v>40000</v>
      </c>
      <c r="AL196" s="512">
        <f t="shared" ref="AL196:AL259" ca="1" si="109">VLOOKUP($A196,INDIRECT($D196&amp;"!$A$1:$Z$300"),22,FALSE)</f>
        <v>0</v>
      </c>
      <c r="AM196" s="512">
        <f t="shared" ref="AM196:AM259" ca="1" si="110">VLOOKUP($A196,INDIRECT($D196&amp;"!$A$1:$Z$300"),23,FALSE)</f>
        <v>30000</v>
      </c>
      <c r="AN196" s="512">
        <f t="shared" ref="AN196:AN259" ca="1" si="111">VLOOKUP($A196,INDIRECT($D196&amp;"!$A$1:$Z$300"),24,FALSE)</f>
        <v>0</v>
      </c>
      <c r="AO196" s="512">
        <f t="shared" ref="AO196:AO259" ca="1" si="112">VLOOKUP($A196,INDIRECT($D196&amp;"!$A$1:$Z$300"),25,FALSE)</f>
        <v>30000</v>
      </c>
      <c r="AP196" s="512">
        <f t="shared" ref="AP196:AP259" ca="1" si="113">VLOOKUP($A196,INDIRECT($D196&amp;"!$A$1:$Z$300"),26,FALSE)</f>
        <v>0</v>
      </c>
      <c r="AQ196" s="512" t="str">
        <f t="shared" ref="AQ196:AQ259" ca="1" si="114">IF(G196="Contrato/Orden de Servicio",IF(AND(Q196&lt;&gt;"Si",AD196&lt;100000),"Orden de Servicio Sin Terreno",IF(AND(Q196="Si",AD196&lt;50000),IF(AB196&lt;=3,"Orden de Servicio Con Terreno","Contrato"),"Contrato")),"")</f>
        <v>Contrato</v>
      </c>
      <c r="AR196" s="512"/>
      <c r="AS196" s="512" t="str">
        <f t="shared" ref="AS196:AS259" ca="1" si="115">IF(G196="Contrato/Orden de Servicio",IF(AND(AD196&gt;50000,OR(N196="Renovación de Contrato",N196="Adjudicación Directa")),"Si","No"),"")</f>
        <v>No</v>
      </c>
      <c r="AT196" s="151">
        <f t="shared" ref="AT196:AT259" ca="1" si="116">IF(G196="Contrato/Orden de Servicio",AD196,0)</f>
        <v>100000</v>
      </c>
      <c r="AU196" s="151">
        <f>IFERROR(VLOOKUP(A196,'[7]TD CuentasBDG'!$N$5:$O$21,2,0),0)</f>
        <v>0</v>
      </c>
      <c r="AV196" t="str">
        <f t="shared" ref="AV196:AV259" ca="1" si="117">IF(N196="Licitación/Cotización",IF(AT196&lt;50000,"Licitación Corta","Licitación"),N196)</f>
        <v>Licitación</v>
      </c>
      <c r="AW196" t="s">
        <v>1690</v>
      </c>
      <c r="AX196" t="s">
        <v>1941</v>
      </c>
    </row>
    <row r="197" spans="1:50" ht="45" x14ac:dyDescent="0.25">
      <c r="A197" s="918" t="s">
        <v>1960</v>
      </c>
      <c r="B197" s="508" t="s">
        <v>113</v>
      </c>
      <c r="C197" s="508" t="s">
        <v>103</v>
      </c>
      <c r="D197" s="508" t="s">
        <v>1938</v>
      </c>
      <c r="E197" s="508"/>
      <c r="F197" s="508"/>
      <c r="G197" s="508" t="s">
        <v>1647</v>
      </c>
      <c r="H197" s="508" t="s">
        <v>1961</v>
      </c>
      <c r="I197" s="508" t="s">
        <v>1063</v>
      </c>
      <c r="J197" s="555" t="s">
        <v>1650</v>
      </c>
      <c r="K197" s="555" t="s">
        <v>1651</v>
      </c>
      <c r="L197" s="911">
        <f ca="1">IFERROR(INDEX(Lists!$O$2:$Z$2,MATCH(TRUE,INDEX((AE197:AP197&lt;&gt;0),0),0)),DATE(2018,1,1))</f>
        <v>43252</v>
      </c>
      <c r="M197" s="911">
        <f ca="1">IFERROR(INDEX(Lists!$O$3:$Z$3, VALUE(SUBSTITUTE(TEXT(ADDRESS(SUMPRODUCT(MAX((COLUMN(AE197:AP197)*(AE197:AP197&gt;0)))),1),),"$A$",""))-30),DATE(2018,1,1))</f>
        <v>43434</v>
      </c>
      <c r="N197" s="508" t="s">
        <v>1668</v>
      </c>
      <c r="O197" s="590" t="s">
        <v>1653</v>
      </c>
      <c r="P197" s="508" t="s">
        <v>1071</v>
      </c>
      <c r="Q197" s="508" t="s">
        <v>1676</v>
      </c>
      <c r="R197" s="508" t="str">
        <f t="shared" ca="1" si="90"/>
        <v>Special Need 1</v>
      </c>
      <c r="S197" s="508" t="str">
        <f t="shared" ca="1" si="91"/>
        <v>Public Networking with local municipalities</v>
      </c>
      <c r="T197" s="508">
        <f t="shared" ca="1" si="92"/>
        <v>0</v>
      </c>
      <c r="U197" s="508" t="str">
        <f t="shared" ca="1" si="93"/>
        <v>684 / 51-11-3342</v>
      </c>
      <c r="V197" s="508" t="str">
        <f t="shared" ca="1" si="94"/>
        <v>Bidding/Licitación</v>
      </c>
      <c r="W197" s="508" t="str">
        <f t="shared" ca="1" si="95"/>
        <v>no</v>
      </c>
      <c r="X197" s="508" t="str">
        <f t="shared" ca="1" si="96"/>
        <v>Mar</v>
      </c>
      <c r="Y197" s="508" t="str">
        <f t="shared" ca="1" si="97"/>
        <v>Abr</v>
      </c>
      <c r="Z197" s="508" t="str">
        <f t="shared" ca="1" si="98"/>
        <v>May</v>
      </c>
      <c r="AA197" s="508" t="str">
        <f t="shared" ca="1" si="99"/>
        <v>May</v>
      </c>
      <c r="AB197" s="508">
        <f t="shared" ca="1" si="89"/>
        <v>6</v>
      </c>
      <c r="AC197" s="508">
        <f t="shared" ca="1" si="100"/>
        <v>0</v>
      </c>
      <c r="AD197" s="912">
        <f t="shared" ca="1" si="101"/>
        <v>40000</v>
      </c>
      <c r="AE197" s="512">
        <f t="shared" ca="1" si="102"/>
        <v>0</v>
      </c>
      <c r="AF197" s="512">
        <f t="shared" ca="1" si="103"/>
        <v>0</v>
      </c>
      <c r="AG197" s="512">
        <f t="shared" ca="1" si="104"/>
        <v>0</v>
      </c>
      <c r="AH197" s="512">
        <f t="shared" ca="1" si="105"/>
        <v>0</v>
      </c>
      <c r="AI197" s="512">
        <f t="shared" ca="1" si="106"/>
        <v>0</v>
      </c>
      <c r="AJ197" s="512">
        <f t="shared" ca="1" si="107"/>
        <v>13333</v>
      </c>
      <c r="AK197" s="512">
        <f t="shared" ca="1" si="108"/>
        <v>0</v>
      </c>
      <c r="AL197" s="512">
        <f t="shared" ca="1" si="109"/>
        <v>0</v>
      </c>
      <c r="AM197" s="512">
        <f t="shared" ca="1" si="110"/>
        <v>13333</v>
      </c>
      <c r="AN197" s="512">
        <f t="shared" ca="1" si="111"/>
        <v>0</v>
      </c>
      <c r="AO197" s="512">
        <f t="shared" ca="1" si="112"/>
        <v>13334</v>
      </c>
      <c r="AP197" s="512">
        <f t="shared" ca="1" si="113"/>
        <v>0</v>
      </c>
      <c r="AQ197" s="512" t="str">
        <f t="shared" ca="1" si="114"/>
        <v>Contrato</v>
      </c>
      <c r="AR197" s="512"/>
      <c r="AS197" s="512" t="str">
        <f t="shared" ca="1" si="115"/>
        <v>No</v>
      </c>
      <c r="AT197" s="151">
        <f t="shared" ca="1" si="116"/>
        <v>40000</v>
      </c>
      <c r="AU197" s="151">
        <f>IFERROR(VLOOKUP(A197,'[7]TD CuentasBDG'!$N$5:$O$21,2,0),0)</f>
        <v>0</v>
      </c>
      <c r="AV197" t="str">
        <f t="shared" ca="1" si="117"/>
        <v>Licitación Corta</v>
      </c>
      <c r="AW197" t="s">
        <v>1690</v>
      </c>
      <c r="AX197" t="s">
        <v>1941</v>
      </c>
    </row>
    <row r="198" spans="1:50" ht="30" x14ac:dyDescent="0.25">
      <c r="A198" s="918" t="s">
        <v>1962</v>
      </c>
      <c r="B198" s="508" t="s">
        <v>113</v>
      </c>
      <c r="C198" s="508" t="s">
        <v>103</v>
      </c>
      <c r="D198" s="508" t="s">
        <v>1938</v>
      </c>
      <c r="E198" s="508"/>
      <c r="F198" s="508"/>
      <c r="G198" s="508" t="s">
        <v>1647</v>
      </c>
      <c r="H198" s="508" t="s">
        <v>1963</v>
      </c>
      <c r="I198" s="508" t="s">
        <v>1064</v>
      </c>
      <c r="J198" s="555" t="s">
        <v>1650</v>
      </c>
      <c r="K198" s="555" t="s">
        <v>1651</v>
      </c>
      <c r="L198" s="911">
        <f ca="1">IFERROR(INDEX(Lists!$O$2:$Z$2,MATCH(TRUE,INDEX((AE198:AP198&lt;&gt;0),0),0)),DATE(2018,1,1))</f>
        <v>43252</v>
      </c>
      <c r="M198" s="911">
        <f ca="1">IFERROR(INDEX(Lists!$O$3:$Z$3, VALUE(SUBSTITUTE(TEXT(ADDRESS(SUMPRODUCT(MAX((COLUMN(AE198:AP198)*(AE198:AP198&gt;0)))),1),),"$A$",""))-30),DATE(2018,1,1))</f>
        <v>43434</v>
      </c>
      <c r="N198" s="508" t="s">
        <v>1668</v>
      </c>
      <c r="O198" s="590" t="s">
        <v>1653</v>
      </c>
      <c r="P198" s="508" t="s">
        <v>1071</v>
      </c>
      <c r="Q198" s="508" t="s">
        <v>1676</v>
      </c>
      <c r="R198" s="508" t="str">
        <f t="shared" ca="1" si="90"/>
        <v>Special Need 2</v>
      </c>
      <c r="S198" s="508" t="str">
        <f t="shared" ca="1" si="91"/>
        <v>Prevent risk behavior (drugs and alcohol)</v>
      </c>
      <c r="T198" s="508">
        <f t="shared" ca="1" si="92"/>
        <v>0</v>
      </c>
      <c r="U198" s="508" t="str">
        <f t="shared" ca="1" si="93"/>
        <v>684 / 51-11-3342</v>
      </c>
      <c r="V198" s="508" t="str">
        <f t="shared" ca="1" si="94"/>
        <v>Bidding/Licitación</v>
      </c>
      <c r="W198" s="508" t="str">
        <f t="shared" ca="1" si="95"/>
        <v>no</v>
      </c>
      <c r="X198" s="508" t="str">
        <f t="shared" ca="1" si="96"/>
        <v>Mar</v>
      </c>
      <c r="Y198" s="508" t="str">
        <f t="shared" ca="1" si="97"/>
        <v>Abr</v>
      </c>
      <c r="Z198" s="508" t="str">
        <f t="shared" ca="1" si="98"/>
        <v>May</v>
      </c>
      <c r="AA198" s="508" t="str">
        <f t="shared" ca="1" si="99"/>
        <v>May</v>
      </c>
      <c r="AB198" s="508">
        <f t="shared" ca="1" si="89"/>
        <v>6</v>
      </c>
      <c r="AC198" s="508">
        <f t="shared" ca="1" si="100"/>
        <v>0</v>
      </c>
      <c r="AD198" s="912">
        <f t="shared" ca="1" si="101"/>
        <v>25000</v>
      </c>
      <c r="AE198" s="512">
        <f t="shared" ca="1" si="102"/>
        <v>0</v>
      </c>
      <c r="AF198" s="512">
        <f t="shared" ca="1" si="103"/>
        <v>0</v>
      </c>
      <c r="AG198" s="512">
        <f t="shared" ca="1" si="104"/>
        <v>0</v>
      </c>
      <c r="AH198" s="512">
        <f t="shared" ca="1" si="105"/>
        <v>0</v>
      </c>
      <c r="AI198" s="512">
        <f t="shared" ca="1" si="106"/>
        <v>0</v>
      </c>
      <c r="AJ198" s="512">
        <f t="shared" ca="1" si="107"/>
        <v>8333</v>
      </c>
      <c r="AK198" s="512">
        <f t="shared" ca="1" si="108"/>
        <v>0</v>
      </c>
      <c r="AL198" s="512">
        <f t="shared" ca="1" si="109"/>
        <v>0</v>
      </c>
      <c r="AM198" s="512">
        <f t="shared" ca="1" si="110"/>
        <v>8333</v>
      </c>
      <c r="AN198" s="512">
        <f t="shared" ca="1" si="111"/>
        <v>0</v>
      </c>
      <c r="AO198" s="512">
        <f t="shared" ca="1" si="112"/>
        <v>8334</v>
      </c>
      <c r="AP198" s="512">
        <f t="shared" ca="1" si="113"/>
        <v>0</v>
      </c>
      <c r="AQ198" s="512" t="str">
        <f t="shared" ca="1" si="114"/>
        <v>Contrato</v>
      </c>
      <c r="AR198" s="512"/>
      <c r="AS198" s="512" t="str">
        <f t="shared" ca="1" si="115"/>
        <v>No</v>
      </c>
      <c r="AT198" s="151">
        <f t="shared" ca="1" si="116"/>
        <v>25000</v>
      </c>
      <c r="AU198" s="151">
        <f>IFERROR(VLOOKUP(A198,'[7]TD CuentasBDG'!$N$5:$O$21,2,0),0)</f>
        <v>0</v>
      </c>
      <c r="AV198" t="str">
        <f t="shared" ca="1" si="117"/>
        <v>Licitación Corta</v>
      </c>
      <c r="AW198" t="s">
        <v>1690</v>
      </c>
      <c r="AX198" t="s">
        <v>1941</v>
      </c>
    </row>
    <row r="199" spans="1:50" ht="30" x14ac:dyDescent="0.25">
      <c r="A199" s="918" t="s">
        <v>1964</v>
      </c>
      <c r="B199" s="508" t="s">
        <v>113</v>
      </c>
      <c r="C199" s="508" t="s">
        <v>103</v>
      </c>
      <c r="D199" s="508" t="s">
        <v>1938</v>
      </c>
      <c r="E199" s="508"/>
      <c r="F199" s="508"/>
      <c r="G199" s="508" t="s">
        <v>1647</v>
      </c>
      <c r="H199" s="508" t="s">
        <v>1965</v>
      </c>
      <c r="I199" s="508" t="s">
        <v>1066</v>
      </c>
      <c r="J199" s="555" t="s">
        <v>1944</v>
      </c>
      <c r="K199" s="555" t="s">
        <v>1651</v>
      </c>
      <c r="L199" s="911">
        <f ca="1">IFERROR(INDEX(Lists!$O$2:$Z$2,MATCH(TRUE,INDEX((AE199:AP199&lt;&gt;0),0),0)),DATE(2018,1,1))</f>
        <v>43221</v>
      </c>
      <c r="M199" s="911">
        <f ca="1">IFERROR(INDEX(Lists!$O$3:$Z$3, VALUE(SUBSTITUTE(TEXT(ADDRESS(SUMPRODUCT(MAX((COLUMN(AE199:AP199)*(AE199:AP199&gt;0)))),1),),"$A$",""))-30),DATE(2018,1,1))</f>
        <v>43434</v>
      </c>
      <c r="N199" s="508" t="s">
        <v>1945</v>
      </c>
      <c r="O199" s="590" t="s">
        <v>1786</v>
      </c>
      <c r="P199" s="508" t="s">
        <v>1071</v>
      </c>
      <c r="Q199" s="508" t="s">
        <v>1676</v>
      </c>
      <c r="R199" s="508" t="str">
        <f t="shared" ca="1" si="90"/>
        <v>Special Need 3</v>
      </c>
      <c r="S199" s="508" t="str">
        <f t="shared" ca="1" si="91"/>
        <v>Promote sport practice</v>
      </c>
      <c r="T199" s="508">
        <f t="shared" ca="1" si="92"/>
        <v>0</v>
      </c>
      <c r="U199" s="508" t="str">
        <f t="shared" ca="1" si="93"/>
        <v>684 / 51-11-3342</v>
      </c>
      <c r="V199" s="508" t="str">
        <f t="shared" ca="1" si="94"/>
        <v>Agreement/Convenio</v>
      </c>
      <c r="W199" s="508" t="str">
        <f t="shared" ca="1" si="95"/>
        <v>no</v>
      </c>
      <c r="X199" s="508" t="str">
        <f t="shared" ca="1" si="96"/>
        <v>Mar</v>
      </c>
      <c r="Y199" s="508" t="str">
        <f t="shared" ca="1" si="97"/>
        <v>Abr</v>
      </c>
      <c r="Z199" s="508" t="str">
        <f t="shared" ca="1" si="98"/>
        <v>May</v>
      </c>
      <c r="AA199" s="508" t="str">
        <f t="shared" ca="1" si="99"/>
        <v>May</v>
      </c>
      <c r="AB199" s="508">
        <f t="shared" ca="1" si="89"/>
        <v>7</v>
      </c>
      <c r="AC199" s="508">
        <f t="shared" ca="1" si="100"/>
        <v>0</v>
      </c>
      <c r="AD199" s="912">
        <f t="shared" ca="1" si="101"/>
        <v>80000</v>
      </c>
      <c r="AE199" s="512">
        <f t="shared" ca="1" si="102"/>
        <v>0</v>
      </c>
      <c r="AF199" s="512">
        <f t="shared" ca="1" si="103"/>
        <v>0</v>
      </c>
      <c r="AG199" s="512">
        <f t="shared" ca="1" si="104"/>
        <v>0</v>
      </c>
      <c r="AH199" s="512">
        <f t="shared" ca="1" si="105"/>
        <v>0</v>
      </c>
      <c r="AI199" s="512">
        <f t="shared" ca="1" si="106"/>
        <v>30000</v>
      </c>
      <c r="AJ199" s="512">
        <f t="shared" ca="1" si="107"/>
        <v>0</v>
      </c>
      <c r="AK199" s="512">
        <f t="shared" ca="1" si="108"/>
        <v>0</v>
      </c>
      <c r="AL199" s="512">
        <f t="shared" ca="1" si="109"/>
        <v>30000</v>
      </c>
      <c r="AM199" s="512">
        <f t="shared" ca="1" si="110"/>
        <v>0</v>
      </c>
      <c r="AN199" s="512">
        <f t="shared" ca="1" si="111"/>
        <v>0</v>
      </c>
      <c r="AO199" s="512">
        <f t="shared" ca="1" si="112"/>
        <v>20000</v>
      </c>
      <c r="AP199" s="512">
        <f t="shared" ca="1" si="113"/>
        <v>0</v>
      </c>
      <c r="AQ199" s="512" t="str">
        <f t="shared" ca="1" si="114"/>
        <v>Contrato</v>
      </c>
      <c r="AR199" s="512"/>
      <c r="AS199" s="512" t="str">
        <f t="shared" ca="1" si="115"/>
        <v>No</v>
      </c>
      <c r="AT199" s="151">
        <f t="shared" ca="1" si="116"/>
        <v>80000</v>
      </c>
      <c r="AU199" s="151">
        <f>IFERROR(VLOOKUP(A199,'[7]TD CuentasBDG'!$N$5:$O$21,2,0),0)</f>
        <v>0</v>
      </c>
      <c r="AV199" t="str">
        <f t="shared" si="117"/>
        <v>Convenio</v>
      </c>
      <c r="AW199" t="s">
        <v>1945</v>
      </c>
      <c r="AX199" t="s">
        <v>1941</v>
      </c>
    </row>
    <row r="200" spans="1:50" ht="45" x14ac:dyDescent="0.25">
      <c r="A200" s="918" t="s">
        <v>1966</v>
      </c>
      <c r="B200" s="508" t="s">
        <v>113</v>
      </c>
      <c r="C200" s="508" t="s">
        <v>103</v>
      </c>
      <c r="D200" s="508" t="s">
        <v>1938</v>
      </c>
      <c r="E200" s="508"/>
      <c r="F200" s="508"/>
      <c r="G200" s="508" t="s">
        <v>1647</v>
      </c>
      <c r="H200" s="508" t="s">
        <v>1967</v>
      </c>
      <c r="I200" s="508" t="s">
        <v>1065</v>
      </c>
      <c r="J200" s="555" t="s">
        <v>1650</v>
      </c>
      <c r="K200" s="555" t="s">
        <v>1651</v>
      </c>
      <c r="L200" s="911">
        <f ca="1">IFERROR(INDEX(Lists!$O$2:$Z$2,MATCH(TRUE,INDEX((AE200:AP200&lt;&gt;0),0),0)),DATE(2018,1,1))</f>
        <v>43374</v>
      </c>
      <c r="M200" s="911">
        <f ca="1">IFERROR(INDEX(Lists!$O$3:$Z$3, VALUE(SUBSTITUTE(TEXT(ADDRESS(SUMPRODUCT(MAX((COLUMN(AE200:AP200)*(AE200:AP200&gt;0)))),1),),"$A$",""))-30),DATE(2018,1,1))</f>
        <v>43434</v>
      </c>
      <c r="N200" s="508" t="s">
        <v>1668</v>
      </c>
      <c r="O200" s="590" t="s">
        <v>1786</v>
      </c>
      <c r="P200" s="508" t="s">
        <v>1676</v>
      </c>
      <c r="Q200" s="508" t="s">
        <v>1676</v>
      </c>
      <c r="R200" s="508" t="str">
        <f t="shared" ca="1" si="90"/>
        <v>Special Need 4</v>
      </c>
      <c r="S200" s="508" t="str">
        <f t="shared" ca="1" si="91"/>
        <v>Inclusiveness and Healthy Life</v>
      </c>
      <c r="T200" s="508">
        <f t="shared" ca="1" si="92"/>
        <v>0</v>
      </c>
      <c r="U200" s="508" t="str">
        <f t="shared" ca="1" si="93"/>
        <v>684 / 51-11-3342</v>
      </c>
      <c r="V200" s="508" t="str">
        <f t="shared" ca="1" si="94"/>
        <v>Agreement/Convenio</v>
      </c>
      <c r="W200" s="508" t="str">
        <f t="shared" ca="1" si="95"/>
        <v>no</v>
      </c>
      <c r="X200" s="508" t="str">
        <f t="shared" ca="1" si="96"/>
        <v>Mar</v>
      </c>
      <c r="Y200" s="508" t="str">
        <f t="shared" ca="1" si="97"/>
        <v>Abr</v>
      </c>
      <c r="Z200" s="508" t="str">
        <f t="shared" ca="1" si="98"/>
        <v>May</v>
      </c>
      <c r="AA200" s="508" t="str">
        <f t="shared" ca="1" si="99"/>
        <v>May</v>
      </c>
      <c r="AB200" s="508">
        <f t="shared" ca="1" si="89"/>
        <v>2</v>
      </c>
      <c r="AC200" s="508">
        <f t="shared" ca="1" si="100"/>
        <v>0</v>
      </c>
      <c r="AD200" s="912">
        <f t="shared" ca="1" si="101"/>
        <v>25000</v>
      </c>
      <c r="AE200" s="512">
        <f t="shared" ca="1" si="102"/>
        <v>0</v>
      </c>
      <c r="AF200" s="512">
        <f t="shared" ca="1" si="103"/>
        <v>0</v>
      </c>
      <c r="AG200" s="512">
        <f t="shared" ca="1" si="104"/>
        <v>0</v>
      </c>
      <c r="AH200" s="512">
        <f t="shared" ca="1" si="105"/>
        <v>0</v>
      </c>
      <c r="AI200" s="512">
        <f t="shared" ca="1" si="106"/>
        <v>0</v>
      </c>
      <c r="AJ200" s="512">
        <f t="shared" ca="1" si="107"/>
        <v>0</v>
      </c>
      <c r="AK200" s="512">
        <f t="shared" ca="1" si="108"/>
        <v>0</v>
      </c>
      <c r="AL200" s="512">
        <f t="shared" ca="1" si="109"/>
        <v>0</v>
      </c>
      <c r="AM200" s="512">
        <f t="shared" ca="1" si="110"/>
        <v>0</v>
      </c>
      <c r="AN200" s="512">
        <f t="shared" ca="1" si="111"/>
        <v>20000</v>
      </c>
      <c r="AO200" s="512">
        <f t="shared" ca="1" si="112"/>
        <v>5000</v>
      </c>
      <c r="AP200" s="512">
        <f t="shared" ca="1" si="113"/>
        <v>0</v>
      </c>
      <c r="AQ200" s="512" t="str">
        <f t="shared" ca="1" si="114"/>
        <v>Orden de Servicio Con Terreno</v>
      </c>
      <c r="AR200" s="512"/>
      <c r="AS200" s="512" t="str">
        <f t="shared" ca="1" si="115"/>
        <v>No</v>
      </c>
      <c r="AT200" s="151">
        <f t="shared" ca="1" si="116"/>
        <v>25000</v>
      </c>
      <c r="AU200" s="151">
        <f>IFERROR(VLOOKUP(A200,'[7]TD CuentasBDG'!$N$5:$O$21,2,0),0)</f>
        <v>0</v>
      </c>
      <c r="AV200" t="str">
        <f t="shared" ca="1" si="117"/>
        <v>Licitación Corta</v>
      </c>
      <c r="AW200" t="s">
        <v>1690</v>
      </c>
      <c r="AX200" t="s">
        <v>1941</v>
      </c>
    </row>
    <row r="201" spans="1:50" ht="45" x14ac:dyDescent="0.25">
      <c r="A201" s="918" t="s">
        <v>1968</v>
      </c>
      <c r="B201" s="508" t="s">
        <v>113</v>
      </c>
      <c r="C201" s="508" t="s">
        <v>103</v>
      </c>
      <c r="D201" s="508" t="s">
        <v>1938</v>
      </c>
      <c r="E201" s="508"/>
      <c r="F201" s="508"/>
      <c r="G201" s="508" t="s">
        <v>1647</v>
      </c>
      <c r="H201" s="508" t="s">
        <v>1969</v>
      </c>
      <c r="I201" s="508" t="s">
        <v>1067</v>
      </c>
      <c r="J201" s="555" t="s">
        <v>1650</v>
      </c>
      <c r="K201" s="555" t="s">
        <v>1651</v>
      </c>
      <c r="L201" s="911">
        <f ca="1">IFERROR(INDEX(Lists!$O$2:$Z$2,MATCH(TRUE,INDEX((AE201:AP201&lt;&gt;0),0),0)),DATE(2018,1,1))</f>
        <v>43252</v>
      </c>
      <c r="M201" s="911">
        <f ca="1">IFERROR(INDEX(Lists!$O$3:$Z$3, VALUE(SUBSTITUTE(TEXT(ADDRESS(SUMPRODUCT(MAX((COLUMN(AE201:AP201)*(AE201:AP201&gt;0)))),1),),"$A$",""))-30),DATE(2018,1,1))</f>
        <v>43434</v>
      </c>
      <c r="N201" s="508" t="s">
        <v>1668</v>
      </c>
      <c r="O201" s="590" t="s">
        <v>1653</v>
      </c>
      <c r="P201" s="508" t="s">
        <v>1676</v>
      </c>
      <c r="Q201" s="508" t="s">
        <v>1071</v>
      </c>
      <c r="R201" s="508" t="str">
        <f t="shared" ca="1" si="90"/>
        <v>Special Need 5</v>
      </c>
      <c r="S201" s="508" t="str">
        <f t="shared" ca="1" si="91"/>
        <v>Strengthening civil society organizations</v>
      </c>
      <c r="T201" s="508">
        <f t="shared" ca="1" si="92"/>
        <v>0</v>
      </c>
      <c r="U201" s="508" t="str">
        <f t="shared" ca="1" si="93"/>
        <v>684 / 51-11-3342</v>
      </c>
      <c r="V201" s="508" t="str">
        <f t="shared" ca="1" si="94"/>
        <v>Bidding/Licitación</v>
      </c>
      <c r="W201" s="508" t="str">
        <f t="shared" ca="1" si="95"/>
        <v>no</v>
      </c>
      <c r="X201" s="508" t="str">
        <f t="shared" ca="1" si="96"/>
        <v>Mar</v>
      </c>
      <c r="Y201" s="508" t="str">
        <f t="shared" ca="1" si="97"/>
        <v>Abr</v>
      </c>
      <c r="Z201" s="508" t="str">
        <f t="shared" ca="1" si="98"/>
        <v>May</v>
      </c>
      <c r="AA201" s="508" t="str">
        <f t="shared" ca="1" si="99"/>
        <v>May</v>
      </c>
      <c r="AB201" s="508">
        <f t="shared" ca="1" si="89"/>
        <v>6</v>
      </c>
      <c r="AC201" s="508">
        <f t="shared" ca="1" si="100"/>
        <v>0</v>
      </c>
      <c r="AD201" s="912">
        <f t="shared" ca="1" si="101"/>
        <v>80000</v>
      </c>
      <c r="AE201" s="512">
        <f t="shared" ca="1" si="102"/>
        <v>0</v>
      </c>
      <c r="AF201" s="512">
        <f t="shared" ca="1" si="103"/>
        <v>0</v>
      </c>
      <c r="AG201" s="512">
        <f t="shared" ca="1" si="104"/>
        <v>0</v>
      </c>
      <c r="AH201" s="512">
        <f t="shared" ca="1" si="105"/>
        <v>0</v>
      </c>
      <c r="AI201" s="512">
        <f t="shared" ca="1" si="106"/>
        <v>0</v>
      </c>
      <c r="AJ201" s="512">
        <f t="shared" ca="1" si="107"/>
        <v>26666</v>
      </c>
      <c r="AK201" s="512">
        <f t="shared" ca="1" si="108"/>
        <v>0</v>
      </c>
      <c r="AL201" s="512">
        <f t="shared" ca="1" si="109"/>
        <v>0</v>
      </c>
      <c r="AM201" s="512">
        <f t="shared" ca="1" si="110"/>
        <v>26666</v>
      </c>
      <c r="AN201" s="512">
        <f t="shared" ca="1" si="111"/>
        <v>0</v>
      </c>
      <c r="AO201" s="512">
        <f t="shared" ca="1" si="112"/>
        <v>26668</v>
      </c>
      <c r="AP201" s="512">
        <f t="shared" ca="1" si="113"/>
        <v>0</v>
      </c>
      <c r="AQ201" s="512" t="str">
        <f t="shared" ca="1" si="114"/>
        <v>Orden de Servicio Sin Terreno</v>
      </c>
      <c r="AR201" s="512"/>
      <c r="AS201" s="512" t="str">
        <f t="shared" ca="1" si="115"/>
        <v>No</v>
      </c>
      <c r="AT201" s="151">
        <f t="shared" ca="1" si="116"/>
        <v>80000</v>
      </c>
      <c r="AU201" s="151">
        <f>IFERROR(VLOOKUP(A201,'[7]TD CuentasBDG'!$N$5:$O$21,2,0),0)</f>
        <v>0</v>
      </c>
      <c r="AV201" t="str">
        <f t="shared" ca="1" si="117"/>
        <v>Licitación</v>
      </c>
      <c r="AW201" t="s">
        <v>1690</v>
      </c>
      <c r="AX201" s="916" t="s">
        <v>1655</v>
      </c>
    </row>
    <row r="202" spans="1:50" ht="30" x14ac:dyDescent="0.25">
      <c r="A202" s="918" t="s">
        <v>1970</v>
      </c>
      <c r="B202" s="508" t="s">
        <v>113</v>
      </c>
      <c r="C202" s="508" t="s">
        <v>103</v>
      </c>
      <c r="D202" s="508" t="s">
        <v>1938</v>
      </c>
      <c r="E202" s="508"/>
      <c r="F202" s="508"/>
      <c r="G202" s="508" t="s">
        <v>1647</v>
      </c>
      <c r="H202" s="508" t="s">
        <v>1971</v>
      </c>
      <c r="I202" s="508" t="s">
        <v>1068</v>
      </c>
      <c r="J202" s="555" t="s">
        <v>1944</v>
      </c>
      <c r="K202" s="555" t="s">
        <v>1651</v>
      </c>
      <c r="L202" s="911">
        <f ca="1">IFERROR(INDEX(Lists!$O$2:$Z$2,MATCH(TRUE,INDEX((AE202:AP202&lt;&gt;0),0),0)),DATE(2018,1,1))</f>
        <v>43313</v>
      </c>
      <c r="M202" s="911">
        <f ca="1">IFERROR(INDEX(Lists!$O$3:$Z$3, VALUE(SUBSTITUTE(TEXT(ADDRESS(SUMPRODUCT(MAX((COLUMN(AE202:AP202)*(AE202:AP202&gt;0)))),1),),"$A$",""))-30),DATE(2018,1,1))</f>
        <v>43434</v>
      </c>
      <c r="N202" s="508" t="s">
        <v>1945</v>
      </c>
      <c r="O202" s="590" t="s">
        <v>1653</v>
      </c>
      <c r="P202" s="508" t="s">
        <v>1676</v>
      </c>
      <c r="Q202" s="508" t="s">
        <v>1676</v>
      </c>
      <c r="R202" s="508" t="str">
        <f t="shared" ca="1" si="90"/>
        <v>Special Need 1</v>
      </c>
      <c r="S202" s="508" t="str">
        <f t="shared" ca="1" si="91"/>
        <v xml:space="preserve">Promote local culture </v>
      </c>
      <c r="T202" s="508">
        <f t="shared" ca="1" si="92"/>
        <v>0</v>
      </c>
      <c r="U202" s="508" t="str">
        <f t="shared" ca="1" si="93"/>
        <v>684 / 51-11-3342</v>
      </c>
      <c r="V202" s="508" t="str">
        <f t="shared" ca="1" si="94"/>
        <v>Agreement/Convenio</v>
      </c>
      <c r="W202" s="508" t="str">
        <f t="shared" ca="1" si="95"/>
        <v>Desierto Vivo</v>
      </c>
      <c r="X202" s="508" t="str">
        <f t="shared" ca="1" si="96"/>
        <v>Mar</v>
      </c>
      <c r="Y202" s="508" t="str">
        <f t="shared" ca="1" si="97"/>
        <v>Abr</v>
      </c>
      <c r="Z202" s="508" t="str">
        <f t="shared" ca="1" si="98"/>
        <v>May</v>
      </c>
      <c r="AA202" s="508" t="str">
        <f t="shared" ca="1" si="99"/>
        <v>May</v>
      </c>
      <c r="AB202" s="508">
        <f t="shared" ca="1" si="89"/>
        <v>4</v>
      </c>
      <c r="AC202" s="508">
        <f t="shared" ca="1" si="100"/>
        <v>0</v>
      </c>
      <c r="AD202" s="912">
        <f t="shared" ca="1" si="101"/>
        <v>30000</v>
      </c>
      <c r="AE202" s="512">
        <f t="shared" ca="1" si="102"/>
        <v>0</v>
      </c>
      <c r="AF202" s="512">
        <f t="shared" ca="1" si="103"/>
        <v>0</v>
      </c>
      <c r="AG202" s="512">
        <f t="shared" ca="1" si="104"/>
        <v>0</v>
      </c>
      <c r="AH202" s="512">
        <f t="shared" ca="1" si="105"/>
        <v>0</v>
      </c>
      <c r="AI202" s="512">
        <f t="shared" ca="1" si="106"/>
        <v>0</v>
      </c>
      <c r="AJ202" s="512">
        <f t="shared" ca="1" si="107"/>
        <v>0</v>
      </c>
      <c r="AK202" s="512">
        <f t="shared" ca="1" si="108"/>
        <v>0</v>
      </c>
      <c r="AL202" s="512">
        <f t="shared" ca="1" si="109"/>
        <v>20000</v>
      </c>
      <c r="AM202" s="512">
        <f t="shared" ca="1" si="110"/>
        <v>0</v>
      </c>
      <c r="AN202" s="512">
        <f t="shared" ca="1" si="111"/>
        <v>0</v>
      </c>
      <c r="AO202" s="512">
        <f t="shared" ca="1" si="112"/>
        <v>10000</v>
      </c>
      <c r="AP202" s="512">
        <f t="shared" ca="1" si="113"/>
        <v>0</v>
      </c>
      <c r="AQ202" s="512" t="str">
        <f t="shared" ca="1" si="114"/>
        <v>Contrato</v>
      </c>
      <c r="AR202" s="512"/>
      <c r="AS202" s="512" t="str">
        <f t="shared" ca="1" si="115"/>
        <v>No</v>
      </c>
      <c r="AT202" s="151">
        <f t="shared" ca="1" si="116"/>
        <v>30000</v>
      </c>
      <c r="AU202" s="151">
        <f>IFERROR(VLOOKUP(A202,'[7]TD CuentasBDG'!$N$5:$O$21,2,0),0)</f>
        <v>0</v>
      </c>
      <c r="AV202" t="str">
        <f t="shared" si="117"/>
        <v>Convenio</v>
      </c>
      <c r="AW202" t="s">
        <v>1945</v>
      </c>
      <c r="AX202" t="s">
        <v>1941</v>
      </c>
    </row>
    <row r="203" spans="1:50" ht="45" x14ac:dyDescent="0.25">
      <c r="A203" s="918" t="s">
        <v>1972</v>
      </c>
      <c r="B203" s="508" t="s">
        <v>113</v>
      </c>
      <c r="C203" s="508" t="s">
        <v>103</v>
      </c>
      <c r="D203" s="508" t="s">
        <v>1938</v>
      </c>
      <c r="E203" s="508"/>
      <c r="F203" s="508"/>
      <c r="G203" s="508" t="s">
        <v>1647</v>
      </c>
      <c r="H203" s="508" t="s">
        <v>1973</v>
      </c>
      <c r="I203" s="508" t="s">
        <v>1069</v>
      </c>
      <c r="J203" s="555" t="s">
        <v>1944</v>
      </c>
      <c r="K203" s="555" t="s">
        <v>1651</v>
      </c>
      <c r="L203" s="911">
        <f ca="1">IFERROR(INDEX(Lists!$O$2:$Z$2,MATCH(TRUE,INDEX((AE203:AP203&lt;&gt;0),0),0)),DATE(2018,1,1))</f>
        <v>43221</v>
      </c>
      <c r="M203" s="911">
        <f ca="1">IFERROR(INDEX(Lists!$O$3:$Z$3, VALUE(SUBSTITUTE(TEXT(ADDRESS(SUMPRODUCT(MAX((COLUMN(AE203:AP203)*(AE203:AP203&gt;0)))),1),),"$A$",""))-30),DATE(2018,1,1))</f>
        <v>43434</v>
      </c>
      <c r="N203" s="508" t="s">
        <v>1945</v>
      </c>
      <c r="O203" s="590" t="s">
        <v>1653</v>
      </c>
      <c r="P203" s="508" t="s">
        <v>1071</v>
      </c>
      <c r="Q203" s="508" t="s">
        <v>1071</v>
      </c>
      <c r="R203" s="508" t="str">
        <f t="shared" ca="1" si="90"/>
        <v>Special Need 2</v>
      </c>
      <c r="S203" s="508" t="str">
        <f t="shared" ca="1" si="91"/>
        <v>Traditional food and medicine</v>
      </c>
      <c r="T203" s="508">
        <f t="shared" ca="1" si="92"/>
        <v>0</v>
      </c>
      <c r="U203" s="508" t="str">
        <f t="shared" ca="1" si="93"/>
        <v>684 / 51-11-3342</v>
      </c>
      <c r="V203" s="508" t="str">
        <f t="shared" ca="1" si="94"/>
        <v>Agreement/Convenio</v>
      </c>
      <c r="W203" s="508" t="str">
        <f t="shared" ca="1" si="95"/>
        <v>no</v>
      </c>
      <c r="X203" s="508" t="str">
        <f t="shared" ca="1" si="96"/>
        <v>Mar</v>
      </c>
      <c r="Y203" s="508" t="str">
        <f t="shared" ca="1" si="97"/>
        <v>Abr</v>
      </c>
      <c r="Z203" s="508" t="str">
        <f t="shared" ca="1" si="98"/>
        <v>May</v>
      </c>
      <c r="AA203" s="508" t="str">
        <f t="shared" ca="1" si="99"/>
        <v>May</v>
      </c>
      <c r="AB203" s="508">
        <f t="shared" ca="1" si="89"/>
        <v>7</v>
      </c>
      <c r="AC203" s="508">
        <f t="shared" ca="1" si="100"/>
        <v>0</v>
      </c>
      <c r="AD203" s="912">
        <f t="shared" ca="1" si="101"/>
        <v>50000</v>
      </c>
      <c r="AE203" s="512">
        <f t="shared" ca="1" si="102"/>
        <v>0</v>
      </c>
      <c r="AF203" s="512">
        <f t="shared" ca="1" si="103"/>
        <v>0</v>
      </c>
      <c r="AG203" s="512">
        <f t="shared" ca="1" si="104"/>
        <v>0</v>
      </c>
      <c r="AH203" s="512">
        <f t="shared" ca="1" si="105"/>
        <v>0</v>
      </c>
      <c r="AI203" s="512">
        <f t="shared" ca="1" si="106"/>
        <v>20000</v>
      </c>
      <c r="AJ203" s="512">
        <f t="shared" ca="1" si="107"/>
        <v>0</v>
      </c>
      <c r="AK203" s="512">
        <f t="shared" ca="1" si="108"/>
        <v>20000</v>
      </c>
      <c r="AL203" s="512">
        <f t="shared" ca="1" si="109"/>
        <v>0</v>
      </c>
      <c r="AM203" s="512">
        <f t="shared" ca="1" si="110"/>
        <v>0</v>
      </c>
      <c r="AN203" s="512">
        <f t="shared" ca="1" si="111"/>
        <v>0</v>
      </c>
      <c r="AO203" s="512">
        <f t="shared" ca="1" si="112"/>
        <v>10000</v>
      </c>
      <c r="AP203" s="512">
        <f t="shared" ca="1" si="113"/>
        <v>0</v>
      </c>
      <c r="AQ203" s="512" t="str">
        <f t="shared" ca="1" si="114"/>
        <v>Orden de Servicio Sin Terreno</v>
      </c>
      <c r="AR203" s="512"/>
      <c r="AS203" s="512" t="str">
        <f t="shared" ca="1" si="115"/>
        <v>No</v>
      </c>
      <c r="AT203" s="151">
        <f t="shared" ca="1" si="116"/>
        <v>50000</v>
      </c>
      <c r="AU203" s="151">
        <f>IFERROR(VLOOKUP(A203,'[7]TD CuentasBDG'!$N$5:$O$21,2,0),0)</f>
        <v>0</v>
      </c>
      <c r="AV203" t="str">
        <f t="shared" si="117"/>
        <v>Convenio</v>
      </c>
      <c r="AW203" t="s">
        <v>1945</v>
      </c>
      <c r="AX203" t="s">
        <v>1941</v>
      </c>
    </row>
    <row r="204" spans="1:50" ht="30" x14ac:dyDescent="0.25">
      <c r="A204" s="918" t="s">
        <v>1974</v>
      </c>
      <c r="B204" s="508" t="s">
        <v>113</v>
      </c>
      <c r="C204" s="508" t="s">
        <v>103</v>
      </c>
      <c r="D204" s="508" t="s">
        <v>1938</v>
      </c>
      <c r="E204" s="508"/>
      <c r="F204" s="508"/>
      <c r="G204" s="508" t="s">
        <v>1647</v>
      </c>
      <c r="H204" s="508" t="s">
        <v>1975</v>
      </c>
      <c r="I204" s="508" t="s">
        <v>1070</v>
      </c>
      <c r="J204" s="555" t="s">
        <v>1650</v>
      </c>
      <c r="K204" s="555" t="s">
        <v>1651</v>
      </c>
      <c r="L204" s="911">
        <f ca="1">IFERROR(INDEX(Lists!$O$2:$Z$2,MATCH(TRUE,INDEX((AE204:AP204&lt;&gt;0),0),0)),DATE(2018,1,1))</f>
        <v>43252</v>
      </c>
      <c r="M204" s="911">
        <f ca="1">IFERROR(INDEX(Lists!$O$3:$Z$3, VALUE(SUBSTITUTE(TEXT(ADDRESS(SUMPRODUCT(MAX((COLUMN(AE204:AP204)*(AE204:AP204&gt;0)))),1),),"$A$",""))-30),DATE(2018,1,1))</f>
        <v>43465</v>
      </c>
      <c r="N204" s="508" t="s">
        <v>1668</v>
      </c>
      <c r="O204" s="590" t="s">
        <v>1653</v>
      </c>
      <c r="P204" s="508" t="s">
        <v>1676</v>
      </c>
      <c r="Q204" s="508" t="s">
        <v>1676</v>
      </c>
      <c r="R204" s="508" t="str">
        <f t="shared" ca="1" si="90"/>
        <v>Special Need 3</v>
      </c>
      <c r="S204" s="508" t="str">
        <f t="shared" ca="1" si="91"/>
        <v xml:space="preserve">Sustainable Tourism </v>
      </c>
      <c r="T204" s="508">
        <f t="shared" ca="1" si="92"/>
        <v>0</v>
      </c>
      <c r="U204" s="508" t="str">
        <f t="shared" ca="1" si="93"/>
        <v>684 / 51-11-3342</v>
      </c>
      <c r="V204" s="508" t="str">
        <f t="shared" ca="1" si="94"/>
        <v>Bidding/Licitación</v>
      </c>
      <c r="W204" s="508" t="str">
        <f t="shared" ca="1" si="95"/>
        <v>No</v>
      </c>
      <c r="X204" s="508" t="str">
        <f t="shared" ca="1" si="96"/>
        <v>Mar</v>
      </c>
      <c r="Y204" s="508" t="str">
        <f t="shared" ca="1" si="97"/>
        <v>Abr</v>
      </c>
      <c r="Z204" s="508" t="str">
        <f t="shared" ca="1" si="98"/>
        <v>May</v>
      </c>
      <c r="AA204" s="508" t="str">
        <f t="shared" ca="1" si="99"/>
        <v>May</v>
      </c>
      <c r="AB204" s="508">
        <f t="shared" ca="1" si="89"/>
        <v>7</v>
      </c>
      <c r="AC204" s="508">
        <f t="shared" ca="1" si="100"/>
        <v>0</v>
      </c>
      <c r="AD204" s="912">
        <f t="shared" ca="1" si="101"/>
        <v>50000</v>
      </c>
      <c r="AE204" s="512">
        <f t="shared" ca="1" si="102"/>
        <v>0</v>
      </c>
      <c r="AF204" s="512">
        <f t="shared" ca="1" si="103"/>
        <v>0</v>
      </c>
      <c r="AG204" s="512">
        <f t="shared" ca="1" si="104"/>
        <v>0</v>
      </c>
      <c r="AH204" s="512">
        <f t="shared" ca="1" si="105"/>
        <v>0</v>
      </c>
      <c r="AI204" s="512">
        <f t="shared" ca="1" si="106"/>
        <v>0</v>
      </c>
      <c r="AJ204" s="512">
        <f t="shared" ca="1" si="107"/>
        <v>20000</v>
      </c>
      <c r="AK204" s="512">
        <f t="shared" ca="1" si="108"/>
        <v>0</v>
      </c>
      <c r="AL204" s="512">
        <f t="shared" ca="1" si="109"/>
        <v>0</v>
      </c>
      <c r="AM204" s="512">
        <f t="shared" ca="1" si="110"/>
        <v>20000</v>
      </c>
      <c r="AN204" s="512">
        <f t="shared" ca="1" si="111"/>
        <v>0</v>
      </c>
      <c r="AO204" s="512">
        <f t="shared" ca="1" si="112"/>
        <v>0</v>
      </c>
      <c r="AP204" s="512">
        <f t="shared" ca="1" si="113"/>
        <v>10000</v>
      </c>
      <c r="AQ204" s="512" t="str">
        <f t="shared" ca="1" si="114"/>
        <v>Contrato</v>
      </c>
      <c r="AR204" s="512"/>
      <c r="AS204" s="512" t="str">
        <f t="shared" ca="1" si="115"/>
        <v>No</v>
      </c>
      <c r="AT204" s="151">
        <f t="shared" ca="1" si="116"/>
        <v>50000</v>
      </c>
      <c r="AU204" s="151">
        <f>IFERROR(VLOOKUP(A204,'[7]TD CuentasBDG'!$N$5:$O$21,2,0),0)</f>
        <v>0</v>
      </c>
      <c r="AV204" t="str">
        <f t="shared" ca="1" si="117"/>
        <v>Licitación</v>
      </c>
      <c r="AW204" t="s">
        <v>1690</v>
      </c>
      <c r="AX204" t="s">
        <v>1941</v>
      </c>
    </row>
    <row r="205" spans="1:50" ht="45" x14ac:dyDescent="0.25">
      <c r="A205" s="918" t="s">
        <v>1976</v>
      </c>
      <c r="B205" s="508" t="s">
        <v>113</v>
      </c>
      <c r="C205" s="508" t="s">
        <v>103</v>
      </c>
      <c r="D205" s="508" t="s">
        <v>1938</v>
      </c>
      <c r="E205" s="508"/>
      <c r="F205" s="508"/>
      <c r="G205" s="508" t="s">
        <v>1647</v>
      </c>
      <c r="H205" s="508" t="s">
        <v>1977</v>
      </c>
      <c r="I205" s="508" t="s">
        <v>1077</v>
      </c>
      <c r="J205" s="555" t="s">
        <v>1650</v>
      </c>
      <c r="K205" s="555" t="s">
        <v>1651</v>
      </c>
      <c r="L205" s="911">
        <f ca="1">IFERROR(INDEX(Lists!$O$2:$Z$2,MATCH(TRUE,INDEX((AE205:AP205&lt;&gt;0),0),0)),DATE(2018,1,1))</f>
        <v>43221</v>
      </c>
      <c r="M205" s="911">
        <f ca="1">IFERROR(INDEX(Lists!$O$3:$Z$3, VALUE(SUBSTITUTE(TEXT(ADDRESS(SUMPRODUCT(MAX((COLUMN(AE205:AP205)*(AE205:AP205&gt;0)))),1),),"$A$",""))-30),DATE(2018,1,1))</f>
        <v>43434</v>
      </c>
      <c r="N205" s="913" t="s">
        <v>1652</v>
      </c>
      <c r="O205" s="590" t="s">
        <v>1653</v>
      </c>
      <c r="P205" s="508" t="s">
        <v>1676</v>
      </c>
      <c r="Q205" s="508" t="s">
        <v>1676</v>
      </c>
      <c r="R205" s="508" t="str">
        <f t="shared" ca="1" si="90"/>
        <v>Special Need 1</v>
      </c>
      <c r="S205" s="508" t="str">
        <f t="shared" ca="1" si="91"/>
        <v>Sustainable Province</v>
      </c>
      <c r="T205" s="508">
        <f t="shared" ca="1" si="92"/>
        <v>0</v>
      </c>
      <c r="U205" s="508" t="str">
        <f t="shared" ca="1" si="93"/>
        <v>684 / 51-11-3342</v>
      </c>
      <c r="V205" s="508" t="str">
        <f t="shared" ca="1" si="94"/>
        <v>Contract Renewal/Renovación de Contrato</v>
      </c>
      <c r="W205" s="508" t="str">
        <f t="shared" ca="1" si="95"/>
        <v>no</v>
      </c>
      <c r="X205" s="508" t="str">
        <f t="shared" ca="1" si="96"/>
        <v>Mar</v>
      </c>
      <c r="Y205" s="508" t="str">
        <f t="shared" ca="1" si="97"/>
        <v>Abr</v>
      </c>
      <c r="Z205" s="508" t="str">
        <f t="shared" ca="1" si="98"/>
        <v>May</v>
      </c>
      <c r="AA205" s="508" t="str">
        <f t="shared" ca="1" si="99"/>
        <v>May</v>
      </c>
      <c r="AB205" s="508">
        <f t="shared" ca="1" si="89"/>
        <v>7</v>
      </c>
      <c r="AC205" s="508">
        <f t="shared" ca="1" si="100"/>
        <v>0</v>
      </c>
      <c r="AD205" s="912">
        <f t="shared" ca="1" si="101"/>
        <v>230000</v>
      </c>
      <c r="AE205" s="512">
        <f t="shared" ca="1" si="102"/>
        <v>0</v>
      </c>
      <c r="AF205" s="512">
        <f t="shared" ca="1" si="103"/>
        <v>0</v>
      </c>
      <c r="AG205" s="512">
        <f t="shared" ca="1" si="104"/>
        <v>0</v>
      </c>
      <c r="AH205" s="512">
        <f t="shared" ca="1" si="105"/>
        <v>0</v>
      </c>
      <c r="AI205" s="512">
        <f t="shared" ca="1" si="106"/>
        <v>80000</v>
      </c>
      <c r="AJ205" s="512">
        <f t="shared" ca="1" si="107"/>
        <v>0</v>
      </c>
      <c r="AK205" s="512">
        <f t="shared" ca="1" si="108"/>
        <v>0</v>
      </c>
      <c r="AL205" s="512">
        <f t="shared" ca="1" si="109"/>
        <v>80000</v>
      </c>
      <c r="AM205" s="512">
        <f t="shared" ca="1" si="110"/>
        <v>0</v>
      </c>
      <c r="AN205" s="512">
        <f t="shared" ca="1" si="111"/>
        <v>0</v>
      </c>
      <c r="AO205" s="512">
        <f t="shared" ca="1" si="112"/>
        <v>70000</v>
      </c>
      <c r="AP205" s="512">
        <f t="shared" ca="1" si="113"/>
        <v>0</v>
      </c>
      <c r="AQ205" s="512" t="str">
        <f t="shared" ca="1" si="114"/>
        <v>Contrato</v>
      </c>
      <c r="AR205" s="512"/>
      <c r="AS205" s="512" t="str">
        <f t="shared" ca="1" si="115"/>
        <v>Si</v>
      </c>
      <c r="AT205" s="151">
        <f t="shared" ca="1" si="116"/>
        <v>230000</v>
      </c>
      <c r="AU205" s="151">
        <f>IFERROR(VLOOKUP(A205,'[7]TD CuentasBDG'!$N$5:$O$21,2,0),0)</f>
        <v>0</v>
      </c>
      <c r="AV205" t="str">
        <f t="shared" si="117"/>
        <v>Renovación de Contrato</v>
      </c>
      <c r="AW205" t="s">
        <v>1690</v>
      </c>
      <c r="AX205" t="s">
        <v>1941</v>
      </c>
    </row>
    <row r="206" spans="1:50" ht="135" x14ac:dyDescent="0.25">
      <c r="A206" s="918" t="s">
        <v>1978</v>
      </c>
      <c r="B206" s="508" t="s">
        <v>113</v>
      </c>
      <c r="C206" s="508" t="s">
        <v>106</v>
      </c>
      <c r="D206" s="508" t="s">
        <v>1979</v>
      </c>
      <c r="E206" s="508"/>
      <c r="F206" s="508"/>
      <c r="G206" s="508" t="s">
        <v>1647</v>
      </c>
      <c r="H206" s="508" t="s">
        <v>1278</v>
      </c>
      <c r="I206" s="508" t="s">
        <v>1980</v>
      </c>
      <c r="J206" s="555" t="s">
        <v>1773</v>
      </c>
      <c r="K206" s="555" t="s">
        <v>1651</v>
      </c>
      <c r="L206" s="911">
        <f ca="1">IFERROR(INDEX(Lists!$O$2:$Z$2,MATCH(TRUE,INDEX((AE206:AP206&lt;&gt;0),0),0)),DATE(2018,1,1))</f>
        <v>43102</v>
      </c>
      <c r="M206" s="911">
        <f ca="1">IFERROR(INDEX(Lists!$O$3:$Z$3, VALUE(SUBSTITUTE(TEXT(ADDRESS(SUMPRODUCT(MAX((COLUMN(AE206:AP206)*(AE206:AP206&gt;0)))),1),),"$A$",""))-30),DATE(2018,1,1))</f>
        <v>43465</v>
      </c>
      <c r="N206" s="913" t="s">
        <v>1652</v>
      </c>
      <c r="O206" s="590" t="s">
        <v>1653</v>
      </c>
      <c r="P206" s="508" t="s">
        <v>1071</v>
      </c>
      <c r="Q206" s="508" t="s">
        <v>1676</v>
      </c>
      <c r="R206" s="508" t="str">
        <f t="shared" ca="1" si="90"/>
        <v>Senior engagement consultant 1</v>
      </c>
      <c r="S206" s="508" t="str">
        <f t="shared" ca="1" si="91"/>
        <v>Advisory to increase engagement effectiveness</v>
      </c>
      <c r="T206" s="508" t="str">
        <f t="shared" ca="1" si="92"/>
        <v>Contract with senior advisor/Contract with senior advisor/Senior advisor for engagement, social dialogue and development programs with wide experience on minning and other companies in Chile and outside</v>
      </c>
      <c r="U206" s="508" t="str">
        <f t="shared" ca="1" si="93"/>
        <v>51-11-3343</v>
      </c>
      <c r="V206" s="508" t="str">
        <f t="shared" ca="1" si="94"/>
        <v>Active OC</v>
      </c>
      <c r="W206" s="508">
        <f t="shared" ca="1" si="95"/>
        <v>0</v>
      </c>
      <c r="X206" s="508" t="str">
        <f t="shared" ca="1" si="96"/>
        <v>N/A</v>
      </c>
      <c r="Y206" s="508" t="str">
        <f t="shared" ca="1" si="97"/>
        <v>Ene</v>
      </c>
      <c r="Z206" s="508" t="str">
        <f t="shared" ca="1" si="98"/>
        <v>Nov</v>
      </c>
      <c r="AA206" s="508" t="str">
        <f t="shared" ca="1" si="99"/>
        <v>N/A</v>
      </c>
      <c r="AB206" s="508">
        <f t="shared" ca="1" si="89"/>
        <v>12</v>
      </c>
      <c r="AC206" s="508">
        <f t="shared" ca="1" si="100"/>
        <v>0</v>
      </c>
      <c r="AD206" s="912">
        <f t="shared" ca="1" si="101"/>
        <v>99999.995999999999</v>
      </c>
      <c r="AE206" s="512">
        <f t="shared" ca="1" si="102"/>
        <v>8333.3330000000005</v>
      </c>
      <c r="AF206" s="512">
        <f t="shared" ca="1" si="103"/>
        <v>8333.3330000000005</v>
      </c>
      <c r="AG206" s="512">
        <f t="shared" ca="1" si="104"/>
        <v>8333.3330000000005</v>
      </c>
      <c r="AH206" s="512">
        <f t="shared" ca="1" si="105"/>
        <v>8333.3330000000005</v>
      </c>
      <c r="AI206" s="512">
        <f t="shared" ca="1" si="106"/>
        <v>8333.3330000000005</v>
      </c>
      <c r="AJ206" s="512">
        <f t="shared" ca="1" si="107"/>
        <v>8333.3330000000005</v>
      </c>
      <c r="AK206" s="512">
        <f t="shared" ca="1" si="108"/>
        <v>8333.3330000000005</v>
      </c>
      <c r="AL206" s="512">
        <f t="shared" ca="1" si="109"/>
        <v>8333.3330000000005</v>
      </c>
      <c r="AM206" s="512">
        <f t="shared" ca="1" si="110"/>
        <v>8333.3330000000005</v>
      </c>
      <c r="AN206" s="512">
        <f t="shared" ca="1" si="111"/>
        <v>8333.3330000000005</v>
      </c>
      <c r="AO206" s="512">
        <f t="shared" ca="1" si="112"/>
        <v>8333.3330000000005</v>
      </c>
      <c r="AP206" s="512">
        <f t="shared" ca="1" si="113"/>
        <v>8333.3330000000005</v>
      </c>
      <c r="AQ206" s="512" t="str">
        <f t="shared" ca="1" si="114"/>
        <v>Contrato</v>
      </c>
      <c r="AR206" s="512"/>
      <c r="AS206" s="512" t="str">
        <f t="shared" ca="1" si="115"/>
        <v>Si</v>
      </c>
      <c r="AT206" s="151">
        <f t="shared" ca="1" si="116"/>
        <v>99999.995999999999</v>
      </c>
      <c r="AU206" s="151">
        <f>IFERROR(VLOOKUP(A206,'[7]TD CuentasBDG'!$N$5:$O$21,2,0),0)</f>
        <v>0</v>
      </c>
      <c r="AV206" t="str">
        <f t="shared" si="117"/>
        <v>Renovación de Contrato</v>
      </c>
      <c r="AW206" t="s">
        <v>1690</v>
      </c>
      <c r="AX206" t="s">
        <v>1655</v>
      </c>
    </row>
    <row r="207" spans="1:50" ht="135" x14ac:dyDescent="0.25">
      <c r="A207" s="918" t="s">
        <v>1981</v>
      </c>
      <c r="B207" s="508" t="s">
        <v>113</v>
      </c>
      <c r="C207" s="508" t="s">
        <v>106</v>
      </c>
      <c r="D207" s="508" t="s">
        <v>1979</v>
      </c>
      <c r="E207" s="508"/>
      <c r="F207" s="508"/>
      <c r="G207" s="508" t="s">
        <v>1647</v>
      </c>
      <c r="H207" s="508" t="s">
        <v>1278</v>
      </c>
      <c r="I207" s="508" t="s">
        <v>1980</v>
      </c>
      <c r="J207" s="555" t="s">
        <v>1773</v>
      </c>
      <c r="K207" s="555" t="s">
        <v>1651</v>
      </c>
      <c r="L207" s="911">
        <f ca="1">IFERROR(INDEX(Lists!$O$2:$Z$2,MATCH(TRUE,INDEX((AE207:AP207&lt;&gt;0),0),0)),DATE(2018,1,1))</f>
        <v>43160</v>
      </c>
      <c r="M207" s="911">
        <f ca="1">IFERROR(INDEX(Lists!$O$3:$Z$3, VALUE(SUBSTITUTE(TEXT(ADDRESS(SUMPRODUCT(MAX((COLUMN(AE207:AP207)*(AE207:AP207&gt;0)))),1),),"$A$",""))-30),DATE(2018,1,1))</f>
        <v>43465</v>
      </c>
      <c r="N207" s="913" t="s">
        <v>1683</v>
      </c>
      <c r="O207" s="590" t="s">
        <v>1653</v>
      </c>
      <c r="P207" s="508" t="s">
        <v>1071</v>
      </c>
      <c r="Q207" s="508" t="s">
        <v>1676</v>
      </c>
      <c r="R207" s="508" t="str">
        <f t="shared" ca="1" si="90"/>
        <v>Senior engagement consultant 2</v>
      </c>
      <c r="S207" s="508" t="str">
        <f t="shared" ca="1" si="91"/>
        <v>Advisory to increase engagement effectiveness</v>
      </c>
      <c r="T207" s="508" t="str">
        <f t="shared" ca="1" si="92"/>
        <v>Contract with senior advisor/Contract with senior advisor/Senior advisor for engagement, social dialogue and development programs with wide experience on minning and other companies in Chile and outside</v>
      </c>
      <c r="U207" s="508" t="str">
        <f t="shared" ca="1" si="93"/>
        <v>51-11-3343</v>
      </c>
      <c r="V207" s="508" t="str">
        <f t="shared" ca="1" si="94"/>
        <v>Bid Ct</v>
      </c>
      <c r="W207" s="508">
        <f t="shared" ca="1" si="95"/>
        <v>0</v>
      </c>
      <c r="X207" s="508" t="str">
        <f t="shared" ca="1" si="96"/>
        <v>N/A</v>
      </c>
      <c r="Y207" s="508" t="str">
        <f t="shared" ca="1" si="97"/>
        <v>N/A</v>
      </c>
      <c r="Z207" s="508" t="str">
        <f t="shared" ca="1" si="98"/>
        <v>N/A</v>
      </c>
      <c r="AA207" s="508" t="str">
        <f t="shared" ca="1" si="99"/>
        <v>Ene</v>
      </c>
      <c r="AB207" s="508">
        <f t="shared" ca="1" si="89"/>
        <v>10</v>
      </c>
      <c r="AC207" s="508">
        <f t="shared" ca="1" si="100"/>
        <v>0</v>
      </c>
      <c r="AD207" s="912">
        <f t="shared" ca="1" si="101"/>
        <v>80000</v>
      </c>
      <c r="AE207" s="512">
        <f t="shared" ca="1" si="102"/>
        <v>0</v>
      </c>
      <c r="AF207" s="512">
        <f t="shared" ca="1" si="103"/>
        <v>0</v>
      </c>
      <c r="AG207" s="512">
        <f t="shared" ca="1" si="104"/>
        <v>8000</v>
      </c>
      <c r="AH207" s="512">
        <f t="shared" ca="1" si="105"/>
        <v>8000</v>
      </c>
      <c r="AI207" s="512">
        <f t="shared" ca="1" si="106"/>
        <v>8000</v>
      </c>
      <c r="AJ207" s="512">
        <f t="shared" ca="1" si="107"/>
        <v>8000</v>
      </c>
      <c r="AK207" s="512">
        <f t="shared" ca="1" si="108"/>
        <v>8000</v>
      </c>
      <c r="AL207" s="512">
        <f t="shared" ca="1" si="109"/>
        <v>8000</v>
      </c>
      <c r="AM207" s="512">
        <f t="shared" ca="1" si="110"/>
        <v>8000</v>
      </c>
      <c r="AN207" s="512">
        <f t="shared" ca="1" si="111"/>
        <v>8000</v>
      </c>
      <c r="AO207" s="512">
        <f t="shared" ca="1" si="112"/>
        <v>8000</v>
      </c>
      <c r="AP207" s="512">
        <f t="shared" ca="1" si="113"/>
        <v>8000</v>
      </c>
      <c r="AQ207" s="512" t="str">
        <f t="shared" ca="1" si="114"/>
        <v>Contrato</v>
      </c>
      <c r="AR207" s="512"/>
      <c r="AS207" s="512" t="str">
        <f t="shared" ca="1" si="115"/>
        <v>Si</v>
      </c>
      <c r="AT207" s="151">
        <f t="shared" ca="1" si="116"/>
        <v>80000</v>
      </c>
      <c r="AU207" s="151">
        <f>IFERROR(VLOOKUP(A207,'[7]TD CuentasBDG'!$N$5:$O$21,2,0),0)</f>
        <v>0</v>
      </c>
      <c r="AV207" t="str">
        <f t="shared" si="117"/>
        <v>Adjudicación Directa</v>
      </c>
      <c r="AW207" t="s">
        <v>1690</v>
      </c>
      <c r="AX207" t="s">
        <v>1655</v>
      </c>
    </row>
    <row r="208" spans="1:50" ht="60" x14ac:dyDescent="0.25">
      <c r="A208" s="918" t="s">
        <v>1982</v>
      </c>
      <c r="B208" s="508" t="s">
        <v>113</v>
      </c>
      <c r="C208" s="508" t="s">
        <v>106</v>
      </c>
      <c r="D208" s="508" t="s">
        <v>1979</v>
      </c>
      <c r="E208" s="508"/>
      <c r="F208" s="508"/>
      <c r="G208" s="508" t="s">
        <v>1647</v>
      </c>
      <c r="H208" s="508" t="s">
        <v>1281</v>
      </c>
      <c r="I208" s="508" t="s">
        <v>1983</v>
      </c>
      <c r="J208" s="555" t="s">
        <v>1773</v>
      </c>
      <c r="K208" s="555" t="s">
        <v>1651</v>
      </c>
      <c r="L208" s="911">
        <f ca="1">IFERROR(INDEX(Lists!$O$2:$Z$2,MATCH(TRUE,INDEX((AE208:AP208&lt;&gt;0),0),0)),DATE(2018,1,1))</f>
        <v>43160</v>
      </c>
      <c r="M208" s="911">
        <f ca="1">IFERROR(INDEX(Lists!$O$3:$Z$3, VALUE(SUBSTITUTE(TEXT(ADDRESS(SUMPRODUCT(MAX((COLUMN(AE208:AP208)*(AE208:AP208&gt;0)))),1),),"$A$",""))-30),DATE(2018,1,1))</f>
        <v>43465</v>
      </c>
      <c r="N208" s="913" t="s">
        <v>1652</v>
      </c>
      <c r="O208" s="590" t="s">
        <v>1984</v>
      </c>
      <c r="P208" s="508" t="s">
        <v>1071</v>
      </c>
      <c r="Q208" s="508" t="s">
        <v>1071</v>
      </c>
      <c r="R208" s="508" t="str">
        <f t="shared" ca="1" si="90"/>
        <v>Senior Human Rights consultant</v>
      </c>
      <c r="S208" s="508" t="str">
        <f t="shared" ca="1" si="91"/>
        <v>Advisory to support Human Rights implementation</v>
      </c>
      <c r="T208" s="508" t="str">
        <f t="shared" ca="1" si="92"/>
        <v>Contract with senior international institution /Contract with senior international institution /Senior advisor that supports during different project stages</v>
      </c>
      <c r="U208" s="508" t="str">
        <f t="shared" ca="1" si="93"/>
        <v>51-11-3343</v>
      </c>
      <c r="V208" s="508" t="str">
        <f t="shared" ca="1" si="94"/>
        <v>Bid Ct</v>
      </c>
      <c r="W208" s="508">
        <f t="shared" ca="1" si="95"/>
        <v>0</v>
      </c>
      <c r="X208" s="508" t="str">
        <f t="shared" ca="1" si="96"/>
        <v>N/A</v>
      </c>
      <c r="Y208" s="508" t="str">
        <f t="shared" ca="1" si="97"/>
        <v>N/A</v>
      </c>
      <c r="Z208" s="508" t="str">
        <f t="shared" ca="1" si="98"/>
        <v>N/A</v>
      </c>
      <c r="AA208" s="508" t="str">
        <f t="shared" ca="1" si="99"/>
        <v>Ene</v>
      </c>
      <c r="AB208" s="508">
        <f t="shared" ca="1" si="89"/>
        <v>10</v>
      </c>
      <c r="AC208" s="508">
        <f t="shared" ca="1" si="100"/>
        <v>0</v>
      </c>
      <c r="AD208" s="912">
        <f t="shared" ca="1" si="101"/>
        <v>240000</v>
      </c>
      <c r="AE208" s="512">
        <f t="shared" ca="1" si="102"/>
        <v>0</v>
      </c>
      <c r="AF208" s="512">
        <f t="shared" ca="1" si="103"/>
        <v>0</v>
      </c>
      <c r="AG208" s="512">
        <f t="shared" ca="1" si="104"/>
        <v>60000</v>
      </c>
      <c r="AH208" s="512">
        <f t="shared" ca="1" si="105"/>
        <v>0</v>
      </c>
      <c r="AI208" s="512">
        <f t="shared" ca="1" si="106"/>
        <v>0</v>
      </c>
      <c r="AJ208" s="512">
        <f t="shared" ca="1" si="107"/>
        <v>60000</v>
      </c>
      <c r="AK208" s="512">
        <f t="shared" ca="1" si="108"/>
        <v>0</v>
      </c>
      <c r="AL208" s="512">
        <f t="shared" ca="1" si="109"/>
        <v>0</v>
      </c>
      <c r="AM208" s="512">
        <f t="shared" ca="1" si="110"/>
        <v>60000</v>
      </c>
      <c r="AN208" s="512">
        <f t="shared" ca="1" si="111"/>
        <v>0</v>
      </c>
      <c r="AO208" s="512">
        <f t="shared" ca="1" si="112"/>
        <v>0</v>
      </c>
      <c r="AP208" s="512">
        <f t="shared" ca="1" si="113"/>
        <v>60000</v>
      </c>
      <c r="AQ208" s="512" t="str">
        <f t="shared" ca="1" si="114"/>
        <v>Contrato</v>
      </c>
      <c r="AR208" s="512"/>
      <c r="AS208" s="512" t="str">
        <f t="shared" ca="1" si="115"/>
        <v>Si</v>
      </c>
      <c r="AT208" s="151">
        <f t="shared" ca="1" si="116"/>
        <v>240000</v>
      </c>
      <c r="AU208" s="151">
        <f>IFERROR(VLOOKUP(A208,'[7]TD CuentasBDG'!$N$5:$O$21,2,0),0)</f>
        <v>0</v>
      </c>
      <c r="AV208" t="str">
        <f t="shared" si="117"/>
        <v>Renovación de Contrato</v>
      </c>
      <c r="AW208" t="s">
        <v>1690</v>
      </c>
      <c r="AX208" t="s">
        <v>1655</v>
      </c>
    </row>
    <row r="209" spans="1:51" ht="30" x14ac:dyDescent="0.25">
      <c r="A209" s="918" t="s">
        <v>1985</v>
      </c>
      <c r="B209" s="508" t="s">
        <v>113</v>
      </c>
      <c r="C209" s="508" t="s">
        <v>106</v>
      </c>
      <c r="D209" s="508" t="s">
        <v>1979</v>
      </c>
      <c r="E209" s="508"/>
      <c r="F209" s="508"/>
      <c r="G209" s="508" t="s">
        <v>1665</v>
      </c>
      <c r="H209" s="508"/>
      <c r="I209" s="508"/>
      <c r="J209" s="555"/>
      <c r="K209" s="555"/>
      <c r="L209" s="911">
        <f ca="1">IFERROR(INDEX(Lists!$O$2:$Z$2,MATCH(TRUE,INDEX((AE209:AP209&lt;&gt;0),0),0)),DATE(2018,1,1))</f>
        <v>43102</v>
      </c>
      <c r="M209" s="911">
        <f ca="1">IFERROR(INDEX(Lists!$O$3:$Z$3, VALUE(SUBSTITUTE(TEXT(ADDRESS(SUMPRODUCT(MAX((COLUMN(AE209:AP209)*(AE209:AP209&gt;0)))),1),),"$A$",""))-30),DATE(2018,1,1))</f>
        <v>43465</v>
      </c>
      <c r="N209" s="508"/>
      <c r="O209" s="508"/>
      <c r="P209" s="508"/>
      <c r="Q209" s="508"/>
      <c r="R209" s="508" t="str">
        <f t="shared" ca="1" si="90"/>
        <v>Direct payment for animals accidents</v>
      </c>
      <c r="S209" s="508" t="str">
        <f t="shared" ca="1" si="91"/>
        <v>Direct payment to involved people</v>
      </c>
      <c r="T209" s="508" t="str">
        <f t="shared" ca="1" si="92"/>
        <v>Market price for the animal affected/Estimated monthly payment</v>
      </c>
      <c r="U209" s="508" t="str">
        <f t="shared" ca="1" si="93"/>
        <v>51-11-3343</v>
      </c>
      <c r="V209" s="508">
        <f t="shared" ca="1" si="94"/>
        <v>0</v>
      </c>
      <c r="W209" s="508">
        <f t="shared" ca="1" si="95"/>
        <v>0</v>
      </c>
      <c r="X209" s="508" t="str">
        <f t="shared" ca="1" si="96"/>
        <v>N/A</v>
      </c>
      <c r="Y209" s="508" t="str">
        <f t="shared" ca="1" si="97"/>
        <v>N/A</v>
      </c>
      <c r="Z209" s="508" t="str">
        <f t="shared" ca="1" si="98"/>
        <v>N/A</v>
      </c>
      <c r="AA209" s="508" t="str">
        <f t="shared" ca="1" si="99"/>
        <v>Ene</v>
      </c>
      <c r="AB209" s="508">
        <f t="shared" ca="1" si="89"/>
        <v>12</v>
      </c>
      <c r="AC209" s="508">
        <f t="shared" ca="1" si="100"/>
        <v>0</v>
      </c>
      <c r="AD209" s="912">
        <f t="shared" ca="1" si="101"/>
        <v>9999.9959999999992</v>
      </c>
      <c r="AE209" s="512">
        <f t="shared" ca="1" si="102"/>
        <v>833.33299999999997</v>
      </c>
      <c r="AF209" s="512">
        <f t="shared" ca="1" si="103"/>
        <v>833.33299999999997</v>
      </c>
      <c r="AG209" s="512">
        <f t="shared" ca="1" si="104"/>
        <v>833.33299999999997</v>
      </c>
      <c r="AH209" s="512">
        <f t="shared" ca="1" si="105"/>
        <v>833.33299999999997</v>
      </c>
      <c r="AI209" s="512">
        <f t="shared" ca="1" si="106"/>
        <v>833.33299999999997</v>
      </c>
      <c r="AJ209" s="512">
        <f t="shared" ca="1" si="107"/>
        <v>833.33299999999997</v>
      </c>
      <c r="AK209" s="512">
        <f t="shared" ca="1" si="108"/>
        <v>833.33299999999997</v>
      </c>
      <c r="AL209" s="512">
        <f t="shared" ca="1" si="109"/>
        <v>833.33299999999997</v>
      </c>
      <c r="AM209" s="512">
        <f t="shared" ca="1" si="110"/>
        <v>833.33299999999997</v>
      </c>
      <c r="AN209" s="512">
        <f t="shared" ca="1" si="111"/>
        <v>833.33299999999997</v>
      </c>
      <c r="AO209" s="512">
        <f t="shared" ca="1" si="112"/>
        <v>833.33299999999997</v>
      </c>
      <c r="AP209" s="512">
        <f t="shared" ca="1" si="113"/>
        <v>833.33299999999997</v>
      </c>
      <c r="AQ209" s="512" t="str">
        <f t="shared" si="114"/>
        <v/>
      </c>
      <c r="AR209" s="512"/>
      <c r="AS209" s="512" t="str">
        <f t="shared" si="115"/>
        <v/>
      </c>
      <c r="AT209" s="151">
        <f t="shared" si="116"/>
        <v>0</v>
      </c>
      <c r="AU209" s="151">
        <f>IFERROR(VLOOKUP(A209,'[7]TD CuentasBDG'!$N$5:$O$21,2,0),0)</f>
        <v>0</v>
      </c>
      <c r="AV209">
        <f t="shared" si="117"/>
        <v>0</v>
      </c>
    </row>
    <row r="210" spans="1:51" ht="45" x14ac:dyDescent="0.25">
      <c r="A210" s="918" t="s">
        <v>1986</v>
      </c>
      <c r="B210" s="508" t="s">
        <v>113</v>
      </c>
      <c r="C210" s="508" t="s">
        <v>106</v>
      </c>
      <c r="D210" s="508" t="s">
        <v>1979</v>
      </c>
      <c r="E210" s="508"/>
      <c r="F210" s="508"/>
      <c r="G210" s="508" t="s">
        <v>1665</v>
      </c>
      <c r="H210" s="508"/>
      <c r="I210" s="508"/>
      <c r="J210" s="555"/>
      <c r="K210" s="555"/>
      <c r="L210" s="911">
        <f ca="1">IFERROR(INDEX(Lists!$O$2:$Z$2,MATCH(TRUE,INDEX((AE210:AP210&lt;&gt;0),0),0)),DATE(2018,1,1))</f>
        <v>43102</v>
      </c>
      <c r="M210" s="911">
        <f ca="1">IFERROR(INDEX(Lists!$O$3:$Z$3, VALUE(SUBSTITUTE(TEXT(ADDRESS(SUMPRODUCT(MAX((COLUMN(AE210:AP210)*(AE210:AP210&gt;0)))),1),),"$A$",""))-30),DATE(2018,1,1))</f>
        <v>43465</v>
      </c>
      <c r="N210" s="508"/>
      <c r="O210" s="508"/>
      <c r="P210" s="508"/>
      <c r="Q210" s="508"/>
      <c r="R210" s="508" t="str">
        <f t="shared" ca="1" si="90"/>
        <v>Direct payment for other accidents</v>
      </c>
      <c r="S210" s="508" t="str">
        <f t="shared" ca="1" si="91"/>
        <v>Direct payment to involved people or other</v>
      </c>
      <c r="T210" s="508" t="str">
        <f t="shared" ca="1" si="92"/>
        <v>Market price paid for repairs/Estimated monthly payment</v>
      </c>
      <c r="U210" s="508" t="str">
        <f t="shared" ca="1" si="93"/>
        <v>51-11-3343</v>
      </c>
      <c r="V210" s="508">
        <f t="shared" ca="1" si="94"/>
        <v>0</v>
      </c>
      <c r="W210" s="508">
        <f t="shared" ca="1" si="95"/>
        <v>0</v>
      </c>
      <c r="X210" s="508" t="str">
        <f t="shared" ca="1" si="96"/>
        <v>N/A</v>
      </c>
      <c r="Y210" s="508" t="str">
        <f t="shared" ca="1" si="97"/>
        <v>N/A</v>
      </c>
      <c r="Z210" s="508" t="str">
        <f t="shared" ca="1" si="98"/>
        <v>N/A</v>
      </c>
      <c r="AA210" s="508" t="str">
        <f t="shared" ca="1" si="99"/>
        <v>Ene</v>
      </c>
      <c r="AB210" s="508">
        <f t="shared" ca="1" si="89"/>
        <v>12</v>
      </c>
      <c r="AC210" s="508">
        <f t="shared" ca="1" si="100"/>
        <v>0</v>
      </c>
      <c r="AD210" s="912">
        <f t="shared" ca="1" si="101"/>
        <v>9999.9959999999992</v>
      </c>
      <c r="AE210" s="512">
        <f t="shared" ca="1" si="102"/>
        <v>833.33299999999997</v>
      </c>
      <c r="AF210" s="512">
        <f t="shared" ca="1" si="103"/>
        <v>833.33299999999997</v>
      </c>
      <c r="AG210" s="512">
        <f t="shared" ca="1" si="104"/>
        <v>833.33299999999997</v>
      </c>
      <c r="AH210" s="512">
        <f t="shared" ca="1" si="105"/>
        <v>833.33299999999997</v>
      </c>
      <c r="AI210" s="512">
        <f t="shared" ca="1" si="106"/>
        <v>833.33299999999997</v>
      </c>
      <c r="AJ210" s="512">
        <f t="shared" ca="1" si="107"/>
        <v>833.33299999999997</v>
      </c>
      <c r="AK210" s="512">
        <f t="shared" ca="1" si="108"/>
        <v>833.33299999999997</v>
      </c>
      <c r="AL210" s="512">
        <f t="shared" ca="1" si="109"/>
        <v>833.33299999999997</v>
      </c>
      <c r="AM210" s="512">
        <f t="shared" ca="1" si="110"/>
        <v>833.33299999999997</v>
      </c>
      <c r="AN210" s="512">
        <f t="shared" ca="1" si="111"/>
        <v>833.33299999999997</v>
      </c>
      <c r="AO210" s="512">
        <f t="shared" ca="1" si="112"/>
        <v>833.33299999999997</v>
      </c>
      <c r="AP210" s="512">
        <f t="shared" ca="1" si="113"/>
        <v>833.33299999999997</v>
      </c>
      <c r="AQ210" s="512" t="str">
        <f t="shared" si="114"/>
        <v/>
      </c>
      <c r="AR210" s="512"/>
      <c r="AS210" s="512" t="str">
        <f t="shared" si="115"/>
        <v/>
      </c>
      <c r="AT210" s="151">
        <f t="shared" si="116"/>
        <v>0</v>
      </c>
      <c r="AU210" s="151">
        <f>IFERROR(VLOOKUP(A210,'[7]TD CuentasBDG'!$N$5:$O$21,2,0),0)</f>
        <v>0</v>
      </c>
      <c r="AV210">
        <f t="shared" si="117"/>
        <v>0</v>
      </c>
    </row>
    <row r="211" spans="1:51" ht="45" x14ac:dyDescent="0.25">
      <c r="A211" s="918" t="s">
        <v>1987</v>
      </c>
      <c r="B211" s="508" t="s">
        <v>113</v>
      </c>
      <c r="C211" s="508" t="s">
        <v>106</v>
      </c>
      <c r="D211" s="508" t="s">
        <v>1979</v>
      </c>
      <c r="E211" s="508"/>
      <c r="F211" s="508"/>
      <c r="G211" s="508" t="s">
        <v>1665</v>
      </c>
      <c r="H211" s="508"/>
      <c r="I211" s="508"/>
      <c r="J211" s="555"/>
      <c r="K211" s="555"/>
      <c r="L211" s="911">
        <f ca="1">IFERROR(INDEX(Lists!$O$2:$Z$2,MATCH(TRUE,INDEX((AE211:AP211&lt;&gt;0),0),0)),DATE(2018,1,1))</f>
        <v>43102</v>
      </c>
      <c r="M211" s="911">
        <f ca="1">IFERROR(INDEX(Lists!$O$3:$Z$3, VALUE(SUBSTITUTE(TEXT(ADDRESS(SUMPRODUCT(MAX((COLUMN(AE211:AP211)*(AE211:AP211&gt;0)))),1),),"$A$",""))-30),DATE(2018,1,1))</f>
        <v>43465</v>
      </c>
      <c r="N211" s="508"/>
      <c r="O211" s="508"/>
      <c r="P211" s="508"/>
      <c r="Q211" s="508"/>
      <c r="R211" s="508" t="str">
        <f t="shared" ca="1" si="90"/>
        <v>Infrastructure investment to avoid risk</v>
      </c>
      <c r="S211" s="508" t="str">
        <f t="shared" ca="1" si="91"/>
        <v xml:space="preserve">Direct investment </v>
      </c>
      <c r="T211" s="508" t="str">
        <f t="shared" ca="1" si="92"/>
        <v>Special contractors for each work defined/Estimated monthly payment</v>
      </c>
      <c r="U211" s="508" t="str">
        <f t="shared" ca="1" si="93"/>
        <v>51-11-3343</v>
      </c>
      <c r="V211" s="508">
        <f t="shared" ca="1" si="94"/>
        <v>0</v>
      </c>
      <c r="W211" s="508">
        <f t="shared" ca="1" si="95"/>
        <v>0</v>
      </c>
      <c r="X211" s="508" t="str">
        <f t="shared" ca="1" si="96"/>
        <v>N/A</v>
      </c>
      <c r="Y211" s="508" t="str">
        <f t="shared" ca="1" si="97"/>
        <v>N/A</v>
      </c>
      <c r="Z211" s="508" t="str">
        <f t="shared" ca="1" si="98"/>
        <v>N/A</v>
      </c>
      <c r="AA211" s="508" t="str">
        <f t="shared" ca="1" si="99"/>
        <v>Ene</v>
      </c>
      <c r="AB211" s="508">
        <f t="shared" ca="1" si="89"/>
        <v>12</v>
      </c>
      <c r="AC211" s="508">
        <f t="shared" ca="1" si="100"/>
        <v>0</v>
      </c>
      <c r="AD211" s="912">
        <f t="shared" ca="1" si="101"/>
        <v>9999.9959999999992</v>
      </c>
      <c r="AE211" s="512">
        <f t="shared" ca="1" si="102"/>
        <v>833.33299999999997</v>
      </c>
      <c r="AF211" s="512">
        <f t="shared" ca="1" si="103"/>
        <v>833.33299999999997</v>
      </c>
      <c r="AG211" s="512">
        <f t="shared" ca="1" si="104"/>
        <v>833.33299999999997</v>
      </c>
      <c r="AH211" s="512">
        <f t="shared" ca="1" si="105"/>
        <v>833.33299999999997</v>
      </c>
      <c r="AI211" s="512">
        <f t="shared" ca="1" si="106"/>
        <v>833.33299999999997</v>
      </c>
      <c r="AJ211" s="512">
        <f t="shared" ca="1" si="107"/>
        <v>833.33299999999997</v>
      </c>
      <c r="AK211" s="512">
        <f t="shared" ca="1" si="108"/>
        <v>833.33299999999997</v>
      </c>
      <c r="AL211" s="512">
        <f t="shared" ca="1" si="109"/>
        <v>833.33299999999997</v>
      </c>
      <c r="AM211" s="512">
        <f t="shared" ca="1" si="110"/>
        <v>833.33299999999997</v>
      </c>
      <c r="AN211" s="512">
        <f t="shared" ca="1" si="111"/>
        <v>833.33299999999997</v>
      </c>
      <c r="AO211" s="512">
        <f t="shared" ca="1" si="112"/>
        <v>833.33299999999997</v>
      </c>
      <c r="AP211" s="512">
        <f t="shared" ca="1" si="113"/>
        <v>833.33299999999997</v>
      </c>
      <c r="AQ211" s="512" t="str">
        <f t="shared" si="114"/>
        <v/>
      </c>
      <c r="AR211" s="512"/>
      <c r="AS211" s="512" t="str">
        <f t="shared" si="115"/>
        <v/>
      </c>
      <c r="AT211" s="151">
        <f t="shared" si="116"/>
        <v>0</v>
      </c>
      <c r="AU211" s="151">
        <f>IFERROR(VLOOKUP(A211,'[7]TD CuentasBDG'!$N$5:$O$21,2,0),0)</f>
        <v>0</v>
      </c>
      <c r="AV211">
        <f t="shared" si="117"/>
        <v>0</v>
      </c>
    </row>
    <row r="212" spans="1:51" ht="45" x14ac:dyDescent="0.25">
      <c r="A212" s="918" t="s">
        <v>1988</v>
      </c>
      <c r="B212" s="508" t="s">
        <v>113</v>
      </c>
      <c r="C212" s="508" t="s">
        <v>106</v>
      </c>
      <c r="D212" s="508" t="s">
        <v>1979</v>
      </c>
      <c r="E212" s="508"/>
      <c r="F212" s="508"/>
      <c r="G212" s="508" t="s">
        <v>1665</v>
      </c>
      <c r="H212" s="508"/>
      <c r="I212" s="508"/>
      <c r="J212" s="555"/>
      <c r="K212" s="555"/>
      <c r="L212" s="911">
        <f ca="1">IFERROR(INDEX(Lists!$O$2:$Z$2,MATCH(TRUE,INDEX((AE212:AP212&lt;&gt;0),0),0)),DATE(2018,1,1))</f>
        <v>43102</v>
      </c>
      <c r="M212" s="911">
        <f ca="1">IFERROR(INDEX(Lists!$O$3:$Z$3, VALUE(SUBSTITUTE(TEXT(ADDRESS(SUMPRODUCT(MAX((COLUMN(AE212:AP212)*(AE212:AP212&gt;0)))),1),),"$A$",""))-30),DATE(2018,1,1))</f>
        <v>43465</v>
      </c>
      <c r="N212" s="508"/>
      <c r="O212" s="508"/>
      <c r="P212" s="508"/>
      <c r="Q212" s="508"/>
      <c r="R212" s="508" t="str">
        <f t="shared" ca="1" si="90"/>
        <v>Meetings with indiguenous communities</v>
      </c>
      <c r="S212" s="508" t="str">
        <f t="shared" ca="1" si="91"/>
        <v>Catering services and site for meetings</v>
      </c>
      <c r="T212" s="508" t="str">
        <f t="shared" ca="1" si="92"/>
        <v>Room rental, catering and other services/Market price for existing services</v>
      </c>
      <c r="U212" s="508" t="str">
        <f t="shared" ca="1" si="93"/>
        <v>51-11-3343</v>
      </c>
      <c r="V212" s="508">
        <f t="shared" ca="1" si="94"/>
        <v>0</v>
      </c>
      <c r="W212" s="508">
        <f t="shared" ca="1" si="95"/>
        <v>0</v>
      </c>
      <c r="X212" s="508" t="str">
        <f t="shared" ca="1" si="96"/>
        <v>N/A</v>
      </c>
      <c r="Y212" s="508" t="str">
        <f t="shared" ca="1" si="97"/>
        <v>N/A</v>
      </c>
      <c r="Z212" s="508" t="str">
        <f t="shared" ca="1" si="98"/>
        <v>N/A</v>
      </c>
      <c r="AA212" s="508" t="str">
        <f t="shared" ca="1" si="99"/>
        <v>Ene</v>
      </c>
      <c r="AB212" s="508">
        <f t="shared" ca="1" si="89"/>
        <v>12</v>
      </c>
      <c r="AC212" s="508">
        <f t="shared" ca="1" si="100"/>
        <v>0</v>
      </c>
      <c r="AD212" s="912">
        <f t="shared" ca="1" si="101"/>
        <v>39999.995999999992</v>
      </c>
      <c r="AE212" s="512">
        <f t="shared" ca="1" si="102"/>
        <v>3333.3330000000001</v>
      </c>
      <c r="AF212" s="512">
        <f t="shared" ca="1" si="103"/>
        <v>3333.3330000000001</v>
      </c>
      <c r="AG212" s="512">
        <f t="shared" ca="1" si="104"/>
        <v>3333.3330000000001</v>
      </c>
      <c r="AH212" s="512">
        <f t="shared" ca="1" si="105"/>
        <v>3333.3330000000001</v>
      </c>
      <c r="AI212" s="512">
        <f t="shared" ca="1" si="106"/>
        <v>3333.3330000000001</v>
      </c>
      <c r="AJ212" s="512">
        <f t="shared" ca="1" si="107"/>
        <v>3333.3330000000001</v>
      </c>
      <c r="AK212" s="512">
        <f t="shared" ca="1" si="108"/>
        <v>3333.3330000000001</v>
      </c>
      <c r="AL212" s="512">
        <f t="shared" ca="1" si="109"/>
        <v>3333.3330000000001</v>
      </c>
      <c r="AM212" s="512">
        <f t="shared" ca="1" si="110"/>
        <v>3333.3330000000001</v>
      </c>
      <c r="AN212" s="512">
        <f t="shared" ca="1" si="111"/>
        <v>3333.3330000000001</v>
      </c>
      <c r="AO212" s="512">
        <f t="shared" ca="1" si="112"/>
        <v>3333.3330000000001</v>
      </c>
      <c r="AP212" s="512">
        <f t="shared" ca="1" si="113"/>
        <v>3333.3330000000001</v>
      </c>
      <c r="AQ212" s="512" t="str">
        <f t="shared" si="114"/>
        <v/>
      </c>
      <c r="AR212" s="512"/>
      <c r="AS212" s="512" t="str">
        <f t="shared" si="115"/>
        <v/>
      </c>
      <c r="AT212" s="151">
        <f t="shared" si="116"/>
        <v>0</v>
      </c>
      <c r="AU212" s="151">
        <f>IFERROR(VLOOKUP(A212,'[7]TD CuentasBDG'!$N$5:$O$21,2,0),0)</f>
        <v>0</v>
      </c>
      <c r="AV212">
        <f t="shared" si="117"/>
        <v>0</v>
      </c>
    </row>
    <row r="213" spans="1:51" ht="45" x14ac:dyDescent="0.25">
      <c r="A213" s="918" t="s">
        <v>1989</v>
      </c>
      <c r="B213" s="508" t="s">
        <v>113</v>
      </c>
      <c r="C213" s="508" t="s">
        <v>106</v>
      </c>
      <c r="D213" s="508" t="s">
        <v>1979</v>
      </c>
      <c r="E213" s="508"/>
      <c r="F213" s="508"/>
      <c r="G213" s="508" t="s">
        <v>1665</v>
      </c>
      <c r="H213" s="508"/>
      <c r="I213" s="508"/>
      <c r="J213" s="555"/>
      <c r="K213" s="555"/>
      <c r="L213" s="911">
        <f ca="1">IFERROR(INDEX(Lists!$O$2:$Z$2,MATCH(TRUE,INDEX((AE213:AP213&lt;&gt;0),0),0)),DATE(2018,1,1))</f>
        <v>43102</v>
      </c>
      <c r="M213" s="911">
        <f ca="1">IFERROR(INDEX(Lists!$O$3:$Z$3, VALUE(SUBSTITUTE(TEXT(ADDRESS(SUMPRODUCT(MAX((COLUMN(AE213:AP213)*(AE213:AP213&gt;0)))),1),),"$A$",""))-30),DATE(2018,1,1))</f>
        <v>43465</v>
      </c>
      <c r="N213" s="508"/>
      <c r="O213" s="508"/>
      <c r="P213" s="508"/>
      <c r="Q213" s="508"/>
      <c r="R213" s="508" t="str">
        <f t="shared" ca="1" si="90"/>
        <v>Meetings with other communities</v>
      </c>
      <c r="S213" s="508" t="str">
        <f t="shared" ca="1" si="91"/>
        <v>Catering services and site for meetings</v>
      </c>
      <c r="T213" s="508" t="str">
        <f t="shared" ca="1" si="92"/>
        <v>Room rental, catering and other services/Market price for existing services</v>
      </c>
      <c r="U213" s="508" t="str">
        <f t="shared" ca="1" si="93"/>
        <v>51-11-3343</v>
      </c>
      <c r="V213" s="508">
        <f t="shared" ca="1" si="94"/>
        <v>0</v>
      </c>
      <c r="W213" s="508">
        <f t="shared" ca="1" si="95"/>
        <v>0</v>
      </c>
      <c r="X213" s="508" t="str">
        <f t="shared" ca="1" si="96"/>
        <v>N/A</v>
      </c>
      <c r="Y213" s="508" t="str">
        <f t="shared" ca="1" si="97"/>
        <v>N/A</v>
      </c>
      <c r="Z213" s="508" t="str">
        <f t="shared" ca="1" si="98"/>
        <v>N/A</v>
      </c>
      <c r="AA213" s="508" t="str">
        <f t="shared" ca="1" si="99"/>
        <v>Ene</v>
      </c>
      <c r="AB213" s="508">
        <f t="shared" ca="1" si="89"/>
        <v>12</v>
      </c>
      <c r="AC213" s="508">
        <f t="shared" ca="1" si="100"/>
        <v>0</v>
      </c>
      <c r="AD213" s="912">
        <f t="shared" ca="1" si="101"/>
        <v>30000</v>
      </c>
      <c r="AE213" s="512">
        <f t="shared" ca="1" si="102"/>
        <v>2500</v>
      </c>
      <c r="AF213" s="512">
        <f t="shared" ca="1" si="103"/>
        <v>2500</v>
      </c>
      <c r="AG213" s="512">
        <f t="shared" ca="1" si="104"/>
        <v>2500</v>
      </c>
      <c r="AH213" s="512">
        <f t="shared" ca="1" si="105"/>
        <v>2500</v>
      </c>
      <c r="AI213" s="512">
        <f t="shared" ca="1" si="106"/>
        <v>2500</v>
      </c>
      <c r="AJ213" s="512">
        <f t="shared" ca="1" si="107"/>
        <v>2500</v>
      </c>
      <c r="AK213" s="512">
        <f t="shared" ca="1" si="108"/>
        <v>2500</v>
      </c>
      <c r="AL213" s="512">
        <f t="shared" ca="1" si="109"/>
        <v>2500</v>
      </c>
      <c r="AM213" s="512">
        <f t="shared" ca="1" si="110"/>
        <v>2500</v>
      </c>
      <c r="AN213" s="512">
        <f t="shared" ca="1" si="111"/>
        <v>2500</v>
      </c>
      <c r="AO213" s="512">
        <f t="shared" ca="1" si="112"/>
        <v>2500</v>
      </c>
      <c r="AP213" s="512">
        <f t="shared" ca="1" si="113"/>
        <v>2500</v>
      </c>
      <c r="AQ213" s="512" t="str">
        <f t="shared" si="114"/>
        <v/>
      </c>
      <c r="AR213" s="512"/>
      <c r="AS213" s="512" t="str">
        <f t="shared" si="115"/>
        <v/>
      </c>
      <c r="AT213" s="151">
        <f t="shared" si="116"/>
        <v>0</v>
      </c>
      <c r="AU213" s="151">
        <f>IFERROR(VLOOKUP(A213,'[7]TD CuentasBDG'!$N$5:$O$21,2,0),0)</f>
        <v>0</v>
      </c>
      <c r="AV213">
        <f t="shared" si="117"/>
        <v>0</v>
      </c>
    </row>
    <row r="214" spans="1:51" ht="45" x14ac:dyDescent="0.25">
      <c r="A214" s="918" t="s">
        <v>1990</v>
      </c>
      <c r="B214" s="508" t="s">
        <v>113</v>
      </c>
      <c r="C214" s="508" t="s">
        <v>1380</v>
      </c>
      <c r="D214" s="508" t="s">
        <v>334</v>
      </c>
      <c r="E214" s="508" t="s">
        <v>1991</v>
      </c>
      <c r="F214" s="508" t="s">
        <v>1698</v>
      </c>
      <c r="G214" s="508" t="s">
        <v>1647</v>
      </c>
      <c r="H214" s="508" t="s">
        <v>1992</v>
      </c>
      <c r="I214" s="508" t="s">
        <v>1993</v>
      </c>
      <c r="J214" s="555" t="s">
        <v>1650</v>
      </c>
      <c r="K214" s="555" t="s">
        <v>1651</v>
      </c>
      <c r="L214" s="911">
        <f ca="1">IFERROR(INDEX(Lists!$O$2:$Z$2,MATCH(TRUE,INDEX((AE214:AP214&lt;&gt;0),0),0)),DATE(2018,1,1))</f>
        <v>43102</v>
      </c>
      <c r="M214" s="911">
        <f ca="1">IFERROR(INDEX(Lists!$O$3:$Z$3, VALUE(SUBSTITUTE(TEXT(ADDRESS(SUMPRODUCT(MAX((COLUMN(AE214:AP214)*(AE214:AP214&gt;0)))),1),),"$A$",""))-30),DATE(2018,1,1))</f>
        <v>43373</v>
      </c>
      <c r="N214" s="913" t="s">
        <v>1928</v>
      </c>
      <c r="O214" s="590" t="s">
        <v>1653</v>
      </c>
      <c r="P214" s="508" t="s">
        <v>1071</v>
      </c>
      <c r="Q214" s="508" t="s">
        <v>1676</v>
      </c>
      <c r="R214" s="508">
        <f t="shared" ca="1" si="90"/>
        <v>0</v>
      </c>
      <c r="S214" s="508">
        <f t="shared" ca="1" si="91"/>
        <v>0</v>
      </c>
      <c r="T214" s="508" t="str">
        <f t="shared" ca="1" si="92"/>
        <v>EIS - Phase II (EIS Preparation) - Servicio EIA Knigth Piesold</v>
      </c>
      <c r="U214" s="508" t="str">
        <f t="shared" ca="1" si="93"/>
        <v>684 / 51-11-3344</v>
      </c>
      <c r="V214" s="508" t="str">
        <f t="shared" ca="1" si="94"/>
        <v>Current Contract/Contrato Activo</v>
      </c>
      <c r="W214" s="508" t="str">
        <f t="shared" ca="1" si="95"/>
        <v>Knigth Piesold</v>
      </c>
      <c r="X214" s="508" t="str">
        <f t="shared" ca="1" si="96"/>
        <v>N/A</v>
      </c>
      <c r="Y214" s="508" t="str">
        <f t="shared" ca="1" si="97"/>
        <v>N/A</v>
      </c>
      <c r="Z214" s="508" t="str">
        <f t="shared" ca="1" si="98"/>
        <v>N/A</v>
      </c>
      <c r="AA214" s="508" t="str">
        <f t="shared" ca="1" si="99"/>
        <v>Ene</v>
      </c>
      <c r="AB214" s="508">
        <f t="shared" ca="1" si="89"/>
        <v>9</v>
      </c>
      <c r="AC214" s="508">
        <f t="shared" ca="1" si="100"/>
        <v>0</v>
      </c>
      <c r="AD214" s="912">
        <f t="shared" ca="1" si="101"/>
        <v>3463999.9999999995</v>
      </c>
      <c r="AE214" s="512">
        <f t="shared" ca="1" si="102"/>
        <v>430560.40247468092</v>
      </c>
      <c r="AF214" s="512">
        <f t="shared" ca="1" si="103"/>
        <v>624006.54322006647</v>
      </c>
      <c r="AG214" s="512">
        <f t="shared" ca="1" si="104"/>
        <v>325442.4919042887</v>
      </c>
      <c r="AH214" s="512">
        <f t="shared" ca="1" si="105"/>
        <v>392426.30509256141</v>
      </c>
      <c r="AI214" s="512">
        <f t="shared" ca="1" si="106"/>
        <v>407679.94404540933</v>
      </c>
      <c r="AJ214" s="512">
        <f t="shared" ca="1" si="107"/>
        <v>559885.83806324343</v>
      </c>
      <c r="AK214" s="512">
        <f t="shared" ca="1" si="108"/>
        <v>266774.199991161</v>
      </c>
      <c r="AL214" s="512">
        <f t="shared" ca="1" si="109"/>
        <v>290925.79499983683</v>
      </c>
      <c r="AM214" s="512">
        <f t="shared" ca="1" si="110"/>
        <v>166298.48020875183</v>
      </c>
      <c r="AN214" s="512">
        <f t="shared" ca="1" si="111"/>
        <v>0</v>
      </c>
      <c r="AO214" s="512">
        <f t="shared" ca="1" si="112"/>
        <v>0</v>
      </c>
      <c r="AP214" s="512">
        <f t="shared" ca="1" si="113"/>
        <v>0</v>
      </c>
      <c r="AQ214" s="512" t="str">
        <f t="shared" ca="1" si="114"/>
        <v>Contrato</v>
      </c>
      <c r="AR214" s="512"/>
      <c r="AS214" s="512" t="str">
        <f t="shared" ca="1" si="115"/>
        <v>No</v>
      </c>
      <c r="AT214" s="151">
        <f t="shared" ca="1" si="116"/>
        <v>3463999.9999999995</v>
      </c>
      <c r="AU214" s="151">
        <f>IFERROR(VLOOKUP(A214,'[7]TD CuentasBDG'!$N$5:$O$21,2,0),0)</f>
        <v>3543657.6683382355</v>
      </c>
      <c r="AV214" t="str">
        <f t="shared" si="117"/>
        <v>Contrato Activo</v>
      </c>
      <c r="AW214" t="s">
        <v>1690</v>
      </c>
      <c r="AX214" t="s">
        <v>1929</v>
      </c>
      <c r="AY214" t="s">
        <v>1994</v>
      </c>
    </row>
    <row r="215" spans="1:51" ht="45" x14ac:dyDescent="0.25">
      <c r="A215" s="918" t="s">
        <v>1995</v>
      </c>
      <c r="B215" s="508" t="s">
        <v>113</v>
      </c>
      <c r="C215" s="508" t="s">
        <v>1380</v>
      </c>
      <c r="D215" s="508" t="s">
        <v>334</v>
      </c>
      <c r="E215" s="508" t="s">
        <v>1996</v>
      </c>
      <c r="F215" s="508" t="s">
        <v>1674</v>
      </c>
      <c r="G215" s="508" t="s">
        <v>1647</v>
      </c>
      <c r="H215" s="508" t="s">
        <v>1997</v>
      </c>
      <c r="I215" s="508" t="s">
        <v>1998</v>
      </c>
      <c r="J215" s="555" t="s">
        <v>1650</v>
      </c>
      <c r="K215" s="555" t="s">
        <v>1651</v>
      </c>
      <c r="L215" s="911">
        <f ca="1">IFERROR(INDEX(Lists!$O$2:$Z$2,MATCH(TRUE,INDEX((AE215:AP215&lt;&gt;0),0),0)),DATE(2018,1,1))</f>
        <v>43102</v>
      </c>
      <c r="M215" s="911">
        <f ca="1">IFERROR(INDEX(Lists!$O$3:$Z$3, VALUE(SUBSTITUTE(TEXT(ADDRESS(SUMPRODUCT(MAX((COLUMN(AE215:AP215)*(AE215:AP215&gt;0)))),1),),"$A$",""))-30),DATE(2018,1,1))</f>
        <v>43373</v>
      </c>
      <c r="N215" s="913" t="s">
        <v>1928</v>
      </c>
      <c r="O215" s="590" t="s">
        <v>1653</v>
      </c>
      <c r="P215" s="508" t="s">
        <v>1071</v>
      </c>
      <c r="Q215" s="508" t="s">
        <v>1676</v>
      </c>
      <c r="R215" s="508">
        <f t="shared" ca="1" si="90"/>
        <v>0</v>
      </c>
      <c r="S215" s="508">
        <f t="shared" ca="1" si="91"/>
        <v>0</v>
      </c>
      <c r="T215" s="508" t="str">
        <f t="shared" ca="1" si="92"/>
        <v>EIS - Phase II (EIS Preparation) - Servicio Geobiota</v>
      </c>
      <c r="U215" s="508" t="str">
        <f t="shared" ca="1" si="93"/>
        <v>684 / 51-11-3344</v>
      </c>
      <c r="V215" s="508" t="str">
        <f t="shared" ca="1" si="94"/>
        <v>Current Contract/Contrato Activo</v>
      </c>
      <c r="W215" s="508" t="str">
        <f t="shared" ca="1" si="95"/>
        <v>Geobiota</v>
      </c>
      <c r="X215" s="508" t="str">
        <f t="shared" ca="1" si="96"/>
        <v>N/A</v>
      </c>
      <c r="Y215" s="508" t="str">
        <f t="shared" ca="1" si="97"/>
        <v>N/A</v>
      </c>
      <c r="Z215" s="508" t="str">
        <f t="shared" ca="1" si="98"/>
        <v>N/A</v>
      </c>
      <c r="AA215" s="508" t="str">
        <f t="shared" ca="1" si="99"/>
        <v>Ene</v>
      </c>
      <c r="AB215" s="508">
        <f t="shared" ca="1" si="89"/>
        <v>9</v>
      </c>
      <c r="AC215" s="508">
        <f t="shared" ca="1" si="100"/>
        <v>0</v>
      </c>
      <c r="AD215" s="912">
        <f t="shared" ca="1" si="101"/>
        <v>235000</v>
      </c>
      <c r="AE215" s="512">
        <f t="shared" ca="1" si="102"/>
        <v>29209.496126313516</v>
      </c>
      <c r="AF215" s="512">
        <f t="shared" ca="1" si="103"/>
        <v>42333.007406673103</v>
      </c>
      <c r="AG215" s="512">
        <f t="shared" ca="1" si="104"/>
        <v>22078.229098587715</v>
      </c>
      <c r="AH215" s="512">
        <f t="shared" ca="1" si="105"/>
        <v>26622.454300448018</v>
      </c>
      <c r="AI215" s="512">
        <f t="shared" ca="1" si="106"/>
        <v>27657.271030794225</v>
      </c>
      <c r="AJ215" s="512">
        <f t="shared" ca="1" si="107"/>
        <v>37983.017305098794</v>
      </c>
      <c r="AK215" s="512">
        <f t="shared" ca="1" si="108"/>
        <v>18098.134237275644</v>
      </c>
      <c r="AL215" s="512">
        <f t="shared" ca="1" si="109"/>
        <v>19736.594060323805</v>
      </c>
      <c r="AM215" s="512">
        <f t="shared" ca="1" si="110"/>
        <v>11281.796434485184</v>
      </c>
      <c r="AN215" s="512">
        <f t="shared" ca="1" si="111"/>
        <v>0</v>
      </c>
      <c r="AO215" s="512">
        <f t="shared" ca="1" si="112"/>
        <v>0</v>
      </c>
      <c r="AP215" s="512">
        <f t="shared" ca="1" si="113"/>
        <v>0</v>
      </c>
      <c r="AQ215" s="512" t="str">
        <f t="shared" ca="1" si="114"/>
        <v>Contrato</v>
      </c>
      <c r="AR215" s="512"/>
      <c r="AS215" s="512" t="str">
        <f t="shared" ca="1" si="115"/>
        <v>No</v>
      </c>
      <c r="AT215" s="151">
        <f t="shared" ca="1" si="116"/>
        <v>235000</v>
      </c>
      <c r="AU215" s="151">
        <f>IFERROR(VLOOKUP(A215,'[7]TD CuentasBDG'!$N$5:$O$21,2,0),0)</f>
        <v>242069.98897058819</v>
      </c>
      <c r="AV215" t="str">
        <f t="shared" si="117"/>
        <v>Contrato Activo</v>
      </c>
      <c r="AW215" t="s">
        <v>1690</v>
      </c>
      <c r="AX215" t="s">
        <v>1929</v>
      </c>
    </row>
    <row r="216" spans="1:51" ht="45" x14ac:dyDescent="0.25">
      <c r="A216" s="918" t="s">
        <v>1999</v>
      </c>
      <c r="B216" s="508" t="s">
        <v>113</v>
      </c>
      <c r="C216" s="508" t="s">
        <v>1380</v>
      </c>
      <c r="D216" s="508" t="s">
        <v>334</v>
      </c>
      <c r="E216" s="508"/>
      <c r="F216" s="508"/>
      <c r="G216" s="508" t="s">
        <v>1647</v>
      </c>
      <c r="H216" s="508" t="s">
        <v>2000</v>
      </c>
      <c r="I216" s="508" t="s">
        <v>2001</v>
      </c>
      <c r="J216" s="555" t="s">
        <v>1650</v>
      </c>
      <c r="K216" s="555" t="s">
        <v>1651</v>
      </c>
      <c r="L216" s="911">
        <f ca="1">IFERROR(INDEX(Lists!$O$2:$Z$2,MATCH(TRUE,INDEX((AE216:AP216&lt;&gt;0),0),0)),DATE(2018,1,1))</f>
        <v>43102</v>
      </c>
      <c r="M216" s="911">
        <f ca="1">IFERROR(INDEX(Lists!$O$3:$Z$3, VALUE(SUBSTITUTE(TEXT(ADDRESS(SUMPRODUCT(MAX((COLUMN(AE216:AP216)*(AE216:AP216&gt;0)))),1),),"$A$",""))-30),DATE(2018,1,1))</f>
        <v>43373</v>
      </c>
      <c r="N216" s="913" t="s">
        <v>1683</v>
      </c>
      <c r="O216" s="590" t="s">
        <v>1653</v>
      </c>
      <c r="P216" s="508" t="s">
        <v>1071</v>
      </c>
      <c r="Q216" s="508" t="s">
        <v>1676</v>
      </c>
      <c r="R216" s="508">
        <f t="shared" ca="1" si="90"/>
        <v>0</v>
      </c>
      <c r="S216" s="508">
        <f t="shared" ca="1" si="91"/>
        <v>0</v>
      </c>
      <c r="T216" s="508" t="str">
        <f t="shared" ca="1" si="92"/>
        <v>EIS - Phase II (EIS Preparation) - Servicio Sergio Iriarte Glaciales</v>
      </c>
      <c r="U216" s="508" t="str">
        <f t="shared" ca="1" si="93"/>
        <v>684 / 51-11-3344</v>
      </c>
      <c r="V216" s="508" t="str">
        <f t="shared" ca="1" si="94"/>
        <v>Sole Source/Adjudicación Directa</v>
      </c>
      <c r="W216" s="508" t="str">
        <f t="shared" ca="1" si="95"/>
        <v>Sergio Iriarte</v>
      </c>
      <c r="X216" s="508" t="str">
        <f t="shared" ca="1" si="96"/>
        <v>N/A</v>
      </c>
      <c r="Y216" s="508" t="str">
        <f t="shared" ca="1" si="97"/>
        <v>N/A</v>
      </c>
      <c r="Z216" s="508" t="str">
        <f t="shared" ca="1" si="98"/>
        <v>Dic-17</v>
      </c>
      <c r="AA216" s="508" t="str">
        <f t="shared" ca="1" si="99"/>
        <v>Ene</v>
      </c>
      <c r="AB216" s="508">
        <f t="shared" ca="1" si="89"/>
        <v>9</v>
      </c>
      <c r="AC216" s="508">
        <f t="shared" ca="1" si="100"/>
        <v>0</v>
      </c>
      <c r="AD216" s="912">
        <f t="shared" ca="1" si="101"/>
        <v>64999.999999999993</v>
      </c>
      <c r="AE216" s="512">
        <f t="shared" ca="1" si="102"/>
        <v>8079.2223328101209</v>
      </c>
      <c r="AF216" s="512">
        <f t="shared" ca="1" si="103"/>
        <v>11709.129708228731</v>
      </c>
      <c r="AG216" s="512">
        <f t="shared" ca="1" si="104"/>
        <v>6106.7442187583038</v>
      </c>
      <c r="AH216" s="512">
        <f t="shared" ca="1" si="105"/>
        <v>7363.6575724643453</v>
      </c>
      <c r="AI216" s="512">
        <f t="shared" ca="1" si="106"/>
        <v>7649.8834766026575</v>
      </c>
      <c r="AJ216" s="512">
        <f t="shared" ca="1" si="107"/>
        <v>10505.940956729453</v>
      </c>
      <c r="AK216" s="512">
        <f t="shared" ca="1" si="108"/>
        <v>5005.8669166932632</v>
      </c>
      <c r="AL216" s="512">
        <f t="shared" ca="1" si="109"/>
        <v>5459.0579315789246</v>
      </c>
      <c r="AM216" s="512">
        <f t="shared" ca="1" si="110"/>
        <v>3120.4968861341999</v>
      </c>
      <c r="AN216" s="512">
        <f t="shared" ca="1" si="111"/>
        <v>0</v>
      </c>
      <c r="AO216" s="512">
        <f t="shared" ca="1" si="112"/>
        <v>0</v>
      </c>
      <c r="AP216" s="512">
        <f t="shared" ca="1" si="113"/>
        <v>0</v>
      </c>
      <c r="AQ216" s="512" t="str">
        <f t="shared" ca="1" si="114"/>
        <v>Contrato</v>
      </c>
      <c r="AR216" s="512"/>
      <c r="AS216" s="512" t="str">
        <f t="shared" ca="1" si="115"/>
        <v>Si</v>
      </c>
      <c r="AT216" s="151">
        <f t="shared" ca="1" si="116"/>
        <v>64999.999999999993</v>
      </c>
      <c r="AU216" s="151">
        <f>IFERROR(VLOOKUP(A216,'[7]TD CuentasBDG'!$N$5:$O$21,2,0),0)</f>
        <v>0</v>
      </c>
      <c r="AV216" t="str">
        <f t="shared" si="117"/>
        <v>Adjudicación Directa</v>
      </c>
      <c r="AW216" t="s">
        <v>1897</v>
      </c>
      <c r="AX216" t="s">
        <v>1929</v>
      </c>
    </row>
    <row r="217" spans="1:51" ht="30" x14ac:dyDescent="0.25">
      <c r="A217" s="918" t="s">
        <v>2002</v>
      </c>
      <c r="B217" s="508" t="s">
        <v>113</v>
      </c>
      <c r="C217" s="508" t="s">
        <v>1380</v>
      </c>
      <c r="D217" s="508" t="s">
        <v>334</v>
      </c>
      <c r="E217" s="508"/>
      <c r="F217" s="508"/>
      <c r="G217" s="508" t="s">
        <v>1665</v>
      </c>
      <c r="H217" s="508"/>
      <c r="I217" s="508"/>
      <c r="J217" s="555"/>
      <c r="K217" s="555"/>
      <c r="L217" s="911">
        <f ca="1">IFERROR(INDEX(Lists!$O$2:$Z$2,MATCH(TRUE,INDEX((AE217:AP217&lt;&gt;0),0),0)),DATE(2018,1,1))</f>
        <v>43102</v>
      </c>
      <c r="M217" s="911">
        <f ca="1">IFERROR(INDEX(Lists!$O$3:$Z$3, VALUE(SUBSTITUTE(TEXT(ADDRESS(SUMPRODUCT(MAX((COLUMN(AE217:AP217)*(AE217:AP217&gt;0)))),1),),"$A$",""))-30),DATE(2018,1,1))</f>
        <v>43373</v>
      </c>
      <c r="N217" s="508"/>
      <c r="O217" s="508"/>
      <c r="P217" s="508"/>
      <c r="Q217" s="508"/>
      <c r="R217" s="508">
        <f t="shared" ca="1" si="90"/>
        <v>0</v>
      </c>
      <c r="S217" s="508">
        <f t="shared" ca="1" si="91"/>
        <v>0</v>
      </c>
      <c r="T217" s="508" t="str">
        <f t="shared" ca="1" si="92"/>
        <v>EIS - Phase II (EIS Preparation) - Servicio Apoyo Campamento</v>
      </c>
      <c r="U217" s="508" t="str">
        <f t="shared" ca="1" si="93"/>
        <v>684 / 51-11-3344</v>
      </c>
      <c r="V217" s="508">
        <f t="shared" ca="1" si="94"/>
        <v>0</v>
      </c>
      <c r="W217" s="508">
        <f t="shared" ca="1" si="95"/>
        <v>0</v>
      </c>
      <c r="X217" s="508">
        <f t="shared" ca="1" si="96"/>
        <v>0</v>
      </c>
      <c r="Y217" s="508">
        <f t="shared" ca="1" si="97"/>
        <v>0</v>
      </c>
      <c r="Z217" s="508">
        <f t="shared" ca="1" si="98"/>
        <v>0</v>
      </c>
      <c r="AA217" s="508" t="str">
        <f t="shared" ca="1" si="99"/>
        <v>Ene</v>
      </c>
      <c r="AB217" s="508">
        <f t="shared" ca="1" si="89"/>
        <v>9</v>
      </c>
      <c r="AC217" s="508">
        <f t="shared" ca="1" si="100"/>
        <v>0</v>
      </c>
      <c r="AD217" s="912">
        <f t="shared" ca="1" si="101"/>
        <v>243529.74117647018</v>
      </c>
      <c r="AE217" s="512">
        <f t="shared" ca="1" si="102"/>
        <v>30269.706517175484</v>
      </c>
      <c r="AF217" s="512">
        <f t="shared" ca="1" si="103"/>
        <v>43869.558880717857</v>
      </c>
      <c r="AG217" s="512">
        <f t="shared" ca="1" si="104"/>
        <v>22879.597523463312</v>
      </c>
      <c r="AH217" s="512">
        <f t="shared" ca="1" si="105"/>
        <v>27588.763426683028</v>
      </c>
      <c r="AI217" s="512">
        <f t="shared" ca="1" si="106"/>
        <v>28661.140662880018</v>
      </c>
      <c r="AJ217" s="512">
        <f t="shared" ca="1" si="107"/>
        <v>39361.678184732329</v>
      </c>
      <c r="AK217" s="512">
        <f t="shared" ca="1" si="108"/>
        <v>18755.038070556388</v>
      </c>
      <c r="AL217" s="512">
        <f t="shared" ca="1" si="109"/>
        <v>20452.968694534957</v>
      </c>
      <c r="AM217" s="512">
        <f t="shared" ca="1" si="110"/>
        <v>11691.289215726812</v>
      </c>
      <c r="AN217" s="512">
        <f t="shared" ca="1" si="111"/>
        <v>0</v>
      </c>
      <c r="AO217" s="512">
        <f t="shared" ca="1" si="112"/>
        <v>0</v>
      </c>
      <c r="AP217" s="512">
        <f t="shared" ca="1" si="113"/>
        <v>0</v>
      </c>
      <c r="AQ217" s="512" t="str">
        <f t="shared" si="114"/>
        <v/>
      </c>
      <c r="AR217" s="512"/>
      <c r="AS217" s="512" t="str">
        <f t="shared" si="115"/>
        <v/>
      </c>
      <c r="AT217" s="151">
        <f t="shared" si="116"/>
        <v>0</v>
      </c>
      <c r="AU217" s="151">
        <f>IFERROR(VLOOKUP(A217,'[7]TD CuentasBDG'!$N$5:$O$21,2,0),0)</f>
        <v>0</v>
      </c>
      <c r="AV217">
        <f t="shared" si="117"/>
        <v>0</v>
      </c>
    </row>
    <row r="218" spans="1:51" ht="60" x14ac:dyDescent="0.25">
      <c r="A218" s="918" t="s">
        <v>2003</v>
      </c>
      <c r="B218" s="508" t="s">
        <v>113</v>
      </c>
      <c r="C218" s="508" t="s">
        <v>1380</v>
      </c>
      <c r="D218" s="508" t="s">
        <v>334</v>
      </c>
      <c r="E218" s="508" t="s">
        <v>2004</v>
      </c>
      <c r="F218" s="508" t="s">
        <v>1698</v>
      </c>
      <c r="G218" s="508" t="s">
        <v>1647</v>
      </c>
      <c r="H218" s="508" t="s">
        <v>2005</v>
      </c>
      <c r="I218" s="508" t="s">
        <v>2006</v>
      </c>
      <c r="J218" s="555" t="s">
        <v>1650</v>
      </c>
      <c r="K218" s="555" t="s">
        <v>1651</v>
      </c>
      <c r="L218" s="911">
        <f ca="1">IFERROR(INDEX(Lists!$O$2:$Z$2,MATCH(TRUE,INDEX((AE218:AP218&lt;&gt;0),0),0)),DATE(2018,1,1))</f>
        <v>43102</v>
      </c>
      <c r="M218" s="911">
        <f ca="1">IFERROR(INDEX(Lists!$O$3:$Z$3, VALUE(SUBSTITUTE(TEXT(ADDRESS(SUMPRODUCT(MAX((COLUMN(AE218:AP218)*(AE218:AP218&gt;0)))),1),),"$A$",""))-30),DATE(2018,1,1))</f>
        <v>43312</v>
      </c>
      <c r="N218" s="508" t="s">
        <v>1928</v>
      </c>
      <c r="O218" s="590" t="s">
        <v>1653</v>
      </c>
      <c r="P218" s="508" t="s">
        <v>1071</v>
      </c>
      <c r="Q218" s="508" t="s">
        <v>1676</v>
      </c>
      <c r="R218" s="508">
        <f t="shared" ca="1" si="90"/>
        <v>0</v>
      </c>
      <c r="S218" s="508">
        <f t="shared" ca="1" si="91"/>
        <v>0</v>
      </c>
      <c r="T218" s="508" t="str">
        <f t="shared" ca="1" si="92"/>
        <v>EIS - Phase II (Technical  &amp; Legal Support) - Servicio UCN</v>
      </c>
      <c r="U218" s="508" t="str">
        <f t="shared" ca="1" si="93"/>
        <v>684 / 51-11-3344</v>
      </c>
      <c r="V218" s="508" t="str">
        <f t="shared" ca="1" si="94"/>
        <v>Current Contract/Contrato Activo</v>
      </c>
      <c r="W218" s="508" t="str">
        <f t="shared" ca="1" si="95"/>
        <v>Universidad Catolica del Norte</v>
      </c>
      <c r="X218" s="508" t="str">
        <f t="shared" ca="1" si="96"/>
        <v>N/A</v>
      </c>
      <c r="Y218" s="508" t="str">
        <f t="shared" ca="1" si="97"/>
        <v>N/A</v>
      </c>
      <c r="Z218" s="508" t="str">
        <f t="shared" ca="1" si="98"/>
        <v>N/A</v>
      </c>
      <c r="AA218" s="508" t="str">
        <f t="shared" ca="1" si="99"/>
        <v>Ene</v>
      </c>
      <c r="AB218" s="508">
        <f t="shared" ca="1" si="89"/>
        <v>7</v>
      </c>
      <c r="AC218" s="508">
        <f t="shared" ca="1" si="100"/>
        <v>0</v>
      </c>
      <c r="AD218" s="912">
        <f t="shared" ca="1" si="101"/>
        <v>194000</v>
      </c>
      <c r="AE218" s="512">
        <f t="shared" ca="1" si="102"/>
        <v>20735.507246376812</v>
      </c>
      <c r="AF218" s="512">
        <f t="shared" ca="1" si="103"/>
        <v>65896.739130434784</v>
      </c>
      <c r="AG218" s="512">
        <f t="shared" ca="1" si="104"/>
        <v>0</v>
      </c>
      <c r="AH218" s="512">
        <f t="shared" ca="1" si="105"/>
        <v>20735.507246376812</v>
      </c>
      <c r="AI218" s="512">
        <f t="shared" ca="1" si="106"/>
        <v>0</v>
      </c>
      <c r="AJ218" s="512">
        <f t="shared" ca="1" si="107"/>
        <v>65896.739130434784</v>
      </c>
      <c r="AK218" s="512">
        <f t="shared" ca="1" si="108"/>
        <v>20735.507246376812</v>
      </c>
      <c r="AL218" s="512">
        <f t="shared" ca="1" si="109"/>
        <v>0</v>
      </c>
      <c r="AM218" s="512">
        <f t="shared" ca="1" si="110"/>
        <v>0</v>
      </c>
      <c r="AN218" s="512">
        <f t="shared" ca="1" si="111"/>
        <v>0</v>
      </c>
      <c r="AO218" s="512">
        <f t="shared" ca="1" si="112"/>
        <v>0</v>
      </c>
      <c r="AP218" s="512">
        <f t="shared" ca="1" si="113"/>
        <v>0</v>
      </c>
      <c r="AQ218" s="512" t="str">
        <f t="shared" ca="1" si="114"/>
        <v>Contrato</v>
      </c>
      <c r="AR218" s="512"/>
      <c r="AS218" s="512" t="str">
        <f t="shared" ca="1" si="115"/>
        <v>No</v>
      </c>
      <c r="AT218" s="151">
        <f t="shared" ca="1" si="116"/>
        <v>194000</v>
      </c>
      <c r="AU218" s="151">
        <f>IFERROR(VLOOKUP(A218,'[7]TD CuentasBDG'!$N$5:$O$21,2,0),0)</f>
        <v>176611.12782352939</v>
      </c>
      <c r="AV218" t="str">
        <f t="shared" si="117"/>
        <v>Contrato Activo</v>
      </c>
      <c r="AW218" t="s">
        <v>1690</v>
      </c>
      <c r="AX218" t="s">
        <v>1929</v>
      </c>
    </row>
    <row r="219" spans="1:51" ht="90" x14ac:dyDescent="0.25">
      <c r="A219" s="921" t="s">
        <v>2007</v>
      </c>
      <c r="B219" s="508" t="s">
        <v>113</v>
      </c>
      <c r="C219" s="508" t="s">
        <v>1380</v>
      </c>
      <c r="D219" s="508" t="s">
        <v>334</v>
      </c>
      <c r="E219" s="508"/>
      <c r="F219" s="508"/>
      <c r="G219" s="508" t="s">
        <v>1647</v>
      </c>
      <c r="H219" s="508" t="s">
        <v>2008</v>
      </c>
      <c r="I219" s="508" t="s">
        <v>2009</v>
      </c>
      <c r="J219" s="555" t="s">
        <v>1650</v>
      </c>
      <c r="K219" s="555" t="s">
        <v>1651</v>
      </c>
      <c r="L219" s="911">
        <f ca="1">IFERROR(INDEX(Lists!$O$2:$Z$2,MATCH(TRUE,INDEX((AE219:AP219&lt;&gt;0),0),0)),DATE(2018,1,1))</f>
        <v>43160</v>
      </c>
      <c r="M219" s="911">
        <f ca="1">IFERROR(INDEX(Lists!$O$3:$Z$3, VALUE(SUBSTITUTE(TEXT(ADDRESS(SUMPRODUCT(MAX((COLUMN(AE219:AP219)*(AE219:AP219&gt;0)))),1),),"$A$",""))-30),DATE(2018,1,1))</f>
        <v>43373</v>
      </c>
      <c r="N219" s="508" t="s">
        <v>1668</v>
      </c>
      <c r="O219" s="590" t="s">
        <v>1653</v>
      </c>
      <c r="P219" s="508" t="s">
        <v>1071</v>
      </c>
      <c r="Q219" s="508" t="s">
        <v>1676</v>
      </c>
      <c r="R219" s="508">
        <f t="shared" ca="1" si="90"/>
        <v>0</v>
      </c>
      <c r="S219" s="508">
        <f t="shared" ca="1" si="91"/>
        <v>0</v>
      </c>
      <c r="T219" s="508" t="str">
        <f t="shared" ca="1" si="92"/>
        <v>EIS - Phase II (Technical  &amp; Legal Support) - Asesoría Independiente Junta Vigilancia</v>
      </c>
      <c r="U219" s="508" t="str">
        <f t="shared" ca="1" si="93"/>
        <v>684 / 51-11-3344</v>
      </c>
      <c r="V219" s="508" t="str">
        <f t="shared" ca="1" si="94"/>
        <v>Bidding/Licitación</v>
      </c>
      <c r="W219" s="508" t="str">
        <f t="shared" ca="1" si="95"/>
        <v>to be defined</v>
      </c>
      <c r="X219" s="508" t="str">
        <f t="shared" ca="1" si="96"/>
        <v>Dic-17</v>
      </c>
      <c r="Y219" s="508" t="str">
        <f t="shared" ca="1" si="97"/>
        <v>Dic-17</v>
      </c>
      <c r="Z219" s="508" t="str">
        <f t="shared" ca="1" si="98"/>
        <v>Dic-17</v>
      </c>
      <c r="AA219" s="508" t="str">
        <f t="shared" ca="1" si="99"/>
        <v>Ene</v>
      </c>
      <c r="AB219" s="508">
        <f t="shared" ca="1" si="89"/>
        <v>7</v>
      </c>
      <c r="AC219" s="508">
        <f t="shared" ca="1" si="100"/>
        <v>0</v>
      </c>
      <c r="AD219" s="912">
        <f t="shared" ca="1" si="101"/>
        <v>78000</v>
      </c>
      <c r="AE219" s="512">
        <f t="shared" ca="1" si="102"/>
        <v>0</v>
      </c>
      <c r="AF219" s="512">
        <f t="shared" ca="1" si="103"/>
        <v>0</v>
      </c>
      <c r="AG219" s="512">
        <f t="shared" ca="1" si="104"/>
        <v>8336.95652173913</v>
      </c>
      <c r="AH219" s="512">
        <f t="shared" ca="1" si="105"/>
        <v>26494.565217391304</v>
      </c>
      <c r="AI219" s="512">
        <f t="shared" ca="1" si="106"/>
        <v>0</v>
      </c>
      <c r="AJ219" s="512">
        <f t="shared" ca="1" si="107"/>
        <v>8336.95652173913</v>
      </c>
      <c r="AK219" s="512">
        <f t="shared" ca="1" si="108"/>
        <v>0</v>
      </c>
      <c r="AL219" s="512">
        <f t="shared" ca="1" si="109"/>
        <v>26494.565217391304</v>
      </c>
      <c r="AM219" s="512">
        <f t="shared" ca="1" si="110"/>
        <v>8336.95652173913</v>
      </c>
      <c r="AN219" s="512">
        <f t="shared" ca="1" si="111"/>
        <v>0</v>
      </c>
      <c r="AO219" s="512">
        <f t="shared" ca="1" si="112"/>
        <v>0</v>
      </c>
      <c r="AP219" s="512">
        <f t="shared" ca="1" si="113"/>
        <v>0</v>
      </c>
      <c r="AQ219" s="512" t="str">
        <f t="shared" ca="1" si="114"/>
        <v>Contrato</v>
      </c>
      <c r="AR219" s="512"/>
      <c r="AS219" s="512" t="str">
        <f t="shared" ca="1" si="115"/>
        <v>No</v>
      </c>
      <c r="AT219" s="151">
        <f t="shared" ca="1" si="116"/>
        <v>78000</v>
      </c>
      <c r="AU219" s="151">
        <f>IFERROR(VLOOKUP(A219,'[7]TD CuentasBDG'!$N$5:$O$21,2,0),0)</f>
        <v>0</v>
      </c>
      <c r="AV219" t="str">
        <f t="shared" ca="1" si="117"/>
        <v>Licitación</v>
      </c>
      <c r="AW219" t="s">
        <v>1690</v>
      </c>
      <c r="AX219" t="s">
        <v>1929</v>
      </c>
    </row>
    <row r="220" spans="1:51" ht="75" x14ac:dyDescent="0.25">
      <c r="A220" s="921" t="s">
        <v>2010</v>
      </c>
      <c r="B220" s="508" t="s">
        <v>113</v>
      </c>
      <c r="C220" s="508" t="s">
        <v>1380</v>
      </c>
      <c r="D220" s="508" t="s">
        <v>334</v>
      </c>
      <c r="E220" s="508"/>
      <c r="F220" s="508"/>
      <c r="G220" s="508" t="s">
        <v>1647</v>
      </c>
      <c r="H220" s="508" t="s">
        <v>2011</v>
      </c>
      <c r="I220" s="508" t="s">
        <v>2012</v>
      </c>
      <c r="J220" s="555" t="s">
        <v>1650</v>
      </c>
      <c r="K220" s="555" t="s">
        <v>1651</v>
      </c>
      <c r="L220" s="911">
        <f ca="1">IFERROR(INDEX(Lists!$O$2:$Z$2,MATCH(TRUE,INDEX((AE220:AP220&lt;&gt;0),0),0)),DATE(2018,1,1))</f>
        <v>43191</v>
      </c>
      <c r="M220" s="911">
        <f ca="1">IFERROR(INDEX(Lists!$O$3:$Z$3, VALUE(SUBSTITUTE(TEXT(ADDRESS(SUMPRODUCT(MAX((COLUMN(AE220:AP220)*(AE220:AP220&gt;0)))),1),),"$A$",""))-30),DATE(2018,1,1))</f>
        <v>43404</v>
      </c>
      <c r="N220" s="508" t="s">
        <v>1668</v>
      </c>
      <c r="O220" s="590" t="s">
        <v>1653</v>
      </c>
      <c r="P220" s="508" t="s">
        <v>1071</v>
      </c>
      <c r="Q220" s="508" t="s">
        <v>1676</v>
      </c>
      <c r="R220" s="508">
        <f t="shared" ca="1" si="90"/>
        <v>0</v>
      </c>
      <c r="S220" s="508">
        <f t="shared" ca="1" si="91"/>
        <v>0</v>
      </c>
      <c r="T220" s="508" t="str">
        <f t="shared" ca="1" si="92"/>
        <v>EIS - Phase II (Technical  &amp; Legal Support) - Asesoría Independiente Huasco Altino</v>
      </c>
      <c r="U220" s="508" t="str">
        <f t="shared" ca="1" si="93"/>
        <v>684 / 51-11-3344</v>
      </c>
      <c r="V220" s="508" t="str">
        <f t="shared" ca="1" si="94"/>
        <v>Bidding/Licitación</v>
      </c>
      <c r="W220" s="508" t="str">
        <f t="shared" ca="1" si="95"/>
        <v>to be defined</v>
      </c>
      <c r="X220" s="508" t="str">
        <f t="shared" ca="1" si="96"/>
        <v>Dic-17</v>
      </c>
      <c r="Y220" s="508" t="str">
        <f t="shared" ca="1" si="97"/>
        <v>Dic-17</v>
      </c>
      <c r="Z220" s="508" t="str">
        <f t="shared" ca="1" si="98"/>
        <v>Dic-17</v>
      </c>
      <c r="AA220" s="508" t="str">
        <f t="shared" ca="1" si="99"/>
        <v>Ene</v>
      </c>
      <c r="AB220" s="508">
        <f t="shared" ca="1" si="89"/>
        <v>7</v>
      </c>
      <c r="AC220" s="508">
        <f t="shared" ca="1" si="100"/>
        <v>0</v>
      </c>
      <c r="AD220" s="912">
        <f t="shared" ca="1" si="101"/>
        <v>194000</v>
      </c>
      <c r="AE220" s="512">
        <f t="shared" ca="1" si="102"/>
        <v>0</v>
      </c>
      <c r="AF220" s="512">
        <f t="shared" ca="1" si="103"/>
        <v>0</v>
      </c>
      <c r="AG220" s="512">
        <f t="shared" ca="1" si="104"/>
        <v>0</v>
      </c>
      <c r="AH220" s="512">
        <f t="shared" ca="1" si="105"/>
        <v>20735.507246376812</v>
      </c>
      <c r="AI220" s="512">
        <f t="shared" ca="1" si="106"/>
        <v>65896.739130434784</v>
      </c>
      <c r="AJ220" s="512">
        <f t="shared" ca="1" si="107"/>
        <v>0</v>
      </c>
      <c r="AK220" s="512">
        <f t="shared" ca="1" si="108"/>
        <v>20735.507246376812</v>
      </c>
      <c r="AL220" s="512">
        <f t="shared" ca="1" si="109"/>
        <v>0</v>
      </c>
      <c r="AM220" s="512">
        <f t="shared" ca="1" si="110"/>
        <v>65896.739130434784</v>
      </c>
      <c r="AN220" s="512">
        <f t="shared" ca="1" si="111"/>
        <v>20735.507246376812</v>
      </c>
      <c r="AO220" s="512">
        <f t="shared" ca="1" si="112"/>
        <v>0</v>
      </c>
      <c r="AP220" s="512">
        <f t="shared" ca="1" si="113"/>
        <v>0</v>
      </c>
      <c r="AQ220" s="512" t="str">
        <f t="shared" ca="1" si="114"/>
        <v>Contrato</v>
      </c>
      <c r="AR220" s="512"/>
      <c r="AS220" s="512" t="str">
        <f t="shared" ca="1" si="115"/>
        <v>No</v>
      </c>
      <c r="AT220" s="151">
        <f t="shared" ca="1" si="116"/>
        <v>194000</v>
      </c>
      <c r="AU220" s="151">
        <f>IFERROR(VLOOKUP(A220,'[7]TD CuentasBDG'!$N$5:$O$21,2,0),0)</f>
        <v>0</v>
      </c>
      <c r="AV220" t="str">
        <f t="shared" ca="1" si="117"/>
        <v>Licitación</v>
      </c>
      <c r="AW220" t="s">
        <v>1690</v>
      </c>
      <c r="AX220" t="s">
        <v>1929</v>
      </c>
    </row>
    <row r="221" spans="1:51" ht="60" x14ac:dyDescent="0.25">
      <c r="A221" s="918" t="s">
        <v>2013</v>
      </c>
      <c r="B221" s="508" t="s">
        <v>113</v>
      </c>
      <c r="C221" s="508" t="s">
        <v>1380</v>
      </c>
      <c r="D221" s="508" t="s">
        <v>334</v>
      </c>
      <c r="E221" s="508" t="s">
        <v>2014</v>
      </c>
      <c r="F221" s="508" t="s">
        <v>1674</v>
      </c>
      <c r="G221" s="508" t="s">
        <v>1647</v>
      </c>
      <c r="H221" s="508" t="s">
        <v>2015</v>
      </c>
      <c r="I221" s="508" t="s">
        <v>2016</v>
      </c>
      <c r="J221" s="555" t="s">
        <v>1650</v>
      </c>
      <c r="K221" s="555" t="s">
        <v>1774</v>
      </c>
      <c r="L221" s="911">
        <f ca="1">IFERROR(INDEX(Lists!$O$2:$Z$2,MATCH(TRUE,INDEX((AE221:AP221&lt;&gt;0),0),0)),DATE(2018,1,1))</f>
        <v>43102</v>
      </c>
      <c r="M221" s="911">
        <f ca="1">IFERROR(INDEX(Lists!$O$3:$Z$3, VALUE(SUBSTITUTE(TEXT(ADDRESS(SUMPRODUCT(MAX((COLUMN(AE221:AP221)*(AE221:AP221&gt;0)))),1),),"$A$",""))-30),DATE(2018,1,1))</f>
        <v>43312</v>
      </c>
      <c r="N221" s="508" t="s">
        <v>1928</v>
      </c>
      <c r="O221" s="590" t="s">
        <v>1653</v>
      </c>
      <c r="P221" s="508" t="s">
        <v>1071</v>
      </c>
      <c r="Q221" s="508" t="s">
        <v>1071</v>
      </c>
      <c r="R221" s="508">
        <f t="shared" ca="1" si="90"/>
        <v>0</v>
      </c>
      <c r="S221" s="508">
        <f t="shared" ca="1" si="91"/>
        <v>0</v>
      </c>
      <c r="T221" s="508" t="str">
        <f t="shared" ca="1" si="92"/>
        <v>EIS - Phase II (Technical  &amp; Legal Support) - Contrapartes Técnicas</v>
      </c>
      <c r="U221" s="508" t="str">
        <f t="shared" ca="1" si="93"/>
        <v>684 / 51-11-3344</v>
      </c>
      <c r="V221" s="508" t="str">
        <f t="shared" ca="1" si="94"/>
        <v>Current Contract/Contrato Activo</v>
      </c>
      <c r="W221" s="508" t="str">
        <f t="shared" ca="1" si="95"/>
        <v>BS Consultores/SIGA/MEC/CEDREM/Sergio Días/Geobiota</v>
      </c>
      <c r="X221" s="508" t="str">
        <f t="shared" ca="1" si="96"/>
        <v>N/A</v>
      </c>
      <c r="Y221" s="508" t="str">
        <f t="shared" ca="1" si="97"/>
        <v>N/A</v>
      </c>
      <c r="Z221" s="508" t="str">
        <f t="shared" ca="1" si="98"/>
        <v>N/A</v>
      </c>
      <c r="AA221" s="508" t="str">
        <f t="shared" ca="1" si="99"/>
        <v>Ene</v>
      </c>
      <c r="AB221" s="508">
        <f t="shared" ca="1" si="89"/>
        <v>7</v>
      </c>
      <c r="AC221" s="508">
        <f t="shared" ca="1" si="100"/>
        <v>0</v>
      </c>
      <c r="AD221" s="912">
        <f t="shared" ca="1" si="101"/>
        <v>218428.04705882352</v>
      </c>
      <c r="AE221" s="512">
        <f t="shared" ca="1" si="102"/>
        <v>23346.476044330775</v>
      </c>
      <c r="AF221" s="512">
        <f t="shared" ca="1" si="103"/>
        <v>74194.309462915597</v>
      </c>
      <c r="AG221" s="512">
        <f t="shared" ca="1" si="104"/>
        <v>0</v>
      </c>
      <c r="AH221" s="512">
        <f t="shared" ca="1" si="105"/>
        <v>23346.476044330775</v>
      </c>
      <c r="AI221" s="512">
        <f t="shared" ca="1" si="106"/>
        <v>0</v>
      </c>
      <c r="AJ221" s="512">
        <f t="shared" ca="1" si="107"/>
        <v>74194.309462915597</v>
      </c>
      <c r="AK221" s="512">
        <f t="shared" ca="1" si="108"/>
        <v>23346.476044330775</v>
      </c>
      <c r="AL221" s="512">
        <f t="shared" ca="1" si="109"/>
        <v>0</v>
      </c>
      <c r="AM221" s="512">
        <f t="shared" ca="1" si="110"/>
        <v>0</v>
      </c>
      <c r="AN221" s="512">
        <f t="shared" ca="1" si="111"/>
        <v>0</v>
      </c>
      <c r="AO221" s="512">
        <f t="shared" ca="1" si="112"/>
        <v>0</v>
      </c>
      <c r="AP221" s="512">
        <f t="shared" ca="1" si="113"/>
        <v>0</v>
      </c>
      <c r="AQ221" s="512" t="str">
        <f t="shared" ca="1" si="114"/>
        <v>Contrato</v>
      </c>
      <c r="AR221" s="512"/>
      <c r="AS221" s="512" t="str">
        <f t="shared" ca="1" si="115"/>
        <v>No</v>
      </c>
      <c r="AT221" s="151">
        <f t="shared" ca="1" si="116"/>
        <v>218428.04705882352</v>
      </c>
      <c r="AU221" s="151">
        <f>IFERROR(VLOOKUP(A221,'[7]TD CuentasBDG'!$N$5:$O$21,2,0),0)</f>
        <v>23520.97058823529</v>
      </c>
      <c r="AV221" t="str">
        <f t="shared" si="117"/>
        <v>Contrato Activo</v>
      </c>
      <c r="AW221" t="s">
        <v>1690</v>
      </c>
      <c r="AX221" t="s">
        <v>1929</v>
      </c>
    </row>
    <row r="222" spans="1:51" ht="45" x14ac:dyDescent="0.25">
      <c r="A222" s="918" t="s">
        <v>2017</v>
      </c>
      <c r="B222" s="508" t="s">
        <v>113</v>
      </c>
      <c r="C222" s="508" t="s">
        <v>1380</v>
      </c>
      <c r="D222" s="508" t="s">
        <v>334</v>
      </c>
      <c r="E222" s="508"/>
      <c r="F222" s="508"/>
      <c r="G222" s="508" t="s">
        <v>1647</v>
      </c>
      <c r="H222" s="508" t="s">
        <v>2018</v>
      </c>
      <c r="I222" s="508" t="s">
        <v>1389</v>
      </c>
      <c r="J222" s="555" t="s">
        <v>1650</v>
      </c>
      <c r="K222" s="555" t="s">
        <v>1651</v>
      </c>
      <c r="L222" s="911">
        <f ca="1">IFERROR(INDEX(Lists!$O$2:$Z$2,MATCH(TRUE,INDEX((AE222:AP222&lt;&gt;0),0),0)),DATE(2018,1,1))</f>
        <v>43344</v>
      </c>
      <c r="M222" s="911">
        <f ca="1">IFERROR(INDEX(Lists!$O$3:$Z$3, VALUE(SUBSTITUTE(TEXT(ADDRESS(SUMPRODUCT(MAX((COLUMN(AE222:AP222)*(AE222:AP222&gt;0)))),1),),"$A$",""))-30),DATE(2018,1,1))</f>
        <v>43465</v>
      </c>
      <c r="N222" s="508" t="s">
        <v>1652</v>
      </c>
      <c r="O222" s="590" t="s">
        <v>1653</v>
      </c>
      <c r="P222" s="508" t="s">
        <v>1071</v>
      </c>
      <c r="Q222" s="508" t="s">
        <v>1676</v>
      </c>
      <c r="R222" s="508">
        <f t="shared" ca="1" si="90"/>
        <v>0</v>
      </c>
      <c r="S222" s="508">
        <f t="shared" ca="1" si="91"/>
        <v>0</v>
      </c>
      <c r="T222" s="508" t="str">
        <f t="shared" ca="1" si="92"/>
        <v>EIS - Phase III (Permitting)</v>
      </c>
      <c r="U222" s="508" t="str">
        <f t="shared" ca="1" si="93"/>
        <v>684 / 51-11-3344</v>
      </c>
      <c r="V222" s="508" t="str">
        <f t="shared" ca="1" si="94"/>
        <v>Sole Source/Adjudicación Directa</v>
      </c>
      <c r="W222" s="508" t="str">
        <f t="shared" ca="1" si="95"/>
        <v>Knight Piesold</v>
      </c>
      <c r="X222" s="508" t="str">
        <f t="shared" ca="1" si="96"/>
        <v>N/A</v>
      </c>
      <c r="Y222" s="508" t="str">
        <f t="shared" ca="1" si="97"/>
        <v>N/A</v>
      </c>
      <c r="Z222" s="508" t="str">
        <f t="shared" ca="1" si="98"/>
        <v>Jul</v>
      </c>
      <c r="AA222" s="508" t="str">
        <f t="shared" ca="1" si="99"/>
        <v>Ago</v>
      </c>
      <c r="AB222" s="508">
        <f t="shared" ca="1" si="89"/>
        <v>4</v>
      </c>
      <c r="AC222" s="508">
        <f t="shared" ca="1" si="100"/>
        <v>0</v>
      </c>
      <c r="AD222" s="912">
        <f t="shared" ca="1" si="101"/>
        <v>538584.11764705868</v>
      </c>
      <c r="AE222" s="512">
        <f t="shared" ca="1" si="102"/>
        <v>0</v>
      </c>
      <c r="AF222" s="512">
        <f t="shared" ca="1" si="103"/>
        <v>0</v>
      </c>
      <c r="AG222" s="512">
        <f t="shared" ca="1" si="104"/>
        <v>0</v>
      </c>
      <c r="AH222" s="512">
        <f t="shared" ca="1" si="105"/>
        <v>0</v>
      </c>
      <c r="AI222" s="512">
        <f t="shared" ca="1" si="106"/>
        <v>0</v>
      </c>
      <c r="AJ222" s="512">
        <f t="shared" ca="1" si="107"/>
        <v>0</v>
      </c>
      <c r="AK222" s="512">
        <f t="shared" ca="1" si="108"/>
        <v>0</v>
      </c>
      <c r="AL222" s="512">
        <f t="shared" ca="1" si="109"/>
        <v>0</v>
      </c>
      <c r="AM222" s="512">
        <f t="shared" ca="1" si="110"/>
        <v>11624.117647058823</v>
      </c>
      <c r="AN222" s="512">
        <f t="shared" ca="1" si="111"/>
        <v>464964.70588235289</v>
      </c>
      <c r="AO222" s="512">
        <f t="shared" ca="1" si="112"/>
        <v>11624.117647058823</v>
      </c>
      <c r="AP222" s="512">
        <f t="shared" ca="1" si="113"/>
        <v>50371.176470588238</v>
      </c>
      <c r="AQ222" s="512" t="str">
        <f t="shared" ca="1" si="114"/>
        <v>Contrato</v>
      </c>
      <c r="AR222" s="512"/>
      <c r="AS222" s="512" t="str">
        <f t="shared" ca="1" si="115"/>
        <v>Si</v>
      </c>
      <c r="AT222" s="151">
        <f t="shared" ca="1" si="116"/>
        <v>538584.11764705868</v>
      </c>
      <c r="AU222" s="151">
        <f>IFERROR(VLOOKUP(A222,'[7]TD CuentasBDG'!$N$5:$O$21,2,0),0)</f>
        <v>0</v>
      </c>
      <c r="AV222" t="str">
        <f t="shared" si="117"/>
        <v>Renovación de Contrato</v>
      </c>
      <c r="AW222" t="s">
        <v>1690</v>
      </c>
      <c r="AX222" t="s">
        <v>1929</v>
      </c>
    </row>
    <row r="223" spans="1:51" ht="45" x14ac:dyDescent="0.25">
      <c r="A223" s="921" t="s">
        <v>2019</v>
      </c>
      <c r="B223" s="508" t="s">
        <v>113</v>
      </c>
      <c r="C223" s="508" t="s">
        <v>1380</v>
      </c>
      <c r="D223" s="508" t="s">
        <v>334</v>
      </c>
      <c r="E223" s="508"/>
      <c r="F223" s="508"/>
      <c r="G223" s="508" t="s">
        <v>1647</v>
      </c>
      <c r="H223" s="508" t="s">
        <v>2020</v>
      </c>
      <c r="I223" s="508" t="s">
        <v>2021</v>
      </c>
      <c r="J223" s="555" t="s">
        <v>1650</v>
      </c>
      <c r="K223" s="555" t="s">
        <v>1651</v>
      </c>
      <c r="L223" s="911">
        <f ca="1">IFERROR(INDEX(Lists!$O$2:$Z$2,MATCH(TRUE,INDEX((AE223:AP223&lt;&gt;0),0),0)),DATE(2018,1,1))</f>
        <v>43160</v>
      </c>
      <c r="M223" s="911">
        <f ca="1">IFERROR(INDEX(Lists!$O$3:$Z$3, VALUE(SUBSTITUTE(TEXT(ADDRESS(SUMPRODUCT(MAX((COLUMN(AE223:AP223)*(AE223:AP223&gt;0)))),1),),"$A$",""))-30),DATE(2018,1,1))</f>
        <v>43465</v>
      </c>
      <c r="N223" s="508" t="s">
        <v>1668</v>
      </c>
      <c r="O223" s="590" t="s">
        <v>1653</v>
      </c>
      <c r="P223" s="508" t="s">
        <v>1071</v>
      </c>
      <c r="Q223" s="508" t="s">
        <v>1676</v>
      </c>
      <c r="R223" s="508">
        <f t="shared" ca="1" si="90"/>
        <v>0</v>
      </c>
      <c r="S223" s="508">
        <f t="shared" ca="1" si="91"/>
        <v>0</v>
      </c>
      <c r="T223" s="508" t="str">
        <f t="shared" ca="1" si="92"/>
        <v>Other Environmental Studies &amp; Activities - Almacenamiento de material Arqueológico</v>
      </c>
      <c r="U223" s="508" t="str">
        <f t="shared" ca="1" si="93"/>
        <v>684 / 51-11-3344</v>
      </c>
      <c r="V223" s="508" t="str">
        <f t="shared" ca="1" si="94"/>
        <v>Bidding/Licitación</v>
      </c>
      <c r="W223" s="508" t="str">
        <f t="shared" ca="1" si="95"/>
        <v>to be defined</v>
      </c>
      <c r="X223" s="508" t="str">
        <f t="shared" ca="1" si="96"/>
        <v>Dic-17</v>
      </c>
      <c r="Y223" s="508" t="str">
        <f t="shared" ca="1" si="97"/>
        <v>Dic-17</v>
      </c>
      <c r="Z223" s="508" t="str">
        <f t="shared" ca="1" si="98"/>
        <v>Dic-17</v>
      </c>
      <c r="AA223" s="508" t="str">
        <f t="shared" ca="1" si="99"/>
        <v>Ene</v>
      </c>
      <c r="AB223" s="508">
        <f t="shared" ca="1" si="89"/>
        <v>10</v>
      </c>
      <c r="AC223" s="508">
        <f t="shared" ca="1" si="100"/>
        <v>0</v>
      </c>
      <c r="AD223" s="912">
        <f t="shared" ca="1" si="101"/>
        <v>109999.55746729724</v>
      </c>
      <c r="AE223" s="512">
        <f t="shared" ca="1" si="102"/>
        <v>0</v>
      </c>
      <c r="AF223" s="512">
        <f t="shared" ca="1" si="103"/>
        <v>0</v>
      </c>
      <c r="AG223" s="512">
        <f t="shared" ca="1" si="104"/>
        <v>6443.2330363187402</v>
      </c>
      <c r="AH223" s="512">
        <f t="shared" ca="1" si="105"/>
        <v>16409.943411930639</v>
      </c>
      <c r="AI223" s="512">
        <f t="shared" ca="1" si="106"/>
        <v>6443.2330363187402</v>
      </c>
      <c r="AJ223" s="512">
        <f t="shared" ca="1" si="107"/>
        <v>16409.943411930639</v>
      </c>
      <c r="AK223" s="512">
        <f t="shared" ca="1" si="108"/>
        <v>7536.7434673468151</v>
      </c>
      <c r="AL223" s="512">
        <f t="shared" ca="1" si="109"/>
        <v>8536.6683085284931</v>
      </c>
      <c r="AM223" s="512">
        <f t="shared" ca="1" si="110"/>
        <v>9505.0622431973516</v>
      </c>
      <c r="AN223" s="512">
        <f t="shared" ca="1" si="111"/>
        <v>8536.6683085284931</v>
      </c>
      <c r="AO223" s="512">
        <f t="shared" ca="1" si="112"/>
        <v>9505.0622431973516</v>
      </c>
      <c r="AP223" s="512">
        <f t="shared" ca="1" si="113"/>
        <v>20673</v>
      </c>
      <c r="AQ223" s="512" t="str">
        <f t="shared" ca="1" si="114"/>
        <v>Contrato</v>
      </c>
      <c r="AR223" s="512"/>
      <c r="AS223" s="512" t="str">
        <f t="shared" ca="1" si="115"/>
        <v>No</v>
      </c>
      <c r="AT223" s="151">
        <f t="shared" ca="1" si="116"/>
        <v>109999.55746729724</v>
      </c>
      <c r="AU223" s="151">
        <f>IFERROR(VLOOKUP(A223,'[7]TD CuentasBDG'!$N$5:$O$21,2,0),0)</f>
        <v>0</v>
      </c>
      <c r="AV223" t="str">
        <f t="shared" ca="1" si="117"/>
        <v>Licitación</v>
      </c>
      <c r="AW223" t="s">
        <v>1669</v>
      </c>
      <c r="AX223" t="s">
        <v>1929</v>
      </c>
    </row>
    <row r="224" spans="1:51" ht="45" x14ac:dyDescent="0.25">
      <c r="A224" s="918" t="s">
        <v>2022</v>
      </c>
      <c r="B224" s="508" t="s">
        <v>113</v>
      </c>
      <c r="C224" s="508" t="s">
        <v>1380</v>
      </c>
      <c r="D224" s="508" t="s">
        <v>334</v>
      </c>
      <c r="E224" s="508" t="s">
        <v>2023</v>
      </c>
      <c r="F224" s="508" t="s">
        <v>1674</v>
      </c>
      <c r="G224" s="508" t="s">
        <v>1647</v>
      </c>
      <c r="H224" s="508" t="s">
        <v>2024</v>
      </c>
      <c r="I224" s="508" t="s">
        <v>2025</v>
      </c>
      <c r="J224" s="555" t="s">
        <v>1650</v>
      </c>
      <c r="K224" s="555" t="s">
        <v>1651</v>
      </c>
      <c r="L224" s="911">
        <f ca="1">IFERROR(INDEX(Lists!$O$2:$Z$2,MATCH(TRUE,INDEX((AE224:AP224&lt;&gt;0),0),0)),DATE(2018,1,1))</f>
        <v>43102</v>
      </c>
      <c r="M224" s="911">
        <f ca="1">IFERROR(INDEX(Lists!$O$3:$Z$3, VALUE(SUBSTITUTE(TEXT(ADDRESS(SUMPRODUCT(MAX((COLUMN(AE224:AP224)*(AE224:AP224&gt;0)))),1),),"$A$",""))-30),DATE(2018,1,1))</f>
        <v>43465</v>
      </c>
      <c r="N224" s="508" t="s">
        <v>1652</v>
      </c>
      <c r="O224" s="590" t="s">
        <v>1653</v>
      </c>
      <c r="P224" s="508" t="s">
        <v>1071</v>
      </c>
      <c r="Q224" s="508" t="s">
        <v>1676</v>
      </c>
      <c r="R224" s="508">
        <f t="shared" ca="1" si="90"/>
        <v>0</v>
      </c>
      <c r="S224" s="508">
        <f t="shared" ca="1" si="91"/>
        <v>0</v>
      </c>
      <c r="T224" s="508" t="str">
        <f t="shared" ca="1" si="92"/>
        <v>Other Environmental Studies &amp; Activities - Profesionales Soporte EIA (Alejandro/Elizabeth)</v>
      </c>
      <c r="U224" s="508" t="str">
        <f t="shared" ca="1" si="93"/>
        <v>684 / 51-11-3344</v>
      </c>
      <c r="V224" s="508" t="str">
        <f t="shared" ca="1" si="94"/>
        <v>Contract Renewal/Renovación de Contrato</v>
      </c>
      <c r="W224" s="508" t="str">
        <f t="shared" ca="1" si="95"/>
        <v>Alejandro M/Elizabeth F</v>
      </c>
      <c r="X224" s="508" t="str">
        <f t="shared" ca="1" si="96"/>
        <v>N/A</v>
      </c>
      <c r="Y224" s="508" t="str">
        <f t="shared" ca="1" si="97"/>
        <v>N/A</v>
      </c>
      <c r="Z224" s="508" t="str">
        <f t="shared" ca="1" si="98"/>
        <v>Dic-17</v>
      </c>
      <c r="AA224" s="508" t="str">
        <f t="shared" ca="1" si="99"/>
        <v>Ene</v>
      </c>
      <c r="AB224" s="508">
        <f t="shared" ca="1" si="89"/>
        <v>12</v>
      </c>
      <c r="AC224" s="508">
        <f t="shared" ca="1" si="100"/>
        <v>0</v>
      </c>
      <c r="AD224" s="912">
        <f t="shared" ca="1" si="101"/>
        <v>185000</v>
      </c>
      <c r="AE224" s="512">
        <f t="shared" ca="1" si="102"/>
        <v>10836.346470172426</v>
      </c>
      <c r="AF224" s="512">
        <f t="shared" ca="1" si="103"/>
        <v>27598.54119279244</v>
      </c>
      <c r="AG224" s="512">
        <f t="shared" ca="1" si="104"/>
        <v>10836.346470172426</v>
      </c>
      <c r="AH224" s="512">
        <f t="shared" ca="1" si="105"/>
        <v>27598.54119279244</v>
      </c>
      <c r="AI224" s="512">
        <f t="shared" ca="1" si="106"/>
        <v>12675.43219508328</v>
      </c>
      <c r="AJ224" s="512">
        <f t="shared" ca="1" si="107"/>
        <v>14357.123973434285</v>
      </c>
      <c r="AK224" s="512">
        <f t="shared" ca="1" si="108"/>
        <v>15985.786499922817</v>
      </c>
      <c r="AL224" s="512">
        <f t="shared" ca="1" si="109"/>
        <v>14357.123973434285</v>
      </c>
      <c r="AM224" s="512">
        <f t="shared" ca="1" si="110"/>
        <v>15985.786499922817</v>
      </c>
      <c r="AN224" s="512">
        <f t="shared" ca="1" si="111"/>
        <v>11046.769668594747</v>
      </c>
      <c r="AO224" s="512">
        <f t="shared" ca="1" si="112"/>
        <v>12675.43219508328</v>
      </c>
      <c r="AP224" s="512">
        <f t="shared" ca="1" si="113"/>
        <v>11046.769668594747</v>
      </c>
      <c r="AQ224" s="512" t="str">
        <f t="shared" ca="1" si="114"/>
        <v>Contrato</v>
      </c>
      <c r="AR224" s="512"/>
      <c r="AS224" s="512" t="str">
        <f t="shared" ca="1" si="115"/>
        <v>Si</v>
      </c>
      <c r="AT224" s="151">
        <f t="shared" ca="1" si="116"/>
        <v>185000</v>
      </c>
      <c r="AU224" s="151">
        <f>IFERROR(VLOOKUP(A224,'[7]TD CuentasBDG'!$N$5:$O$21,2,0),0)</f>
        <v>28235.294117647059</v>
      </c>
      <c r="AV224" t="str">
        <f t="shared" si="117"/>
        <v>Renovación de Contrato</v>
      </c>
      <c r="AW224" t="s">
        <v>2026</v>
      </c>
      <c r="AX224" t="s">
        <v>1929</v>
      </c>
    </row>
    <row r="225" spans="1:52" ht="45" x14ac:dyDescent="0.25">
      <c r="A225" s="918" t="s">
        <v>2027</v>
      </c>
      <c r="B225" s="508" t="s">
        <v>113</v>
      </c>
      <c r="C225" s="508" t="s">
        <v>1380</v>
      </c>
      <c r="D225" s="508" t="s">
        <v>334</v>
      </c>
      <c r="E225" s="508"/>
      <c r="F225" s="508"/>
      <c r="G225" s="508" t="s">
        <v>1707</v>
      </c>
      <c r="H225" s="508"/>
      <c r="I225" s="508"/>
      <c r="J225" s="555"/>
      <c r="K225" s="555"/>
      <c r="L225" s="911">
        <f ca="1">IFERROR(INDEX(Lists!$O$2:$Z$2,MATCH(TRUE,INDEX((AE225:AP225&lt;&gt;0),0),0)),DATE(2018,1,1))</f>
        <v>43160</v>
      </c>
      <c r="M225" s="911">
        <f ca="1">IFERROR(INDEX(Lists!$O$3:$Z$3, VALUE(SUBSTITUTE(TEXT(ADDRESS(SUMPRODUCT(MAX((COLUMN(AE225:AP225)*(AE225:AP225&gt;0)))),1),),"$A$",""))-30),DATE(2018,1,1))</f>
        <v>43465</v>
      </c>
      <c r="N225" s="508"/>
      <c r="O225" s="590"/>
      <c r="P225" s="508"/>
      <c r="Q225" s="508"/>
      <c r="R225" s="508">
        <f t="shared" ca="1" si="90"/>
        <v>0</v>
      </c>
      <c r="S225" s="508">
        <f t="shared" ca="1" si="91"/>
        <v>0</v>
      </c>
      <c r="T225" s="508" t="str">
        <f t="shared" ca="1" si="92"/>
        <v>Other Environmental Studies &amp; Activities - Sistema Gestion Ambiental</v>
      </c>
      <c r="U225" s="508" t="str">
        <f t="shared" ca="1" si="93"/>
        <v>684 / 51-11-3344</v>
      </c>
      <c r="V225" s="508" t="str">
        <f t="shared" ca="1" si="94"/>
        <v>Sole Source/Adjudicación Directa</v>
      </c>
      <c r="W225" s="508" t="str">
        <f t="shared" ca="1" si="95"/>
        <v>to be defined</v>
      </c>
      <c r="X225" s="508" t="str">
        <f t="shared" ca="1" si="96"/>
        <v>N/A</v>
      </c>
      <c r="Y225" s="508" t="str">
        <f t="shared" ca="1" si="97"/>
        <v>N/A</v>
      </c>
      <c r="Z225" s="508" t="str">
        <f t="shared" ca="1" si="98"/>
        <v>Dic-17</v>
      </c>
      <c r="AA225" s="508" t="str">
        <f t="shared" ca="1" si="99"/>
        <v>Ene</v>
      </c>
      <c r="AB225" s="508">
        <f t="shared" ca="1" si="89"/>
        <v>10</v>
      </c>
      <c r="AC225" s="508">
        <f t="shared" ca="1" si="100"/>
        <v>0</v>
      </c>
      <c r="AD225" s="912">
        <f t="shared" ca="1" si="101"/>
        <v>27999.669173493847</v>
      </c>
      <c r="AE225" s="512">
        <f t="shared" ca="1" si="102"/>
        <v>0</v>
      </c>
      <c r="AF225" s="512">
        <f t="shared" ca="1" si="103"/>
        <v>0</v>
      </c>
      <c r="AG225" s="512">
        <f t="shared" ca="1" si="104"/>
        <v>1640.0956819720429</v>
      </c>
      <c r="AH225" s="512">
        <f t="shared" ca="1" si="105"/>
        <v>4177.076504855072</v>
      </c>
      <c r="AI225" s="512">
        <f t="shared" ca="1" si="106"/>
        <v>1640.0956819720429</v>
      </c>
      <c r="AJ225" s="512">
        <f t="shared" ca="1" si="107"/>
        <v>4177.076504855072</v>
      </c>
      <c r="AK225" s="512">
        <f t="shared" ca="1" si="108"/>
        <v>1918.4437916882803</v>
      </c>
      <c r="AL225" s="512">
        <f t="shared" ca="1" si="109"/>
        <v>2172.9701148981621</v>
      </c>
      <c r="AM225" s="512">
        <f t="shared" ca="1" si="110"/>
        <v>2419.4703891775075</v>
      </c>
      <c r="AN225" s="512">
        <f t="shared" ca="1" si="111"/>
        <v>2172.9701148981621</v>
      </c>
      <c r="AO225" s="512">
        <f t="shared" ca="1" si="112"/>
        <v>2419.4703891775075</v>
      </c>
      <c r="AP225" s="512">
        <f t="shared" ca="1" si="113"/>
        <v>5262</v>
      </c>
      <c r="AQ225" s="512" t="str">
        <f t="shared" si="114"/>
        <v/>
      </c>
      <c r="AR225" s="512"/>
      <c r="AS225" s="512" t="str">
        <f t="shared" si="115"/>
        <v/>
      </c>
      <c r="AT225" s="151">
        <f t="shared" si="116"/>
        <v>0</v>
      </c>
      <c r="AU225" s="151">
        <f>IFERROR(VLOOKUP(A225,'[7]TD CuentasBDG'!$N$5:$O$21,2,0),0)</f>
        <v>0</v>
      </c>
      <c r="AV225">
        <f t="shared" si="117"/>
        <v>0</v>
      </c>
    </row>
    <row r="226" spans="1:52" ht="45" x14ac:dyDescent="0.25">
      <c r="A226" s="918" t="s">
        <v>2028</v>
      </c>
      <c r="B226" s="508" t="s">
        <v>113</v>
      </c>
      <c r="C226" s="508" t="s">
        <v>1380</v>
      </c>
      <c r="D226" s="508" t="s">
        <v>334</v>
      </c>
      <c r="E226" s="508" t="s">
        <v>2029</v>
      </c>
      <c r="F226" s="508" t="s">
        <v>1674</v>
      </c>
      <c r="G226" s="508" t="s">
        <v>1647</v>
      </c>
      <c r="H226" s="508" t="s">
        <v>2030</v>
      </c>
      <c r="I226" s="508" t="s">
        <v>2031</v>
      </c>
      <c r="J226" s="555" t="s">
        <v>1650</v>
      </c>
      <c r="K226" s="555" t="s">
        <v>1651</v>
      </c>
      <c r="L226" s="911">
        <f ca="1">IFERROR(INDEX(Lists!$O$2:$Z$2,MATCH(TRUE,INDEX((AE226:AP226&lt;&gt;0),0),0)),DATE(2018,1,1))</f>
        <v>43102</v>
      </c>
      <c r="M226" s="911">
        <f ca="1">IFERROR(INDEX(Lists!$O$3:$Z$3, VALUE(SUBSTITUTE(TEXT(ADDRESS(SUMPRODUCT(MAX((COLUMN(AE226:AP226)*(AE226:AP226&gt;0)))),1),),"$A$",""))-30),DATE(2018,1,1))</f>
        <v>43465</v>
      </c>
      <c r="N226" s="508" t="s">
        <v>1652</v>
      </c>
      <c r="O226" s="590" t="s">
        <v>1653</v>
      </c>
      <c r="P226" s="508" t="s">
        <v>1071</v>
      </c>
      <c r="Q226" s="508" t="s">
        <v>1071</v>
      </c>
      <c r="R226" s="508">
        <f t="shared" ca="1" si="90"/>
        <v>0</v>
      </c>
      <c r="S226" s="508">
        <f t="shared" ca="1" si="91"/>
        <v>0</v>
      </c>
      <c r="T226" s="508" t="str">
        <f t="shared" ca="1" si="92"/>
        <v>Other Environmental Studies &amp; Activities - Apoyo GIS</v>
      </c>
      <c r="U226" s="508" t="str">
        <f t="shared" ca="1" si="93"/>
        <v>684 / 51-11-3344</v>
      </c>
      <c r="V226" s="508" t="str">
        <f t="shared" ca="1" si="94"/>
        <v>Contract Renewal/Renovación de Contrato</v>
      </c>
      <c r="W226" s="508" t="str">
        <f t="shared" ca="1" si="95"/>
        <v>Miguel Sasmay/Diana Lecaros</v>
      </c>
      <c r="X226" s="508" t="str">
        <f t="shared" ca="1" si="96"/>
        <v>N/A</v>
      </c>
      <c r="Y226" s="508" t="str">
        <f t="shared" ca="1" si="97"/>
        <v>N/A</v>
      </c>
      <c r="Z226" s="508" t="str">
        <f t="shared" ca="1" si="98"/>
        <v>Dic-17</v>
      </c>
      <c r="AA226" s="508" t="str">
        <f t="shared" ca="1" si="99"/>
        <v>Ene</v>
      </c>
      <c r="AB226" s="508">
        <f t="shared" ca="1" si="89"/>
        <v>12</v>
      </c>
      <c r="AC226" s="508">
        <f t="shared" ca="1" si="100"/>
        <v>0</v>
      </c>
      <c r="AD226" s="912">
        <f t="shared" ca="1" si="101"/>
        <v>66770.07897227857</v>
      </c>
      <c r="AE226" s="512">
        <f t="shared" ca="1" si="102"/>
        <v>3911.0470788345137</v>
      </c>
      <c r="AF226" s="512">
        <f t="shared" ca="1" si="103"/>
        <v>9960.847432229375</v>
      </c>
      <c r="AG226" s="512">
        <f t="shared" ca="1" si="104"/>
        <v>3911.0470788345137</v>
      </c>
      <c r="AH226" s="512">
        <f t="shared" ca="1" si="105"/>
        <v>9960.847432229375</v>
      </c>
      <c r="AI226" s="512">
        <f t="shared" ca="1" si="106"/>
        <v>4574.808695532286</v>
      </c>
      <c r="AJ226" s="512">
        <f t="shared" ca="1" si="107"/>
        <v>5181.7637920054112</v>
      </c>
      <c r="AK226" s="512">
        <f t="shared" ca="1" si="108"/>
        <v>5769.5796055882765</v>
      </c>
      <c r="AL226" s="512">
        <f t="shared" ca="1" si="109"/>
        <v>5181.7637920054112</v>
      </c>
      <c r="AM226" s="512">
        <f t="shared" ca="1" si="110"/>
        <v>5769.5796055882765</v>
      </c>
      <c r="AN226" s="512">
        <f t="shared" ca="1" si="111"/>
        <v>3986.9928819494203</v>
      </c>
      <c r="AO226" s="512">
        <f t="shared" ca="1" si="112"/>
        <v>4574.808695532286</v>
      </c>
      <c r="AP226" s="512">
        <f t="shared" ca="1" si="113"/>
        <v>3986.9928819494203</v>
      </c>
      <c r="AQ226" s="512" t="str">
        <f t="shared" ca="1" si="114"/>
        <v>Orden de Servicio Sin Terreno</v>
      </c>
      <c r="AR226" s="512"/>
      <c r="AS226" s="512" t="str">
        <f t="shared" ca="1" si="115"/>
        <v>Si</v>
      </c>
      <c r="AT226" s="151">
        <f t="shared" ca="1" si="116"/>
        <v>66770.07897227857</v>
      </c>
      <c r="AU226" s="151">
        <f>IFERROR(VLOOKUP(A226,'[7]TD CuentasBDG'!$N$5:$O$21,2,0),0)</f>
        <v>4058.8235294117649</v>
      </c>
      <c r="AV226" t="str">
        <f t="shared" si="117"/>
        <v>Renovación de Contrato</v>
      </c>
      <c r="AW226" t="s">
        <v>2026</v>
      </c>
      <c r="AX226" t="s">
        <v>1929</v>
      </c>
    </row>
    <row r="227" spans="1:52" ht="45" x14ac:dyDescent="0.25">
      <c r="A227" s="918" t="s">
        <v>2032</v>
      </c>
      <c r="B227" s="508" t="s">
        <v>113</v>
      </c>
      <c r="C227" s="508" t="s">
        <v>1380</v>
      </c>
      <c r="D227" s="508" t="s">
        <v>334</v>
      </c>
      <c r="E227" s="508"/>
      <c r="F227" s="508"/>
      <c r="G227" s="508" t="s">
        <v>1647</v>
      </c>
      <c r="H227" s="508" t="s">
        <v>2033</v>
      </c>
      <c r="I227" s="508" t="s">
        <v>2034</v>
      </c>
      <c r="J227" s="555" t="s">
        <v>1650</v>
      </c>
      <c r="K227" s="555" t="s">
        <v>1651</v>
      </c>
      <c r="L227" s="911">
        <f ca="1">IFERROR(INDEX(Lists!$O$2:$Z$2,MATCH(TRUE,INDEX((AE227:AP227&lt;&gt;0),0),0)),DATE(2018,1,1))</f>
        <v>43102</v>
      </c>
      <c r="M227" s="911">
        <f ca="1">IFERROR(INDEX(Lists!$O$3:$Z$3, VALUE(SUBSTITUTE(TEXT(ADDRESS(SUMPRODUCT(MAX((COLUMN(AE227:AP227)*(AE227:AP227&gt;0)))),1),),"$A$",""))-30),DATE(2018,1,1))</f>
        <v>43465</v>
      </c>
      <c r="N227" s="508" t="s">
        <v>1652</v>
      </c>
      <c r="O227" s="590" t="s">
        <v>1653</v>
      </c>
      <c r="P227" s="508" t="s">
        <v>1071</v>
      </c>
      <c r="Q227" s="508" t="s">
        <v>1676</v>
      </c>
      <c r="R227" s="508">
        <f t="shared" ca="1" si="90"/>
        <v>0</v>
      </c>
      <c r="S227" s="508">
        <f t="shared" ca="1" si="91"/>
        <v>0</v>
      </c>
      <c r="T227" s="508" t="str">
        <f t="shared" ca="1" si="92"/>
        <v>Environmental Commitment - Plan corrección de El Morro</v>
      </c>
      <c r="U227" s="508" t="str">
        <f t="shared" ca="1" si="93"/>
        <v>684 / 51-11-3344</v>
      </c>
      <c r="V227" s="508" t="str">
        <f t="shared" ca="1" si="94"/>
        <v>Contract Renewal/Renovación de Contrato</v>
      </c>
      <c r="W227" s="508" t="str">
        <f t="shared" ca="1" si="95"/>
        <v>Mayco Consulores</v>
      </c>
      <c r="X227" s="508" t="str">
        <f t="shared" ca="1" si="96"/>
        <v>N/A</v>
      </c>
      <c r="Y227" s="508" t="str">
        <f t="shared" ca="1" si="97"/>
        <v>N/A</v>
      </c>
      <c r="Z227" s="508" t="str">
        <f t="shared" ca="1" si="98"/>
        <v>Dic-17</v>
      </c>
      <c r="AA227" s="508" t="str">
        <f t="shared" ca="1" si="99"/>
        <v>Ene</v>
      </c>
      <c r="AB227" s="508">
        <f t="shared" ca="1" si="89"/>
        <v>12</v>
      </c>
      <c r="AC227" s="508">
        <f t="shared" ca="1" si="100"/>
        <v>0</v>
      </c>
      <c r="AD227" s="912">
        <f t="shared" ca="1" si="101"/>
        <v>70588.235294117636</v>
      </c>
      <c r="AE227" s="512">
        <f t="shared" ca="1" si="102"/>
        <v>5882.3529411764703</v>
      </c>
      <c r="AF227" s="512">
        <f t="shared" ca="1" si="103"/>
        <v>5882.3529411764703</v>
      </c>
      <c r="AG227" s="512">
        <f t="shared" ca="1" si="104"/>
        <v>5882.3529411764703</v>
      </c>
      <c r="AH227" s="512">
        <f t="shared" ca="1" si="105"/>
        <v>5882.3529411764703</v>
      </c>
      <c r="AI227" s="512">
        <f t="shared" ca="1" si="106"/>
        <v>5882.3529411764703</v>
      </c>
      <c r="AJ227" s="512">
        <f t="shared" ca="1" si="107"/>
        <v>5882.3529411764703</v>
      </c>
      <c r="AK227" s="512">
        <f t="shared" ca="1" si="108"/>
        <v>5882.3529411764703</v>
      </c>
      <c r="AL227" s="512">
        <f t="shared" ca="1" si="109"/>
        <v>5882.3529411764703</v>
      </c>
      <c r="AM227" s="512">
        <f t="shared" ca="1" si="110"/>
        <v>5882.3529411764703</v>
      </c>
      <c r="AN227" s="512">
        <f t="shared" ca="1" si="111"/>
        <v>5882.3529411764703</v>
      </c>
      <c r="AO227" s="512">
        <f t="shared" ca="1" si="112"/>
        <v>5882.3529411764703</v>
      </c>
      <c r="AP227" s="512">
        <f t="shared" ca="1" si="113"/>
        <v>5882.3529411764703</v>
      </c>
      <c r="AQ227" s="512" t="str">
        <f t="shared" ca="1" si="114"/>
        <v>Contrato</v>
      </c>
      <c r="AR227" s="512"/>
      <c r="AS227" s="512" t="str">
        <f t="shared" ca="1" si="115"/>
        <v>Si</v>
      </c>
      <c r="AT227" s="151">
        <f t="shared" ca="1" si="116"/>
        <v>70588.235294117636</v>
      </c>
      <c r="AU227" s="151">
        <f>IFERROR(VLOOKUP(A227,'[7]TD CuentasBDG'!$N$5:$O$21,2,0),0)</f>
        <v>0</v>
      </c>
      <c r="AV227" t="str">
        <f t="shared" si="117"/>
        <v>Renovación de Contrato</v>
      </c>
      <c r="AW227" t="s">
        <v>1669</v>
      </c>
      <c r="AX227" t="s">
        <v>1929</v>
      </c>
    </row>
    <row r="228" spans="1:52" ht="45" x14ac:dyDescent="0.25">
      <c r="A228" s="918" t="s">
        <v>2035</v>
      </c>
      <c r="B228" s="508" t="s">
        <v>113</v>
      </c>
      <c r="C228" s="508" t="s">
        <v>1379</v>
      </c>
      <c r="D228" s="508" t="s">
        <v>334</v>
      </c>
      <c r="E228" s="508" t="s">
        <v>2036</v>
      </c>
      <c r="F228" s="508" t="s">
        <v>1698</v>
      </c>
      <c r="G228" s="508" t="s">
        <v>1647</v>
      </c>
      <c r="H228" s="508" t="s">
        <v>2037</v>
      </c>
      <c r="I228" s="508" t="s">
        <v>1383</v>
      </c>
      <c r="J228" s="555" t="s">
        <v>1650</v>
      </c>
      <c r="K228" s="555" t="s">
        <v>1651</v>
      </c>
      <c r="L228" s="911">
        <f ca="1">IFERROR(INDEX(Lists!$O$2:$Z$2,MATCH(TRUE,INDEX((AE228:AP228&lt;&gt;0),0),0)),DATE(2018,1,1))</f>
        <v>43102</v>
      </c>
      <c r="M228" s="911">
        <f ca="1">IFERROR(INDEX(Lists!$O$3:$Z$3, VALUE(SUBSTITUTE(TEXT(ADDRESS(SUMPRODUCT(MAX((COLUMN(AE228:AP228)*(AE228:AP228&gt;0)))),1),),"$A$",""))-30),DATE(2018,1,1))</f>
        <v>43465</v>
      </c>
      <c r="N228" s="508" t="s">
        <v>1928</v>
      </c>
      <c r="O228" s="590" t="s">
        <v>1653</v>
      </c>
      <c r="P228" s="508" t="s">
        <v>1071</v>
      </c>
      <c r="Q228" s="508" t="s">
        <v>1676</v>
      </c>
      <c r="R228" s="508" t="str">
        <f t="shared" ca="1" si="90"/>
        <v xml:space="preserve">Environmental Monitoring </v>
      </c>
      <c r="S228" s="508" t="str">
        <f t="shared" ca="1" si="91"/>
        <v xml:space="preserve">Environmental Monitoring </v>
      </c>
      <c r="T228" s="508" t="str">
        <f t="shared" ca="1" si="92"/>
        <v>Water Monitoring</v>
      </c>
      <c r="U228" s="508" t="str">
        <f t="shared" ca="1" si="93"/>
        <v>684 / 51-11-3345</v>
      </c>
      <c r="V228" s="508" t="str">
        <f t="shared" ca="1" si="94"/>
        <v>Current Contract/Contrato Activo</v>
      </c>
      <c r="W228" s="508" t="str">
        <f t="shared" ca="1" si="95"/>
        <v>SGS Chile</v>
      </c>
      <c r="X228" s="508" t="str">
        <f t="shared" ca="1" si="96"/>
        <v>N/A</v>
      </c>
      <c r="Y228" s="508" t="str">
        <f t="shared" ca="1" si="97"/>
        <v>N/A</v>
      </c>
      <c r="Z228" s="508" t="str">
        <f t="shared" ca="1" si="98"/>
        <v>N/A</v>
      </c>
      <c r="AA228" s="508" t="str">
        <f t="shared" ca="1" si="99"/>
        <v>Ene</v>
      </c>
      <c r="AB228" s="508">
        <f t="shared" ca="1" si="89"/>
        <v>12</v>
      </c>
      <c r="AC228" s="508">
        <f t="shared" ca="1" si="100"/>
        <v>0</v>
      </c>
      <c r="AD228" s="912">
        <f t="shared" ca="1" si="101"/>
        <v>1204142.5872549019</v>
      </c>
      <c r="AE228" s="512">
        <f t="shared" ca="1" si="102"/>
        <v>299902.01535947714</v>
      </c>
      <c r="AF228" s="512">
        <f t="shared" ca="1" si="103"/>
        <v>261154.95653594771</v>
      </c>
      <c r="AG228" s="512">
        <f t="shared" ca="1" si="104"/>
        <v>265627.48594771244</v>
      </c>
      <c r="AH228" s="512">
        <f t="shared" ca="1" si="105"/>
        <v>49515.143137254898</v>
      </c>
      <c r="AI228" s="512">
        <f t="shared" ca="1" si="106"/>
        <v>35915.851960784312</v>
      </c>
      <c r="AJ228" s="512">
        <f t="shared" ca="1" si="107"/>
        <v>40388.381372549018</v>
      </c>
      <c r="AK228" s="512">
        <f t="shared" ca="1" si="108"/>
        <v>35915.851960784312</v>
      </c>
      <c r="AL228" s="512">
        <f t="shared" ca="1" si="109"/>
        <v>49515.143137254898</v>
      </c>
      <c r="AM228" s="512">
        <f t="shared" ca="1" si="110"/>
        <v>40388.381372549018</v>
      </c>
      <c r="AN228" s="512">
        <f t="shared" ca="1" si="111"/>
        <v>35915.851960784312</v>
      </c>
      <c r="AO228" s="512">
        <f t="shared" ca="1" si="112"/>
        <v>35915.851960784312</v>
      </c>
      <c r="AP228" s="512">
        <f t="shared" ca="1" si="113"/>
        <v>53987.672549019604</v>
      </c>
      <c r="AQ228" s="512" t="str">
        <f t="shared" ca="1" si="114"/>
        <v>Contrato</v>
      </c>
      <c r="AR228" s="512"/>
      <c r="AS228" s="512" t="str">
        <f t="shared" ca="1" si="115"/>
        <v>No</v>
      </c>
      <c r="AT228" s="151">
        <f t="shared" ca="1" si="116"/>
        <v>1204142.5872549019</v>
      </c>
      <c r="AU228" s="151">
        <f>IFERROR(VLOOKUP(A228,'[7]TD CuentasBDG'!$N$5:$O$21,2,0),0)</f>
        <v>356615.47647058818</v>
      </c>
      <c r="AV228" t="str">
        <f t="shared" si="117"/>
        <v>Contrato Activo</v>
      </c>
      <c r="AW228" t="s">
        <v>1897</v>
      </c>
      <c r="AX228" t="s">
        <v>1929</v>
      </c>
    </row>
    <row r="229" spans="1:52" ht="45" x14ac:dyDescent="0.25">
      <c r="A229" s="918" t="s">
        <v>2038</v>
      </c>
      <c r="B229" s="508" t="s">
        <v>113</v>
      </c>
      <c r="C229" s="508" t="s">
        <v>1379</v>
      </c>
      <c r="D229" s="508" t="s">
        <v>334</v>
      </c>
      <c r="E229" s="508" t="s">
        <v>2039</v>
      </c>
      <c r="F229" s="508" t="s">
        <v>1698</v>
      </c>
      <c r="G229" s="508" t="s">
        <v>1647</v>
      </c>
      <c r="H229" s="508" t="s">
        <v>2040</v>
      </c>
      <c r="I229" s="508" t="s">
        <v>1384</v>
      </c>
      <c r="J229" s="555" t="s">
        <v>1650</v>
      </c>
      <c r="K229" s="555" t="s">
        <v>1651</v>
      </c>
      <c r="L229" s="911">
        <f ca="1">IFERROR(INDEX(Lists!$O$2:$Z$2,MATCH(TRUE,INDEX((AE229:AP229&lt;&gt;0),0),0)),DATE(2018,1,1))</f>
        <v>43102</v>
      </c>
      <c r="M229" s="911">
        <f ca="1">IFERROR(INDEX(Lists!$O$3:$Z$3, VALUE(SUBSTITUTE(TEXT(ADDRESS(SUMPRODUCT(MAX((COLUMN(AE229:AP229)*(AE229:AP229&gt;0)))),1),),"$A$",""))-30),DATE(2018,1,1))</f>
        <v>43465</v>
      </c>
      <c r="N229" s="508" t="s">
        <v>1928</v>
      </c>
      <c r="O229" s="590" t="s">
        <v>1653</v>
      </c>
      <c r="P229" s="508" t="s">
        <v>1071</v>
      </c>
      <c r="Q229" s="508" t="s">
        <v>1676</v>
      </c>
      <c r="R229" s="508">
        <f t="shared" ca="1" si="90"/>
        <v>0</v>
      </c>
      <c r="S229" s="508">
        <f t="shared" ca="1" si="91"/>
        <v>0</v>
      </c>
      <c r="T229" s="508" t="str">
        <f t="shared" ca="1" si="92"/>
        <v>Air Quaity &amp; Meteorology Monitoring</v>
      </c>
      <c r="U229" s="508" t="str">
        <f t="shared" ca="1" si="93"/>
        <v>684 / 51-11-3345</v>
      </c>
      <c r="V229" s="508" t="str">
        <f t="shared" ca="1" si="94"/>
        <v>Current Contract/Contrato Activo</v>
      </c>
      <c r="W229" s="508" t="str">
        <f t="shared" ca="1" si="95"/>
        <v>Cesmec</v>
      </c>
      <c r="X229" s="508" t="str">
        <f t="shared" ca="1" si="96"/>
        <v>N/A</v>
      </c>
      <c r="Y229" s="508" t="str">
        <f t="shared" ca="1" si="97"/>
        <v>N/A</v>
      </c>
      <c r="Z229" s="508" t="str">
        <f t="shared" ca="1" si="98"/>
        <v>N/A</v>
      </c>
      <c r="AA229" s="508" t="str">
        <f t="shared" ca="1" si="99"/>
        <v>Ene</v>
      </c>
      <c r="AB229" s="508">
        <f t="shared" ca="1" si="89"/>
        <v>12</v>
      </c>
      <c r="AC229" s="508">
        <f t="shared" ca="1" si="100"/>
        <v>0</v>
      </c>
      <c r="AD229" s="912">
        <f t="shared" ca="1" si="101"/>
        <v>224926.47058823527</v>
      </c>
      <c r="AE229" s="512">
        <f t="shared" ca="1" si="102"/>
        <v>18743.872549019605</v>
      </c>
      <c r="AF229" s="512">
        <f t="shared" ca="1" si="103"/>
        <v>18743.872549019605</v>
      </c>
      <c r="AG229" s="512">
        <f t="shared" ca="1" si="104"/>
        <v>18743.872549019605</v>
      </c>
      <c r="AH229" s="512">
        <f t="shared" ca="1" si="105"/>
        <v>18743.872549019605</v>
      </c>
      <c r="AI229" s="512">
        <f t="shared" ca="1" si="106"/>
        <v>18743.872549019605</v>
      </c>
      <c r="AJ229" s="512">
        <f t="shared" ca="1" si="107"/>
        <v>18743.872549019605</v>
      </c>
      <c r="AK229" s="512">
        <f t="shared" ca="1" si="108"/>
        <v>18743.872549019605</v>
      </c>
      <c r="AL229" s="512">
        <f t="shared" ca="1" si="109"/>
        <v>18743.872549019605</v>
      </c>
      <c r="AM229" s="512">
        <f t="shared" ca="1" si="110"/>
        <v>18743.872549019605</v>
      </c>
      <c r="AN229" s="512">
        <f t="shared" ca="1" si="111"/>
        <v>18743.872549019605</v>
      </c>
      <c r="AO229" s="512">
        <f t="shared" ca="1" si="112"/>
        <v>18743.872549019605</v>
      </c>
      <c r="AP229" s="512">
        <f t="shared" ca="1" si="113"/>
        <v>18743.872549019605</v>
      </c>
      <c r="AQ229" s="512" t="str">
        <f t="shared" ca="1" si="114"/>
        <v>Contrato</v>
      </c>
      <c r="AR229" s="512"/>
      <c r="AS229" s="512" t="str">
        <f t="shared" ca="1" si="115"/>
        <v>No</v>
      </c>
      <c r="AT229" s="151">
        <f t="shared" ca="1" si="116"/>
        <v>224926.47058823527</v>
      </c>
      <c r="AU229" s="151">
        <f>IFERROR(VLOOKUP(A229,'[7]TD CuentasBDG'!$N$5:$O$21,2,0),0)</f>
        <v>127926.3132352941</v>
      </c>
      <c r="AV229" t="str">
        <f t="shared" si="117"/>
        <v>Contrato Activo</v>
      </c>
      <c r="AW229" t="s">
        <v>1897</v>
      </c>
      <c r="AX229" t="s">
        <v>1929</v>
      </c>
    </row>
    <row r="230" spans="1:52" ht="30" x14ac:dyDescent="0.25">
      <c r="A230" s="918" t="s">
        <v>2041</v>
      </c>
      <c r="B230" s="508" t="s">
        <v>113</v>
      </c>
      <c r="C230" s="508" t="s">
        <v>1379</v>
      </c>
      <c r="D230" s="508" t="s">
        <v>334</v>
      </c>
      <c r="E230" s="508"/>
      <c r="F230" s="508"/>
      <c r="G230" s="508" t="s">
        <v>1665</v>
      </c>
      <c r="H230" s="508"/>
      <c r="I230" s="508"/>
      <c r="J230" s="555"/>
      <c r="K230" s="555"/>
      <c r="L230" s="911">
        <f ca="1">IFERROR(INDEX(Lists!$O$2:$Z$2,MATCH(TRUE,INDEX((AE230:AP230&lt;&gt;0),0),0)),DATE(2018,1,1))</f>
        <v>43102</v>
      </c>
      <c r="M230" s="911">
        <f ca="1">IFERROR(INDEX(Lists!$O$3:$Z$3, VALUE(SUBSTITUTE(TEXT(ADDRESS(SUMPRODUCT(MAX((COLUMN(AE230:AP230)*(AE230:AP230&gt;0)))),1),),"$A$",""))-30),DATE(2018,1,1))</f>
        <v>43465</v>
      </c>
      <c r="N230" s="508"/>
      <c r="O230" s="508"/>
      <c r="P230" s="508"/>
      <c r="Q230" s="508"/>
      <c r="R230" s="508">
        <f t="shared" ca="1" si="90"/>
        <v>0</v>
      </c>
      <c r="S230" s="508">
        <f t="shared" ca="1" si="91"/>
        <v>0</v>
      </c>
      <c r="T230" s="508" t="str">
        <f t="shared" ca="1" si="92"/>
        <v>Support  Monitoring Cost (Campamento/ Mantención)</v>
      </c>
      <c r="U230" s="508" t="str">
        <f t="shared" ca="1" si="93"/>
        <v>684 / 51-11-3345</v>
      </c>
      <c r="V230" s="508">
        <f t="shared" ca="1" si="94"/>
        <v>0</v>
      </c>
      <c r="W230" s="508" t="str">
        <f t="shared" ca="1" si="95"/>
        <v>N/A</v>
      </c>
      <c r="X230" s="508" t="str">
        <f t="shared" ca="1" si="96"/>
        <v>N/A</v>
      </c>
      <c r="Y230" s="508" t="str">
        <f t="shared" ca="1" si="97"/>
        <v>N/A</v>
      </c>
      <c r="Z230" s="508" t="str">
        <f t="shared" ca="1" si="98"/>
        <v>N/A</v>
      </c>
      <c r="AA230" s="508" t="str">
        <f t="shared" ca="1" si="99"/>
        <v>Ene</v>
      </c>
      <c r="AB230" s="508">
        <f t="shared" ca="1" si="89"/>
        <v>12</v>
      </c>
      <c r="AC230" s="508">
        <f t="shared" ca="1" si="100"/>
        <v>0</v>
      </c>
      <c r="AD230" s="912">
        <f t="shared" ca="1" si="101"/>
        <v>98803.976470588255</v>
      </c>
      <c r="AE230" s="512">
        <f t="shared" ca="1" si="102"/>
        <v>8233.6647058823528</v>
      </c>
      <c r="AF230" s="512">
        <f t="shared" ca="1" si="103"/>
        <v>8233.6647058823528</v>
      </c>
      <c r="AG230" s="512">
        <f t="shared" ca="1" si="104"/>
        <v>8233.6647058823528</v>
      </c>
      <c r="AH230" s="512">
        <f t="shared" ca="1" si="105"/>
        <v>8233.6647058823528</v>
      </c>
      <c r="AI230" s="512">
        <f t="shared" ca="1" si="106"/>
        <v>8233.6647058823528</v>
      </c>
      <c r="AJ230" s="512">
        <f t="shared" ca="1" si="107"/>
        <v>8233.6647058823528</v>
      </c>
      <c r="AK230" s="512">
        <f t="shared" ca="1" si="108"/>
        <v>8233.6647058823528</v>
      </c>
      <c r="AL230" s="512">
        <f t="shared" ca="1" si="109"/>
        <v>8233.6647058823528</v>
      </c>
      <c r="AM230" s="512">
        <f t="shared" ca="1" si="110"/>
        <v>8233.6647058823528</v>
      </c>
      <c r="AN230" s="512">
        <f t="shared" ca="1" si="111"/>
        <v>8233.6647058823528</v>
      </c>
      <c r="AO230" s="512">
        <f t="shared" ca="1" si="112"/>
        <v>8233.6647058823528</v>
      </c>
      <c r="AP230" s="512">
        <f t="shared" ca="1" si="113"/>
        <v>8233.6647058823528</v>
      </c>
      <c r="AQ230" s="512" t="str">
        <f t="shared" si="114"/>
        <v/>
      </c>
      <c r="AR230" s="512"/>
      <c r="AS230" s="512" t="str">
        <f t="shared" si="115"/>
        <v/>
      </c>
      <c r="AT230" s="151">
        <f t="shared" si="116"/>
        <v>0</v>
      </c>
      <c r="AU230" s="151">
        <f>IFERROR(VLOOKUP(A230,'[7]TD CuentasBDG'!$N$5:$O$21,2,0),0)</f>
        <v>0</v>
      </c>
      <c r="AV230">
        <f t="shared" si="117"/>
        <v>0</v>
      </c>
    </row>
    <row r="231" spans="1:52" ht="30" x14ac:dyDescent="0.25">
      <c r="A231" s="919" t="s">
        <v>2042</v>
      </c>
      <c r="B231" s="508" t="s">
        <v>113</v>
      </c>
      <c r="C231" s="508" t="s">
        <v>1381</v>
      </c>
      <c r="D231" s="508" t="s">
        <v>334</v>
      </c>
      <c r="E231" s="508"/>
      <c r="F231" s="508"/>
      <c r="G231" s="508" t="s">
        <v>1647</v>
      </c>
      <c r="H231" s="508" t="s">
        <v>2043</v>
      </c>
      <c r="I231" s="508" t="s">
        <v>2044</v>
      </c>
      <c r="J231" s="555" t="s">
        <v>1650</v>
      </c>
      <c r="K231" s="555" t="s">
        <v>1651</v>
      </c>
      <c r="L231" s="911">
        <f ca="1">IFERROR(INDEX(Lists!$O$2:$Z$2,MATCH(TRUE,INDEX((AE231:AP231&lt;&gt;0),0),0)),DATE(2018,1,1))</f>
        <v>43191</v>
      </c>
      <c r="M231" s="911">
        <f ca="1">IFERROR(INDEX(Lists!$O$3:$Z$3, VALUE(SUBSTITUTE(TEXT(ADDRESS(SUMPRODUCT(MAX((COLUMN(AE231:AP231)*(AE231:AP231&gt;0)))),1),),"$A$",""))-30),DATE(2018,1,1))</f>
        <v>43465</v>
      </c>
      <c r="N231" s="508" t="s">
        <v>1668</v>
      </c>
      <c r="O231" s="590" t="s">
        <v>1653</v>
      </c>
      <c r="P231" s="508" t="s">
        <v>1071</v>
      </c>
      <c r="Q231" s="508" t="s">
        <v>1071</v>
      </c>
      <c r="R231" s="508">
        <f t="shared" ca="1" si="90"/>
        <v>0</v>
      </c>
      <c r="S231" s="508">
        <f t="shared" ca="1" si="91"/>
        <v>0</v>
      </c>
      <c r="T231" s="508" t="str">
        <f t="shared" ca="1" si="92"/>
        <v>Strategic Permits - Plan de Cierre</v>
      </c>
      <c r="U231" s="508" t="str">
        <f t="shared" ca="1" si="93"/>
        <v>685 / 51-11-3346</v>
      </c>
      <c r="V231" s="508" t="str">
        <f t="shared" ca="1" si="94"/>
        <v>Bidding/Licitación</v>
      </c>
      <c r="W231" s="508" t="str">
        <f t="shared" ca="1" si="95"/>
        <v>to be defined</v>
      </c>
      <c r="X231" s="508" t="str">
        <f t="shared" ca="1" si="96"/>
        <v>Dic-17</v>
      </c>
      <c r="Y231" s="508" t="str">
        <f t="shared" ca="1" si="97"/>
        <v>Ene</v>
      </c>
      <c r="Z231" s="508" t="str">
        <f t="shared" ca="1" si="98"/>
        <v>Feb</v>
      </c>
      <c r="AA231" s="508" t="str">
        <f t="shared" ca="1" si="99"/>
        <v>Mar</v>
      </c>
      <c r="AB231" s="508">
        <f t="shared" ca="1" si="89"/>
        <v>9</v>
      </c>
      <c r="AC231" s="508">
        <f t="shared" ca="1" si="100"/>
        <v>0</v>
      </c>
      <c r="AD231" s="912">
        <f t="shared" ca="1" si="101"/>
        <v>155000</v>
      </c>
      <c r="AE231" s="512">
        <f t="shared" ca="1" si="102"/>
        <v>0</v>
      </c>
      <c r="AF231" s="512">
        <f t="shared" ca="1" si="103"/>
        <v>0</v>
      </c>
      <c r="AG231" s="512">
        <f t="shared" ca="1" si="104"/>
        <v>0</v>
      </c>
      <c r="AH231" s="512">
        <f t="shared" ca="1" si="105"/>
        <v>23356.164383561645</v>
      </c>
      <c r="AI231" s="512">
        <f t="shared" ca="1" si="106"/>
        <v>23356.164383561645</v>
      </c>
      <c r="AJ231" s="512">
        <f t="shared" ca="1" si="107"/>
        <v>23356.164383561645</v>
      </c>
      <c r="AK231" s="512">
        <f t="shared" ca="1" si="108"/>
        <v>14155.251141552511</v>
      </c>
      <c r="AL231" s="512">
        <f t="shared" ca="1" si="109"/>
        <v>14155.251141552511</v>
      </c>
      <c r="AM231" s="512">
        <f t="shared" ca="1" si="110"/>
        <v>14155.251141552511</v>
      </c>
      <c r="AN231" s="512">
        <f t="shared" ca="1" si="111"/>
        <v>14155.251141552511</v>
      </c>
      <c r="AO231" s="512">
        <f t="shared" ca="1" si="112"/>
        <v>14155.251141552511</v>
      </c>
      <c r="AP231" s="512">
        <f t="shared" ca="1" si="113"/>
        <v>14155.251141552511</v>
      </c>
      <c r="AQ231" s="512" t="str">
        <f t="shared" ca="1" si="114"/>
        <v>Contrato</v>
      </c>
      <c r="AR231" s="512"/>
      <c r="AS231" s="512" t="str">
        <f t="shared" ca="1" si="115"/>
        <v>No</v>
      </c>
      <c r="AT231" s="151">
        <f t="shared" ca="1" si="116"/>
        <v>155000</v>
      </c>
      <c r="AU231" s="151">
        <f>IFERROR(VLOOKUP(A231,'[7]TD CuentasBDG'!$N$5:$O$21,2,0),0)</f>
        <v>0</v>
      </c>
      <c r="AV231" t="str">
        <f t="shared" ca="1" si="117"/>
        <v>Licitación</v>
      </c>
      <c r="AW231" t="s">
        <v>1690</v>
      </c>
      <c r="AX231" t="s">
        <v>1655</v>
      </c>
    </row>
    <row r="232" spans="1:52" ht="45" x14ac:dyDescent="0.25">
      <c r="A232" s="919" t="s">
        <v>2045</v>
      </c>
      <c r="B232" s="508" t="s">
        <v>113</v>
      </c>
      <c r="C232" s="508" t="s">
        <v>1381</v>
      </c>
      <c r="D232" s="508" t="s">
        <v>334</v>
      </c>
      <c r="E232" s="508"/>
      <c r="F232" s="508"/>
      <c r="G232" s="508" t="s">
        <v>1647</v>
      </c>
      <c r="H232" s="508" t="s">
        <v>2046</v>
      </c>
      <c r="I232" s="508" t="s">
        <v>2047</v>
      </c>
      <c r="J232" s="555" t="s">
        <v>1650</v>
      </c>
      <c r="K232" s="555" t="s">
        <v>1651</v>
      </c>
      <c r="L232" s="911">
        <f ca="1">IFERROR(INDEX(Lists!$O$2:$Z$2,MATCH(TRUE,INDEX((AE232:AP232&lt;&gt;0),0),0)),DATE(2018,1,1))</f>
        <v>43191</v>
      </c>
      <c r="M232" s="911">
        <f ca="1">IFERROR(INDEX(Lists!$O$3:$Z$3, VALUE(SUBSTITUTE(TEXT(ADDRESS(SUMPRODUCT(MAX((COLUMN(AE232:AP232)*(AE232:AP232&gt;0)))),1),),"$A$",""))-30),DATE(2018,1,1))</f>
        <v>43465</v>
      </c>
      <c r="N232" s="508" t="s">
        <v>1668</v>
      </c>
      <c r="O232" s="590" t="s">
        <v>1653</v>
      </c>
      <c r="P232" s="508" t="s">
        <v>1071</v>
      </c>
      <c r="Q232" s="508" t="s">
        <v>1071</v>
      </c>
      <c r="R232" s="508">
        <f t="shared" ca="1" si="90"/>
        <v>0</v>
      </c>
      <c r="S232" s="508">
        <f t="shared" ca="1" si="91"/>
        <v>0</v>
      </c>
      <c r="T232" s="508" t="str">
        <f t="shared" ca="1" si="92"/>
        <v>Strategic Permits - Concesiones Maritimas</v>
      </c>
      <c r="U232" s="508" t="str">
        <f t="shared" ca="1" si="93"/>
        <v>685 / 51-11-3346</v>
      </c>
      <c r="V232" s="508" t="str">
        <f t="shared" ca="1" si="94"/>
        <v>Bidding/Licitación</v>
      </c>
      <c r="W232" s="508" t="str">
        <f t="shared" ca="1" si="95"/>
        <v>to be defined</v>
      </c>
      <c r="X232" s="508" t="str">
        <f t="shared" ca="1" si="96"/>
        <v>Dic-17</v>
      </c>
      <c r="Y232" s="508" t="str">
        <f t="shared" ca="1" si="97"/>
        <v>Ene</v>
      </c>
      <c r="Z232" s="508" t="str">
        <f t="shared" ca="1" si="98"/>
        <v>Feb</v>
      </c>
      <c r="AA232" s="508" t="str">
        <f t="shared" ca="1" si="99"/>
        <v>Mar</v>
      </c>
      <c r="AB232" s="508">
        <f t="shared" ca="1" si="89"/>
        <v>9</v>
      </c>
      <c r="AC232" s="508">
        <f t="shared" ca="1" si="100"/>
        <v>0</v>
      </c>
      <c r="AD232" s="912">
        <f t="shared" ca="1" si="101"/>
        <v>58000</v>
      </c>
      <c r="AE232" s="512">
        <f t="shared" ca="1" si="102"/>
        <v>0</v>
      </c>
      <c r="AF232" s="512">
        <f t="shared" ca="1" si="103"/>
        <v>0</v>
      </c>
      <c r="AG232" s="512">
        <f t="shared" ca="1" si="104"/>
        <v>0</v>
      </c>
      <c r="AH232" s="512">
        <f t="shared" ca="1" si="105"/>
        <v>8739.7260273972588</v>
      </c>
      <c r="AI232" s="512">
        <f t="shared" ca="1" si="106"/>
        <v>8739.7260273972588</v>
      </c>
      <c r="AJ232" s="512">
        <f t="shared" ca="1" si="107"/>
        <v>8739.7260273972588</v>
      </c>
      <c r="AK232" s="512">
        <f t="shared" ca="1" si="108"/>
        <v>5296.8036529680357</v>
      </c>
      <c r="AL232" s="512">
        <f t="shared" ca="1" si="109"/>
        <v>5296.8036529680357</v>
      </c>
      <c r="AM232" s="512">
        <f t="shared" ca="1" si="110"/>
        <v>5296.8036529680357</v>
      </c>
      <c r="AN232" s="512">
        <f t="shared" ca="1" si="111"/>
        <v>5296.8036529680357</v>
      </c>
      <c r="AO232" s="512">
        <f t="shared" ca="1" si="112"/>
        <v>5296.8036529680357</v>
      </c>
      <c r="AP232" s="512">
        <f t="shared" ca="1" si="113"/>
        <v>5296.8036529680357</v>
      </c>
      <c r="AQ232" s="512" t="str">
        <f t="shared" ca="1" si="114"/>
        <v>Orden de Servicio Sin Terreno</v>
      </c>
      <c r="AR232" s="512"/>
      <c r="AS232" s="512" t="str">
        <f t="shared" ca="1" si="115"/>
        <v>No</v>
      </c>
      <c r="AT232" s="151">
        <f t="shared" ca="1" si="116"/>
        <v>58000</v>
      </c>
      <c r="AU232" s="151">
        <f>IFERROR(VLOOKUP(A232,'[7]TD CuentasBDG'!$N$5:$O$21,2,0),0)</f>
        <v>0</v>
      </c>
      <c r="AV232" t="str">
        <f t="shared" ca="1" si="117"/>
        <v>Licitación</v>
      </c>
      <c r="AW232" t="s">
        <v>1690</v>
      </c>
      <c r="AX232" t="s">
        <v>1655</v>
      </c>
    </row>
    <row r="233" spans="1:52" ht="45" x14ac:dyDescent="0.25">
      <c r="A233" s="919" t="s">
        <v>2048</v>
      </c>
      <c r="B233" s="508" t="s">
        <v>113</v>
      </c>
      <c r="C233" s="508" t="s">
        <v>1381</v>
      </c>
      <c r="D233" s="508" t="s">
        <v>334</v>
      </c>
      <c r="E233" s="508"/>
      <c r="F233" s="508"/>
      <c r="G233" s="508" t="s">
        <v>1647</v>
      </c>
      <c r="H233" s="508" t="s">
        <v>2049</v>
      </c>
      <c r="I233" s="508" t="s">
        <v>2050</v>
      </c>
      <c r="J233" s="555" t="s">
        <v>1650</v>
      </c>
      <c r="K233" s="555" t="s">
        <v>1651</v>
      </c>
      <c r="L233" s="911">
        <f ca="1">IFERROR(INDEX(Lists!$O$2:$Z$2,MATCH(TRUE,INDEX((AE233:AP233&lt;&gt;0),0),0)),DATE(2018,1,1))</f>
        <v>43191</v>
      </c>
      <c r="M233" s="911">
        <f ca="1">IFERROR(INDEX(Lists!$O$3:$Z$3, VALUE(SUBSTITUTE(TEXT(ADDRESS(SUMPRODUCT(MAX((COLUMN(AE233:AP233)*(AE233:AP233&gt;0)))),1),),"$A$",""))-30),DATE(2018,1,1))</f>
        <v>43465</v>
      </c>
      <c r="N233" s="508" t="s">
        <v>1668</v>
      </c>
      <c r="O233" s="590" t="s">
        <v>1653</v>
      </c>
      <c r="P233" s="508" t="s">
        <v>1071</v>
      </c>
      <c r="Q233" s="508" t="s">
        <v>1071</v>
      </c>
      <c r="R233" s="508">
        <f t="shared" ca="1" si="90"/>
        <v>0</v>
      </c>
      <c r="S233" s="508">
        <f t="shared" ca="1" si="91"/>
        <v>0</v>
      </c>
      <c r="T233" s="508" t="str">
        <f t="shared" ca="1" si="92"/>
        <v>Strategic Permits - Plan Maestro de Permisos</v>
      </c>
      <c r="U233" s="508" t="str">
        <f t="shared" ca="1" si="93"/>
        <v>685 / 51-11-3346</v>
      </c>
      <c r="V233" s="508" t="str">
        <f t="shared" ca="1" si="94"/>
        <v>Bidding/Licitación</v>
      </c>
      <c r="W233" s="508" t="str">
        <f t="shared" ca="1" si="95"/>
        <v>to be defined</v>
      </c>
      <c r="X233" s="508" t="str">
        <f t="shared" ca="1" si="96"/>
        <v>Dic-17</v>
      </c>
      <c r="Y233" s="508" t="str">
        <f t="shared" ca="1" si="97"/>
        <v>Ene</v>
      </c>
      <c r="Z233" s="508" t="str">
        <f t="shared" ca="1" si="98"/>
        <v>Feb</v>
      </c>
      <c r="AA233" s="508" t="str">
        <f t="shared" ca="1" si="99"/>
        <v>Mar</v>
      </c>
      <c r="AB233" s="508">
        <f t="shared" ca="1" si="89"/>
        <v>9</v>
      </c>
      <c r="AC233" s="508">
        <f t="shared" ca="1" si="100"/>
        <v>0</v>
      </c>
      <c r="AD233" s="912">
        <f t="shared" ca="1" si="101"/>
        <v>69853.529411764699</v>
      </c>
      <c r="AE233" s="512">
        <f t="shared" ca="1" si="102"/>
        <v>0</v>
      </c>
      <c r="AF233" s="512">
        <f t="shared" ca="1" si="103"/>
        <v>0</v>
      </c>
      <c r="AG233" s="512">
        <f t="shared" ca="1" si="104"/>
        <v>0</v>
      </c>
      <c r="AH233" s="512">
        <f t="shared" ca="1" si="105"/>
        <v>10525.874294923447</v>
      </c>
      <c r="AI233" s="512">
        <f t="shared" ca="1" si="106"/>
        <v>10525.874294923447</v>
      </c>
      <c r="AJ233" s="512">
        <f t="shared" ca="1" si="107"/>
        <v>10525.874294923447</v>
      </c>
      <c r="AK233" s="512">
        <f t="shared" ca="1" si="108"/>
        <v>6379.3177544990585</v>
      </c>
      <c r="AL233" s="512">
        <f t="shared" ca="1" si="109"/>
        <v>6379.3177544990585</v>
      </c>
      <c r="AM233" s="512">
        <f t="shared" ca="1" si="110"/>
        <v>6379.3177544990585</v>
      </c>
      <c r="AN233" s="512">
        <f t="shared" ca="1" si="111"/>
        <v>6379.3177544990585</v>
      </c>
      <c r="AO233" s="512">
        <f t="shared" ca="1" si="112"/>
        <v>6379.3177544990585</v>
      </c>
      <c r="AP233" s="512">
        <f t="shared" ca="1" si="113"/>
        <v>6379.3177544990585</v>
      </c>
      <c r="AQ233" s="512" t="str">
        <f t="shared" ca="1" si="114"/>
        <v>Orden de Servicio Sin Terreno</v>
      </c>
      <c r="AR233" s="512"/>
      <c r="AS233" s="512" t="str">
        <f t="shared" ca="1" si="115"/>
        <v>No</v>
      </c>
      <c r="AT233" s="151">
        <f t="shared" ca="1" si="116"/>
        <v>69853.529411764699</v>
      </c>
      <c r="AU233" s="151">
        <f>IFERROR(VLOOKUP(A233,'[7]TD CuentasBDG'!$N$5:$O$21,2,0),0)</f>
        <v>0</v>
      </c>
      <c r="AV233" t="str">
        <f t="shared" ca="1" si="117"/>
        <v>Licitación</v>
      </c>
      <c r="AW233" t="s">
        <v>1690</v>
      </c>
      <c r="AX233" t="s">
        <v>1655</v>
      </c>
    </row>
    <row r="234" spans="1:52" ht="30" x14ac:dyDescent="0.25">
      <c r="A234" s="508" t="s">
        <v>2051</v>
      </c>
      <c r="B234" s="508" t="s">
        <v>1416</v>
      </c>
      <c r="C234" s="922" t="s">
        <v>336</v>
      </c>
      <c r="D234" s="508" t="s">
        <v>151</v>
      </c>
      <c r="E234" s="508"/>
      <c r="F234" s="508" t="s">
        <v>2052</v>
      </c>
      <c r="G234" s="508" t="s">
        <v>1647</v>
      </c>
      <c r="H234" s="508" t="s">
        <v>337</v>
      </c>
      <c r="I234" s="508" t="s">
        <v>365</v>
      </c>
      <c r="J234" s="555" t="s">
        <v>1650</v>
      </c>
      <c r="K234" s="555" t="s">
        <v>1774</v>
      </c>
      <c r="L234" s="911">
        <f ca="1">IFERROR(INDEX(Lists!$O$2:$Z$2,MATCH(TRUE,INDEX((AE234:AP234&lt;&gt;0),0),0)),DATE(2018,1,1))</f>
        <v>43191</v>
      </c>
      <c r="M234" s="911">
        <f ca="1">IFERROR(INDEX(Lists!$O$3:$Z$3, VALUE(SUBSTITUTE(TEXT(ADDRESS(SUMPRODUCT(MAX((COLUMN(AE234:AP234)*(AE234:AP234&gt;0)))),1),),"$A$",""))-30),DATE(2018,1,1))</f>
        <v>43465</v>
      </c>
      <c r="N234" s="508" t="s">
        <v>1668</v>
      </c>
      <c r="O234" s="508" t="s">
        <v>1984</v>
      </c>
      <c r="P234" s="508" t="s">
        <v>1071</v>
      </c>
      <c r="Q234" s="508" t="s">
        <v>1071</v>
      </c>
      <c r="R234" s="508" t="str">
        <f t="shared" ca="1" si="90"/>
        <v>RESOURCES</v>
      </c>
      <c r="S234" s="508" t="str">
        <f t="shared" ca="1" si="91"/>
        <v>FS ON-Shore &amp; Off Shore contracts</v>
      </c>
      <c r="T234" s="508" t="str">
        <f t="shared" ca="1" si="92"/>
        <v>Main Engineering company</v>
      </c>
      <c r="U234" s="508" t="str">
        <f t="shared" ca="1" si="93"/>
        <v>685 / 51-11-3357</v>
      </c>
      <c r="V234" s="508" t="str">
        <f t="shared" ca="1" si="94"/>
        <v>Bidding/Licitación</v>
      </c>
      <c r="W234" s="508" t="str">
        <f t="shared" ca="1" si="95"/>
        <v>Main Engineering company</v>
      </c>
      <c r="X234" s="508">
        <f t="shared" ca="1" si="96"/>
        <v>0</v>
      </c>
      <c r="Y234" s="508">
        <f t="shared" ca="1" si="97"/>
        <v>0</v>
      </c>
      <c r="Z234" s="508">
        <f t="shared" ca="1" si="98"/>
        <v>0</v>
      </c>
      <c r="AA234" s="508">
        <f t="shared" ca="1" si="99"/>
        <v>0</v>
      </c>
      <c r="AB234" s="508">
        <f t="shared" ca="1" si="89"/>
        <v>9</v>
      </c>
      <c r="AC234" s="508">
        <f t="shared" ca="1" si="100"/>
        <v>12</v>
      </c>
      <c r="AD234" s="912">
        <f t="shared" ca="1" si="101"/>
        <v>15400000</v>
      </c>
      <c r="AE234" s="512">
        <f t="shared" ca="1" si="102"/>
        <v>0</v>
      </c>
      <c r="AF234" s="512">
        <f t="shared" ca="1" si="103"/>
        <v>0</v>
      </c>
      <c r="AG234" s="512">
        <f t="shared" ca="1" si="104"/>
        <v>0</v>
      </c>
      <c r="AH234" s="512">
        <f t="shared" ca="1" si="105"/>
        <v>300000</v>
      </c>
      <c r="AI234" s="512">
        <f t="shared" ca="1" si="106"/>
        <v>1100000</v>
      </c>
      <c r="AJ234" s="512">
        <f t="shared" ca="1" si="107"/>
        <v>1700000</v>
      </c>
      <c r="AK234" s="512">
        <f t="shared" ca="1" si="108"/>
        <v>2200000</v>
      </c>
      <c r="AL234" s="512">
        <f t="shared" ca="1" si="109"/>
        <v>2200000</v>
      </c>
      <c r="AM234" s="512">
        <f t="shared" ca="1" si="110"/>
        <v>2200000</v>
      </c>
      <c r="AN234" s="512">
        <f t="shared" ca="1" si="111"/>
        <v>2100000</v>
      </c>
      <c r="AO234" s="512">
        <f t="shared" ca="1" si="112"/>
        <v>2000000</v>
      </c>
      <c r="AP234" s="512">
        <f t="shared" ca="1" si="113"/>
        <v>1600000</v>
      </c>
      <c r="AQ234" s="512" t="str">
        <f t="shared" ca="1" si="114"/>
        <v>Contrato</v>
      </c>
      <c r="AR234" s="512"/>
      <c r="AS234" s="512" t="str">
        <f t="shared" ca="1" si="115"/>
        <v>No</v>
      </c>
      <c r="AT234" s="151">
        <f t="shared" ca="1" si="116"/>
        <v>15400000</v>
      </c>
      <c r="AU234" s="151">
        <f>IFERROR(VLOOKUP(A234,'[7]TD CuentasBDG'!$N$5:$O$21,2,0),0)</f>
        <v>0</v>
      </c>
      <c r="AV234" t="str">
        <f t="shared" ca="1" si="117"/>
        <v>Licitación</v>
      </c>
      <c r="AW234" t="s">
        <v>2053</v>
      </c>
      <c r="AX234" t="s">
        <v>1655</v>
      </c>
    </row>
    <row r="235" spans="1:52" ht="30" x14ac:dyDescent="0.25">
      <c r="A235" s="508" t="s">
        <v>2054</v>
      </c>
      <c r="B235" s="508" t="s">
        <v>1416</v>
      </c>
      <c r="C235" s="922" t="s">
        <v>336</v>
      </c>
      <c r="D235" s="508" t="s">
        <v>151</v>
      </c>
      <c r="E235" s="508"/>
      <c r="F235" s="508"/>
      <c r="G235" s="508" t="s">
        <v>1647</v>
      </c>
      <c r="H235" s="508" t="s">
        <v>355</v>
      </c>
      <c r="I235" s="508" t="s">
        <v>379</v>
      </c>
      <c r="J235" s="555" t="s">
        <v>1650</v>
      </c>
      <c r="K235" s="555" t="s">
        <v>1774</v>
      </c>
      <c r="L235" s="911">
        <f ca="1">IFERROR(INDEX(Lists!$O$2:$Z$2,MATCH(TRUE,INDEX((AE235:AP235&lt;&gt;0),0),0)),DATE(2018,1,1))</f>
        <v>43102</v>
      </c>
      <c r="M235" s="911">
        <f ca="1">IFERROR(INDEX(Lists!$O$3:$Z$3, VALUE(SUBSTITUTE(TEXT(ADDRESS(SUMPRODUCT(MAX((COLUMN(AE235:AP235)*(AE235:AP235&gt;0)))),1),),"$A$",""))-30),DATE(2018,1,1))</f>
        <v>43131</v>
      </c>
      <c r="N235" s="508" t="s">
        <v>1683</v>
      </c>
      <c r="O235" s="508" t="s">
        <v>1653</v>
      </c>
      <c r="P235" s="508" t="s">
        <v>1071</v>
      </c>
      <c r="Q235" s="508" t="s">
        <v>1071</v>
      </c>
      <c r="R235" s="508" t="str">
        <f t="shared" ca="1" si="90"/>
        <v>RESOURCES</v>
      </c>
      <c r="S235" s="508" t="str">
        <f t="shared" ca="1" si="91"/>
        <v>FS Planning session</v>
      </c>
      <c r="T235" s="508" t="str">
        <f t="shared" ca="1" si="92"/>
        <v>Group</v>
      </c>
      <c r="U235" s="508" t="str">
        <f t="shared" ca="1" si="93"/>
        <v>685 / 51-11-3357</v>
      </c>
      <c r="V235" s="508">
        <f t="shared" ca="1" si="94"/>
        <v>0</v>
      </c>
      <c r="W235" s="508" t="str">
        <f t="shared" ca="1" si="95"/>
        <v>Group</v>
      </c>
      <c r="X235" s="508">
        <f t="shared" ca="1" si="96"/>
        <v>0</v>
      </c>
      <c r="Y235" s="508">
        <f t="shared" ca="1" si="97"/>
        <v>0</v>
      </c>
      <c r="Z235" s="508">
        <f t="shared" ca="1" si="98"/>
        <v>0</v>
      </c>
      <c r="AA235" s="508">
        <f t="shared" ca="1" si="99"/>
        <v>0</v>
      </c>
      <c r="AB235" s="508">
        <f t="shared" ca="1" si="89"/>
        <v>1</v>
      </c>
      <c r="AC235" s="508">
        <f t="shared" ca="1" si="100"/>
        <v>0</v>
      </c>
      <c r="AD235" s="912">
        <f t="shared" ca="1" si="101"/>
        <v>100000</v>
      </c>
      <c r="AE235" s="512">
        <f t="shared" ca="1" si="102"/>
        <v>100000</v>
      </c>
      <c r="AF235" s="512">
        <f t="shared" ca="1" si="103"/>
        <v>0</v>
      </c>
      <c r="AG235" s="512">
        <f t="shared" ca="1" si="104"/>
        <v>0</v>
      </c>
      <c r="AH235" s="512">
        <f t="shared" ca="1" si="105"/>
        <v>0</v>
      </c>
      <c r="AI235" s="512">
        <f t="shared" ca="1" si="106"/>
        <v>0</v>
      </c>
      <c r="AJ235" s="512">
        <f t="shared" ca="1" si="107"/>
        <v>0</v>
      </c>
      <c r="AK235" s="512">
        <f t="shared" ca="1" si="108"/>
        <v>0</v>
      </c>
      <c r="AL235" s="512">
        <f t="shared" ca="1" si="109"/>
        <v>0</v>
      </c>
      <c r="AM235" s="512">
        <f t="shared" ca="1" si="110"/>
        <v>0</v>
      </c>
      <c r="AN235" s="512">
        <f t="shared" ca="1" si="111"/>
        <v>0</v>
      </c>
      <c r="AO235" s="512">
        <f t="shared" ca="1" si="112"/>
        <v>0</v>
      </c>
      <c r="AP235" s="512">
        <f t="shared" ca="1" si="113"/>
        <v>0</v>
      </c>
      <c r="AQ235" s="512" t="str">
        <f t="shared" ca="1" si="114"/>
        <v>Contrato</v>
      </c>
      <c r="AR235" s="512"/>
      <c r="AS235" s="512" t="str">
        <f t="shared" ca="1" si="115"/>
        <v>Si</v>
      </c>
      <c r="AT235" s="151">
        <f t="shared" ca="1" si="116"/>
        <v>100000</v>
      </c>
      <c r="AU235" s="151">
        <f>IFERROR(VLOOKUP(A235,'[7]TD CuentasBDG'!$N$5:$O$21,2,0),0)</f>
        <v>0</v>
      </c>
      <c r="AV235" t="str">
        <f t="shared" si="117"/>
        <v>Adjudicación Directa</v>
      </c>
      <c r="AW235" t="s">
        <v>1690</v>
      </c>
      <c r="AX235" t="s">
        <v>1655</v>
      </c>
    </row>
    <row r="236" spans="1:52" ht="30" x14ac:dyDescent="0.25">
      <c r="A236" s="508" t="s">
        <v>2055</v>
      </c>
      <c r="B236" s="508" t="s">
        <v>1416</v>
      </c>
      <c r="C236" s="922" t="s">
        <v>336</v>
      </c>
      <c r="D236" s="508" t="s">
        <v>151</v>
      </c>
      <c r="E236" s="508"/>
      <c r="F236" s="508"/>
      <c r="G236" s="508" t="s">
        <v>1647</v>
      </c>
      <c r="H236" s="508" t="s">
        <v>358</v>
      </c>
      <c r="I236" s="508">
        <v>0</v>
      </c>
      <c r="J236" s="555" t="s">
        <v>1650</v>
      </c>
      <c r="K236" s="555" t="s">
        <v>1774</v>
      </c>
      <c r="L236" s="911">
        <f ca="1">IFERROR(INDEX(Lists!$O$2:$Z$2,MATCH(TRUE,INDEX((AE236:AP236&lt;&gt;0),0),0)),DATE(2018,1,1))</f>
        <v>43191</v>
      </c>
      <c r="M236" s="911">
        <f ca="1">IFERROR(INDEX(Lists!$O$3:$Z$3, VALUE(SUBSTITUTE(TEXT(ADDRESS(SUMPRODUCT(MAX((COLUMN(AE236:AP236)*(AE236:AP236&gt;0)))),1),),"$A$",""))-30),DATE(2018,1,1))</f>
        <v>43404</v>
      </c>
      <c r="N236" s="508" t="s">
        <v>1668</v>
      </c>
      <c r="O236" s="508" t="s">
        <v>1653</v>
      </c>
      <c r="P236" s="508" t="s">
        <v>1071</v>
      </c>
      <c r="Q236" s="508" t="s">
        <v>1071</v>
      </c>
      <c r="R236" s="508" t="str">
        <f t="shared" ca="1" si="90"/>
        <v>RESOURCES</v>
      </c>
      <c r="S236" s="508" t="str">
        <f t="shared" ca="1" si="91"/>
        <v>HPGR/HRC Consultant</v>
      </c>
      <c r="T236" s="508">
        <f t="shared" ca="1" si="92"/>
        <v>0</v>
      </c>
      <c r="U236" s="508" t="str">
        <f t="shared" ca="1" si="93"/>
        <v>685 / 51-11-3357</v>
      </c>
      <c r="V236" s="508">
        <f t="shared" ca="1" si="94"/>
        <v>0</v>
      </c>
      <c r="W236" s="508">
        <f t="shared" ca="1" si="95"/>
        <v>0</v>
      </c>
      <c r="X236" s="508">
        <f t="shared" ca="1" si="96"/>
        <v>0</v>
      </c>
      <c r="Y236" s="508">
        <f t="shared" ca="1" si="97"/>
        <v>0</v>
      </c>
      <c r="Z236" s="508">
        <f t="shared" ca="1" si="98"/>
        <v>0</v>
      </c>
      <c r="AA236" s="508">
        <f t="shared" ca="1" si="99"/>
        <v>0</v>
      </c>
      <c r="AB236" s="508">
        <f t="shared" ca="1" si="89"/>
        <v>7</v>
      </c>
      <c r="AC236" s="508">
        <f t="shared" ca="1" si="100"/>
        <v>0</v>
      </c>
      <c r="AD236" s="912">
        <f t="shared" ca="1" si="101"/>
        <v>120000</v>
      </c>
      <c r="AE236" s="512">
        <f t="shared" ca="1" si="102"/>
        <v>0</v>
      </c>
      <c r="AF236" s="512">
        <f t="shared" ca="1" si="103"/>
        <v>0</v>
      </c>
      <c r="AG236" s="512">
        <f t="shared" ca="1" si="104"/>
        <v>0</v>
      </c>
      <c r="AH236" s="512">
        <f t="shared" ca="1" si="105"/>
        <v>30000</v>
      </c>
      <c r="AI236" s="512">
        <f t="shared" ca="1" si="106"/>
        <v>0</v>
      </c>
      <c r="AJ236" s="512">
        <f t="shared" ca="1" si="107"/>
        <v>30000</v>
      </c>
      <c r="AK236" s="512">
        <f t="shared" ca="1" si="108"/>
        <v>0</v>
      </c>
      <c r="AL236" s="512">
        <f t="shared" ca="1" si="109"/>
        <v>30000</v>
      </c>
      <c r="AM236" s="512">
        <f t="shared" ca="1" si="110"/>
        <v>0</v>
      </c>
      <c r="AN236" s="512">
        <f t="shared" ca="1" si="111"/>
        <v>30000</v>
      </c>
      <c r="AO236" s="512">
        <f t="shared" ca="1" si="112"/>
        <v>0</v>
      </c>
      <c r="AP236" s="512">
        <f t="shared" ca="1" si="113"/>
        <v>0</v>
      </c>
      <c r="AQ236" s="512" t="str">
        <f t="shared" ca="1" si="114"/>
        <v>Contrato</v>
      </c>
      <c r="AR236" s="512"/>
      <c r="AS236" s="512" t="str">
        <f t="shared" ca="1" si="115"/>
        <v>No</v>
      </c>
      <c r="AT236" s="151">
        <f t="shared" ca="1" si="116"/>
        <v>120000</v>
      </c>
      <c r="AU236" s="151">
        <f>IFERROR(VLOOKUP(A236,'[7]TD CuentasBDG'!$N$5:$O$21,2,0),0)</f>
        <v>0</v>
      </c>
      <c r="AV236" t="str">
        <f t="shared" ca="1" si="117"/>
        <v>Licitación</v>
      </c>
      <c r="AW236" t="s">
        <v>1690</v>
      </c>
      <c r="AX236" t="s">
        <v>1655</v>
      </c>
    </row>
    <row r="237" spans="1:52" ht="30" x14ac:dyDescent="0.25">
      <c r="A237" s="508" t="s">
        <v>2056</v>
      </c>
      <c r="B237" s="508" t="s">
        <v>1416</v>
      </c>
      <c r="C237" s="922" t="s">
        <v>336</v>
      </c>
      <c r="D237" s="508" t="s">
        <v>151</v>
      </c>
      <c r="E237" s="508"/>
      <c r="F237" s="508"/>
      <c r="G237" s="508" t="s">
        <v>1647</v>
      </c>
      <c r="H237" s="508" t="s">
        <v>360</v>
      </c>
      <c r="I237" s="508" t="s">
        <v>382</v>
      </c>
      <c r="J237" s="555" t="s">
        <v>1650</v>
      </c>
      <c r="K237" s="555" t="s">
        <v>1774</v>
      </c>
      <c r="L237" s="911">
        <f ca="1">IFERROR(INDEX(Lists!$O$2:$Z$2,MATCH(TRUE,INDEX((AE237:AP237&lt;&gt;0),0),0)),DATE(2018,1,1))</f>
        <v>43102</v>
      </c>
      <c r="M237" s="911">
        <f ca="1">IFERROR(INDEX(Lists!$O$3:$Z$3, VALUE(SUBSTITUTE(TEXT(ADDRESS(SUMPRODUCT(MAX((COLUMN(AE237:AP237)*(AE237:AP237&gt;0)))),1),),"$A$",""))-30),DATE(2018,1,1))</f>
        <v>43220</v>
      </c>
      <c r="N237" s="508" t="s">
        <v>1683</v>
      </c>
      <c r="O237" s="508" t="s">
        <v>1653</v>
      </c>
      <c r="P237" s="508" t="s">
        <v>1071</v>
      </c>
      <c r="Q237" s="508" t="s">
        <v>1071</v>
      </c>
      <c r="R237" s="508" t="str">
        <f t="shared" ca="1" si="90"/>
        <v>RESOURCES</v>
      </c>
      <c r="S237" s="508" t="str">
        <f t="shared" ca="1" si="91"/>
        <v>HPGR/HRC Fluor PFS</v>
      </c>
      <c r="T237" s="508" t="str">
        <f t="shared" ca="1" si="92"/>
        <v>Fluor</v>
      </c>
      <c r="U237" s="508" t="str">
        <f t="shared" ca="1" si="93"/>
        <v>685 / 51-11-3357</v>
      </c>
      <c r="V237" s="508">
        <f t="shared" ca="1" si="94"/>
        <v>0</v>
      </c>
      <c r="W237" s="508" t="str">
        <f t="shared" ca="1" si="95"/>
        <v>Fluor</v>
      </c>
      <c r="X237" s="508">
        <f t="shared" ca="1" si="96"/>
        <v>0</v>
      </c>
      <c r="Y237" s="508">
        <f t="shared" ca="1" si="97"/>
        <v>0</v>
      </c>
      <c r="Z237" s="508">
        <f t="shared" ca="1" si="98"/>
        <v>0</v>
      </c>
      <c r="AA237" s="508">
        <f t="shared" ca="1" si="99"/>
        <v>0</v>
      </c>
      <c r="AB237" s="508">
        <f t="shared" ca="1" si="89"/>
        <v>4</v>
      </c>
      <c r="AC237" s="508">
        <f t="shared" ca="1" si="100"/>
        <v>0</v>
      </c>
      <c r="AD237" s="912">
        <f t="shared" ca="1" si="101"/>
        <v>250000</v>
      </c>
      <c r="AE237" s="512">
        <f t="shared" ca="1" si="102"/>
        <v>100000</v>
      </c>
      <c r="AF237" s="512">
        <f t="shared" ca="1" si="103"/>
        <v>50000</v>
      </c>
      <c r="AG237" s="512">
        <f t="shared" ca="1" si="104"/>
        <v>50000</v>
      </c>
      <c r="AH237" s="512">
        <f t="shared" ca="1" si="105"/>
        <v>50000</v>
      </c>
      <c r="AI237" s="512">
        <f t="shared" ca="1" si="106"/>
        <v>0</v>
      </c>
      <c r="AJ237" s="512">
        <f t="shared" ca="1" si="107"/>
        <v>0</v>
      </c>
      <c r="AK237" s="512">
        <f t="shared" ca="1" si="108"/>
        <v>0</v>
      </c>
      <c r="AL237" s="512">
        <f t="shared" ca="1" si="109"/>
        <v>0</v>
      </c>
      <c r="AM237" s="512">
        <f t="shared" ca="1" si="110"/>
        <v>0</v>
      </c>
      <c r="AN237" s="512">
        <f t="shared" ca="1" si="111"/>
        <v>0</v>
      </c>
      <c r="AO237" s="512">
        <f t="shared" ca="1" si="112"/>
        <v>0</v>
      </c>
      <c r="AP237" s="512">
        <f t="shared" ca="1" si="113"/>
        <v>0</v>
      </c>
      <c r="AQ237" s="512" t="str">
        <f t="shared" ca="1" si="114"/>
        <v>Contrato</v>
      </c>
      <c r="AR237" s="512"/>
      <c r="AS237" s="512" t="str">
        <f t="shared" ca="1" si="115"/>
        <v>Si</v>
      </c>
      <c r="AT237" s="151">
        <f t="shared" ca="1" si="116"/>
        <v>250000</v>
      </c>
      <c r="AU237" s="151">
        <f>IFERROR(VLOOKUP(A237,'[7]TD CuentasBDG'!$N$5:$O$21,2,0),0)</f>
        <v>0</v>
      </c>
      <c r="AV237" t="str">
        <f t="shared" si="117"/>
        <v>Adjudicación Directa</v>
      </c>
      <c r="AW237" t="s">
        <v>2053</v>
      </c>
      <c r="AX237" t="s">
        <v>1655</v>
      </c>
    </row>
    <row r="238" spans="1:52" ht="45" x14ac:dyDescent="0.25">
      <c r="A238" s="508" t="s">
        <v>2057</v>
      </c>
      <c r="B238" s="508" t="s">
        <v>1416</v>
      </c>
      <c r="C238" s="922" t="s">
        <v>363</v>
      </c>
      <c r="D238" s="508" t="s">
        <v>151</v>
      </c>
      <c r="E238" s="508"/>
      <c r="F238" s="508"/>
      <c r="G238" s="508" t="s">
        <v>1647</v>
      </c>
      <c r="H238" s="508" t="s">
        <v>338</v>
      </c>
      <c r="I238" s="508" t="s">
        <v>366</v>
      </c>
      <c r="J238" s="555" t="s">
        <v>1650</v>
      </c>
      <c r="K238" s="555" t="s">
        <v>1774</v>
      </c>
      <c r="L238" s="911">
        <f ca="1">IFERROR(INDEX(Lists!$O$2:$Z$2,MATCH(TRUE,INDEX((AE238:AP238&lt;&gt;0),0),0)),DATE(2018,1,1))</f>
        <v>43102</v>
      </c>
      <c r="M238" s="911">
        <f ca="1">IFERROR(INDEX(Lists!$O$3:$Z$3, VALUE(SUBSTITUTE(TEXT(ADDRESS(SUMPRODUCT(MAX((COLUMN(AE238:AP238)*(AE238:AP238&gt;0)))),1),),"$A$",""))-30),DATE(2018,1,1))</f>
        <v>43281</v>
      </c>
      <c r="N238" s="508" t="s">
        <v>1683</v>
      </c>
      <c r="O238" s="508" t="s">
        <v>1653</v>
      </c>
      <c r="P238" s="508" t="s">
        <v>1071</v>
      </c>
      <c r="Q238" s="508" t="s">
        <v>1071</v>
      </c>
      <c r="R238" s="508">
        <f t="shared" ca="1" si="90"/>
        <v>0</v>
      </c>
      <c r="S238" s="508" t="str">
        <f t="shared" ca="1" si="91"/>
        <v>EIA Deliverables support for EIA submission</v>
      </c>
      <c r="T238" s="508" t="str">
        <f t="shared" ca="1" si="92"/>
        <v>Continue with Fluor (Transision process)</v>
      </c>
      <c r="U238" s="508" t="str">
        <f t="shared" ca="1" si="93"/>
        <v>685 / 51-11-3355</v>
      </c>
      <c r="V238" s="508">
        <f t="shared" ca="1" si="94"/>
        <v>0</v>
      </c>
      <c r="W238" s="508" t="str">
        <f t="shared" ca="1" si="95"/>
        <v>Continue with Fluor (Transision process)</v>
      </c>
      <c r="X238" s="508">
        <f t="shared" ca="1" si="96"/>
        <v>0</v>
      </c>
      <c r="Y238" s="508">
        <f t="shared" ca="1" si="97"/>
        <v>0</v>
      </c>
      <c r="Z238" s="508">
        <f t="shared" ca="1" si="98"/>
        <v>0</v>
      </c>
      <c r="AA238" s="508">
        <f t="shared" ca="1" si="99"/>
        <v>0</v>
      </c>
      <c r="AB238" s="508">
        <f t="shared" ca="1" si="89"/>
        <v>6</v>
      </c>
      <c r="AC238" s="508">
        <f t="shared" ca="1" si="100"/>
        <v>0</v>
      </c>
      <c r="AD238" s="912">
        <f t="shared" ca="1" si="101"/>
        <v>1500000</v>
      </c>
      <c r="AE238" s="512">
        <f t="shared" ca="1" si="102"/>
        <v>250000</v>
      </c>
      <c r="AF238" s="512">
        <f t="shared" ca="1" si="103"/>
        <v>250000</v>
      </c>
      <c r="AG238" s="512">
        <f t="shared" ca="1" si="104"/>
        <v>250000</v>
      </c>
      <c r="AH238" s="512">
        <f t="shared" ca="1" si="105"/>
        <v>250000</v>
      </c>
      <c r="AI238" s="512">
        <f t="shared" ca="1" si="106"/>
        <v>250000</v>
      </c>
      <c r="AJ238" s="512">
        <f t="shared" ca="1" si="107"/>
        <v>250000</v>
      </c>
      <c r="AK238" s="512">
        <f t="shared" ca="1" si="108"/>
        <v>0</v>
      </c>
      <c r="AL238" s="512">
        <f t="shared" ca="1" si="109"/>
        <v>0</v>
      </c>
      <c r="AM238" s="512">
        <f t="shared" ca="1" si="110"/>
        <v>0</v>
      </c>
      <c r="AN238" s="512">
        <f t="shared" ca="1" si="111"/>
        <v>0</v>
      </c>
      <c r="AO238" s="512">
        <f t="shared" ca="1" si="112"/>
        <v>0</v>
      </c>
      <c r="AP238" s="512">
        <f t="shared" ca="1" si="113"/>
        <v>0</v>
      </c>
      <c r="AQ238" s="512" t="str">
        <f t="shared" ca="1" si="114"/>
        <v>Contrato</v>
      </c>
      <c r="AR238" s="512"/>
      <c r="AS238" s="512" t="str">
        <f t="shared" ca="1" si="115"/>
        <v>Si</v>
      </c>
      <c r="AT238" s="151">
        <f t="shared" ca="1" si="116"/>
        <v>1500000</v>
      </c>
      <c r="AU238" s="151">
        <f>IFERROR(VLOOKUP(A238,'[7]TD CuentasBDG'!$N$5:$O$21,2,0),0)</f>
        <v>0</v>
      </c>
      <c r="AV238" t="str">
        <f t="shared" si="117"/>
        <v>Adjudicación Directa</v>
      </c>
      <c r="AW238" t="s">
        <v>2053</v>
      </c>
      <c r="AX238" t="s">
        <v>1929</v>
      </c>
    </row>
    <row r="239" spans="1:52" ht="45" x14ac:dyDescent="0.25">
      <c r="A239" s="508" t="s">
        <v>2058</v>
      </c>
      <c r="B239" s="508" t="s">
        <v>1416</v>
      </c>
      <c r="C239" s="922" t="s">
        <v>363</v>
      </c>
      <c r="D239" s="508" t="s">
        <v>151</v>
      </c>
      <c r="E239" s="508"/>
      <c r="F239" s="508"/>
      <c r="G239" s="508" t="s">
        <v>1647</v>
      </c>
      <c r="H239" s="508" t="s">
        <v>339</v>
      </c>
      <c r="I239" s="508" t="s">
        <v>367</v>
      </c>
      <c r="J239" s="555" t="s">
        <v>1650</v>
      </c>
      <c r="K239" s="555" t="s">
        <v>1774</v>
      </c>
      <c r="L239" s="911">
        <f ca="1">IFERROR(INDEX(Lists!$O$2:$Z$2,MATCH(TRUE,INDEX((AE239:AP239&lt;&gt;0),0),0)),DATE(2018,1,1))</f>
        <v>43102</v>
      </c>
      <c r="M239" s="911">
        <f ca="1">IFERROR(INDEX(Lists!$O$3:$Z$3, VALUE(SUBSTITUTE(TEXT(ADDRESS(SUMPRODUCT(MAX((COLUMN(AE239:AP239)*(AE239:AP239&gt;0)))),1),),"$A$",""))-30),DATE(2018,1,1))</f>
        <v>43465</v>
      </c>
      <c r="N239" s="914" t="s">
        <v>1683</v>
      </c>
      <c r="O239" s="508" t="s">
        <v>1653</v>
      </c>
      <c r="P239" s="508" t="s">
        <v>1071</v>
      </c>
      <c r="Q239" s="508" t="s">
        <v>1071</v>
      </c>
      <c r="R239" s="508">
        <f t="shared" ca="1" si="90"/>
        <v>0</v>
      </c>
      <c r="S239" s="508" t="str">
        <f t="shared" ca="1" si="91"/>
        <v>Fluor EIA Deliverables special coordinator</v>
      </c>
      <c r="T239" s="508" t="str">
        <f t="shared" ca="1" si="92"/>
        <v>Similar to Carlos Esguerra (Part time)</v>
      </c>
      <c r="U239" s="508" t="str">
        <f t="shared" ca="1" si="93"/>
        <v>685 / 51-11-3355</v>
      </c>
      <c r="V239" s="508">
        <f t="shared" ca="1" si="94"/>
        <v>0</v>
      </c>
      <c r="W239" s="508" t="str">
        <f t="shared" ca="1" si="95"/>
        <v>Similar to Carlos Esguerra (Part time)</v>
      </c>
      <c r="X239" s="508" t="str">
        <f t="shared" ca="1" si="96"/>
        <v>Ene</v>
      </c>
      <c r="Y239" s="508" t="str">
        <f t="shared" ca="1" si="97"/>
        <v>Feb</v>
      </c>
      <c r="Z239" s="508" t="str">
        <f t="shared" ca="1" si="98"/>
        <v>Mar</v>
      </c>
      <c r="AA239" s="508" t="str">
        <f t="shared" ca="1" si="99"/>
        <v>Abr</v>
      </c>
      <c r="AB239" s="508">
        <f t="shared" ca="1" si="89"/>
        <v>12</v>
      </c>
      <c r="AC239" s="508">
        <f t="shared" ca="1" si="100"/>
        <v>0</v>
      </c>
      <c r="AD239" s="912">
        <f t="shared" ca="1" si="101"/>
        <v>180000</v>
      </c>
      <c r="AE239" s="512">
        <f t="shared" ca="1" si="102"/>
        <v>15000</v>
      </c>
      <c r="AF239" s="512">
        <f t="shared" ca="1" si="103"/>
        <v>15000</v>
      </c>
      <c r="AG239" s="512">
        <f t="shared" ca="1" si="104"/>
        <v>15000</v>
      </c>
      <c r="AH239" s="512">
        <f t="shared" ca="1" si="105"/>
        <v>15000</v>
      </c>
      <c r="AI239" s="512">
        <f t="shared" ca="1" si="106"/>
        <v>15000</v>
      </c>
      <c r="AJ239" s="512">
        <f t="shared" ca="1" si="107"/>
        <v>15000</v>
      </c>
      <c r="AK239" s="512">
        <f t="shared" ca="1" si="108"/>
        <v>15000</v>
      </c>
      <c r="AL239" s="512">
        <f t="shared" ca="1" si="109"/>
        <v>15000</v>
      </c>
      <c r="AM239" s="512">
        <f t="shared" ca="1" si="110"/>
        <v>15000</v>
      </c>
      <c r="AN239" s="512">
        <f t="shared" ca="1" si="111"/>
        <v>15000</v>
      </c>
      <c r="AO239" s="512">
        <f t="shared" ca="1" si="112"/>
        <v>15000</v>
      </c>
      <c r="AP239" s="512">
        <f t="shared" ca="1" si="113"/>
        <v>15000</v>
      </c>
      <c r="AQ239" s="512" t="str">
        <f t="shared" ca="1" si="114"/>
        <v>Contrato</v>
      </c>
      <c r="AR239" s="512"/>
      <c r="AS239" s="512" t="str">
        <f t="shared" ca="1" si="115"/>
        <v>Si</v>
      </c>
      <c r="AT239" s="151">
        <f t="shared" ca="1" si="116"/>
        <v>180000</v>
      </c>
      <c r="AU239" s="151">
        <f>IFERROR(VLOOKUP(A239,'[7]TD CuentasBDG'!$N$5:$O$21,2,0),0)</f>
        <v>0</v>
      </c>
      <c r="AV239" t="str">
        <f t="shared" si="117"/>
        <v>Adjudicación Directa</v>
      </c>
      <c r="AW239" t="s">
        <v>2053</v>
      </c>
      <c r="AX239" t="s">
        <v>1929</v>
      </c>
    </row>
    <row r="240" spans="1:52" ht="45" x14ac:dyDescent="0.25">
      <c r="A240" s="508" t="s">
        <v>2059</v>
      </c>
      <c r="B240" s="508" t="s">
        <v>1416</v>
      </c>
      <c r="C240" s="922" t="s">
        <v>363</v>
      </c>
      <c r="D240" s="508" t="s">
        <v>151</v>
      </c>
      <c r="E240" s="508"/>
      <c r="F240" s="508"/>
      <c r="G240" s="508" t="s">
        <v>1647</v>
      </c>
      <c r="H240" s="508" t="s">
        <v>350</v>
      </c>
      <c r="I240" s="508" t="s">
        <v>371</v>
      </c>
      <c r="J240" s="555" t="s">
        <v>1650</v>
      </c>
      <c r="K240" s="555" t="s">
        <v>1774</v>
      </c>
      <c r="L240" s="911">
        <f ca="1">IFERROR(INDEX(Lists!$O$2:$Z$2,MATCH(TRUE,INDEX((AE240:AP240&lt;&gt;0),0),0)),DATE(2018,1,1))</f>
        <v>43160</v>
      </c>
      <c r="M240" s="911">
        <f ca="1">IFERROR(INDEX(Lists!$O$3:$Z$3, VALUE(SUBSTITUTE(TEXT(ADDRESS(SUMPRODUCT(MAX((COLUMN(AE240:AP240)*(AE240:AP240&gt;0)))),1),),"$A$",""))-30),DATE(2018,1,1))</f>
        <v>43373</v>
      </c>
      <c r="N240" s="508" t="s">
        <v>1683</v>
      </c>
      <c r="O240" s="508" t="s">
        <v>1653</v>
      </c>
      <c r="P240" s="508" t="s">
        <v>1071</v>
      </c>
      <c r="Q240" s="508" t="s">
        <v>1071</v>
      </c>
      <c r="R240" s="508">
        <f t="shared" ca="1" si="90"/>
        <v>0</v>
      </c>
      <c r="S240" s="508" t="str">
        <f t="shared" ca="1" si="91"/>
        <v>Corridors/Plant Geotechnical survey</v>
      </c>
      <c r="T240" s="508" t="str">
        <f t="shared" ca="1" si="92"/>
        <v>Contractor</v>
      </c>
      <c r="U240" s="508" t="str">
        <f t="shared" ca="1" si="93"/>
        <v>685 / 51-11-3355</v>
      </c>
      <c r="V240" s="508">
        <f t="shared" ca="1" si="94"/>
        <v>0</v>
      </c>
      <c r="W240" s="508" t="str">
        <f t="shared" ca="1" si="95"/>
        <v>Contractor</v>
      </c>
      <c r="X240" s="508">
        <f t="shared" ca="1" si="96"/>
        <v>0</v>
      </c>
      <c r="Y240" s="508">
        <f t="shared" ca="1" si="97"/>
        <v>0</v>
      </c>
      <c r="Z240" s="508">
        <f t="shared" ca="1" si="98"/>
        <v>0</v>
      </c>
      <c r="AA240" s="508">
        <f t="shared" ca="1" si="99"/>
        <v>0</v>
      </c>
      <c r="AB240" s="508">
        <f t="shared" ca="1" si="89"/>
        <v>7</v>
      </c>
      <c r="AC240" s="508">
        <f t="shared" ca="1" si="100"/>
        <v>0</v>
      </c>
      <c r="AD240" s="912">
        <f t="shared" ca="1" si="101"/>
        <v>2000000</v>
      </c>
      <c r="AE240" s="512">
        <f t="shared" ca="1" si="102"/>
        <v>0</v>
      </c>
      <c r="AF240" s="512">
        <f t="shared" ca="1" si="103"/>
        <v>0</v>
      </c>
      <c r="AG240" s="512">
        <f t="shared" ca="1" si="104"/>
        <v>400000</v>
      </c>
      <c r="AH240" s="512">
        <f t="shared" ca="1" si="105"/>
        <v>300000</v>
      </c>
      <c r="AI240" s="512">
        <f t="shared" ca="1" si="106"/>
        <v>300000</v>
      </c>
      <c r="AJ240" s="512">
        <f t="shared" ca="1" si="107"/>
        <v>300000</v>
      </c>
      <c r="AK240" s="512">
        <f t="shared" ca="1" si="108"/>
        <v>300000</v>
      </c>
      <c r="AL240" s="512">
        <f t="shared" ca="1" si="109"/>
        <v>300000</v>
      </c>
      <c r="AM240" s="512">
        <f t="shared" ca="1" si="110"/>
        <v>100000</v>
      </c>
      <c r="AN240" s="512">
        <f t="shared" ca="1" si="111"/>
        <v>0</v>
      </c>
      <c r="AO240" s="512">
        <f t="shared" ca="1" si="112"/>
        <v>0</v>
      </c>
      <c r="AP240" s="512">
        <f t="shared" ca="1" si="113"/>
        <v>0</v>
      </c>
      <c r="AQ240" s="923" t="str">
        <f t="shared" ca="1" si="114"/>
        <v>Contrato</v>
      </c>
      <c r="AR240" s="923"/>
      <c r="AS240" s="923" t="str">
        <f t="shared" ca="1" si="115"/>
        <v>Si</v>
      </c>
      <c r="AT240" s="924">
        <f t="shared" ca="1" si="116"/>
        <v>2000000</v>
      </c>
      <c r="AU240" s="924">
        <f>IFERROR(VLOOKUP(A240,'[7]TD CuentasBDG'!$N$5:$O$21,2,0),0)</f>
        <v>0</v>
      </c>
      <c r="AV240" s="925" t="str">
        <f t="shared" si="117"/>
        <v>Adjudicación Directa</v>
      </c>
      <c r="AW240" s="925" t="s">
        <v>2060</v>
      </c>
      <c r="AX240" s="925" t="s">
        <v>1702</v>
      </c>
      <c r="AY240" s="925"/>
      <c r="AZ240" s="925"/>
    </row>
    <row r="241" spans="1:50" ht="45" x14ac:dyDescent="0.25">
      <c r="A241" s="508" t="s">
        <v>2061</v>
      </c>
      <c r="B241" s="508" t="s">
        <v>1416</v>
      </c>
      <c r="C241" s="922" t="s">
        <v>363</v>
      </c>
      <c r="D241" s="508" t="s">
        <v>151</v>
      </c>
      <c r="E241" s="508"/>
      <c r="F241" s="508"/>
      <c r="G241" s="508" t="s">
        <v>1647</v>
      </c>
      <c r="H241" s="508" t="s">
        <v>352</v>
      </c>
      <c r="I241" s="508" t="s">
        <v>377</v>
      </c>
      <c r="J241" s="555" t="s">
        <v>1650</v>
      </c>
      <c r="K241" s="555" t="s">
        <v>1774</v>
      </c>
      <c r="L241" s="911">
        <f ca="1">IFERROR(INDEX(Lists!$O$2:$Z$2,MATCH(TRUE,INDEX((AE241:AP241&lt;&gt;0),0),0)),DATE(2018,1,1))</f>
        <v>43160</v>
      </c>
      <c r="M241" s="911">
        <f ca="1">IFERROR(INDEX(Lists!$O$3:$Z$3, VALUE(SUBSTITUTE(TEXT(ADDRESS(SUMPRODUCT(MAX((COLUMN(AE241:AP241)*(AE241:AP241&gt;0)))),1),),"$A$",""))-30),DATE(2018,1,1))</f>
        <v>43434</v>
      </c>
      <c r="N241" s="508" t="s">
        <v>1683</v>
      </c>
      <c r="O241" s="508" t="s">
        <v>1984</v>
      </c>
      <c r="P241" s="508" t="s">
        <v>1071</v>
      </c>
      <c r="Q241" s="508" t="s">
        <v>1071</v>
      </c>
      <c r="R241" s="508">
        <f t="shared" ca="1" si="90"/>
        <v>0</v>
      </c>
      <c r="S241" s="508" t="str">
        <f t="shared" ca="1" si="91"/>
        <v>Port Technical consultant</v>
      </c>
      <c r="T241" s="508" t="str">
        <f t="shared" ca="1" si="92"/>
        <v>COWI</v>
      </c>
      <c r="U241" s="508" t="str">
        <f t="shared" ca="1" si="93"/>
        <v>685 / 51-11-3355</v>
      </c>
      <c r="V241" s="508">
        <f t="shared" ca="1" si="94"/>
        <v>0</v>
      </c>
      <c r="W241" s="508" t="str">
        <f t="shared" ca="1" si="95"/>
        <v>COWI</v>
      </c>
      <c r="X241" s="508">
        <f t="shared" ca="1" si="96"/>
        <v>0</v>
      </c>
      <c r="Y241" s="508">
        <f t="shared" ca="1" si="97"/>
        <v>0</v>
      </c>
      <c r="Z241" s="508">
        <f t="shared" ca="1" si="98"/>
        <v>0</v>
      </c>
      <c r="AA241" s="508">
        <f t="shared" ca="1" si="99"/>
        <v>0</v>
      </c>
      <c r="AB241" s="508">
        <f t="shared" ca="1" si="89"/>
        <v>9</v>
      </c>
      <c r="AC241" s="508">
        <f t="shared" ca="1" si="100"/>
        <v>0</v>
      </c>
      <c r="AD241" s="912">
        <f t="shared" ca="1" si="101"/>
        <v>300000</v>
      </c>
      <c r="AE241" s="512">
        <f t="shared" ca="1" si="102"/>
        <v>0</v>
      </c>
      <c r="AF241" s="512">
        <f t="shared" ca="1" si="103"/>
        <v>0</v>
      </c>
      <c r="AG241" s="512">
        <f t="shared" ca="1" si="104"/>
        <v>50000</v>
      </c>
      <c r="AH241" s="512">
        <f t="shared" ca="1" si="105"/>
        <v>0</v>
      </c>
      <c r="AI241" s="512">
        <f t="shared" ca="1" si="106"/>
        <v>50000</v>
      </c>
      <c r="AJ241" s="512">
        <f t="shared" ca="1" si="107"/>
        <v>50000</v>
      </c>
      <c r="AK241" s="512">
        <f t="shared" ca="1" si="108"/>
        <v>50000</v>
      </c>
      <c r="AL241" s="512">
        <f t="shared" ca="1" si="109"/>
        <v>0</v>
      </c>
      <c r="AM241" s="512">
        <f t="shared" ca="1" si="110"/>
        <v>50000</v>
      </c>
      <c r="AN241" s="512">
        <f t="shared" ca="1" si="111"/>
        <v>0</v>
      </c>
      <c r="AO241" s="512">
        <f t="shared" ca="1" si="112"/>
        <v>50000</v>
      </c>
      <c r="AP241" s="512">
        <f t="shared" ca="1" si="113"/>
        <v>0</v>
      </c>
      <c r="AQ241" s="512" t="str">
        <f t="shared" ca="1" si="114"/>
        <v>Contrato</v>
      </c>
      <c r="AR241" s="512"/>
      <c r="AS241" s="512" t="str">
        <f t="shared" ca="1" si="115"/>
        <v>Si</v>
      </c>
      <c r="AT241" s="151">
        <f t="shared" ca="1" si="116"/>
        <v>300000</v>
      </c>
      <c r="AU241" s="151">
        <f>IFERROR(VLOOKUP(A241,'[7]TD CuentasBDG'!$N$5:$O$21,2,0),0)</f>
        <v>0</v>
      </c>
      <c r="AV241" t="str">
        <f t="shared" si="117"/>
        <v>Adjudicación Directa</v>
      </c>
      <c r="AW241" t="s">
        <v>1690</v>
      </c>
      <c r="AX241" t="s">
        <v>1655</v>
      </c>
    </row>
    <row r="242" spans="1:50" ht="45" x14ac:dyDescent="0.25">
      <c r="A242" s="508" t="s">
        <v>2062</v>
      </c>
      <c r="B242" s="508" t="s">
        <v>1416</v>
      </c>
      <c r="C242" s="922" t="s">
        <v>363</v>
      </c>
      <c r="D242" s="508" t="s">
        <v>151</v>
      </c>
      <c r="E242" s="508"/>
      <c r="F242" s="508"/>
      <c r="G242" s="508" t="s">
        <v>1647</v>
      </c>
      <c r="H242" s="508" t="s">
        <v>353</v>
      </c>
      <c r="I242" s="508" t="s">
        <v>378</v>
      </c>
      <c r="J242" s="555" t="s">
        <v>1650</v>
      </c>
      <c r="K242" s="555" t="s">
        <v>1774</v>
      </c>
      <c r="L242" s="911">
        <f ca="1">IFERROR(INDEX(Lists!$O$2:$Z$2,MATCH(TRUE,INDEX((AE242:AP242&lt;&gt;0),0),0)),DATE(2018,1,1))</f>
        <v>43160</v>
      </c>
      <c r="M242" s="911">
        <f ca="1">IFERROR(INDEX(Lists!$O$3:$Z$3, VALUE(SUBSTITUTE(TEXT(ADDRESS(SUMPRODUCT(MAX((COLUMN(AE242:AP242)*(AE242:AP242&gt;0)))),1),),"$A$",""))-30),DATE(2018,1,1))</f>
        <v>43434</v>
      </c>
      <c r="N242" s="508" t="s">
        <v>1683</v>
      </c>
      <c r="O242" s="508" t="s">
        <v>1653</v>
      </c>
      <c r="P242" s="508" t="s">
        <v>1071</v>
      </c>
      <c r="Q242" s="508" t="s">
        <v>1071</v>
      </c>
      <c r="R242" s="508">
        <f t="shared" ca="1" si="90"/>
        <v>0</v>
      </c>
      <c r="S242" s="508" t="str">
        <f t="shared" ca="1" si="91"/>
        <v>Desalination plant consultant</v>
      </c>
      <c r="T242" s="508" t="str">
        <f t="shared" ca="1" si="92"/>
        <v>B &amp; V</v>
      </c>
      <c r="U242" s="508" t="str">
        <f t="shared" ca="1" si="93"/>
        <v>685 / 51-11-3355</v>
      </c>
      <c r="V242" s="508">
        <f t="shared" ca="1" si="94"/>
        <v>0</v>
      </c>
      <c r="W242" s="508" t="str">
        <f t="shared" ca="1" si="95"/>
        <v>B &amp; V</v>
      </c>
      <c r="X242" s="508">
        <f t="shared" ca="1" si="96"/>
        <v>0</v>
      </c>
      <c r="Y242" s="508">
        <f t="shared" ca="1" si="97"/>
        <v>0</v>
      </c>
      <c r="Z242" s="508">
        <f t="shared" ca="1" si="98"/>
        <v>0</v>
      </c>
      <c r="AA242" s="508">
        <f t="shared" ca="1" si="99"/>
        <v>0</v>
      </c>
      <c r="AB242" s="508">
        <f t="shared" ca="1" si="89"/>
        <v>9</v>
      </c>
      <c r="AC242" s="508">
        <f t="shared" ca="1" si="100"/>
        <v>0</v>
      </c>
      <c r="AD242" s="912">
        <f t="shared" ca="1" si="101"/>
        <v>300000</v>
      </c>
      <c r="AE242" s="512">
        <f t="shared" ca="1" si="102"/>
        <v>0</v>
      </c>
      <c r="AF242" s="512">
        <f t="shared" ca="1" si="103"/>
        <v>0</v>
      </c>
      <c r="AG242" s="512">
        <f t="shared" ca="1" si="104"/>
        <v>50000</v>
      </c>
      <c r="AH242" s="512">
        <f t="shared" ca="1" si="105"/>
        <v>0</v>
      </c>
      <c r="AI242" s="512">
        <f t="shared" ca="1" si="106"/>
        <v>50000</v>
      </c>
      <c r="AJ242" s="512">
        <f t="shared" ca="1" si="107"/>
        <v>50000</v>
      </c>
      <c r="AK242" s="512">
        <f t="shared" ca="1" si="108"/>
        <v>50000</v>
      </c>
      <c r="AL242" s="512">
        <f t="shared" ca="1" si="109"/>
        <v>0</v>
      </c>
      <c r="AM242" s="512">
        <f t="shared" ca="1" si="110"/>
        <v>50000</v>
      </c>
      <c r="AN242" s="512">
        <f t="shared" ca="1" si="111"/>
        <v>0</v>
      </c>
      <c r="AO242" s="512">
        <f t="shared" ca="1" si="112"/>
        <v>50000</v>
      </c>
      <c r="AP242" s="512">
        <f t="shared" ca="1" si="113"/>
        <v>0</v>
      </c>
      <c r="AQ242" s="512" t="str">
        <f t="shared" ca="1" si="114"/>
        <v>Contrato</v>
      </c>
      <c r="AR242" s="512"/>
      <c r="AS242" s="512" t="str">
        <f t="shared" ca="1" si="115"/>
        <v>Si</v>
      </c>
      <c r="AT242" s="151">
        <f t="shared" ca="1" si="116"/>
        <v>300000</v>
      </c>
      <c r="AU242" s="151">
        <f>IFERROR(VLOOKUP(A242,'[7]TD CuentasBDG'!$N$5:$O$21,2,0),0)</f>
        <v>0</v>
      </c>
      <c r="AV242" t="str">
        <f t="shared" si="117"/>
        <v>Adjudicación Directa</v>
      </c>
      <c r="AW242" t="s">
        <v>1690</v>
      </c>
      <c r="AX242" t="s">
        <v>1655</v>
      </c>
    </row>
    <row r="243" spans="1:50" ht="45" x14ac:dyDescent="0.25">
      <c r="A243" s="508" t="s">
        <v>2063</v>
      </c>
      <c r="B243" s="508" t="s">
        <v>1416</v>
      </c>
      <c r="C243" s="922" t="s">
        <v>363</v>
      </c>
      <c r="D243" s="508" t="s">
        <v>151</v>
      </c>
      <c r="E243" s="508"/>
      <c r="F243" s="508"/>
      <c r="G243" s="508" t="s">
        <v>1647</v>
      </c>
      <c r="H243" s="508" t="s">
        <v>354</v>
      </c>
      <c r="I243" s="508" t="s">
        <v>379</v>
      </c>
      <c r="J243" s="555" t="s">
        <v>1650</v>
      </c>
      <c r="K243" s="555" t="s">
        <v>1774</v>
      </c>
      <c r="L243" s="911">
        <f ca="1">IFERROR(INDEX(Lists!$O$2:$Z$2,MATCH(TRUE,INDEX((AE243:AP243&lt;&gt;0),0),0)),DATE(2018,1,1))</f>
        <v>43344</v>
      </c>
      <c r="M243" s="911">
        <f ca="1">IFERROR(INDEX(Lists!$O$3:$Z$3, VALUE(SUBSTITUTE(TEXT(ADDRESS(SUMPRODUCT(MAX((COLUMN(AE243:AP243)*(AE243:AP243&gt;0)))),1),),"$A$",""))-30),DATE(2018,1,1))</f>
        <v>43465</v>
      </c>
      <c r="N243" s="508" t="s">
        <v>1683</v>
      </c>
      <c r="O243" s="508" t="s">
        <v>1653</v>
      </c>
      <c r="P243" s="508" t="s">
        <v>1071</v>
      </c>
      <c r="Q243" s="508" t="s">
        <v>1071</v>
      </c>
      <c r="R243" s="508">
        <f t="shared" ca="1" si="90"/>
        <v>0</v>
      </c>
      <c r="S243" s="508" t="str">
        <f t="shared" ca="1" si="91"/>
        <v>Value assurance</v>
      </c>
      <c r="T243" s="508" t="str">
        <f t="shared" ca="1" si="92"/>
        <v>Group</v>
      </c>
      <c r="U243" s="508" t="str">
        <f t="shared" ca="1" si="93"/>
        <v>685 / 51-11-3355</v>
      </c>
      <c r="V243" s="508">
        <f t="shared" ca="1" si="94"/>
        <v>0</v>
      </c>
      <c r="W243" s="508" t="str">
        <f t="shared" ca="1" si="95"/>
        <v>Group</v>
      </c>
      <c r="X243" s="508">
        <f t="shared" ca="1" si="96"/>
        <v>0</v>
      </c>
      <c r="Y243" s="508">
        <f t="shared" ca="1" si="97"/>
        <v>0</v>
      </c>
      <c r="Z243" s="508">
        <f t="shared" ca="1" si="98"/>
        <v>0</v>
      </c>
      <c r="AA243" s="508">
        <f t="shared" ca="1" si="99"/>
        <v>0</v>
      </c>
      <c r="AB243" s="508">
        <f t="shared" ca="1" si="89"/>
        <v>4</v>
      </c>
      <c r="AC243" s="508">
        <f t="shared" ca="1" si="100"/>
        <v>0</v>
      </c>
      <c r="AD243" s="912">
        <f t="shared" ca="1" si="101"/>
        <v>240000</v>
      </c>
      <c r="AE243" s="512">
        <f t="shared" ca="1" si="102"/>
        <v>0</v>
      </c>
      <c r="AF243" s="512">
        <f t="shared" ca="1" si="103"/>
        <v>0</v>
      </c>
      <c r="AG243" s="512">
        <f t="shared" ca="1" si="104"/>
        <v>0</v>
      </c>
      <c r="AH243" s="512">
        <f t="shared" ca="1" si="105"/>
        <v>0</v>
      </c>
      <c r="AI243" s="512">
        <f t="shared" ca="1" si="106"/>
        <v>0</v>
      </c>
      <c r="AJ243" s="512">
        <f t="shared" ca="1" si="107"/>
        <v>0</v>
      </c>
      <c r="AK243" s="512">
        <f t="shared" ca="1" si="108"/>
        <v>0</v>
      </c>
      <c r="AL243" s="512">
        <f t="shared" ca="1" si="109"/>
        <v>0</v>
      </c>
      <c r="AM243" s="512">
        <f t="shared" ca="1" si="110"/>
        <v>60000</v>
      </c>
      <c r="AN243" s="512">
        <f t="shared" ca="1" si="111"/>
        <v>60000</v>
      </c>
      <c r="AO243" s="512">
        <f t="shared" ca="1" si="112"/>
        <v>60000</v>
      </c>
      <c r="AP243" s="512">
        <f t="shared" ca="1" si="113"/>
        <v>60000</v>
      </c>
      <c r="AQ243" s="512" t="str">
        <f t="shared" ca="1" si="114"/>
        <v>Contrato</v>
      </c>
      <c r="AR243" s="512"/>
      <c r="AS243" s="512" t="str">
        <f t="shared" ca="1" si="115"/>
        <v>Si</v>
      </c>
      <c r="AT243" s="151">
        <f t="shared" ca="1" si="116"/>
        <v>240000</v>
      </c>
      <c r="AU243" s="151">
        <f>IFERROR(VLOOKUP(A243,'[7]TD CuentasBDG'!$N$5:$O$21,2,0),0)</f>
        <v>0</v>
      </c>
      <c r="AV243" t="str">
        <f t="shared" si="117"/>
        <v>Adjudicación Directa</v>
      </c>
      <c r="AW243" t="s">
        <v>1690</v>
      </c>
      <c r="AX243" t="s">
        <v>1655</v>
      </c>
    </row>
    <row r="244" spans="1:50" ht="45" x14ac:dyDescent="0.25">
      <c r="A244" s="508" t="s">
        <v>2064</v>
      </c>
      <c r="B244" s="508" t="s">
        <v>1416</v>
      </c>
      <c r="C244" s="922" t="s">
        <v>363</v>
      </c>
      <c r="D244" s="508" t="s">
        <v>151</v>
      </c>
      <c r="E244" s="508"/>
      <c r="F244" s="508"/>
      <c r="G244" s="508" t="s">
        <v>1665</v>
      </c>
      <c r="H244" s="508"/>
      <c r="I244" s="508"/>
      <c r="J244" s="555"/>
      <c r="K244" s="555"/>
      <c r="L244" s="911">
        <f ca="1">IFERROR(INDEX(Lists!$O$2:$Z$2,MATCH(TRUE,INDEX((AE244:AP244&lt;&gt;0),0),0)),DATE(2018,1,1))</f>
        <v>43191</v>
      </c>
      <c r="M244" s="911">
        <f ca="1">IFERROR(INDEX(Lists!$O$3:$Z$3, VALUE(SUBSTITUTE(TEXT(ADDRESS(SUMPRODUCT(MAX((COLUMN(AE244:AP244)*(AE244:AP244&gt;0)))),1),),"$A$",""))-30),DATE(2018,1,1))</f>
        <v>43404</v>
      </c>
      <c r="N244" s="508"/>
      <c r="O244" s="508"/>
      <c r="P244" s="508"/>
      <c r="Q244" s="508"/>
      <c r="R244" s="508">
        <f t="shared" ca="1" si="90"/>
        <v>0</v>
      </c>
      <c r="S244" s="508" t="str">
        <f t="shared" ca="1" si="91"/>
        <v>Other worshops</v>
      </c>
      <c r="T244" s="508" t="str">
        <f t="shared" ca="1" si="92"/>
        <v>Group</v>
      </c>
      <c r="U244" s="508" t="str">
        <f t="shared" ca="1" si="93"/>
        <v>685 / 51-11-3355</v>
      </c>
      <c r="V244" s="508">
        <f t="shared" ca="1" si="94"/>
        <v>0</v>
      </c>
      <c r="W244" s="508" t="str">
        <f t="shared" ca="1" si="95"/>
        <v>Group</v>
      </c>
      <c r="X244" s="508">
        <f t="shared" ca="1" si="96"/>
        <v>0</v>
      </c>
      <c r="Y244" s="508">
        <f t="shared" ca="1" si="97"/>
        <v>0</v>
      </c>
      <c r="Z244" s="508">
        <f t="shared" ca="1" si="98"/>
        <v>0</v>
      </c>
      <c r="AA244" s="508">
        <f t="shared" ca="1" si="99"/>
        <v>0</v>
      </c>
      <c r="AB244" s="508">
        <f t="shared" ca="1" si="89"/>
        <v>7</v>
      </c>
      <c r="AC244" s="508">
        <f t="shared" ca="1" si="100"/>
        <v>0</v>
      </c>
      <c r="AD244" s="912">
        <f t="shared" ca="1" si="101"/>
        <v>150000</v>
      </c>
      <c r="AE244" s="512">
        <f t="shared" ca="1" si="102"/>
        <v>0</v>
      </c>
      <c r="AF244" s="512">
        <f t="shared" ca="1" si="103"/>
        <v>0</v>
      </c>
      <c r="AG244" s="512">
        <f t="shared" ca="1" si="104"/>
        <v>0</v>
      </c>
      <c r="AH244" s="512">
        <f t="shared" ca="1" si="105"/>
        <v>50000</v>
      </c>
      <c r="AI244" s="512">
        <f t="shared" ca="1" si="106"/>
        <v>0</v>
      </c>
      <c r="AJ244" s="512">
        <f t="shared" ca="1" si="107"/>
        <v>0</v>
      </c>
      <c r="AK244" s="512">
        <f t="shared" ca="1" si="108"/>
        <v>50000</v>
      </c>
      <c r="AL244" s="512">
        <f t="shared" ca="1" si="109"/>
        <v>0</v>
      </c>
      <c r="AM244" s="512">
        <f t="shared" ca="1" si="110"/>
        <v>0</v>
      </c>
      <c r="AN244" s="512">
        <f t="shared" ca="1" si="111"/>
        <v>50000</v>
      </c>
      <c r="AO244" s="512">
        <f t="shared" ca="1" si="112"/>
        <v>0</v>
      </c>
      <c r="AP244" s="512">
        <f t="shared" ca="1" si="113"/>
        <v>0</v>
      </c>
      <c r="AQ244" s="512" t="str">
        <f t="shared" si="114"/>
        <v/>
      </c>
      <c r="AR244" s="512"/>
      <c r="AS244" s="512" t="str">
        <f t="shared" si="115"/>
        <v/>
      </c>
      <c r="AT244" s="151">
        <f t="shared" si="116"/>
        <v>0</v>
      </c>
      <c r="AU244" s="151">
        <f>IFERROR(VLOOKUP(A244,'[7]TD CuentasBDG'!$N$5:$O$21,2,0),0)</f>
        <v>0</v>
      </c>
      <c r="AV244">
        <f t="shared" si="117"/>
        <v>0</v>
      </c>
    </row>
    <row r="245" spans="1:50" ht="45" x14ac:dyDescent="0.25">
      <c r="A245" s="508" t="s">
        <v>2065</v>
      </c>
      <c r="B245" s="508" t="s">
        <v>1416</v>
      </c>
      <c r="C245" s="922" t="s">
        <v>363</v>
      </c>
      <c r="D245" s="508" t="s">
        <v>151</v>
      </c>
      <c r="E245" s="508"/>
      <c r="F245" s="508"/>
      <c r="G245" s="508" t="s">
        <v>1647</v>
      </c>
      <c r="H245" s="508" t="s">
        <v>357</v>
      </c>
      <c r="I245" s="508" t="s">
        <v>380</v>
      </c>
      <c r="J245" s="555" t="s">
        <v>1650</v>
      </c>
      <c r="K245" s="555" t="s">
        <v>1774</v>
      </c>
      <c r="L245" s="911">
        <f ca="1">IFERROR(INDEX(Lists!$O$2:$Z$2,MATCH(TRUE,INDEX((AE245:AP245&lt;&gt;0),0),0)),DATE(2018,1,1))</f>
        <v>43252</v>
      </c>
      <c r="M245" s="911">
        <f ca="1">IFERROR(INDEX(Lists!$O$3:$Z$3, VALUE(SUBSTITUTE(TEXT(ADDRESS(SUMPRODUCT(MAX((COLUMN(AE245:AP245)*(AE245:AP245&gt;0)))),1),),"$A$",""))-30),DATE(2018,1,1))</f>
        <v>43281</v>
      </c>
      <c r="N245" s="508" t="s">
        <v>1683</v>
      </c>
      <c r="O245" s="508" t="s">
        <v>1653</v>
      </c>
      <c r="P245" s="508" t="s">
        <v>1071</v>
      </c>
      <c r="Q245" s="508" t="s">
        <v>1071</v>
      </c>
      <c r="R245" s="508">
        <f t="shared" ca="1" si="90"/>
        <v>0</v>
      </c>
      <c r="S245" s="508" t="str">
        <f t="shared" ca="1" si="91"/>
        <v>Risk Assesment Consultant</v>
      </c>
      <c r="T245" s="508" t="str">
        <f t="shared" ca="1" si="92"/>
        <v>Project services</v>
      </c>
      <c r="U245" s="508" t="str">
        <f t="shared" ca="1" si="93"/>
        <v>685 / 51-11-3355</v>
      </c>
      <c r="V245" s="508">
        <f t="shared" ca="1" si="94"/>
        <v>0</v>
      </c>
      <c r="W245" s="508" t="str">
        <f t="shared" ca="1" si="95"/>
        <v>Project services</v>
      </c>
      <c r="X245" s="508">
        <f t="shared" ca="1" si="96"/>
        <v>0</v>
      </c>
      <c r="Y245" s="508">
        <f t="shared" ca="1" si="97"/>
        <v>0</v>
      </c>
      <c r="Z245" s="508">
        <f t="shared" ca="1" si="98"/>
        <v>0</v>
      </c>
      <c r="AA245" s="508">
        <f t="shared" ca="1" si="99"/>
        <v>0</v>
      </c>
      <c r="AB245" s="508">
        <f t="shared" ca="1" si="89"/>
        <v>1</v>
      </c>
      <c r="AC245" s="508">
        <f t="shared" ca="1" si="100"/>
        <v>0</v>
      </c>
      <c r="AD245" s="912">
        <f t="shared" ca="1" si="101"/>
        <v>100000</v>
      </c>
      <c r="AE245" s="512">
        <f t="shared" ca="1" si="102"/>
        <v>0</v>
      </c>
      <c r="AF245" s="512">
        <f t="shared" ca="1" si="103"/>
        <v>0</v>
      </c>
      <c r="AG245" s="512">
        <f t="shared" ca="1" si="104"/>
        <v>0</v>
      </c>
      <c r="AH245" s="512">
        <f t="shared" ca="1" si="105"/>
        <v>0</v>
      </c>
      <c r="AI245" s="512">
        <f t="shared" ca="1" si="106"/>
        <v>0</v>
      </c>
      <c r="AJ245" s="512">
        <f t="shared" ca="1" si="107"/>
        <v>100000</v>
      </c>
      <c r="AK245" s="512">
        <f t="shared" ca="1" si="108"/>
        <v>0</v>
      </c>
      <c r="AL245" s="512">
        <f t="shared" ca="1" si="109"/>
        <v>0</v>
      </c>
      <c r="AM245" s="512">
        <f t="shared" ca="1" si="110"/>
        <v>0</v>
      </c>
      <c r="AN245" s="512">
        <f t="shared" ca="1" si="111"/>
        <v>0</v>
      </c>
      <c r="AO245" s="512">
        <f t="shared" ca="1" si="112"/>
        <v>0</v>
      </c>
      <c r="AP245" s="512">
        <f t="shared" ca="1" si="113"/>
        <v>0</v>
      </c>
      <c r="AQ245" s="512" t="str">
        <f t="shared" ca="1" si="114"/>
        <v>Contrato</v>
      </c>
      <c r="AR245" s="512"/>
      <c r="AS245" s="512" t="str">
        <f t="shared" ca="1" si="115"/>
        <v>Si</v>
      </c>
      <c r="AT245" s="151">
        <f t="shared" ca="1" si="116"/>
        <v>100000</v>
      </c>
      <c r="AU245" s="151">
        <f>IFERROR(VLOOKUP(A245,'[7]TD CuentasBDG'!$N$5:$O$21,2,0),0)</f>
        <v>0</v>
      </c>
      <c r="AV245" t="str">
        <f t="shared" si="117"/>
        <v>Adjudicación Directa</v>
      </c>
      <c r="AW245" t="s">
        <v>1690</v>
      </c>
      <c r="AX245" t="s">
        <v>1655</v>
      </c>
    </row>
    <row r="246" spans="1:50" ht="45" x14ac:dyDescent="0.25">
      <c r="A246" s="508" t="s">
        <v>2066</v>
      </c>
      <c r="B246" s="508" t="s">
        <v>1416</v>
      </c>
      <c r="C246" s="922" t="s">
        <v>363</v>
      </c>
      <c r="D246" s="508" t="s">
        <v>151</v>
      </c>
      <c r="E246" s="508"/>
      <c r="F246" s="508"/>
      <c r="G246" s="508" t="s">
        <v>1647</v>
      </c>
      <c r="H246" s="508" t="s">
        <v>359</v>
      </c>
      <c r="I246" s="508" t="s">
        <v>381</v>
      </c>
      <c r="J246" s="555" t="s">
        <v>1650</v>
      </c>
      <c r="K246" s="555" t="s">
        <v>1774</v>
      </c>
      <c r="L246" s="911">
        <f ca="1">IFERROR(INDEX(Lists!$O$2:$Z$2,MATCH(TRUE,INDEX((AE246:AP246&lt;&gt;0),0),0)),DATE(2018,1,1))</f>
        <v>43252</v>
      </c>
      <c r="M246" s="911">
        <f ca="1">IFERROR(INDEX(Lists!$O$3:$Z$3, VALUE(SUBSTITUTE(TEXT(ADDRESS(SUMPRODUCT(MAX((COLUMN(AE246:AP246)*(AE246:AP246&gt;0)))),1),),"$A$",""))-30),DATE(2018,1,1))</f>
        <v>43343</v>
      </c>
      <c r="N246" s="508" t="s">
        <v>1668</v>
      </c>
      <c r="O246" s="508" t="s">
        <v>1984</v>
      </c>
      <c r="P246" s="508" t="s">
        <v>1071</v>
      </c>
      <c r="Q246" s="508" t="s">
        <v>1071</v>
      </c>
      <c r="R246" s="508">
        <f t="shared" ca="1" si="90"/>
        <v>0</v>
      </c>
      <c r="S246" s="508" t="str">
        <f t="shared" ca="1" si="91"/>
        <v>TMF Design review Consultant</v>
      </c>
      <c r="T246" s="508" t="str">
        <f t="shared" ca="1" si="92"/>
        <v>Consultant</v>
      </c>
      <c r="U246" s="508" t="str">
        <f t="shared" ca="1" si="93"/>
        <v>685 / 51-11-3355</v>
      </c>
      <c r="V246" s="508">
        <f t="shared" ca="1" si="94"/>
        <v>0</v>
      </c>
      <c r="W246" s="508" t="str">
        <f t="shared" ca="1" si="95"/>
        <v>Consultant</v>
      </c>
      <c r="X246" s="508">
        <f t="shared" ca="1" si="96"/>
        <v>0</v>
      </c>
      <c r="Y246" s="508">
        <f t="shared" ca="1" si="97"/>
        <v>0</v>
      </c>
      <c r="Z246" s="508">
        <f t="shared" ca="1" si="98"/>
        <v>0</v>
      </c>
      <c r="AA246" s="508">
        <f t="shared" ca="1" si="99"/>
        <v>0</v>
      </c>
      <c r="AB246" s="508">
        <f t="shared" ca="1" si="89"/>
        <v>3</v>
      </c>
      <c r="AC246" s="508">
        <f t="shared" ca="1" si="100"/>
        <v>0</v>
      </c>
      <c r="AD246" s="912">
        <f t="shared" ca="1" si="101"/>
        <v>150000</v>
      </c>
      <c r="AE246" s="512">
        <f t="shared" ca="1" si="102"/>
        <v>0</v>
      </c>
      <c r="AF246" s="512">
        <f t="shared" ca="1" si="103"/>
        <v>0</v>
      </c>
      <c r="AG246" s="512">
        <f t="shared" ca="1" si="104"/>
        <v>0</v>
      </c>
      <c r="AH246" s="512">
        <f t="shared" ca="1" si="105"/>
        <v>0</v>
      </c>
      <c r="AI246" s="512">
        <f t="shared" ca="1" si="106"/>
        <v>0</v>
      </c>
      <c r="AJ246" s="512">
        <f t="shared" ca="1" si="107"/>
        <v>50000</v>
      </c>
      <c r="AK246" s="512">
        <f t="shared" ca="1" si="108"/>
        <v>50000</v>
      </c>
      <c r="AL246" s="512">
        <f t="shared" ca="1" si="109"/>
        <v>50000</v>
      </c>
      <c r="AM246" s="512">
        <f t="shared" ca="1" si="110"/>
        <v>0</v>
      </c>
      <c r="AN246" s="512">
        <f t="shared" ca="1" si="111"/>
        <v>0</v>
      </c>
      <c r="AO246" s="512">
        <f t="shared" ca="1" si="112"/>
        <v>0</v>
      </c>
      <c r="AP246" s="512">
        <f t="shared" ca="1" si="113"/>
        <v>0</v>
      </c>
      <c r="AQ246" s="512" t="str">
        <f t="shared" ca="1" si="114"/>
        <v>Contrato</v>
      </c>
      <c r="AR246" s="512"/>
      <c r="AS246" s="512" t="str">
        <f t="shared" ca="1" si="115"/>
        <v>No</v>
      </c>
      <c r="AT246" s="151">
        <f t="shared" ca="1" si="116"/>
        <v>150000</v>
      </c>
      <c r="AU246" s="151">
        <f>IFERROR(VLOOKUP(A246,'[7]TD CuentasBDG'!$N$5:$O$21,2,0),0)</f>
        <v>0</v>
      </c>
      <c r="AV246" t="str">
        <f t="shared" ca="1" si="117"/>
        <v>Licitación</v>
      </c>
      <c r="AW246" t="s">
        <v>1690</v>
      </c>
      <c r="AX246" t="s">
        <v>1655</v>
      </c>
    </row>
    <row r="247" spans="1:50" ht="45" x14ac:dyDescent="0.25">
      <c r="A247" s="508" t="s">
        <v>2067</v>
      </c>
      <c r="B247" s="508" t="s">
        <v>1416</v>
      </c>
      <c r="C247" s="922" t="s">
        <v>363</v>
      </c>
      <c r="D247" s="508" t="s">
        <v>151</v>
      </c>
      <c r="E247" s="508"/>
      <c r="F247" s="508"/>
      <c r="G247" s="508" t="s">
        <v>1647</v>
      </c>
      <c r="H247" s="508" t="s">
        <v>361</v>
      </c>
      <c r="I247" s="508">
        <v>0</v>
      </c>
      <c r="J247" s="555" t="s">
        <v>1650</v>
      </c>
      <c r="K247" s="555" t="s">
        <v>1774</v>
      </c>
      <c r="L247" s="911">
        <f ca="1">IFERROR(INDEX(Lists!$O$2:$Z$2,MATCH(TRUE,INDEX((AE247:AP247&lt;&gt;0),0),0)),DATE(2018,1,1))</f>
        <v>43160</v>
      </c>
      <c r="M247" s="911">
        <f ca="1">IFERROR(INDEX(Lists!$O$3:$Z$3, VALUE(SUBSTITUTE(TEXT(ADDRESS(SUMPRODUCT(MAX((COLUMN(AE247:AP247)*(AE247:AP247&gt;0)))),1),),"$A$",""))-30),DATE(2018,1,1))</f>
        <v>43434</v>
      </c>
      <c r="N247" s="508" t="s">
        <v>1668</v>
      </c>
      <c r="O247" s="508" t="s">
        <v>1984</v>
      </c>
      <c r="P247" s="508" t="s">
        <v>1071</v>
      </c>
      <c r="Q247" s="508" t="s">
        <v>1071</v>
      </c>
      <c r="R247" s="508">
        <f t="shared" ca="1" si="90"/>
        <v>0</v>
      </c>
      <c r="S247" s="508" t="str">
        <f t="shared" ca="1" si="91"/>
        <v>Other consultants</v>
      </c>
      <c r="T247" s="508">
        <f t="shared" ca="1" si="92"/>
        <v>0</v>
      </c>
      <c r="U247" s="508" t="str">
        <f t="shared" ca="1" si="93"/>
        <v>685 / 51-11-3355</v>
      </c>
      <c r="V247" s="508">
        <f t="shared" ca="1" si="94"/>
        <v>0</v>
      </c>
      <c r="W247" s="508">
        <f t="shared" ca="1" si="95"/>
        <v>0</v>
      </c>
      <c r="X247" s="508">
        <f t="shared" ca="1" si="96"/>
        <v>0</v>
      </c>
      <c r="Y247" s="508">
        <f t="shared" ca="1" si="97"/>
        <v>0</v>
      </c>
      <c r="Z247" s="508">
        <f t="shared" ca="1" si="98"/>
        <v>0</v>
      </c>
      <c r="AA247" s="508">
        <f t="shared" ca="1" si="99"/>
        <v>0</v>
      </c>
      <c r="AB247" s="508">
        <f t="shared" ca="1" si="89"/>
        <v>9</v>
      </c>
      <c r="AC247" s="508">
        <f t="shared" ca="1" si="100"/>
        <v>0</v>
      </c>
      <c r="AD247" s="912">
        <f t="shared" ca="1" si="101"/>
        <v>250000</v>
      </c>
      <c r="AE247" s="512">
        <f t="shared" ca="1" si="102"/>
        <v>0</v>
      </c>
      <c r="AF247" s="512">
        <f t="shared" ca="1" si="103"/>
        <v>0</v>
      </c>
      <c r="AG247" s="512">
        <f t="shared" ca="1" si="104"/>
        <v>50000</v>
      </c>
      <c r="AH247" s="512">
        <f t="shared" ca="1" si="105"/>
        <v>0</v>
      </c>
      <c r="AI247" s="512">
        <f t="shared" ca="1" si="106"/>
        <v>50000</v>
      </c>
      <c r="AJ247" s="512">
        <f t="shared" ca="1" si="107"/>
        <v>0</v>
      </c>
      <c r="AK247" s="512">
        <f t="shared" ca="1" si="108"/>
        <v>50000</v>
      </c>
      <c r="AL247" s="512">
        <f t="shared" ca="1" si="109"/>
        <v>0</v>
      </c>
      <c r="AM247" s="512">
        <f t="shared" ca="1" si="110"/>
        <v>50000</v>
      </c>
      <c r="AN247" s="512">
        <f t="shared" ca="1" si="111"/>
        <v>0</v>
      </c>
      <c r="AO247" s="512">
        <f t="shared" ca="1" si="112"/>
        <v>50000</v>
      </c>
      <c r="AP247" s="512">
        <f t="shared" ca="1" si="113"/>
        <v>0</v>
      </c>
      <c r="AQ247" s="512" t="str">
        <f t="shared" ca="1" si="114"/>
        <v>Contrato</v>
      </c>
      <c r="AR247" s="512"/>
      <c r="AS247" s="512" t="str">
        <f t="shared" ca="1" si="115"/>
        <v>No</v>
      </c>
      <c r="AT247" s="151">
        <f t="shared" ca="1" si="116"/>
        <v>250000</v>
      </c>
      <c r="AU247" s="151">
        <f>IFERROR(VLOOKUP(A247,'[7]TD CuentasBDG'!$N$5:$O$21,2,0),0)</f>
        <v>0</v>
      </c>
      <c r="AV247" t="str">
        <f t="shared" ca="1" si="117"/>
        <v>Licitación</v>
      </c>
      <c r="AW247" t="s">
        <v>1690</v>
      </c>
      <c r="AX247" t="s">
        <v>1655</v>
      </c>
    </row>
    <row r="248" spans="1:50" ht="45" x14ac:dyDescent="0.25">
      <c r="A248" s="508" t="s">
        <v>2068</v>
      </c>
      <c r="B248" s="508" t="s">
        <v>1416</v>
      </c>
      <c r="C248" s="922" t="s">
        <v>363</v>
      </c>
      <c r="D248" s="508" t="s">
        <v>151</v>
      </c>
      <c r="E248" s="508"/>
      <c r="F248" s="508"/>
      <c r="G248" s="508" t="s">
        <v>1665</v>
      </c>
      <c r="H248" s="508"/>
      <c r="I248" s="508"/>
      <c r="J248" s="555"/>
      <c r="K248" s="555"/>
      <c r="L248" s="911">
        <f ca="1">IFERROR(INDEX(Lists!$O$2:$Z$2,MATCH(TRUE,INDEX((AE248:AP248&lt;&gt;0),0),0)),DATE(2018,1,1))</f>
        <v>43221</v>
      </c>
      <c r="M248" s="911">
        <f ca="1">IFERROR(INDEX(Lists!$O$3:$Z$3, VALUE(SUBSTITUTE(TEXT(ADDRESS(SUMPRODUCT(MAX((COLUMN(AE248:AP248)*(AE248:AP248&gt;0)))),1),),"$A$",""))-30),DATE(2018,1,1))</f>
        <v>43343</v>
      </c>
      <c r="N248" s="508"/>
      <c r="O248" s="508"/>
      <c r="P248" s="508"/>
      <c r="Q248" s="508"/>
      <c r="R248" s="508">
        <f t="shared" ca="1" si="90"/>
        <v>0</v>
      </c>
      <c r="S248" s="508" t="str">
        <f t="shared" ca="1" si="91"/>
        <v>Freeport Join effort</v>
      </c>
      <c r="T248" s="508" t="str">
        <f t="shared" ca="1" si="92"/>
        <v>Group</v>
      </c>
      <c r="U248" s="508" t="str">
        <f t="shared" ca="1" si="93"/>
        <v>685 / 51-11-3355</v>
      </c>
      <c r="V248" s="508">
        <f t="shared" ca="1" si="94"/>
        <v>0</v>
      </c>
      <c r="W248" s="508" t="str">
        <f t="shared" ca="1" si="95"/>
        <v>Group</v>
      </c>
      <c r="X248" s="508">
        <f t="shared" ca="1" si="96"/>
        <v>0</v>
      </c>
      <c r="Y248" s="508">
        <f t="shared" ca="1" si="97"/>
        <v>0</v>
      </c>
      <c r="Z248" s="508">
        <f t="shared" ca="1" si="98"/>
        <v>0</v>
      </c>
      <c r="AA248" s="508">
        <f t="shared" ca="1" si="99"/>
        <v>0</v>
      </c>
      <c r="AB248" s="508">
        <f t="shared" ca="1" si="89"/>
        <v>4</v>
      </c>
      <c r="AC248" s="508">
        <f t="shared" ca="1" si="100"/>
        <v>0</v>
      </c>
      <c r="AD248" s="912">
        <f t="shared" ca="1" si="101"/>
        <v>100000</v>
      </c>
      <c r="AE248" s="512">
        <f t="shared" ca="1" si="102"/>
        <v>0</v>
      </c>
      <c r="AF248" s="512">
        <f t="shared" ca="1" si="103"/>
        <v>0</v>
      </c>
      <c r="AG248" s="512">
        <f t="shared" ca="1" si="104"/>
        <v>0</v>
      </c>
      <c r="AH248" s="512">
        <f t="shared" ca="1" si="105"/>
        <v>0</v>
      </c>
      <c r="AI248" s="512">
        <f t="shared" ca="1" si="106"/>
        <v>50000</v>
      </c>
      <c r="AJ248" s="512">
        <f t="shared" ca="1" si="107"/>
        <v>0</v>
      </c>
      <c r="AK248" s="512">
        <f t="shared" ca="1" si="108"/>
        <v>0</v>
      </c>
      <c r="AL248" s="512">
        <f t="shared" ca="1" si="109"/>
        <v>50000</v>
      </c>
      <c r="AM248" s="512">
        <f t="shared" ca="1" si="110"/>
        <v>0</v>
      </c>
      <c r="AN248" s="512">
        <f t="shared" ca="1" si="111"/>
        <v>0</v>
      </c>
      <c r="AO248" s="512">
        <f t="shared" ca="1" si="112"/>
        <v>0</v>
      </c>
      <c r="AP248" s="512">
        <f t="shared" ca="1" si="113"/>
        <v>0</v>
      </c>
      <c r="AQ248" s="512" t="str">
        <f t="shared" si="114"/>
        <v/>
      </c>
      <c r="AR248" s="512"/>
      <c r="AS248" s="512" t="str">
        <f t="shared" si="115"/>
        <v/>
      </c>
      <c r="AT248" s="151">
        <f t="shared" si="116"/>
        <v>0</v>
      </c>
      <c r="AU248" s="151">
        <f>IFERROR(VLOOKUP(A248,'[7]TD CuentasBDG'!$N$5:$O$21,2,0),0)</f>
        <v>0</v>
      </c>
      <c r="AV248">
        <f t="shared" si="117"/>
        <v>0</v>
      </c>
    </row>
    <row r="249" spans="1:50" ht="30" x14ac:dyDescent="0.25">
      <c r="A249" s="508" t="s">
        <v>2069</v>
      </c>
      <c r="B249" s="508" t="s">
        <v>1416</v>
      </c>
      <c r="C249" s="922" t="s">
        <v>122</v>
      </c>
      <c r="D249" s="508" t="s">
        <v>151</v>
      </c>
      <c r="E249" s="508"/>
      <c r="F249" s="508"/>
      <c r="G249" s="508" t="s">
        <v>1647</v>
      </c>
      <c r="H249" s="508" t="s">
        <v>2070</v>
      </c>
      <c r="I249" s="508" t="s">
        <v>368</v>
      </c>
      <c r="J249" s="555" t="s">
        <v>1650</v>
      </c>
      <c r="K249" s="555" t="s">
        <v>1651</v>
      </c>
      <c r="L249" s="911">
        <f ca="1">IFERROR(INDEX(Lists!$O$2:$Z$2,MATCH(TRUE,INDEX((AE249:AP249&lt;&gt;0),0),0)),DATE(2018,1,1))</f>
        <v>43221</v>
      </c>
      <c r="M249" s="911">
        <f ca="1">IFERROR(INDEX(Lists!$O$3:$Z$3, VALUE(SUBSTITUTE(TEXT(ADDRESS(SUMPRODUCT(MAX((COLUMN(AE249:AP249)*(AE249:AP249&gt;0)))),1),),"$A$",""))-30),DATE(2018,1,1))</f>
        <v>43465</v>
      </c>
      <c r="N249" s="508" t="s">
        <v>1683</v>
      </c>
      <c r="O249" s="508" t="s">
        <v>1653</v>
      </c>
      <c r="P249" s="508" t="s">
        <v>1071</v>
      </c>
      <c r="Q249" s="508" t="s">
        <v>1071</v>
      </c>
      <c r="R249" s="508">
        <f t="shared" ca="1" si="90"/>
        <v>0</v>
      </c>
      <c r="S249" s="508" t="str">
        <f t="shared" ca="1" si="91"/>
        <v>3rd Party, RopeCon</v>
      </c>
      <c r="T249" s="508" t="str">
        <f t="shared" ca="1" si="92"/>
        <v>Doppelmayr</v>
      </c>
      <c r="U249" s="508" t="str">
        <f t="shared" ca="1" si="93"/>
        <v>685 / 51-11-3356</v>
      </c>
      <c r="V249" s="508">
        <f t="shared" ca="1" si="94"/>
        <v>0</v>
      </c>
      <c r="W249" s="508" t="str">
        <f t="shared" ca="1" si="95"/>
        <v>Doppelmayr</v>
      </c>
      <c r="X249" s="508">
        <f t="shared" ca="1" si="96"/>
        <v>0</v>
      </c>
      <c r="Y249" s="508">
        <f t="shared" ca="1" si="97"/>
        <v>0</v>
      </c>
      <c r="Z249" s="508">
        <f t="shared" ca="1" si="98"/>
        <v>0</v>
      </c>
      <c r="AA249" s="508">
        <f t="shared" ca="1" si="99"/>
        <v>0</v>
      </c>
      <c r="AB249" s="508">
        <f t="shared" ca="1" si="89"/>
        <v>8</v>
      </c>
      <c r="AC249" s="508">
        <f t="shared" ca="1" si="100"/>
        <v>0</v>
      </c>
      <c r="AD249" s="912">
        <f t="shared" ca="1" si="101"/>
        <v>800000</v>
      </c>
      <c r="AE249" s="512">
        <f t="shared" ca="1" si="102"/>
        <v>0</v>
      </c>
      <c r="AF249" s="512">
        <f t="shared" ca="1" si="103"/>
        <v>0</v>
      </c>
      <c r="AG249" s="512">
        <f t="shared" ca="1" si="104"/>
        <v>0</v>
      </c>
      <c r="AH249" s="512">
        <f t="shared" ca="1" si="105"/>
        <v>0</v>
      </c>
      <c r="AI249" s="512">
        <f t="shared" ca="1" si="106"/>
        <v>100000</v>
      </c>
      <c r="AJ249" s="512">
        <f t="shared" ca="1" si="107"/>
        <v>100000</v>
      </c>
      <c r="AK249" s="512">
        <f t="shared" ca="1" si="108"/>
        <v>100000</v>
      </c>
      <c r="AL249" s="512">
        <f t="shared" ca="1" si="109"/>
        <v>100000</v>
      </c>
      <c r="AM249" s="512">
        <f t="shared" ca="1" si="110"/>
        <v>100000</v>
      </c>
      <c r="AN249" s="512">
        <f t="shared" ca="1" si="111"/>
        <v>100000</v>
      </c>
      <c r="AO249" s="512">
        <f t="shared" ca="1" si="112"/>
        <v>100000</v>
      </c>
      <c r="AP249" s="512">
        <f t="shared" ca="1" si="113"/>
        <v>100000</v>
      </c>
      <c r="AQ249" s="512" t="str">
        <f t="shared" ca="1" si="114"/>
        <v>Contrato</v>
      </c>
      <c r="AR249" s="512"/>
      <c r="AS249" s="512" t="str">
        <f t="shared" ca="1" si="115"/>
        <v>Si</v>
      </c>
      <c r="AT249" s="151">
        <f t="shared" ca="1" si="116"/>
        <v>800000</v>
      </c>
      <c r="AU249" s="151">
        <f>IFERROR(VLOOKUP(A249,'[7]TD CuentasBDG'!$N$5:$O$21,2,0),0)</f>
        <v>0</v>
      </c>
      <c r="AV249" t="str">
        <f t="shared" si="117"/>
        <v>Adjudicación Directa</v>
      </c>
      <c r="AW249" t="s">
        <v>2053</v>
      </c>
      <c r="AX249" t="s">
        <v>1655</v>
      </c>
    </row>
    <row r="250" spans="1:50" ht="30" x14ac:dyDescent="0.25">
      <c r="A250" s="508" t="s">
        <v>2071</v>
      </c>
      <c r="B250" s="508" t="s">
        <v>1416</v>
      </c>
      <c r="C250" s="922" t="s">
        <v>122</v>
      </c>
      <c r="D250" s="508" t="s">
        <v>151</v>
      </c>
      <c r="E250" s="508"/>
      <c r="F250" s="508"/>
      <c r="G250" s="508" t="s">
        <v>1647</v>
      </c>
      <c r="H250" s="508" t="s">
        <v>2072</v>
      </c>
      <c r="I250" s="508" t="s">
        <v>369</v>
      </c>
      <c r="J250" s="555" t="s">
        <v>1650</v>
      </c>
      <c r="K250" s="555" t="s">
        <v>1651</v>
      </c>
      <c r="L250" s="911">
        <f ca="1">IFERROR(INDEX(Lists!$O$2:$Z$2,MATCH(TRUE,INDEX((AE250:AP250&lt;&gt;0),0),0)),DATE(2018,1,1))</f>
        <v>43221</v>
      </c>
      <c r="M250" s="911">
        <f ca="1">IFERROR(INDEX(Lists!$O$3:$Z$3, VALUE(SUBSTITUTE(TEXT(ADDRESS(SUMPRODUCT(MAX((COLUMN(AE250:AP250)*(AE250:AP250&gt;0)))),1),),"$A$",""))-30),DATE(2018,1,1))</f>
        <v>43465</v>
      </c>
      <c r="N250" s="508" t="s">
        <v>1668</v>
      </c>
      <c r="O250" s="508" t="s">
        <v>1653</v>
      </c>
      <c r="P250" s="508" t="s">
        <v>1071</v>
      </c>
      <c r="Q250" s="508" t="s">
        <v>1071</v>
      </c>
      <c r="R250" s="508">
        <f t="shared" ca="1" si="90"/>
        <v>0</v>
      </c>
      <c r="S250" s="508" t="str">
        <f t="shared" ca="1" si="91"/>
        <v>3rd Party, Concentrate pipeline system</v>
      </c>
      <c r="T250" s="508" t="str">
        <f t="shared" ca="1" si="92"/>
        <v>BRASS</v>
      </c>
      <c r="U250" s="508" t="str">
        <f t="shared" ca="1" si="93"/>
        <v>685 / 51-11-3356</v>
      </c>
      <c r="V250" s="508">
        <f t="shared" ca="1" si="94"/>
        <v>0</v>
      </c>
      <c r="W250" s="508" t="str">
        <f t="shared" ca="1" si="95"/>
        <v>BRASS</v>
      </c>
      <c r="X250" s="508">
        <f t="shared" ca="1" si="96"/>
        <v>0</v>
      </c>
      <c r="Y250" s="508">
        <f t="shared" ca="1" si="97"/>
        <v>0</v>
      </c>
      <c r="Z250" s="508">
        <f t="shared" ca="1" si="98"/>
        <v>0</v>
      </c>
      <c r="AA250" s="508">
        <f t="shared" ca="1" si="99"/>
        <v>0</v>
      </c>
      <c r="AB250" s="508">
        <f t="shared" ca="1" si="89"/>
        <v>8</v>
      </c>
      <c r="AC250" s="508">
        <f t="shared" ca="1" si="100"/>
        <v>0</v>
      </c>
      <c r="AD250" s="912">
        <f t="shared" ca="1" si="101"/>
        <v>704000</v>
      </c>
      <c r="AE250" s="512">
        <f t="shared" ca="1" si="102"/>
        <v>0</v>
      </c>
      <c r="AF250" s="512">
        <f t="shared" ca="1" si="103"/>
        <v>0</v>
      </c>
      <c r="AG250" s="512">
        <f t="shared" ca="1" si="104"/>
        <v>0</v>
      </c>
      <c r="AH250" s="512">
        <f t="shared" ca="1" si="105"/>
        <v>0</v>
      </c>
      <c r="AI250" s="512">
        <f t="shared" ca="1" si="106"/>
        <v>88000</v>
      </c>
      <c r="AJ250" s="512">
        <f t="shared" ca="1" si="107"/>
        <v>88000</v>
      </c>
      <c r="AK250" s="512">
        <f t="shared" ca="1" si="108"/>
        <v>88000</v>
      </c>
      <c r="AL250" s="512">
        <f t="shared" ca="1" si="109"/>
        <v>88000</v>
      </c>
      <c r="AM250" s="512">
        <f t="shared" ca="1" si="110"/>
        <v>88000</v>
      </c>
      <c r="AN250" s="512">
        <f t="shared" ca="1" si="111"/>
        <v>88000</v>
      </c>
      <c r="AO250" s="512">
        <f t="shared" ca="1" si="112"/>
        <v>88000</v>
      </c>
      <c r="AP250" s="512">
        <f t="shared" ca="1" si="113"/>
        <v>88000</v>
      </c>
      <c r="AQ250" s="512" t="str">
        <f t="shared" ca="1" si="114"/>
        <v>Contrato</v>
      </c>
      <c r="AR250" s="512"/>
      <c r="AS250" s="512" t="str">
        <f t="shared" ca="1" si="115"/>
        <v>No</v>
      </c>
      <c r="AT250" s="151">
        <f t="shared" ca="1" si="116"/>
        <v>704000</v>
      </c>
      <c r="AU250" s="151">
        <f>IFERROR(VLOOKUP(A250,'[7]TD CuentasBDG'!$N$5:$O$21,2,0),0)</f>
        <v>0</v>
      </c>
      <c r="AV250" t="str">
        <f t="shared" ca="1" si="117"/>
        <v>Licitación</v>
      </c>
      <c r="AW250" t="s">
        <v>2053</v>
      </c>
      <c r="AX250" t="s">
        <v>1655</v>
      </c>
    </row>
    <row r="251" spans="1:50" ht="30" x14ac:dyDescent="0.25">
      <c r="A251" s="508" t="s">
        <v>2073</v>
      </c>
      <c r="B251" s="508" t="s">
        <v>1416</v>
      </c>
      <c r="C251" s="922" t="s">
        <v>122</v>
      </c>
      <c r="D251" s="508" t="s">
        <v>151</v>
      </c>
      <c r="E251" s="508"/>
      <c r="F251" s="508"/>
      <c r="G251" s="508" t="s">
        <v>1647</v>
      </c>
      <c r="H251" s="508" t="s">
        <v>2074</v>
      </c>
      <c r="I251" s="508" t="s">
        <v>369</v>
      </c>
      <c r="J251" s="555" t="s">
        <v>1650</v>
      </c>
      <c r="K251" s="555" t="s">
        <v>1651</v>
      </c>
      <c r="L251" s="911">
        <f ca="1">IFERROR(INDEX(Lists!$O$2:$Z$2,MATCH(TRUE,INDEX((AE251:AP251&lt;&gt;0),0),0)),DATE(2018,1,1))</f>
        <v>43221</v>
      </c>
      <c r="M251" s="911">
        <f ca="1">IFERROR(INDEX(Lists!$O$3:$Z$3, VALUE(SUBSTITUTE(TEXT(ADDRESS(SUMPRODUCT(MAX((COLUMN(AE251:AP251)*(AE251:AP251&gt;0)))),1),),"$A$",""))-30),DATE(2018,1,1))</f>
        <v>43465</v>
      </c>
      <c r="N251" s="508" t="s">
        <v>1668</v>
      </c>
      <c r="O251" s="508" t="s">
        <v>1653</v>
      </c>
      <c r="P251" s="508" t="s">
        <v>1071</v>
      </c>
      <c r="Q251" s="508" t="s">
        <v>1071</v>
      </c>
      <c r="R251" s="508">
        <f t="shared" ca="1" si="90"/>
        <v>0</v>
      </c>
      <c r="S251" s="508" t="str">
        <f t="shared" ca="1" si="91"/>
        <v>3rd Party,Water pipeline system</v>
      </c>
      <c r="T251" s="508" t="str">
        <f t="shared" ca="1" si="92"/>
        <v>BRASS</v>
      </c>
      <c r="U251" s="508" t="str">
        <f t="shared" ca="1" si="93"/>
        <v>685 / 51-11-3356</v>
      </c>
      <c r="V251" s="508">
        <f t="shared" ca="1" si="94"/>
        <v>0</v>
      </c>
      <c r="W251" s="508" t="str">
        <f t="shared" ca="1" si="95"/>
        <v>BRASS</v>
      </c>
      <c r="X251" s="508">
        <f t="shared" ca="1" si="96"/>
        <v>0</v>
      </c>
      <c r="Y251" s="508">
        <f t="shared" ca="1" si="97"/>
        <v>0</v>
      </c>
      <c r="Z251" s="508">
        <f t="shared" ca="1" si="98"/>
        <v>0</v>
      </c>
      <c r="AA251" s="508">
        <f t="shared" ca="1" si="99"/>
        <v>0</v>
      </c>
      <c r="AB251" s="508">
        <f t="shared" ca="1" si="89"/>
        <v>8</v>
      </c>
      <c r="AC251" s="508">
        <f t="shared" ca="1" si="100"/>
        <v>0</v>
      </c>
      <c r="AD251" s="912">
        <f t="shared" ca="1" si="101"/>
        <v>704000</v>
      </c>
      <c r="AE251" s="512">
        <f t="shared" ca="1" si="102"/>
        <v>0</v>
      </c>
      <c r="AF251" s="512">
        <f t="shared" ca="1" si="103"/>
        <v>0</v>
      </c>
      <c r="AG251" s="512">
        <f t="shared" ca="1" si="104"/>
        <v>0</v>
      </c>
      <c r="AH251" s="512">
        <f t="shared" ca="1" si="105"/>
        <v>0</v>
      </c>
      <c r="AI251" s="512">
        <f t="shared" ca="1" si="106"/>
        <v>88000</v>
      </c>
      <c r="AJ251" s="512">
        <f t="shared" ca="1" si="107"/>
        <v>88000</v>
      </c>
      <c r="AK251" s="512">
        <f t="shared" ca="1" si="108"/>
        <v>88000</v>
      </c>
      <c r="AL251" s="512">
        <f t="shared" ca="1" si="109"/>
        <v>88000</v>
      </c>
      <c r="AM251" s="512">
        <f t="shared" ca="1" si="110"/>
        <v>88000</v>
      </c>
      <c r="AN251" s="512">
        <f t="shared" ca="1" si="111"/>
        <v>88000</v>
      </c>
      <c r="AO251" s="512">
        <f t="shared" ca="1" si="112"/>
        <v>88000</v>
      </c>
      <c r="AP251" s="512">
        <f t="shared" ca="1" si="113"/>
        <v>88000</v>
      </c>
      <c r="AQ251" s="512" t="str">
        <f t="shared" ca="1" si="114"/>
        <v>Contrato</v>
      </c>
      <c r="AR251" s="512"/>
      <c r="AS251" s="512" t="str">
        <f t="shared" ca="1" si="115"/>
        <v>No</v>
      </c>
      <c r="AT251" s="151">
        <f t="shared" ca="1" si="116"/>
        <v>704000</v>
      </c>
      <c r="AU251" s="151">
        <f>IFERROR(VLOOKUP(A251,'[7]TD CuentasBDG'!$N$5:$O$21,2,0),0)</f>
        <v>0</v>
      </c>
      <c r="AV251" t="str">
        <f t="shared" ca="1" si="117"/>
        <v>Licitación</v>
      </c>
      <c r="AW251" t="s">
        <v>2053</v>
      </c>
      <c r="AX251" t="s">
        <v>1655</v>
      </c>
    </row>
    <row r="252" spans="1:50" ht="30" x14ac:dyDescent="0.25">
      <c r="A252" s="508" t="s">
        <v>2075</v>
      </c>
      <c r="B252" s="508" t="s">
        <v>1416</v>
      </c>
      <c r="C252" s="922" t="s">
        <v>122</v>
      </c>
      <c r="D252" s="508" t="s">
        <v>151</v>
      </c>
      <c r="E252" s="508"/>
      <c r="F252" s="508"/>
      <c r="G252" s="508" t="s">
        <v>1647</v>
      </c>
      <c r="H252" s="508" t="s">
        <v>2076</v>
      </c>
      <c r="I252" s="508" t="s">
        <v>370</v>
      </c>
      <c r="J252" s="555" t="s">
        <v>1650</v>
      </c>
      <c r="K252" s="555" t="s">
        <v>1651</v>
      </c>
      <c r="L252" s="911">
        <f ca="1">IFERROR(INDEX(Lists!$O$2:$Z$2,MATCH(TRUE,INDEX((AE252:AP252&lt;&gt;0),0),0)),DATE(2018,1,1))</f>
        <v>43221</v>
      </c>
      <c r="M252" s="911">
        <f ca="1">IFERROR(INDEX(Lists!$O$3:$Z$3, VALUE(SUBSTITUTE(TEXT(ADDRESS(SUMPRODUCT(MAX((COLUMN(AE252:AP252)*(AE252:AP252&gt;0)))),1),),"$A$",""))-30),DATE(2018,1,1))</f>
        <v>43465</v>
      </c>
      <c r="N252" s="508" t="s">
        <v>1668</v>
      </c>
      <c r="O252" s="508" t="s">
        <v>1653</v>
      </c>
      <c r="P252" s="508" t="s">
        <v>1071</v>
      </c>
      <c r="Q252" s="508" t="s">
        <v>1071</v>
      </c>
      <c r="R252" s="508">
        <f t="shared" ca="1" si="90"/>
        <v>0</v>
      </c>
      <c r="S252" s="508" t="str">
        <f t="shared" ca="1" si="91"/>
        <v>3rd Partry, Transmission lines</v>
      </c>
      <c r="T252" s="508" t="str">
        <f t="shared" ca="1" si="92"/>
        <v>TRACTEBEL</v>
      </c>
      <c r="U252" s="508" t="str">
        <f t="shared" ca="1" si="93"/>
        <v>685 / 51-11-3356</v>
      </c>
      <c r="V252" s="508">
        <f t="shared" ca="1" si="94"/>
        <v>0</v>
      </c>
      <c r="W252" s="508" t="str">
        <f t="shared" ca="1" si="95"/>
        <v>TRACTEBEL</v>
      </c>
      <c r="X252" s="508">
        <f t="shared" ca="1" si="96"/>
        <v>0</v>
      </c>
      <c r="Y252" s="508">
        <f t="shared" ca="1" si="97"/>
        <v>0</v>
      </c>
      <c r="Z252" s="508">
        <f t="shared" ca="1" si="98"/>
        <v>0</v>
      </c>
      <c r="AA252" s="508">
        <f t="shared" ca="1" si="99"/>
        <v>0</v>
      </c>
      <c r="AB252" s="508">
        <f t="shared" ca="1" si="89"/>
        <v>8</v>
      </c>
      <c r="AC252" s="508">
        <f t="shared" ca="1" si="100"/>
        <v>0</v>
      </c>
      <c r="AD252" s="912">
        <f t="shared" ca="1" si="101"/>
        <v>800000</v>
      </c>
      <c r="AE252" s="512">
        <f t="shared" ca="1" si="102"/>
        <v>0</v>
      </c>
      <c r="AF252" s="512">
        <f t="shared" ca="1" si="103"/>
        <v>0</v>
      </c>
      <c r="AG252" s="512">
        <f t="shared" ca="1" si="104"/>
        <v>0</v>
      </c>
      <c r="AH252" s="512">
        <f t="shared" ca="1" si="105"/>
        <v>0</v>
      </c>
      <c r="AI252" s="512">
        <f t="shared" ca="1" si="106"/>
        <v>100000</v>
      </c>
      <c r="AJ252" s="512">
        <f t="shared" ca="1" si="107"/>
        <v>100000</v>
      </c>
      <c r="AK252" s="512">
        <f t="shared" ca="1" si="108"/>
        <v>100000</v>
      </c>
      <c r="AL252" s="512">
        <f t="shared" ca="1" si="109"/>
        <v>100000</v>
      </c>
      <c r="AM252" s="512">
        <f t="shared" ca="1" si="110"/>
        <v>100000</v>
      </c>
      <c r="AN252" s="512">
        <f t="shared" ca="1" si="111"/>
        <v>100000</v>
      </c>
      <c r="AO252" s="512">
        <f t="shared" ca="1" si="112"/>
        <v>100000</v>
      </c>
      <c r="AP252" s="512">
        <f t="shared" ca="1" si="113"/>
        <v>100000</v>
      </c>
      <c r="AQ252" s="512" t="str">
        <f t="shared" ca="1" si="114"/>
        <v>Contrato</v>
      </c>
      <c r="AR252" s="512"/>
      <c r="AS252" s="512" t="str">
        <f t="shared" ca="1" si="115"/>
        <v>No</v>
      </c>
      <c r="AT252" s="151">
        <f t="shared" ca="1" si="116"/>
        <v>800000</v>
      </c>
      <c r="AU252" s="151">
        <f>IFERROR(VLOOKUP(A252,'[7]TD CuentasBDG'!$N$5:$O$21,2,0),0)</f>
        <v>0</v>
      </c>
      <c r="AV252" t="str">
        <f t="shared" ca="1" si="117"/>
        <v>Licitación</v>
      </c>
      <c r="AW252" t="s">
        <v>2053</v>
      </c>
      <c r="AX252" t="s">
        <v>1655</v>
      </c>
    </row>
    <row r="253" spans="1:50" ht="30" x14ac:dyDescent="0.25">
      <c r="A253" s="508" t="s">
        <v>2077</v>
      </c>
      <c r="B253" s="508" t="s">
        <v>1416</v>
      </c>
      <c r="C253" s="922" t="s">
        <v>122</v>
      </c>
      <c r="D253" s="508" t="s">
        <v>151</v>
      </c>
      <c r="E253" s="508"/>
      <c r="F253" s="508"/>
      <c r="G253" s="508" t="s">
        <v>1647</v>
      </c>
      <c r="H253" s="508" t="s">
        <v>2078</v>
      </c>
      <c r="I253" s="508" t="s">
        <v>371</v>
      </c>
      <c r="J253" s="555" t="s">
        <v>1650</v>
      </c>
      <c r="K253" s="555" t="s">
        <v>1651</v>
      </c>
      <c r="L253" s="911">
        <f ca="1">IFERROR(INDEX(Lists!$O$2:$Z$2,MATCH(TRUE,INDEX((AE253:AP253&lt;&gt;0),0),0)),DATE(2018,1,1))</f>
        <v>43221</v>
      </c>
      <c r="M253" s="911">
        <f ca="1">IFERROR(INDEX(Lists!$O$3:$Z$3, VALUE(SUBSTITUTE(TEXT(ADDRESS(SUMPRODUCT(MAX((COLUMN(AE253:AP253)*(AE253:AP253&gt;0)))),1),),"$A$",""))-30),DATE(2018,1,1))</f>
        <v>43373</v>
      </c>
      <c r="N253" s="508" t="s">
        <v>1668</v>
      </c>
      <c r="O253" s="508" t="s">
        <v>1653</v>
      </c>
      <c r="P253" s="508" t="s">
        <v>1071</v>
      </c>
      <c r="Q253" s="508" t="s">
        <v>1071</v>
      </c>
      <c r="R253" s="508">
        <f t="shared" ca="1" si="90"/>
        <v>0</v>
      </c>
      <c r="S253" s="508" t="str">
        <f t="shared" ca="1" si="91"/>
        <v>3rd Partry, Harmonic Filters Study</v>
      </c>
      <c r="T253" s="508" t="str">
        <f t="shared" ca="1" si="92"/>
        <v>Contractor</v>
      </c>
      <c r="U253" s="508" t="str">
        <f t="shared" ca="1" si="93"/>
        <v>685 / 51-11-3356</v>
      </c>
      <c r="V253" s="508">
        <f t="shared" ca="1" si="94"/>
        <v>0</v>
      </c>
      <c r="W253" s="508" t="str">
        <f t="shared" ca="1" si="95"/>
        <v>Contractor</v>
      </c>
      <c r="X253" s="508">
        <f t="shared" ca="1" si="96"/>
        <v>0</v>
      </c>
      <c r="Y253" s="508">
        <f t="shared" ca="1" si="97"/>
        <v>0</v>
      </c>
      <c r="Z253" s="508">
        <f t="shared" ca="1" si="98"/>
        <v>0</v>
      </c>
      <c r="AA253" s="508">
        <f t="shared" ca="1" si="99"/>
        <v>0</v>
      </c>
      <c r="AB253" s="508">
        <f t="shared" ca="1" si="89"/>
        <v>5</v>
      </c>
      <c r="AC253" s="508">
        <f t="shared" ca="1" si="100"/>
        <v>0</v>
      </c>
      <c r="AD253" s="912">
        <f t="shared" ca="1" si="101"/>
        <v>625000</v>
      </c>
      <c r="AE253" s="512">
        <f t="shared" ca="1" si="102"/>
        <v>0</v>
      </c>
      <c r="AF253" s="512">
        <f t="shared" ca="1" si="103"/>
        <v>0</v>
      </c>
      <c r="AG253" s="512">
        <f t="shared" ca="1" si="104"/>
        <v>0</v>
      </c>
      <c r="AH253" s="512">
        <f t="shared" ca="1" si="105"/>
        <v>0</v>
      </c>
      <c r="AI253" s="512">
        <f t="shared" ca="1" si="106"/>
        <v>125000</v>
      </c>
      <c r="AJ253" s="512">
        <f t="shared" ca="1" si="107"/>
        <v>125000</v>
      </c>
      <c r="AK253" s="512">
        <f t="shared" ca="1" si="108"/>
        <v>125000</v>
      </c>
      <c r="AL253" s="512">
        <f t="shared" ca="1" si="109"/>
        <v>125000</v>
      </c>
      <c r="AM253" s="512">
        <f t="shared" ca="1" si="110"/>
        <v>125000</v>
      </c>
      <c r="AN253" s="512">
        <f t="shared" ca="1" si="111"/>
        <v>0</v>
      </c>
      <c r="AO253" s="512">
        <f t="shared" ca="1" si="112"/>
        <v>0</v>
      </c>
      <c r="AP253" s="512">
        <f t="shared" ca="1" si="113"/>
        <v>0</v>
      </c>
      <c r="AQ253" s="512" t="str">
        <f t="shared" ca="1" si="114"/>
        <v>Contrato</v>
      </c>
      <c r="AR253" s="512"/>
      <c r="AS253" s="512" t="str">
        <f t="shared" ca="1" si="115"/>
        <v>No</v>
      </c>
      <c r="AT253" s="151">
        <f t="shared" ca="1" si="116"/>
        <v>625000</v>
      </c>
      <c r="AU253" s="151">
        <f>IFERROR(VLOOKUP(A253,'[7]TD CuentasBDG'!$N$5:$O$21,2,0),0)</f>
        <v>0</v>
      </c>
      <c r="AV253" t="str">
        <f t="shared" ca="1" si="117"/>
        <v>Licitación</v>
      </c>
      <c r="AW253" t="s">
        <v>2053</v>
      </c>
      <c r="AX253" t="s">
        <v>1655</v>
      </c>
    </row>
    <row r="254" spans="1:50" ht="30" x14ac:dyDescent="0.25">
      <c r="A254" s="508" t="s">
        <v>2079</v>
      </c>
      <c r="B254" s="508" t="s">
        <v>1416</v>
      </c>
      <c r="C254" s="922" t="s">
        <v>122</v>
      </c>
      <c r="D254" s="508" t="s">
        <v>151</v>
      </c>
      <c r="E254" s="508"/>
      <c r="F254" s="508"/>
      <c r="G254" s="508" t="s">
        <v>1647</v>
      </c>
      <c r="H254" s="508" t="s">
        <v>2080</v>
      </c>
      <c r="I254" s="508" t="s">
        <v>372</v>
      </c>
      <c r="J254" s="555" t="s">
        <v>1650</v>
      </c>
      <c r="K254" s="555" t="s">
        <v>1651</v>
      </c>
      <c r="L254" s="911">
        <f ca="1">IFERROR(INDEX(Lists!$O$2:$Z$2,MATCH(TRUE,INDEX((AE254:AP254&lt;&gt;0),0),0)),DATE(2018,1,1))</f>
        <v>43221</v>
      </c>
      <c r="M254" s="911">
        <f ca="1">IFERROR(INDEX(Lists!$O$3:$Z$3, VALUE(SUBSTITUTE(TEXT(ADDRESS(SUMPRODUCT(MAX((COLUMN(AE254:AP254)*(AE254:AP254&gt;0)))),1),),"$A$",""))-30),DATE(2018,1,1))</f>
        <v>43465</v>
      </c>
      <c r="N254" s="508" t="s">
        <v>1668</v>
      </c>
      <c r="O254" s="508" t="s">
        <v>1653</v>
      </c>
      <c r="P254" s="508" t="s">
        <v>1071</v>
      </c>
      <c r="Q254" s="508" t="s">
        <v>1071</v>
      </c>
      <c r="R254" s="508">
        <f t="shared" ca="1" si="90"/>
        <v>0</v>
      </c>
      <c r="S254" s="508" t="str">
        <f t="shared" ca="1" si="91"/>
        <v>3rd Partry, Off site roads</v>
      </c>
      <c r="T254" s="508" t="str">
        <f t="shared" ca="1" si="92"/>
        <v>LEN</v>
      </c>
      <c r="U254" s="508" t="str">
        <f t="shared" ca="1" si="93"/>
        <v>685 / 51-11-3356</v>
      </c>
      <c r="V254" s="508">
        <f t="shared" ca="1" si="94"/>
        <v>0</v>
      </c>
      <c r="W254" s="508" t="str">
        <f t="shared" ca="1" si="95"/>
        <v>LEN</v>
      </c>
      <c r="X254" s="508">
        <f t="shared" ca="1" si="96"/>
        <v>0</v>
      </c>
      <c r="Y254" s="508">
        <f t="shared" ca="1" si="97"/>
        <v>0</v>
      </c>
      <c r="Z254" s="508">
        <f t="shared" ca="1" si="98"/>
        <v>0</v>
      </c>
      <c r="AA254" s="508">
        <f t="shared" ca="1" si="99"/>
        <v>0</v>
      </c>
      <c r="AB254" s="508">
        <f t="shared" ca="1" si="89"/>
        <v>8</v>
      </c>
      <c r="AC254" s="508">
        <f t="shared" ca="1" si="100"/>
        <v>0</v>
      </c>
      <c r="AD254" s="912">
        <f t="shared" ca="1" si="101"/>
        <v>800000</v>
      </c>
      <c r="AE254" s="512">
        <f t="shared" ca="1" si="102"/>
        <v>0</v>
      </c>
      <c r="AF254" s="512">
        <f t="shared" ca="1" si="103"/>
        <v>0</v>
      </c>
      <c r="AG254" s="512">
        <f t="shared" ca="1" si="104"/>
        <v>0</v>
      </c>
      <c r="AH254" s="512">
        <f t="shared" ca="1" si="105"/>
        <v>0</v>
      </c>
      <c r="AI254" s="512">
        <f t="shared" ca="1" si="106"/>
        <v>100000</v>
      </c>
      <c r="AJ254" s="512">
        <f t="shared" ca="1" si="107"/>
        <v>100000</v>
      </c>
      <c r="AK254" s="512">
        <f t="shared" ca="1" si="108"/>
        <v>100000</v>
      </c>
      <c r="AL254" s="512">
        <f t="shared" ca="1" si="109"/>
        <v>100000</v>
      </c>
      <c r="AM254" s="512">
        <f t="shared" ca="1" si="110"/>
        <v>100000</v>
      </c>
      <c r="AN254" s="512">
        <f t="shared" ca="1" si="111"/>
        <v>100000</v>
      </c>
      <c r="AO254" s="512">
        <f t="shared" ca="1" si="112"/>
        <v>100000</v>
      </c>
      <c r="AP254" s="512">
        <f t="shared" ca="1" si="113"/>
        <v>100000</v>
      </c>
      <c r="AQ254" s="512" t="str">
        <f t="shared" ca="1" si="114"/>
        <v>Contrato</v>
      </c>
      <c r="AR254" s="512"/>
      <c r="AS254" s="512" t="str">
        <f t="shared" ca="1" si="115"/>
        <v>No</v>
      </c>
      <c r="AT254" s="151">
        <f t="shared" ca="1" si="116"/>
        <v>800000</v>
      </c>
      <c r="AU254" s="151">
        <f>IFERROR(VLOOKUP(A254,'[7]TD CuentasBDG'!$N$5:$O$21,2,0),0)</f>
        <v>0</v>
      </c>
      <c r="AV254" t="str">
        <f t="shared" ca="1" si="117"/>
        <v>Licitación</v>
      </c>
      <c r="AW254" t="s">
        <v>2053</v>
      </c>
      <c r="AX254" t="s">
        <v>1655</v>
      </c>
    </row>
    <row r="255" spans="1:50" ht="30" x14ac:dyDescent="0.25">
      <c r="A255" s="508" t="s">
        <v>2081</v>
      </c>
      <c r="B255" s="508" t="s">
        <v>1416</v>
      </c>
      <c r="C255" s="922" t="s">
        <v>122</v>
      </c>
      <c r="D255" s="508" t="s">
        <v>151</v>
      </c>
      <c r="E255" s="508"/>
      <c r="F255" s="508"/>
      <c r="G255" s="508" t="s">
        <v>1647</v>
      </c>
      <c r="H255" s="508" t="s">
        <v>2082</v>
      </c>
      <c r="I255" s="508" t="s">
        <v>373</v>
      </c>
      <c r="J255" s="555" t="s">
        <v>1650</v>
      </c>
      <c r="K255" s="555" t="s">
        <v>1651</v>
      </c>
      <c r="L255" s="911">
        <f ca="1">IFERROR(INDEX(Lists!$O$2:$Z$2,MATCH(TRUE,INDEX((AE255:AP255&lt;&gt;0),0),0)),DATE(2018,1,1))</f>
        <v>43221</v>
      </c>
      <c r="M255" s="911">
        <f ca="1">IFERROR(INDEX(Lists!$O$3:$Z$3, VALUE(SUBSTITUTE(TEXT(ADDRESS(SUMPRODUCT(MAX((COLUMN(AE255:AP255)*(AE255:AP255&gt;0)))),1),),"$A$",""))-30),DATE(2018,1,1))</f>
        <v>43465</v>
      </c>
      <c r="N255" s="508" t="s">
        <v>1668</v>
      </c>
      <c r="O255" s="508" t="s">
        <v>1653</v>
      </c>
      <c r="P255" s="508" t="s">
        <v>1071</v>
      </c>
      <c r="Q255" s="508" t="s">
        <v>1071</v>
      </c>
      <c r="R255" s="508">
        <f t="shared" ca="1" si="90"/>
        <v>0</v>
      </c>
      <c r="S255" s="508" t="str">
        <f t="shared" ca="1" si="91"/>
        <v>3rd Partry, TMF Design</v>
      </c>
      <c r="T255" s="508" t="str">
        <f t="shared" ca="1" si="92"/>
        <v>Arcadis</v>
      </c>
      <c r="U255" s="508" t="str">
        <f t="shared" ca="1" si="93"/>
        <v>685 / 51-11-3356</v>
      </c>
      <c r="V255" s="508">
        <f t="shared" ca="1" si="94"/>
        <v>0</v>
      </c>
      <c r="W255" s="508" t="str">
        <f t="shared" ca="1" si="95"/>
        <v>Arcadis</v>
      </c>
      <c r="X255" s="508">
        <f t="shared" ca="1" si="96"/>
        <v>0</v>
      </c>
      <c r="Y255" s="508">
        <f t="shared" ca="1" si="97"/>
        <v>0</v>
      </c>
      <c r="Z255" s="508">
        <f t="shared" ca="1" si="98"/>
        <v>0</v>
      </c>
      <c r="AA255" s="508">
        <f t="shared" ca="1" si="99"/>
        <v>0</v>
      </c>
      <c r="AB255" s="508">
        <f t="shared" ca="1" si="89"/>
        <v>8</v>
      </c>
      <c r="AC255" s="508">
        <f t="shared" ca="1" si="100"/>
        <v>0</v>
      </c>
      <c r="AD255" s="912">
        <f t="shared" ca="1" si="101"/>
        <v>1200000</v>
      </c>
      <c r="AE255" s="512">
        <f t="shared" ca="1" si="102"/>
        <v>0</v>
      </c>
      <c r="AF255" s="512">
        <f t="shared" ca="1" si="103"/>
        <v>0</v>
      </c>
      <c r="AG255" s="512">
        <f t="shared" ca="1" si="104"/>
        <v>0</v>
      </c>
      <c r="AH255" s="512">
        <f t="shared" ca="1" si="105"/>
        <v>0</v>
      </c>
      <c r="AI255" s="512">
        <f t="shared" ca="1" si="106"/>
        <v>150000</v>
      </c>
      <c r="AJ255" s="512">
        <f t="shared" ca="1" si="107"/>
        <v>150000</v>
      </c>
      <c r="AK255" s="512">
        <f t="shared" ca="1" si="108"/>
        <v>150000</v>
      </c>
      <c r="AL255" s="512">
        <f t="shared" ca="1" si="109"/>
        <v>150000</v>
      </c>
      <c r="AM255" s="512">
        <f t="shared" ca="1" si="110"/>
        <v>150000</v>
      </c>
      <c r="AN255" s="512">
        <f t="shared" ca="1" si="111"/>
        <v>150000</v>
      </c>
      <c r="AO255" s="512">
        <f t="shared" ca="1" si="112"/>
        <v>150000</v>
      </c>
      <c r="AP255" s="512">
        <f t="shared" ca="1" si="113"/>
        <v>150000</v>
      </c>
      <c r="AQ255" s="512" t="str">
        <f t="shared" ca="1" si="114"/>
        <v>Contrato</v>
      </c>
      <c r="AR255" s="512"/>
      <c r="AS255" s="512" t="str">
        <f t="shared" ca="1" si="115"/>
        <v>No</v>
      </c>
      <c r="AT255" s="151">
        <f t="shared" ca="1" si="116"/>
        <v>1200000</v>
      </c>
      <c r="AU255" s="151">
        <f>IFERROR(VLOOKUP(A255,'[7]TD CuentasBDG'!$N$5:$O$21,2,0),0)</f>
        <v>0</v>
      </c>
      <c r="AV255" t="str">
        <f t="shared" ca="1" si="117"/>
        <v>Licitación</v>
      </c>
      <c r="AW255" t="s">
        <v>2053</v>
      </c>
      <c r="AX255" t="s">
        <v>1655</v>
      </c>
    </row>
    <row r="256" spans="1:50" ht="45" x14ac:dyDescent="0.25">
      <c r="A256" s="508" t="s">
        <v>2083</v>
      </c>
      <c r="B256" s="508" t="s">
        <v>1416</v>
      </c>
      <c r="C256" s="922" t="s">
        <v>122</v>
      </c>
      <c r="D256" s="508" t="s">
        <v>151</v>
      </c>
      <c r="E256" s="508"/>
      <c r="F256" s="508"/>
      <c r="G256" s="508" t="s">
        <v>1647</v>
      </c>
      <c r="H256" s="508" t="s">
        <v>2084</v>
      </c>
      <c r="I256" s="508" t="s">
        <v>373</v>
      </c>
      <c r="J256" s="555" t="s">
        <v>1650</v>
      </c>
      <c r="K256" s="555" t="s">
        <v>1651</v>
      </c>
      <c r="L256" s="911">
        <f ca="1">IFERROR(INDEX(Lists!$O$2:$Z$2,MATCH(TRUE,INDEX((AE256:AP256&lt;&gt;0),0),0)),DATE(2018,1,1))</f>
        <v>43160</v>
      </c>
      <c r="M256" s="911">
        <f ca="1">IFERROR(INDEX(Lists!$O$3:$Z$3, VALUE(SUBSTITUTE(TEXT(ADDRESS(SUMPRODUCT(MAX((COLUMN(AE256:AP256)*(AE256:AP256&gt;0)))),1),),"$A$",""))-30),DATE(2018,1,1))</f>
        <v>43465</v>
      </c>
      <c r="N256" s="914" t="s">
        <v>1683</v>
      </c>
      <c r="O256" s="508" t="s">
        <v>1653</v>
      </c>
      <c r="P256" s="508" t="s">
        <v>1071</v>
      </c>
      <c r="Q256" s="508" t="s">
        <v>1071</v>
      </c>
      <c r="R256" s="508">
        <f t="shared" ca="1" si="90"/>
        <v>0</v>
      </c>
      <c r="S256" s="508" t="str">
        <f t="shared" ca="1" si="91"/>
        <v>3rd Partry, Geotechnical support (Corridors)</v>
      </c>
      <c r="T256" s="508" t="str">
        <f t="shared" ca="1" si="92"/>
        <v>Arcadis</v>
      </c>
      <c r="U256" s="508" t="str">
        <f t="shared" ca="1" si="93"/>
        <v>685 / 51-11-3356</v>
      </c>
      <c r="V256" s="508">
        <f t="shared" ca="1" si="94"/>
        <v>0</v>
      </c>
      <c r="W256" s="508" t="str">
        <f t="shared" ca="1" si="95"/>
        <v>Arcadis</v>
      </c>
      <c r="X256" s="508">
        <f t="shared" ca="1" si="96"/>
        <v>0</v>
      </c>
      <c r="Y256" s="508">
        <f t="shared" ca="1" si="97"/>
        <v>0</v>
      </c>
      <c r="Z256" s="508">
        <f t="shared" ca="1" si="98"/>
        <v>0</v>
      </c>
      <c r="AA256" s="508">
        <f t="shared" ca="1" si="99"/>
        <v>0</v>
      </c>
      <c r="AB256" s="508">
        <f t="shared" ca="1" si="89"/>
        <v>10</v>
      </c>
      <c r="AC256" s="508">
        <f t="shared" ca="1" si="100"/>
        <v>0</v>
      </c>
      <c r="AD256" s="912">
        <f t="shared" ca="1" si="101"/>
        <v>396000</v>
      </c>
      <c r="AE256" s="512">
        <f t="shared" ca="1" si="102"/>
        <v>0</v>
      </c>
      <c r="AF256" s="512">
        <f t="shared" ca="1" si="103"/>
        <v>0</v>
      </c>
      <c r="AG256" s="512">
        <f t="shared" ca="1" si="104"/>
        <v>39600</v>
      </c>
      <c r="AH256" s="512">
        <f t="shared" ca="1" si="105"/>
        <v>39600</v>
      </c>
      <c r="AI256" s="512">
        <f t="shared" ca="1" si="106"/>
        <v>39600</v>
      </c>
      <c r="AJ256" s="512">
        <f t="shared" ca="1" si="107"/>
        <v>39600</v>
      </c>
      <c r="AK256" s="512">
        <f t="shared" ca="1" si="108"/>
        <v>39600</v>
      </c>
      <c r="AL256" s="512">
        <f t="shared" ca="1" si="109"/>
        <v>39600</v>
      </c>
      <c r="AM256" s="512">
        <f t="shared" ca="1" si="110"/>
        <v>39600</v>
      </c>
      <c r="AN256" s="512">
        <f t="shared" ca="1" si="111"/>
        <v>39600</v>
      </c>
      <c r="AO256" s="512">
        <f t="shared" ca="1" si="112"/>
        <v>39600</v>
      </c>
      <c r="AP256" s="512">
        <f t="shared" ca="1" si="113"/>
        <v>39600</v>
      </c>
      <c r="AQ256" s="512" t="str">
        <f t="shared" ca="1" si="114"/>
        <v>Contrato</v>
      </c>
      <c r="AR256" s="512"/>
      <c r="AS256" s="512" t="str">
        <f t="shared" ca="1" si="115"/>
        <v>Si</v>
      </c>
      <c r="AT256" s="151">
        <f t="shared" ca="1" si="116"/>
        <v>396000</v>
      </c>
      <c r="AU256" s="151">
        <f>IFERROR(VLOOKUP(A256,'[7]TD CuentasBDG'!$N$5:$O$21,2,0),0)</f>
        <v>0</v>
      </c>
      <c r="AV256" t="str">
        <f t="shared" si="117"/>
        <v>Adjudicación Directa</v>
      </c>
      <c r="AW256" t="s">
        <v>2053</v>
      </c>
      <c r="AX256" t="s">
        <v>1655</v>
      </c>
    </row>
    <row r="257" spans="1:50" ht="30" x14ac:dyDescent="0.25">
      <c r="A257" s="508" t="s">
        <v>2085</v>
      </c>
      <c r="B257" s="508" t="s">
        <v>1416</v>
      </c>
      <c r="C257" s="922" t="s">
        <v>122</v>
      </c>
      <c r="D257" s="508" t="s">
        <v>151</v>
      </c>
      <c r="E257" s="508"/>
      <c r="F257" s="508"/>
      <c r="G257" s="508" t="s">
        <v>1647</v>
      </c>
      <c r="H257" s="508" t="s">
        <v>2086</v>
      </c>
      <c r="I257" s="508" t="s">
        <v>374</v>
      </c>
      <c r="J257" s="555" t="s">
        <v>1650</v>
      </c>
      <c r="K257" s="555" t="s">
        <v>1651</v>
      </c>
      <c r="L257" s="911">
        <f ca="1">IFERROR(INDEX(Lists!$O$2:$Z$2,MATCH(TRUE,INDEX((AE257:AP257&lt;&gt;0),0),0)),DATE(2018,1,1))</f>
        <v>43221</v>
      </c>
      <c r="M257" s="911">
        <f ca="1">IFERROR(INDEX(Lists!$O$3:$Z$3, VALUE(SUBSTITUTE(TEXT(ADDRESS(SUMPRODUCT(MAX((COLUMN(AE257:AP257)*(AE257:AP257&gt;0)))),1),),"$A$",""))-30),DATE(2018,1,1))</f>
        <v>43465</v>
      </c>
      <c r="N257" s="508" t="s">
        <v>1668</v>
      </c>
      <c r="O257" s="508" t="s">
        <v>1653</v>
      </c>
      <c r="P257" s="508" t="s">
        <v>1071</v>
      </c>
      <c r="Q257" s="508" t="s">
        <v>1071</v>
      </c>
      <c r="R257" s="508">
        <f t="shared" ca="1" si="90"/>
        <v>0</v>
      </c>
      <c r="S257" s="508" t="str">
        <f t="shared" ca="1" si="91"/>
        <v>3rd Party, Waste Management design</v>
      </c>
      <c r="T257" s="508" t="str">
        <f t="shared" ca="1" si="92"/>
        <v>SGS</v>
      </c>
      <c r="U257" s="508" t="str">
        <f t="shared" ca="1" si="93"/>
        <v>685 / 51-11-3356</v>
      </c>
      <c r="V257" s="508">
        <f t="shared" ca="1" si="94"/>
        <v>0</v>
      </c>
      <c r="W257" s="508" t="str">
        <f t="shared" ca="1" si="95"/>
        <v>SGS</v>
      </c>
      <c r="X257" s="508">
        <f t="shared" ca="1" si="96"/>
        <v>0</v>
      </c>
      <c r="Y257" s="508">
        <f t="shared" ca="1" si="97"/>
        <v>0</v>
      </c>
      <c r="Z257" s="508">
        <f t="shared" ca="1" si="98"/>
        <v>0</v>
      </c>
      <c r="AA257" s="508">
        <f t="shared" ca="1" si="99"/>
        <v>0</v>
      </c>
      <c r="AB257" s="508">
        <f t="shared" ca="1" si="89"/>
        <v>8</v>
      </c>
      <c r="AC257" s="508">
        <f t="shared" ca="1" si="100"/>
        <v>0</v>
      </c>
      <c r="AD257" s="912">
        <f t="shared" ca="1" si="101"/>
        <v>704000</v>
      </c>
      <c r="AE257" s="512">
        <f t="shared" ca="1" si="102"/>
        <v>0</v>
      </c>
      <c r="AF257" s="512">
        <f t="shared" ca="1" si="103"/>
        <v>0</v>
      </c>
      <c r="AG257" s="512">
        <f t="shared" ca="1" si="104"/>
        <v>0</v>
      </c>
      <c r="AH257" s="512">
        <f t="shared" ca="1" si="105"/>
        <v>0</v>
      </c>
      <c r="AI257" s="512">
        <f t="shared" ca="1" si="106"/>
        <v>88000</v>
      </c>
      <c r="AJ257" s="512">
        <f t="shared" ca="1" si="107"/>
        <v>88000</v>
      </c>
      <c r="AK257" s="512">
        <f t="shared" ca="1" si="108"/>
        <v>88000</v>
      </c>
      <c r="AL257" s="512">
        <f t="shared" ca="1" si="109"/>
        <v>88000</v>
      </c>
      <c r="AM257" s="512">
        <f t="shared" ca="1" si="110"/>
        <v>88000</v>
      </c>
      <c r="AN257" s="512">
        <f t="shared" ca="1" si="111"/>
        <v>88000</v>
      </c>
      <c r="AO257" s="512">
        <f t="shared" ca="1" si="112"/>
        <v>88000</v>
      </c>
      <c r="AP257" s="512">
        <f t="shared" ca="1" si="113"/>
        <v>88000</v>
      </c>
      <c r="AQ257" s="512" t="str">
        <f t="shared" ca="1" si="114"/>
        <v>Contrato</v>
      </c>
      <c r="AR257" s="512"/>
      <c r="AS257" s="512" t="str">
        <f t="shared" ca="1" si="115"/>
        <v>No</v>
      </c>
      <c r="AT257" s="151">
        <f t="shared" ca="1" si="116"/>
        <v>704000</v>
      </c>
      <c r="AU257" s="151">
        <f>IFERROR(VLOOKUP(A257,'[7]TD CuentasBDG'!$N$5:$O$21,2,0),0)</f>
        <v>0</v>
      </c>
      <c r="AV257" t="str">
        <f t="shared" ca="1" si="117"/>
        <v>Licitación</v>
      </c>
      <c r="AW257" t="s">
        <v>2053</v>
      </c>
      <c r="AX257" t="s">
        <v>1655</v>
      </c>
    </row>
    <row r="258" spans="1:50" ht="30" x14ac:dyDescent="0.25">
      <c r="A258" s="508" t="s">
        <v>2087</v>
      </c>
      <c r="B258" s="508" t="s">
        <v>1416</v>
      </c>
      <c r="C258" s="922" t="s">
        <v>122</v>
      </c>
      <c r="D258" s="508" t="s">
        <v>151</v>
      </c>
      <c r="E258" s="508"/>
      <c r="F258" s="508"/>
      <c r="G258" s="508" t="s">
        <v>1647</v>
      </c>
      <c r="H258" s="508" t="s">
        <v>2088</v>
      </c>
      <c r="I258" s="508" t="s">
        <v>375</v>
      </c>
      <c r="J258" s="555" t="s">
        <v>1650</v>
      </c>
      <c r="K258" s="555" t="s">
        <v>1651</v>
      </c>
      <c r="L258" s="911">
        <f ca="1">IFERROR(INDEX(Lists!$O$2:$Z$2,MATCH(TRUE,INDEX((AE258:AP258&lt;&gt;0),0),0)),DATE(2018,1,1))</f>
        <v>43221</v>
      </c>
      <c r="M258" s="911">
        <f ca="1">IFERROR(INDEX(Lists!$O$3:$Z$3, VALUE(SUBSTITUTE(TEXT(ADDRESS(SUMPRODUCT(MAX((COLUMN(AE258:AP258)*(AE258:AP258&gt;0)))),1),),"$A$",""))-30),DATE(2018,1,1))</f>
        <v>43404</v>
      </c>
      <c r="N258" s="508" t="s">
        <v>1683</v>
      </c>
      <c r="O258" s="508" t="s">
        <v>1984</v>
      </c>
      <c r="P258" s="508" t="s">
        <v>1071</v>
      </c>
      <c r="Q258" s="508" t="s">
        <v>1071</v>
      </c>
      <c r="R258" s="508">
        <f t="shared" ca="1" si="90"/>
        <v>0</v>
      </c>
      <c r="S258" s="508" t="str">
        <f t="shared" ca="1" si="91"/>
        <v>3rd Party, HPGR/HRC Vendor design</v>
      </c>
      <c r="T258" s="508" t="str">
        <f t="shared" ca="1" si="92"/>
        <v>TYSEN / Metso</v>
      </c>
      <c r="U258" s="508" t="str">
        <f t="shared" ca="1" si="93"/>
        <v>685 / 51-11-3356</v>
      </c>
      <c r="V258" s="508">
        <f t="shared" ca="1" si="94"/>
        <v>0</v>
      </c>
      <c r="W258" s="508" t="str">
        <f t="shared" ca="1" si="95"/>
        <v>TYSEN / Metso</v>
      </c>
      <c r="X258" s="508">
        <f t="shared" ca="1" si="96"/>
        <v>0</v>
      </c>
      <c r="Y258" s="508">
        <f t="shared" ca="1" si="97"/>
        <v>0</v>
      </c>
      <c r="Z258" s="508">
        <f t="shared" ca="1" si="98"/>
        <v>0</v>
      </c>
      <c r="AA258" s="508">
        <f t="shared" ca="1" si="99"/>
        <v>0</v>
      </c>
      <c r="AB258" s="508">
        <f t="shared" ca="1" si="89"/>
        <v>6</v>
      </c>
      <c r="AC258" s="508">
        <f t="shared" ca="1" si="100"/>
        <v>0</v>
      </c>
      <c r="AD258" s="912">
        <f t="shared" ca="1" si="101"/>
        <v>540000</v>
      </c>
      <c r="AE258" s="512">
        <f t="shared" ca="1" si="102"/>
        <v>0</v>
      </c>
      <c r="AF258" s="512">
        <f t="shared" ca="1" si="103"/>
        <v>0</v>
      </c>
      <c r="AG258" s="512">
        <f t="shared" ca="1" si="104"/>
        <v>0</v>
      </c>
      <c r="AH258" s="512">
        <f t="shared" ca="1" si="105"/>
        <v>0</v>
      </c>
      <c r="AI258" s="512">
        <f t="shared" ca="1" si="106"/>
        <v>90000</v>
      </c>
      <c r="AJ258" s="512">
        <f t="shared" ca="1" si="107"/>
        <v>90000</v>
      </c>
      <c r="AK258" s="512">
        <f t="shared" ca="1" si="108"/>
        <v>90000</v>
      </c>
      <c r="AL258" s="512">
        <f t="shared" ca="1" si="109"/>
        <v>90000</v>
      </c>
      <c r="AM258" s="512">
        <f t="shared" ca="1" si="110"/>
        <v>90000</v>
      </c>
      <c r="AN258" s="512">
        <f t="shared" ca="1" si="111"/>
        <v>90000</v>
      </c>
      <c r="AO258" s="512">
        <f t="shared" ca="1" si="112"/>
        <v>0</v>
      </c>
      <c r="AP258" s="512">
        <f t="shared" ca="1" si="113"/>
        <v>0</v>
      </c>
      <c r="AQ258" s="512" t="str">
        <f t="shared" ca="1" si="114"/>
        <v>Contrato</v>
      </c>
      <c r="AR258" s="512"/>
      <c r="AS258" s="512" t="str">
        <f t="shared" ca="1" si="115"/>
        <v>Si</v>
      </c>
      <c r="AT258" s="151">
        <f t="shared" ca="1" si="116"/>
        <v>540000</v>
      </c>
      <c r="AU258" s="151">
        <f>IFERROR(VLOOKUP(A258,'[7]TD CuentasBDG'!$N$5:$O$21,2,0),0)</f>
        <v>0</v>
      </c>
      <c r="AV258" t="str">
        <f t="shared" si="117"/>
        <v>Adjudicación Directa</v>
      </c>
      <c r="AW258" t="s">
        <v>2053</v>
      </c>
      <c r="AX258" t="s">
        <v>1655</v>
      </c>
    </row>
    <row r="259" spans="1:50" ht="30" x14ac:dyDescent="0.25">
      <c r="A259" s="508" t="s">
        <v>2089</v>
      </c>
      <c r="B259" s="508" t="s">
        <v>1416</v>
      </c>
      <c r="C259" s="922" t="s">
        <v>122</v>
      </c>
      <c r="D259" s="508" t="s">
        <v>151</v>
      </c>
      <c r="E259" s="508"/>
      <c r="F259" s="508"/>
      <c r="G259" s="508" t="s">
        <v>1647</v>
      </c>
      <c r="H259" s="508" t="s">
        <v>2090</v>
      </c>
      <c r="I259" s="508" t="s">
        <v>376</v>
      </c>
      <c r="J259" s="555" t="s">
        <v>1650</v>
      </c>
      <c r="K259" s="555" t="s">
        <v>1651</v>
      </c>
      <c r="L259" s="911">
        <f ca="1">IFERROR(INDEX(Lists!$O$2:$Z$2,MATCH(TRUE,INDEX((AE259:AP259&lt;&gt;0),0),0)),DATE(2018,1,1))</f>
        <v>43252</v>
      </c>
      <c r="M259" s="911">
        <f ca="1">IFERROR(INDEX(Lists!$O$3:$Z$3, VALUE(SUBSTITUTE(TEXT(ADDRESS(SUMPRODUCT(MAX((COLUMN(AE259:AP259)*(AE259:AP259&gt;0)))),1),),"$A$",""))-30),DATE(2018,1,1))</f>
        <v>43343</v>
      </c>
      <c r="N259" s="508" t="s">
        <v>1683</v>
      </c>
      <c r="O259" s="508" t="s">
        <v>1984</v>
      </c>
      <c r="P259" s="508" t="s">
        <v>1071</v>
      </c>
      <c r="Q259" s="508" t="s">
        <v>1071</v>
      </c>
      <c r="R259" s="508">
        <f t="shared" ca="1" si="90"/>
        <v>0</v>
      </c>
      <c r="S259" s="508" t="str">
        <f t="shared" ca="1" si="91"/>
        <v>3rd Party, Conveyor design review</v>
      </c>
      <c r="T259" s="508" t="str">
        <f t="shared" ca="1" si="92"/>
        <v>TNT</v>
      </c>
      <c r="U259" s="508" t="str">
        <f t="shared" ca="1" si="93"/>
        <v>685 / 51-11-3356</v>
      </c>
      <c r="V259" s="508">
        <f t="shared" ca="1" si="94"/>
        <v>0</v>
      </c>
      <c r="W259" s="508" t="str">
        <f t="shared" ca="1" si="95"/>
        <v>TNT</v>
      </c>
      <c r="X259" s="508">
        <f t="shared" ca="1" si="96"/>
        <v>0</v>
      </c>
      <c r="Y259" s="508">
        <f t="shared" ca="1" si="97"/>
        <v>0</v>
      </c>
      <c r="Z259" s="508">
        <f t="shared" ca="1" si="98"/>
        <v>0</v>
      </c>
      <c r="AA259" s="508">
        <f t="shared" ca="1" si="99"/>
        <v>0</v>
      </c>
      <c r="AB259" s="508">
        <f t="shared" ref="AB259:AB322" ca="1" si="118">MONTH(M259)-MONTH(L259)+1</f>
        <v>3</v>
      </c>
      <c r="AC259" s="508">
        <f t="shared" ca="1" si="100"/>
        <v>0</v>
      </c>
      <c r="AD259" s="912">
        <f t="shared" ca="1" si="101"/>
        <v>450000</v>
      </c>
      <c r="AE259" s="512">
        <f t="shared" ca="1" si="102"/>
        <v>0</v>
      </c>
      <c r="AF259" s="512">
        <f t="shared" ca="1" si="103"/>
        <v>0</v>
      </c>
      <c r="AG259" s="512">
        <f t="shared" ca="1" si="104"/>
        <v>0</v>
      </c>
      <c r="AH259" s="512">
        <f t="shared" ca="1" si="105"/>
        <v>0</v>
      </c>
      <c r="AI259" s="512">
        <f t="shared" ca="1" si="106"/>
        <v>0</v>
      </c>
      <c r="AJ259" s="512">
        <f t="shared" ca="1" si="107"/>
        <v>150000</v>
      </c>
      <c r="AK259" s="512">
        <f t="shared" ca="1" si="108"/>
        <v>150000</v>
      </c>
      <c r="AL259" s="512">
        <f t="shared" ca="1" si="109"/>
        <v>150000</v>
      </c>
      <c r="AM259" s="512">
        <f t="shared" ca="1" si="110"/>
        <v>0</v>
      </c>
      <c r="AN259" s="512">
        <f t="shared" ca="1" si="111"/>
        <v>0</v>
      </c>
      <c r="AO259" s="512">
        <f t="shared" ca="1" si="112"/>
        <v>0</v>
      </c>
      <c r="AP259" s="512">
        <f t="shared" ca="1" si="113"/>
        <v>0</v>
      </c>
      <c r="AQ259" s="512" t="str">
        <f t="shared" ca="1" si="114"/>
        <v>Contrato</v>
      </c>
      <c r="AR259" s="512"/>
      <c r="AS259" s="512" t="str">
        <f t="shared" ca="1" si="115"/>
        <v>Si</v>
      </c>
      <c r="AT259" s="151">
        <f t="shared" ca="1" si="116"/>
        <v>450000</v>
      </c>
      <c r="AU259" s="151">
        <f>IFERROR(VLOOKUP(A259,'[7]TD CuentasBDG'!$N$5:$O$21,2,0),0)</f>
        <v>0</v>
      </c>
      <c r="AV259" t="str">
        <f t="shared" si="117"/>
        <v>Adjudicación Directa</v>
      </c>
      <c r="AW259" t="s">
        <v>2053</v>
      </c>
      <c r="AX259" t="s">
        <v>1655</v>
      </c>
    </row>
    <row r="260" spans="1:50" ht="45" x14ac:dyDescent="0.25">
      <c r="A260" s="508" t="s">
        <v>2091</v>
      </c>
      <c r="B260" s="508" t="s">
        <v>1416</v>
      </c>
      <c r="C260" s="922" t="s">
        <v>364</v>
      </c>
      <c r="D260" s="508" t="s">
        <v>2092</v>
      </c>
      <c r="E260" s="508"/>
      <c r="F260" s="508"/>
      <c r="G260" s="508" t="s">
        <v>1647</v>
      </c>
      <c r="H260" s="508" t="s">
        <v>388</v>
      </c>
      <c r="I260" s="508">
        <v>0</v>
      </c>
      <c r="J260" s="555" t="s">
        <v>1650</v>
      </c>
      <c r="K260" s="555" t="s">
        <v>1651</v>
      </c>
      <c r="L260" s="911">
        <f ca="1">IFERROR(INDEX(Lists!$O$2:$Z$2,MATCH(TRUE,INDEX((AE260:AP260&lt;&gt;0),0),0)),DATE(2018,1,1))</f>
        <v>43102</v>
      </c>
      <c r="M260" s="911">
        <f ca="1">IFERROR(INDEX(Lists!$O$3:$Z$3, VALUE(SUBSTITUTE(TEXT(ADDRESS(SUMPRODUCT(MAX((COLUMN(AE260:AP260)*(AE260:AP260&gt;0)))),1),),"$A$",""))-30),DATE(2018,1,1))</f>
        <v>43465</v>
      </c>
      <c r="N260" s="508" t="s">
        <v>1652</v>
      </c>
      <c r="O260" s="508" t="s">
        <v>1653</v>
      </c>
      <c r="P260" s="508" t="s">
        <v>1071</v>
      </c>
      <c r="Q260" s="508" t="s">
        <v>1071</v>
      </c>
      <c r="R260" s="508">
        <f t="shared" ref="R260:R324" ca="1" si="119">VLOOKUP($A260,INDIRECT($D260&amp;"!$A$1:$Z$300"),2,FALSE)</f>
        <v>0</v>
      </c>
      <c r="S260" s="508" t="str">
        <f t="shared" ref="S260:S324" ca="1" si="120">VLOOKUP($A260,INDIRECT($D260&amp;"!$A$1:$Z$300"),3,FALSE)</f>
        <v xml:space="preserve">Monitoreo GPS de camionetas </v>
      </c>
      <c r="T260" s="508">
        <f t="shared" ref="T260:T324" ca="1" si="121">VLOOKUP($A260,INDIRECT($D260&amp;"!$A$1:$Z$300"),4,FALSE)</f>
        <v>0</v>
      </c>
      <c r="U260" s="508" t="str">
        <f t="shared" ref="U260:U324" ca="1" si="122">VLOOKUP($A260,INDIRECT($D260&amp;"!$A$1:$Z$300"),5,FALSE)</f>
        <v>685 / 51-11-3358</v>
      </c>
      <c r="V260" s="508">
        <f t="shared" ref="V260:V324" ca="1" si="123">VLOOKUP($A260,INDIRECT($D260&amp;"!$A$1:$Z$300"),6,FALSE)</f>
        <v>0</v>
      </c>
      <c r="W260" s="508">
        <f t="shared" ref="W260:W324" ca="1" si="124">VLOOKUP($A260,INDIRECT($D260&amp;"!$A$1:$Z$300"),7,FALSE)</f>
        <v>0</v>
      </c>
      <c r="X260" s="508">
        <f t="shared" ref="X260:X324" ca="1" si="125">VLOOKUP($A260,INDIRECT($D260&amp;"!$A$1:$Z$300"),8,FALSE)</f>
        <v>0</v>
      </c>
      <c r="Y260" s="508">
        <f t="shared" ref="Y260:Y324" ca="1" si="126">VLOOKUP($A260,INDIRECT($D260&amp;"!$A$1:$Z$300"),9,FALSE)</f>
        <v>0</v>
      </c>
      <c r="Z260" s="508">
        <f t="shared" ref="Z260:Z324" ca="1" si="127">VLOOKUP($A260,INDIRECT($D260&amp;"!$A$1:$Z$300"),10,FALSE)</f>
        <v>0</v>
      </c>
      <c r="AA260" s="508">
        <f t="shared" ref="AA260:AA324" ca="1" si="128">VLOOKUP($A260,INDIRECT($D260&amp;"!$A$1:$Z$300"),11,FALSE)</f>
        <v>0</v>
      </c>
      <c r="AB260" s="508">
        <f t="shared" ca="1" si="118"/>
        <v>12</v>
      </c>
      <c r="AC260" s="508">
        <f t="shared" ref="AC260:AC324" ca="1" si="129">VLOOKUP($A260,INDIRECT($D260&amp;"!$A$1:$Z$300"),13,FALSE)</f>
        <v>12</v>
      </c>
      <c r="AD260" s="912">
        <f t="shared" ref="AD260:AD324" ca="1" si="130">VLOOKUP($A260,INDIRECT($D260&amp;"!$A$1:$Z$300"),14,FALSE)</f>
        <v>66000</v>
      </c>
      <c r="AE260" s="512">
        <f t="shared" ref="AE260:AE324" ca="1" si="131">VLOOKUP($A260,INDIRECT($D260&amp;"!$A$1:$Z$300"),15,FALSE)</f>
        <v>5500</v>
      </c>
      <c r="AF260" s="512">
        <f t="shared" ref="AF260:AF324" ca="1" si="132">VLOOKUP($A260,INDIRECT($D260&amp;"!$A$1:$Z$300"),16,FALSE)</f>
        <v>5500</v>
      </c>
      <c r="AG260" s="512">
        <f t="shared" ref="AG260:AG324" ca="1" si="133">VLOOKUP($A260,INDIRECT($D260&amp;"!$A$1:$Z$300"),17,FALSE)</f>
        <v>5500</v>
      </c>
      <c r="AH260" s="512">
        <f t="shared" ref="AH260:AH324" ca="1" si="134">VLOOKUP($A260,INDIRECT($D260&amp;"!$A$1:$Z$300"),18,FALSE)</f>
        <v>5500</v>
      </c>
      <c r="AI260" s="512">
        <f t="shared" ref="AI260:AI324" ca="1" si="135">VLOOKUP($A260,INDIRECT($D260&amp;"!$A$1:$Z$300"),19,FALSE)</f>
        <v>5500</v>
      </c>
      <c r="AJ260" s="512">
        <f t="shared" ref="AJ260:AJ324" ca="1" si="136">VLOOKUP($A260,INDIRECT($D260&amp;"!$A$1:$Z$300"),20,FALSE)</f>
        <v>5500</v>
      </c>
      <c r="AK260" s="512">
        <f t="shared" ref="AK260:AK324" ca="1" si="137">VLOOKUP($A260,INDIRECT($D260&amp;"!$A$1:$Z$300"),21,FALSE)</f>
        <v>5500</v>
      </c>
      <c r="AL260" s="512">
        <f t="shared" ref="AL260:AL324" ca="1" si="138">VLOOKUP($A260,INDIRECT($D260&amp;"!$A$1:$Z$300"),22,FALSE)</f>
        <v>5500</v>
      </c>
      <c r="AM260" s="512">
        <f t="shared" ref="AM260:AM324" ca="1" si="139">VLOOKUP($A260,INDIRECT($D260&amp;"!$A$1:$Z$300"),23,FALSE)</f>
        <v>5500</v>
      </c>
      <c r="AN260" s="512">
        <f t="shared" ref="AN260:AN324" ca="1" si="140">VLOOKUP($A260,INDIRECT($D260&amp;"!$A$1:$Z$300"),24,FALSE)</f>
        <v>5500</v>
      </c>
      <c r="AO260" s="512">
        <f t="shared" ref="AO260:AO324" ca="1" si="141">VLOOKUP($A260,INDIRECT($D260&amp;"!$A$1:$Z$300"),25,FALSE)</f>
        <v>5500</v>
      </c>
      <c r="AP260" s="512">
        <f t="shared" ref="AP260:AP324" ca="1" si="142">VLOOKUP($A260,INDIRECT($D260&amp;"!$A$1:$Z$300"),26,FALSE)</f>
        <v>5500</v>
      </c>
      <c r="AQ260" s="512" t="str">
        <f t="shared" ref="AQ260:AQ323" ca="1" si="143">IF(G260="Contrato/Orden de Servicio",IF(AND(Q260&lt;&gt;"Si",AD260&lt;100000),"Orden de Servicio Sin Terreno",IF(AND(Q260="Si",AD260&lt;50000),IF(AB260&lt;=3,"Orden de Servicio Con Terreno","Contrato"),"Contrato")),"")</f>
        <v>Orden de Servicio Sin Terreno</v>
      </c>
      <c r="AR260" s="512"/>
      <c r="AS260" s="512" t="str">
        <f t="shared" ref="AS260:AS323" ca="1" si="144">IF(G260="Contrato/Orden de Servicio",IF(AND(AD260&gt;50000,OR(N260="Renovación de Contrato",N260="Adjudicación Directa")),"Si","No"),"")</f>
        <v>Si</v>
      </c>
      <c r="AT260" s="151">
        <f t="shared" ref="AT260:AT324" ca="1" si="145">IF(G260="Contrato/Orden de Servicio",AD260,0)</f>
        <v>66000</v>
      </c>
      <c r="AU260" s="151">
        <f>IFERROR(VLOOKUP(A260,'[7]TD CuentasBDG'!$N$5:$O$21,2,0),0)</f>
        <v>0</v>
      </c>
      <c r="AV260" t="str">
        <f t="shared" ref="AV260:AV323" si="146">IF(N260="Licitación/Cotización",IF(AT260&lt;50000,"Licitación Corta","Licitación"),N260)</f>
        <v>Renovación de Contrato</v>
      </c>
      <c r="AW260" t="s">
        <v>1669</v>
      </c>
      <c r="AX260" t="s">
        <v>1655</v>
      </c>
    </row>
    <row r="261" spans="1:50" ht="30" x14ac:dyDescent="0.25">
      <c r="A261" s="508" t="s">
        <v>2093</v>
      </c>
      <c r="B261" s="508" t="s">
        <v>1416</v>
      </c>
      <c r="C261" s="922" t="s">
        <v>364</v>
      </c>
      <c r="D261" s="508" t="s">
        <v>2092</v>
      </c>
      <c r="E261" s="508"/>
      <c r="F261" s="508"/>
      <c r="G261" s="508" t="s">
        <v>1665</v>
      </c>
      <c r="H261" s="508"/>
      <c r="I261" s="508"/>
      <c r="J261" s="555"/>
      <c r="K261" s="555"/>
      <c r="L261" s="911">
        <f ca="1">IFERROR(INDEX(Lists!$O$2:$Z$2,MATCH(TRUE,INDEX((AE261:AP261&lt;&gt;0),0),0)),DATE(2018,1,1))</f>
        <v>43102</v>
      </c>
      <c r="M261" s="911">
        <f ca="1">IFERROR(INDEX(Lists!$O$3:$Z$3, VALUE(SUBSTITUTE(TEXT(ADDRESS(SUMPRODUCT(MAX((COLUMN(AE261:AP261)*(AE261:AP261&gt;0)))),1),),"$A$",""))-30),DATE(2018,1,1))</f>
        <v>43404</v>
      </c>
      <c r="N261" s="508"/>
      <c r="O261" s="508"/>
      <c r="P261" s="508"/>
      <c r="Q261" s="508"/>
      <c r="R261" s="508">
        <f t="shared" ca="1" si="119"/>
        <v>0</v>
      </c>
      <c r="S261" s="508" t="str">
        <f t="shared" ca="1" si="120"/>
        <v>EPP Ingeniería y Construcción</v>
      </c>
      <c r="T261" s="508">
        <f t="shared" ca="1" si="121"/>
        <v>0</v>
      </c>
      <c r="U261" s="508" t="str">
        <f t="shared" ca="1" si="122"/>
        <v>685 / 51-11-3358</v>
      </c>
      <c r="V261" s="508">
        <f t="shared" ca="1" si="123"/>
        <v>0</v>
      </c>
      <c r="W261" s="508">
        <f t="shared" ca="1" si="124"/>
        <v>0</v>
      </c>
      <c r="X261" s="508">
        <f t="shared" ca="1" si="125"/>
        <v>0</v>
      </c>
      <c r="Y261" s="508">
        <f t="shared" ca="1" si="126"/>
        <v>0</v>
      </c>
      <c r="Z261" s="508">
        <f t="shared" ca="1" si="127"/>
        <v>0</v>
      </c>
      <c r="AA261" s="508">
        <f t="shared" ca="1" si="128"/>
        <v>0</v>
      </c>
      <c r="AB261" s="508">
        <f t="shared" ca="1" si="118"/>
        <v>10</v>
      </c>
      <c r="AC261" s="508">
        <f t="shared" ca="1" si="129"/>
        <v>0</v>
      </c>
      <c r="AD261" s="912">
        <f t="shared" ca="1" si="130"/>
        <v>2400</v>
      </c>
      <c r="AE261" s="512">
        <f t="shared" ca="1" si="131"/>
        <v>600</v>
      </c>
      <c r="AF261" s="512">
        <f t="shared" ca="1" si="132"/>
        <v>0</v>
      </c>
      <c r="AG261" s="512">
        <f t="shared" ca="1" si="133"/>
        <v>600</v>
      </c>
      <c r="AH261" s="512">
        <f t="shared" ca="1" si="134"/>
        <v>0</v>
      </c>
      <c r="AI261" s="512">
        <f t="shared" ca="1" si="135"/>
        <v>0</v>
      </c>
      <c r="AJ261" s="512">
        <f t="shared" ca="1" si="136"/>
        <v>0</v>
      </c>
      <c r="AK261" s="512">
        <f t="shared" ca="1" si="137"/>
        <v>600</v>
      </c>
      <c r="AL261" s="512">
        <f t="shared" ca="1" si="138"/>
        <v>0</v>
      </c>
      <c r="AM261" s="512">
        <f t="shared" ca="1" si="139"/>
        <v>0</v>
      </c>
      <c r="AN261" s="512">
        <f t="shared" ca="1" si="140"/>
        <v>600</v>
      </c>
      <c r="AO261" s="512">
        <f t="shared" ca="1" si="141"/>
        <v>0</v>
      </c>
      <c r="AP261" s="512">
        <f t="shared" ca="1" si="142"/>
        <v>0</v>
      </c>
      <c r="AQ261" s="512" t="str">
        <f t="shared" si="143"/>
        <v/>
      </c>
      <c r="AR261" s="512"/>
      <c r="AS261" s="512" t="str">
        <f t="shared" si="144"/>
        <v/>
      </c>
      <c r="AT261" s="151">
        <f t="shared" si="145"/>
        <v>0</v>
      </c>
      <c r="AU261" s="151">
        <f>IFERROR(VLOOKUP(A261,'[7]TD CuentasBDG'!$N$5:$O$21,2,0),0)</f>
        <v>0</v>
      </c>
      <c r="AV261">
        <f t="shared" si="146"/>
        <v>0</v>
      </c>
    </row>
    <row r="262" spans="1:50" ht="45" x14ac:dyDescent="0.25">
      <c r="A262" s="508" t="s">
        <v>2094</v>
      </c>
      <c r="B262" s="508" t="s">
        <v>1416</v>
      </c>
      <c r="C262" s="922" t="s">
        <v>364</v>
      </c>
      <c r="D262" s="508" t="s">
        <v>2092</v>
      </c>
      <c r="E262" s="508"/>
      <c r="F262" s="508"/>
      <c r="G262" s="508" t="s">
        <v>1707</v>
      </c>
      <c r="H262" s="508"/>
      <c r="I262" s="508"/>
      <c r="J262" s="555"/>
      <c r="K262" s="555"/>
      <c r="L262" s="911">
        <f ca="1">IFERROR(INDEX(Lists!$O$2:$Z$2,MATCH(TRUE,INDEX((AE262:AP262&lt;&gt;0),0),0)),DATE(2018,1,1))</f>
        <v>43191</v>
      </c>
      <c r="M262" s="911">
        <f ca="1">IFERROR(INDEX(Lists!$O$3:$Z$3, VALUE(SUBSTITUTE(TEXT(ADDRESS(SUMPRODUCT(MAX((COLUMN(AE262:AP262)*(AE262:AP262&gt;0)))),1),),"$A$",""))-30),DATE(2018,1,1))</f>
        <v>43281</v>
      </c>
      <c r="N262" s="508"/>
      <c r="O262" s="508"/>
      <c r="P262" s="508"/>
      <c r="Q262" s="508"/>
      <c r="R262" s="508">
        <f t="shared" ca="1" si="119"/>
        <v>0</v>
      </c>
      <c r="S262" s="508" t="str">
        <f t="shared" ca="1" si="120"/>
        <v>Desarrollo documentos protección industrial</v>
      </c>
      <c r="T262" s="508">
        <f t="shared" ca="1" si="121"/>
        <v>0</v>
      </c>
      <c r="U262" s="508" t="str">
        <f t="shared" ca="1" si="122"/>
        <v>685 / 51-11-3358</v>
      </c>
      <c r="V262" s="508">
        <f t="shared" ca="1" si="123"/>
        <v>0</v>
      </c>
      <c r="W262" s="508">
        <f t="shared" ca="1" si="124"/>
        <v>0</v>
      </c>
      <c r="X262" s="508">
        <f t="shared" ca="1" si="125"/>
        <v>0</v>
      </c>
      <c r="Y262" s="508">
        <f t="shared" ca="1" si="126"/>
        <v>0</v>
      </c>
      <c r="Z262" s="508">
        <f t="shared" ca="1" si="127"/>
        <v>0</v>
      </c>
      <c r="AA262" s="508">
        <f t="shared" ca="1" si="128"/>
        <v>0</v>
      </c>
      <c r="AB262" s="508">
        <f t="shared" ca="1" si="118"/>
        <v>3</v>
      </c>
      <c r="AC262" s="508">
        <f t="shared" ca="1" si="129"/>
        <v>0</v>
      </c>
      <c r="AD262" s="912">
        <f t="shared" ca="1" si="130"/>
        <v>18000</v>
      </c>
      <c r="AE262" s="512">
        <f t="shared" ca="1" si="131"/>
        <v>0</v>
      </c>
      <c r="AF262" s="512">
        <f t="shared" ca="1" si="132"/>
        <v>0</v>
      </c>
      <c r="AG262" s="512">
        <f t="shared" ca="1" si="133"/>
        <v>0</v>
      </c>
      <c r="AH262" s="512">
        <f t="shared" ca="1" si="134"/>
        <v>6000</v>
      </c>
      <c r="AI262" s="512">
        <f t="shared" ca="1" si="135"/>
        <v>6000</v>
      </c>
      <c r="AJ262" s="512">
        <f t="shared" ca="1" si="136"/>
        <v>6000</v>
      </c>
      <c r="AK262" s="512">
        <f t="shared" ca="1" si="137"/>
        <v>0</v>
      </c>
      <c r="AL262" s="512">
        <f t="shared" ca="1" si="138"/>
        <v>0</v>
      </c>
      <c r="AM262" s="512">
        <f t="shared" ca="1" si="139"/>
        <v>0</v>
      </c>
      <c r="AN262" s="512">
        <f t="shared" ca="1" si="140"/>
        <v>0</v>
      </c>
      <c r="AO262" s="512">
        <f t="shared" ca="1" si="141"/>
        <v>0</v>
      </c>
      <c r="AP262" s="512">
        <f t="shared" ca="1" si="142"/>
        <v>0</v>
      </c>
      <c r="AQ262" s="512" t="str">
        <f t="shared" si="143"/>
        <v/>
      </c>
      <c r="AR262" s="512"/>
      <c r="AS262" s="512" t="str">
        <f t="shared" si="144"/>
        <v/>
      </c>
      <c r="AT262" s="151">
        <f t="shared" si="145"/>
        <v>0</v>
      </c>
      <c r="AU262" s="151">
        <f>IFERROR(VLOOKUP(A262,'[7]TD CuentasBDG'!$N$5:$O$21,2,0),0)</f>
        <v>0</v>
      </c>
      <c r="AV262">
        <f t="shared" si="146"/>
        <v>0</v>
      </c>
    </row>
    <row r="263" spans="1:50" ht="30" x14ac:dyDescent="0.25">
      <c r="A263" s="508" t="s">
        <v>2095</v>
      </c>
      <c r="B263" s="508" t="s">
        <v>1416</v>
      </c>
      <c r="C263" s="922" t="s">
        <v>364</v>
      </c>
      <c r="D263" s="508" t="s">
        <v>2092</v>
      </c>
      <c r="E263" s="508"/>
      <c r="F263" s="508"/>
      <c r="G263" s="508" t="s">
        <v>1707</v>
      </c>
      <c r="H263" s="508"/>
      <c r="I263" s="508"/>
      <c r="J263" s="555"/>
      <c r="K263" s="555"/>
      <c r="L263" s="911">
        <f ca="1">IFERROR(INDEX(Lists!$O$2:$Z$2,MATCH(TRUE,INDEX((AE263:AP263&lt;&gt;0),0),0)),DATE(2018,1,1))</f>
        <v>43102</v>
      </c>
      <c r="M263" s="911">
        <f ca="1">IFERROR(INDEX(Lists!$O$3:$Z$3, VALUE(SUBSTITUTE(TEXT(ADDRESS(SUMPRODUCT(MAX((COLUMN(AE263:AP263)*(AE263:AP263&gt;0)))),1),),"$A$",""))-30),DATE(2018,1,1))</f>
        <v>43465</v>
      </c>
      <c r="N263" s="508"/>
      <c r="O263" s="508"/>
      <c r="P263" s="508"/>
      <c r="Q263" s="508"/>
      <c r="R263" s="508">
        <f t="shared" ca="1" si="119"/>
        <v>0</v>
      </c>
      <c r="S263" s="508" t="str">
        <f t="shared" ca="1" si="120"/>
        <v>Campañas de Salud y Seguridad</v>
      </c>
      <c r="T263" s="508">
        <f t="shared" ca="1" si="121"/>
        <v>0</v>
      </c>
      <c r="U263" s="508" t="str">
        <f t="shared" ca="1" si="122"/>
        <v>685 / 51-11-3358</v>
      </c>
      <c r="V263" s="508">
        <f t="shared" ca="1" si="123"/>
        <v>0</v>
      </c>
      <c r="W263" s="508">
        <f t="shared" ca="1" si="124"/>
        <v>0</v>
      </c>
      <c r="X263" s="508">
        <f t="shared" ca="1" si="125"/>
        <v>0</v>
      </c>
      <c r="Y263" s="508">
        <f t="shared" ca="1" si="126"/>
        <v>0</v>
      </c>
      <c r="Z263" s="508">
        <f t="shared" ca="1" si="127"/>
        <v>0</v>
      </c>
      <c r="AA263" s="508">
        <f t="shared" ca="1" si="128"/>
        <v>0</v>
      </c>
      <c r="AB263" s="508">
        <f t="shared" ca="1" si="118"/>
        <v>12</v>
      </c>
      <c r="AC263" s="508">
        <f t="shared" ca="1" si="129"/>
        <v>0</v>
      </c>
      <c r="AD263" s="912">
        <f t="shared" ca="1" si="130"/>
        <v>3600</v>
      </c>
      <c r="AE263" s="512">
        <f t="shared" ca="1" si="131"/>
        <v>300</v>
      </c>
      <c r="AF263" s="512">
        <f t="shared" ca="1" si="132"/>
        <v>300</v>
      </c>
      <c r="AG263" s="512">
        <f t="shared" ca="1" si="133"/>
        <v>300</v>
      </c>
      <c r="AH263" s="512">
        <f t="shared" ca="1" si="134"/>
        <v>300</v>
      </c>
      <c r="AI263" s="512">
        <f t="shared" ca="1" si="135"/>
        <v>300</v>
      </c>
      <c r="AJ263" s="512">
        <f t="shared" ca="1" si="136"/>
        <v>300</v>
      </c>
      <c r="AK263" s="512">
        <f t="shared" ca="1" si="137"/>
        <v>300</v>
      </c>
      <c r="AL263" s="512">
        <f t="shared" ca="1" si="138"/>
        <v>300</v>
      </c>
      <c r="AM263" s="512">
        <f t="shared" ca="1" si="139"/>
        <v>300</v>
      </c>
      <c r="AN263" s="512">
        <f t="shared" ca="1" si="140"/>
        <v>300</v>
      </c>
      <c r="AO263" s="512">
        <f t="shared" ca="1" si="141"/>
        <v>300</v>
      </c>
      <c r="AP263" s="512">
        <f t="shared" ca="1" si="142"/>
        <v>300</v>
      </c>
      <c r="AQ263" s="512" t="str">
        <f t="shared" si="143"/>
        <v/>
      </c>
      <c r="AR263" s="512"/>
      <c r="AS263" s="512" t="str">
        <f t="shared" si="144"/>
        <v/>
      </c>
      <c r="AT263" s="151">
        <f t="shared" si="145"/>
        <v>0</v>
      </c>
      <c r="AU263" s="151">
        <f>IFERROR(VLOOKUP(A263,'[7]TD CuentasBDG'!$N$5:$O$21,2,0),0)</f>
        <v>0</v>
      </c>
      <c r="AV263">
        <f t="shared" si="146"/>
        <v>0</v>
      </c>
    </row>
    <row r="264" spans="1:50" ht="30" x14ac:dyDescent="0.25">
      <c r="A264" s="508" t="s">
        <v>2096</v>
      </c>
      <c r="B264" s="508" t="s">
        <v>1416</v>
      </c>
      <c r="C264" s="922" t="s">
        <v>364</v>
      </c>
      <c r="D264" s="508" t="s">
        <v>2092</v>
      </c>
      <c r="E264" s="508"/>
      <c r="F264" s="508"/>
      <c r="G264" s="508" t="s">
        <v>1707</v>
      </c>
      <c r="H264" s="508"/>
      <c r="I264" s="508"/>
      <c r="J264" s="555"/>
      <c r="K264" s="555"/>
      <c r="L264" s="911">
        <f ca="1">IFERROR(INDEX(Lists!$O$2:$Z$2,MATCH(TRUE,INDEX((AE264:AP264&lt;&gt;0),0),0)),DATE(2018,1,1))</f>
        <v>43252</v>
      </c>
      <c r="M264" s="911">
        <f ca="1">IFERROR(INDEX(Lists!$O$3:$Z$3, VALUE(SUBSTITUTE(TEXT(ADDRESS(SUMPRODUCT(MAX((COLUMN(AE264:AP264)*(AE264:AP264&gt;0)))),1),),"$A$",""))-30),DATE(2018,1,1))</f>
        <v>43434</v>
      </c>
      <c r="N264" s="508"/>
      <c r="O264" s="508"/>
      <c r="P264" s="508"/>
      <c r="Q264" s="508"/>
      <c r="R264" s="508">
        <f t="shared" ca="1" si="119"/>
        <v>0</v>
      </c>
      <c r="S264" s="508" t="str">
        <f t="shared" ca="1" si="120"/>
        <v>Cursos de capacitación</v>
      </c>
      <c r="T264" s="508">
        <f t="shared" ca="1" si="121"/>
        <v>0</v>
      </c>
      <c r="U264" s="508" t="str">
        <f t="shared" ca="1" si="122"/>
        <v>685 / 51-11-3358</v>
      </c>
      <c r="V264" s="508">
        <f t="shared" ca="1" si="123"/>
        <v>0</v>
      </c>
      <c r="W264" s="508">
        <f t="shared" ca="1" si="124"/>
        <v>0</v>
      </c>
      <c r="X264" s="508">
        <f t="shared" ca="1" si="125"/>
        <v>0</v>
      </c>
      <c r="Y264" s="508">
        <f t="shared" ca="1" si="126"/>
        <v>0</v>
      </c>
      <c r="Z264" s="508">
        <f t="shared" ca="1" si="127"/>
        <v>0</v>
      </c>
      <c r="AA264" s="508">
        <f t="shared" ca="1" si="128"/>
        <v>0</v>
      </c>
      <c r="AB264" s="508">
        <f t="shared" ca="1" si="118"/>
        <v>6</v>
      </c>
      <c r="AC264" s="508">
        <f t="shared" ca="1" si="129"/>
        <v>0</v>
      </c>
      <c r="AD264" s="912">
        <f t="shared" ca="1" si="130"/>
        <v>6000</v>
      </c>
      <c r="AE264" s="512">
        <f t="shared" ca="1" si="131"/>
        <v>0</v>
      </c>
      <c r="AF264" s="512">
        <f t="shared" ca="1" si="132"/>
        <v>0</v>
      </c>
      <c r="AG264" s="512">
        <f t="shared" ca="1" si="133"/>
        <v>0</v>
      </c>
      <c r="AH264" s="512">
        <f t="shared" ca="1" si="134"/>
        <v>0</v>
      </c>
      <c r="AI264" s="512">
        <f t="shared" ca="1" si="135"/>
        <v>0</v>
      </c>
      <c r="AJ264" s="512">
        <f t="shared" ca="1" si="136"/>
        <v>3000</v>
      </c>
      <c r="AK264" s="512">
        <f t="shared" ca="1" si="137"/>
        <v>0</v>
      </c>
      <c r="AL264" s="512">
        <f t="shared" ca="1" si="138"/>
        <v>0</v>
      </c>
      <c r="AM264" s="512">
        <f t="shared" ca="1" si="139"/>
        <v>0</v>
      </c>
      <c r="AN264" s="512">
        <f t="shared" ca="1" si="140"/>
        <v>0</v>
      </c>
      <c r="AO264" s="512">
        <f t="shared" ca="1" si="141"/>
        <v>3000</v>
      </c>
      <c r="AP264" s="512">
        <f t="shared" ca="1" si="142"/>
        <v>0</v>
      </c>
      <c r="AQ264" s="512" t="str">
        <f t="shared" si="143"/>
        <v/>
      </c>
      <c r="AR264" s="512"/>
      <c r="AS264" s="512" t="str">
        <f t="shared" si="144"/>
        <v/>
      </c>
      <c r="AT264" s="151">
        <f t="shared" si="145"/>
        <v>0</v>
      </c>
      <c r="AU264" s="151">
        <f>IFERROR(VLOOKUP(A264,'[7]TD CuentasBDG'!$N$5:$O$21,2,0),0)</f>
        <v>0</v>
      </c>
      <c r="AV264">
        <f t="shared" si="146"/>
        <v>0</v>
      </c>
    </row>
    <row r="265" spans="1:50" ht="30" x14ac:dyDescent="0.25">
      <c r="A265" s="508" t="s">
        <v>2097</v>
      </c>
      <c r="B265" s="508" t="s">
        <v>1416</v>
      </c>
      <c r="C265" s="922" t="s">
        <v>364</v>
      </c>
      <c r="D265" s="508" t="s">
        <v>2092</v>
      </c>
      <c r="E265" s="508"/>
      <c r="F265" s="508"/>
      <c r="G265" s="508" t="s">
        <v>1707</v>
      </c>
      <c r="H265" s="508"/>
      <c r="I265" s="508"/>
      <c r="J265" s="555"/>
      <c r="K265" s="555"/>
      <c r="L265" s="911">
        <f ca="1">IFERROR(INDEX(Lists!$O$2:$Z$2,MATCH(TRUE,INDEX((AE265:AP265&lt;&gt;0),0),0)),DATE(2018,1,1))</f>
        <v>43191</v>
      </c>
      <c r="M265" s="911">
        <f ca="1">IFERROR(INDEX(Lists!$O$3:$Z$3, VALUE(SUBSTITUTE(TEXT(ADDRESS(SUMPRODUCT(MAX((COLUMN(AE265:AP265)*(AE265:AP265&gt;0)))),1),),"$A$",""))-30),DATE(2018,1,1))</f>
        <v>43404</v>
      </c>
      <c r="N265" s="508"/>
      <c r="O265" s="508"/>
      <c r="P265" s="508"/>
      <c r="Q265" s="508"/>
      <c r="R265" s="508">
        <f t="shared" ca="1" si="119"/>
        <v>0</v>
      </c>
      <c r="S265" s="508" t="str">
        <f t="shared" ca="1" si="120"/>
        <v>Difusión no campañas</v>
      </c>
      <c r="T265" s="508">
        <f t="shared" ca="1" si="121"/>
        <v>0</v>
      </c>
      <c r="U265" s="508" t="str">
        <f t="shared" ca="1" si="122"/>
        <v>685 / 51-11-3358</v>
      </c>
      <c r="V265" s="508">
        <f t="shared" ca="1" si="123"/>
        <v>0</v>
      </c>
      <c r="W265" s="508">
        <f t="shared" ca="1" si="124"/>
        <v>0</v>
      </c>
      <c r="X265" s="508">
        <f t="shared" ca="1" si="125"/>
        <v>0</v>
      </c>
      <c r="Y265" s="508">
        <f t="shared" ca="1" si="126"/>
        <v>0</v>
      </c>
      <c r="Z265" s="508">
        <f t="shared" ca="1" si="127"/>
        <v>0</v>
      </c>
      <c r="AA265" s="508">
        <f t="shared" ca="1" si="128"/>
        <v>0</v>
      </c>
      <c r="AB265" s="508">
        <f t="shared" ca="1" si="118"/>
        <v>7</v>
      </c>
      <c r="AC265" s="508">
        <f t="shared" ca="1" si="129"/>
        <v>0</v>
      </c>
      <c r="AD265" s="912">
        <f t="shared" ca="1" si="130"/>
        <v>3000</v>
      </c>
      <c r="AE265" s="512">
        <f t="shared" ca="1" si="131"/>
        <v>0</v>
      </c>
      <c r="AF265" s="512">
        <f t="shared" ca="1" si="132"/>
        <v>0</v>
      </c>
      <c r="AG265" s="512">
        <f t="shared" ca="1" si="133"/>
        <v>0</v>
      </c>
      <c r="AH265" s="512">
        <f t="shared" ca="1" si="134"/>
        <v>1000</v>
      </c>
      <c r="AI265" s="512">
        <f t="shared" ca="1" si="135"/>
        <v>0</v>
      </c>
      <c r="AJ265" s="512">
        <f t="shared" ca="1" si="136"/>
        <v>0</v>
      </c>
      <c r="AK265" s="512">
        <f t="shared" ca="1" si="137"/>
        <v>1000</v>
      </c>
      <c r="AL265" s="512">
        <f t="shared" ca="1" si="138"/>
        <v>0</v>
      </c>
      <c r="AM265" s="512">
        <f t="shared" ca="1" si="139"/>
        <v>0</v>
      </c>
      <c r="AN265" s="512">
        <f t="shared" ca="1" si="140"/>
        <v>1000</v>
      </c>
      <c r="AO265" s="512">
        <f t="shared" ca="1" si="141"/>
        <v>0</v>
      </c>
      <c r="AP265" s="512">
        <f t="shared" ca="1" si="142"/>
        <v>0</v>
      </c>
      <c r="AQ265" s="512" t="str">
        <f t="shared" si="143"/>
        <v/>
      </c>
      <c r="AR265" s="512"/>
      <c r="AS265" s="512" t="str">
        <f t="shared" si="144"/>
        <v/>
      </c>
      <c r="AT265" s="151">
        <f t="shared" si="145"/>
        <v>0</v>
      </c>
      <c r="AU265" s="151">
        <f>IFERROR(VLOOKUP(A265,'[7]TD CuentasBDG'!$N$5:$O$21,2,0),0)</f>
        <v>0</v>
      </c>
      <c r="AV265">
        <f t="shared" si="146"/>
        <v>0</v>
      </c>
    </row>
    <row r="266" spans="1:50" ht="30" x14ac:dyDescent="0.25">
      <c r="A266" s="508" t="s">
        <v>2098</v>
      </c>
      <c r="B266" s="508" t="s">
        <v>1416</v>
      </c>
      <c r="C266" s="922" t="s">
        <v>364</v>
      </c>
      <c r="D266" s="508" t="s">
        <v>2092</v>
      </c>
      <c r="E266" s="508"/>
      <c r="F266" s="508"/>
      <c r="G266" s="508" t="s">
        <v>1707</v>
      </c>
      <c r="H266" s="508"/>
      <c r="I266" s="508"/>
      <c r="J266" s="555"/>
      <c r="K266" s="555"/>
      <c r="L266" s="911">
        <f ca="1">IFERROR(INDEX(Lists!$O$2:$Z$2,MATCH(TRUE,INDEX((AE266:AP266&lt;&gt;0),0),0)),DATE(2018,1,1))</f>
        <v>43102</v>
      </c>
      <c r="M266" s="911">
        <f ca="1">IFERROR(INDEX(Lists!$O$3:$Z$3, VALUE(SUBSTITUTE(TEXT(ADDRESS(SUMPRODUCT(MAX((COLUMN(AE266:AP266)*(AE266:AP266&gt;0)))),1),),"$A$",""))-30),DATE(2018,1,1))</f>
        <v>43465</v>
      </c>
      <c r="N266" s="508"/>
      <c r="O266" s="508"/>
      <c r="P266" s="508"/>
      <c r="Q266" s="508"/>
      <c r="R266" s="508">
        <f t="shared" ca="1" si="119"/>
        <v>0</v>
      </c>
      <c r="S266" s="508" t="str">
        <f t="shared" ca="1" si="120"/>
        <v>Elementos de apoyo en emergencias</v>
      </c>
      <c r="T266" s="508">
        <f t="shared" ca="1" si="121"/>
        <v>0</v>
      </c>
      <c r="U266" s="508" t="str">
        <f t="shared" ca="1" si="122"/>
        <v>685 / 51-11-3358</v>
      </c>
      <c r="V266" s="508">
        <f t="shared" ca="1" si="123"/>
        <v>0</v>
      </c>
      <c r="W266" s="508">
        <f t="shared" ca="1" si="124"/>
        <v>0</v>
      </c>
      <c r="X266" s="508">
        <f t="shared" ca="1" si="125"/>
        <v>0</v>
      </c>
      <c r="Y266" s="508">
        <f t="shared" ca="1" si="126"/>
        <v>0</v>
      </c>
      <c r="Z266" s="508">
        <f t="shared" ca="1" si="127"/>
        <v>0</v>
      </c>
      <c r="AA266" s="508">
        <f t="shared" ca="1" si="128"/>
        <v>0</v>
      </c>
      <c r="AB266" s="508">
        <f t="shared" ca="1" si="118"/>
        <v>12</v>
      </c>
      <c r="AC266" s="508">
        <f t="shared" ca="1" si="129"/>
        <v>0</v>
      </c>
      <c r="AD266" s="912">
        <f t="shared" ca="1" si="130"/>
        <v>1000</v>
      </c>
      <c r="AE266" s="512">
        <f t="shared" ca="1" si="131"/>
        <v>200</v>
      </c>
      <c r="AF266" s="512">
        <f t="shared" ca="1" si="132"/>
        <v>0</v>
      </c>
      <c r="AG266" s="512">
        <f t="shared" ca="1" si="133"/>
        <v>200</v>
      </c>
      <c r="AH266" s="512">
        <f t="shared" ca="1" si="134"/>
        <v>0</v>
      </c>
      <c r="AI266" s="512">
        <f t="shared" ca="1" si="135"/>
        <v>200</v>
      </c>
      <c r="AJ266" s="512">
        <f t="shared" ca="1" si="136"/>
        <v>0</v>
      </c>
      <c r="AK266" s="512">
        <f t="shared" ca="1" si="137"/>
        <v>0</v>
      </c>
      <c r="AL266" s="512">
        <f t="shared" ca="1" si="138"/>
        <v>200</v>
      </c>
      <c r="AM266" s="512">
        <f t="shared" ca="1" si="139"/>
        <v>0</v>
      </c>
      <c r="AN266" s="512">
        <f t="shared" ca="1" si="140"/>
        <v>0</v>
      </c>
      <c r="AO266" s="512">
        <f t="shared" ca="1" si="141"/>
        <v>0</v>
      </c>
      <c r="AP266" s="512">
        <f t="shared" ca="1" si="142"/>
        <v>200</v>
      </c>
      <c r="AQ266" s="512" t="str">
        <f t="shared" si="143"/>
        <v/>
      </c>
      <c r="AR266" s="512"/>
      <c r="AS266" s="512" t="str">
        <f t="shared" si="144"/>
        <v/>
      </c>
      <c r="AT266" s="151">
        <f t="shared" si="145"/>
        <v>0</v>
      </c>
      <c r="AU266" s="151">
        <f>IFERROR(VLOOKUP(A266,'[7]TD CuentasBDG'!$N$5:$O$21,2,0),0)</f>
        <v>0</v>
      </c>
      <c r="AV266">
        <f t="shared" si="146"/>
        <v>0</v>
      </c>
    </row>
    <row r="267" spans="1:50" ht="30" x14ac:dyDescent="0.25">
      <c r="A267" s="914" t="s">
        <v>2099</v>
      </c>
      <c r="B267" s="508" t="s">
        <v>1416</v>
      </c>
      <c r="C267" s="922" t="s">
        <v>131</v>
      </c>
      <c r="D267" s="508" t="s">
        <v>131</v>
      </c>
      <c r="E267" s="508"/>
      <c r="F267" s="508" t="s">
        <v>2052</v>
      </c>
      <c r="G267" s="508" t="s">
        <v>1647</v>
      </c>
      <c r="H267" s="508" t="s">
        <v>384</v>
      </c>
      <c r="I267" s="508">
        <v>0</v>
      </c>
      <c r="J267" s="555" t="s">
        <v>1650</v>
      </c>
      <c r="K267" s="555" t="s">
        <v>1651</v>
      </c>
      <c r="L267" s="911">
        <f ca="1">IFERROR(INDEX(Lists!$O$2:$Z$2,MATCH(TRUE,INDEX((AE267:AP267&lt;&gt;0),0),0)),DATE(2018,1,1))</f>
        <v>43102</v>
      </c>
      <c r="M267" s="911">
        <f ca="1">IFERROR(INDEX(Lists!$O$3:$Z$3, VALUE(SUBSTITUTE(TEXT(ADDRESS(SUMPRODUCT(MAX((COLUMN(AE267:AP267)*(AE267:AP267&gt;0)))),1),),"$A$",""))-30),DATE(2018,1,1))</f>
        <v>43220</v>
      </c>
      <c r="N267" s="508" t="s">
        <v>1683</v>
      </c>
      <c r="O267" s="508" t="s">
        <v>1984</v>
      </c>
      <c r="P267" s="508" t="s">
        <v>1071</v>
      </c>
      <c r="Q267" s="508" t="s">
        <v>1071</v>
      </c>
      <c r="R267" s="508">
        <f t="shared" ca="1" si="119"/>
        <v>0</v>
      </c>
      <c r="S267" s="508" t="str">
        <f t="shared" ca="1" si="120"/>
        <v>HPGR/HRC Testwork</v>
      </c>
      <c r="T267" s="508">
        <f t="shared" ca="1" si="121"/>
        <v>0</v>
      </c>
      <c r="U267" s="508">
        <f t="shared" ca="1" si="122"/>
        <v>0</v>
      </c>
      <c r="V267" s="508">
        <f t="shared" ca="1" si="123"/>
        <v>0</v>
      </c>
      <c r="W267" s="508">
        <f t="shared" ca="1" si="124"/>
        <v>0</v>
      </c>
      <c r="X267" s="508">
        <f t="shared" ca="1" si="125"/>
        <v>0</v>
      </c>
      <c r="Y267" s="508">
        <f t="shared" ca="1" si="126"/>
        <v>0</v>
      </c>
      <c r="Z267" s="508">
        <f t="shared" ca="1" si="127"/>
        <v>0</v>
      </c>
      <c r="AA267" s="508" t="str">
        <f t="shared" ca="1" si="128"/>
        <v>Ene</v>
      </c>
      <c r="AB267" s="508">
        <f t="shared" ca="1" si="118"/>
        <v>4</v>
      </c>
      <c r="AC267" s="508">
        <f t="shared" ca="1" si="129"/>
        <v>12</v>
      </c>
      <c r="AD267" s="912">
        <f t="shared" ca="1" si="130"/>
        <v>1000000</v>
      </c>
      <c r="AE267" s="512">
        <f t="shared" ca="1" si="131"/>
        <v>70000</v>
      </c>
      <c r="AF267" s="512">
        <f t="shared" ca="1" si="132"/>
        <v>165000</v>
      </c>
      <c r="AG267" s="512">
        <f t="shared" ca="1" si="133"/>
        <v>425000</v>
      </c>
      <c r="AH267" s="512">
        <f t="shared" ca="1" si="134"/>
        <v>340000</v>
      </c>
      <c r="AI267" s="512">
        <f t="shared" ca="1" si="135"/>
        <v>0</v>
      </c>
      <c r="AJ267" s="512">
        <f t="shared" ca="1" si="136"/>
        <v>0</v>
      </c>
      <c r="AK267" s="512">
        <f t="shared" ca="1" si="137"/>
        <v>0</v>
      </c>
      <c r="AL267" s="512">
        <f t="shared" ca="1" si="138"/>
        <v>0</v>
      </c>
      <c r="AM267" s="512">
        <f t="shared" ca="1" si="139"/>
        <v>0</v>
      </c>
      <c r="AN267" s="512">
        <f t="shared" ca="1" si="140"/>
        <v>0</v>
      </c>
      <c r="AO267" s="512">
        <f t="shared" ca="1" si="141"/>
        <v>0</v>
      </c>
      <c r="AP267" s="512">
        <f t="shared" ca="1" si="142"/>
        <v>0</v>
      </c>
      <c r="AQ267" s="512" t="str">
        <f t="shared" ca="1" si="143"/>
        <v>Contrato</v>
      </c>
      <c r="AR267" s="512"/>
      <c r="AS267" s="512" t="str">
        <f t="shared" ca="1" si="144"/>
        <v>Si</v>
      </c>
      <c r="AT267" s="151">
        <f t="shared" ca="1" si="145"/>
        <v>1000000</v>
      </c>
      <c r="AU267" s="151">
        <f>IFERROR(VLOOKUP(A267,'[7]TD CuentasBDG'!$N$5:$O$21,2,0),0)</f>
        <v>0</v>
      </c>
      <c r="AV267" t="str">
        <f t="shared" si="146"/>
        <v>Adjudicación Directa</v>
      </c>
      <c r="AW267" t="s">
        <v>2100</v>
      </c>
      <c r="AX267" t="s">
        <v>1655</v>
      </c>
    </row>
    <row r="268" spans="1:50" ht="30" x14ac:dyDescent="0.25">
      <c r="A268" s="914" t="s">
        <v>2101</v>
      </c>
      <c r="B268" s="508" t="s">
        <v>1416</v>
      </c>
      <c r="C268" s="922" t="s">
        <v>131</v>
      </c>
      <c r="D268" s="508" t="s">
        <v>131</v>
      </c>
      <c r="E268" s="508"/>
      <c r="F268" s="508" t="s">
        <v>2052</v>
      </c>
      <c r="G268" s="508" t="s">
        <v>1647</v>
      </c>
      <c r="H268" s="508" t="s">
        <v>385</v>
      </c>
      <c r="I268" s="508">
        <v>0</v>
      </c>
      <c r="J268" s="555" t="s">
        <v>1650</v>
      </c>
      <c r="K268" s="555" t="s">
        <v>1651</v>
      </c>
      <c r="L268" s="911">
        <f ca="1">IFERROR(INDEX(Lists!$O$2:$Z$2,MATCH(TRUE,INDEX((AE268:AP268&lt;&gt;0),0),0)),DATE(2018,1,1))</f>
        <v>43102</v>
      </c>
      <c r="M268" s="911">
        <f ca="1">IFERROR(INDEX(Lists!$O$3:$Z$3, VALUE(SUBSTITUTE(TEXT(ADDRESS(SUMPRODUCT(MAX((COLUMN(AE268:AP268)*(AE268:AP268&gt;0)))),1),),"$A$",""))-30),DATE(2018,1,1))</f>
        <v>43312</v>
      </c>
      <c r="N268" s="508" t="s">
        <v>1668</v>
      </c>
      <c r="O268" s="508" t="s">
        <v>1984</v>
      </c>
      <c r="P268" s="508" t="s">
        <v>1071</v>
      </c>
      <c r="Q268" s="508" t="s">
        <v>1071</v>
      </c>
      <c r="R268" s="508">
        <f t="shared" ca="1" si="119"/>
        <v>0</v>
      </c>
      <c r="S268" s="508" t="str">
        <f t="shared" ca="1" si="120"/>
        <v>Met Testworks</v>
      </c>
      <c r="T268" s="508">
        <f t="shared" ca="1" si="121"/>
        <v>0</v>
      </c>
      <c r="U268" s="508">
        <f t="shared" ca="1" si="122"/>
        <v>0</v>
      </c>
      <c r="V268" s="508">
        <f t="shared" ca="1" si="123"/>
        <v>0</v>
      </c>
      <c r="W268" s="508">
        <f t="shared" ca="1" si="124"/>
        <v>0</v>
      </c>
      <c r="X268" s="508">
        <f t="shared" ca="1" si="125"/>
        <v>0</v>
      </c>
      <c r="Y268" s="508">
        <f t="shared" ca="1" si="126"/>
        <v>0</v>
      </c>
      <c r="Z268" s="508">
        <f t="shared" ca="1" si="127"/>
        <v>0</v>
      </c>
      <c r="AA268" s="508" t="str">
        <f t="shared" ca="1" si="128"/>
        <v>Ene</v>
      </c>
      <c r="AB268" s="508">
        <f t="shared" ca="1" si="118"/>
        <v>7</v>
      </c>
      <c r="AC268" s="508">
        <f t="shared" ca="1" si="129"/>
        <v>0</v>
      </c>
      <c r="AD268" s="912">
        <f t="shared" ca="1" si="130"/>
        <v>1750000</v>
      </c>
      <c r="AE268" s="512">
        <f t="shared" ca="1" si="131"/>
        <v>50000</v>
      </c>
      <c r="AF268" s="512">
        <f t="shared" ca="1" si="132"/>
        <v>250000</v>
      </c>
      <c r="AG268" s="512">
        <f t="shared" ca="1" si="133"/>
        <v>450000</v>
      </c>
      <c r="AH268" s="512">
        <f t="shared" ca="1" si="134"/>
        <v>250000</v>
      </c>
      <c r="AI268" s="512">
        <f t="shared" ca="1" si="135"/>
        <v>250000</v>
      </c>
      <c r="AJ268" s="512">
        <f t="shared" ca="1" si="136"/>
        <v>250000</v>
      </c>
      <c r="AK268" s="512">
        <f t="shared" ca="1" si="137"/>
        <v>250000</v>
      </c>
      <c r="AL268" s="512">
        <f t="shared" ca="1" si="138"/>
        <v>0</v>
      </c>
      <c r="AM268" s="512">
        <f t="shared" ca="1" si="139"/>
        <v>0</v>
      </c>
      <c r="AN268" s="512">
        <f t="shared" ca="1" si="140"/>
        <v>0</v>
      </c>
      <c r="AO268" s="512">
        <f t="shared" ca="1" si="141"/>
        <v>0</v>
      </c>
      <c r="AP268" s="512">
        <f t="shared" ca="1" si="142"/>
        <v>0</v>
      </c>
      <c r="AQ268" s="512" t="str">
        <f t="shared" ca="1" si="143"/>
        <v>Contrato</v>
      </c>
      <c r="AR268" s="512"/>
      <c r="AS268" s="512" t="str">
        <f t="shared" ca="1" si="144"/>
        <v>No</v>
      </c>
      <c r="AT268" s="151">
        <f t="shared" ca="1" si="145"/>
        <v>1750000</v>
      </c>
      <c r="AU268" s="151">
        <f>IFERROR(VLOOKUP(A268,'[7]TD CuentasBDG'!$N$5:$O$21,2,0),0)</f>
        <v>0</v>
      </c>
      <c r="AV268" t="str">
        <f t="shared" ca="1" si="146"/>
        <v>Licitación</v>
      </c>
      <c r="AW268" t="s">
        <v>2100</v>
      </c>
      <c r="AX268" t="s">
        <v>1655</v>
      </c>
    </row>
    <row r="269" spans="1:50" ht="30" x14ac:dyDescent="0.25">
      <c r="A269" s="914" t="s">
        <v>2102</v>
      </c>
      <c r="B269" s="508" t="s">
        <v>1416</v>
      </c>
      <c r="C269" s="922" t="s">
        <v>131</v>
      </c>
      <c r="D269" s="508" t="s">
        <v>131</v>
      </c>
      <c r="E269" s="508"/>
      <c r="F269" s="508"/>
      <c r="G269" s="508" t="s">
        <v>1647</v>
      </c>
      <c r="H269" s="508" t="s">
        <v>386</v>
      </c>
      <c r="I269" s="508" t="s">
        <v>387</v>
      </c>
      <c r="J269" s="555" t="s">
        <v>1650</v>
      </c>
      <c r="K269" s="555" t="s">
        <v>1651</v>
      </c>
      <c r="L269" s="911">
        <f ca="1">IFERROR(INDEX(Lists!$O$2:$Z$2,MATCH(TRUE,INDEX((AE269:AP269&lt;&gt;0),0),0)),DATE(2018,1,1))</f>
        <v>43102</v>
      </c>
      <c r="M269" s="911">
        <f ca="1">IFERROR(INDEX(Lists!$O$3:$Z$3, VALUE(SUBSTITUTE(TEXT(ADDRESS(SUMPRODUCT(MAX((COLUMN(AE269:AP269)*(AE269:AP269&gt;0)))),1),),"$A$",""))-30),DATE(2018,1,1))</f>
        <v>43465</v>
      </c>
      <c r="N269" s="508" t="s">
        <v>1683</v>
      </c>
      <c r="O269" s="508" t="s">
        <v>1984</v>
      </c>
      <c r="P269" s="508" t="s">
        <v>1071</v>
      </c>
      <c r="Q269" s="508" t="s">
        <v>1071</v>
      </c>
      <c r="R269" s="508">
        <f t="shared" ca="1" si="119"/>
        <v>0</v>
      </c>
      <c r="S269" s="508" t="str">
        <f t="shared" ca="1" si="120"/>
        <v>Process consultant</v>
      </c>
      <c r="T269" s="508" t="str">
        <f t="shared" ca="1" si="121"/>
        <v>(From Staffing)</v>
      </c>
      <c r="U269" s="508">
        <f t="shared" ca="1" si="122"/>
        <v>0</v>
      </c>
      <c r="V269" s="508">
        <f t="shared" ca="1" si="123"/>
        <v>0</v>
      </c>
      <c r="W269" s="508">
        <f t="shared" ca="1" si="124"/>
        <v>0</v>
      </c>
      <c r="X269" s="508">
        <f t="shared" ca="1" si="125"/>
        <v>0</v>
      </c>
      <c r="Y269" s="508">
        <f t="shared" ca="1" si="126"/>
        <v>0</v>
      </c>
      <c r="Z269" s="508">
        <f t="shared" ca="1" si="127"/>
        <v>0</v>
      </c>
      <c r="AA269" s="508" t="str">
        <f t="shared" ca="1" si="128"/>
        <v>Abr</v>
      </c>
      <c r="AB269" s="508">
        <f t="shared" ca="1" si="118"/>
        <v>12</v>
      </c>
      <c r="AC269" s="508">
        <f t="shared" ca="1" si="129"/>
        <v>0</v>
      </c>
      <c r="AD269" s="912">
        <f t="shared" ca="1" si="130"/>
        <v>420000</v>
      </c>
      <c r="AE269" s="512">
        <f t="shared" ca="1" si="131"/>
        <v>20000</v>
      </c>
      <c r="AF269" s="512">
        <f t="shared" ca="1" si="132"/>
        <v>20000</v>
      </c>
      <c r="AG269" s="512">
        <f t="shared" ca="1" si="133"/>
        <v>20000</v>
      </c>
      <c r="AH269" s="512">
        <f t="shared" ca="1" si="134"/>
        <v>40000</v>
      </c>
      <c r="AI269" s="512">
        <f t="shared" ca="1" si="135"/>
        <v>40000</v>
      </c>
      <c r="AJ269" s="512">
        <f t="shared" ca="1" si="136"/>
        <v>40000</v>
      </c>
      <c r="AK269" s="512">
        <f t="shared" ca="1" si="137"/>
        <v>40000</v>
      </c>
      <c r="AL269" s="512">
        <f t="shared" ca="1" si="138"/>
        <v>40000</v>
      </c>
      <c r="AM269" s="512">
        <f t="shared" ca="1" si="139"/>
        <v>40000</v>
      </c>
      <c r="AN269" s="512">
        <f t="shared" ca="1" si="140"/>
        <v>40000</v>
      </c>
      <c r="AO269" s="512">
        <f t="shared" ca="1" si="141"/>
        <v>40000</v>
      </c>
      <c r="AP269" s="512">
        <f t="shared" ca="1" si="142"/>
        <v>40000</v>
      </c>
      <c r="AQ269" s="512" t="str">
        <f t="shared" ca="1" si="143"/>
        <v>Contrato</v>
      </c>
      <c r="AR269" s="512"/>
      <c r="AS269" s="512" t="str">
        <f t="shared" ca="1" si="144"/>
        <v>Si</v>
      </c>
      <c r="AT269" s="151">
        <f t="shared" ca="1" si="145"/>
        <v>420000</v>
      </c>
      <c r="AU269" s="151">
        <f>IFERROR(VLOOKUP(A269,'[7]TD CuentasBDG'!$N$5:$O$21,2,0),0)</f>
        <v>0</v>
      </c>
      <c r="AV269" t="str">
        <f t="shared" si="146"/>
        <v>Adjudicación Directa</v>
      </c>
      <c r="AW269" t="s">
        <v>1690</v>
      </c>
      <c r="AX269" t="s">
        <v>1655</v>
      </c>
    </row>
    <row r="270" spans="1:50" ht="30" x14ac:dyDescent="0.25">
      <c r="A270" s="508" t="s">
        <v>2103</v>
      </c>
      <c r="B270" s="508" t="s">
        <v>1416</v>
      </c>
      <c r="C270" s="922" t="s">
        <v>162</v>
      </c>
      <c r="D270" s="508" t="s">
        <v>162</v>
      </c>
      <c r="E270" s="508"/>
      <c r="F270" s="508"/>
      <c r="G270" s="508" t="s">
        <v>1647</v>
      </c>
      <c r="H270" s="508" t="s">
        <v>465</v>
      </c>
      <c r="I270" s="508">
        <v>0</v>
      </c>
      <c r="J270" s="555" t="s">
        <v>1650</v>
      </c>
      <c r="K270" s="555" t="s">
        <v>1651</v>
      </c>
      <c r="L270" s="911">
        <f ca="1">IFERROR(INDEX(Lists!$O$2:$Z$2,MATCH(TRUE,INDEX((AE270:AP270&lt;&gt;0),0),0)),DATE(2018,1,1))</f>
        <v>43102</v>
      </c>
      <c r="M270" s="911">
        <f ca="1">IFERROR(INDEX(Lists!$O$3:$Z$3, VALUE(SUBSTITUTE(TEXT(ADDRESS(SUMPRODUCT(MAX((COLUMN(AE270:AP270)*(AE270:AP270&gt;0)))),1),),"$A$",""))-30),DATE(2018,1,1))</f>
        <v>43190</v>
      </c>
      <c r="N270" s="508" t="s">
        <v>1652</v>
      </c>
      <c r="O270" s="508" t="s">
        <v>1653</v>
      </c>
      <c r="P270" s="508" t="s">
        <v>1071</v>
      </c>
      <c r="Q270" s="508" t="s">
        <v>1071</v>
      </c>
      <c r="R270" s="508">
        <f t="shared" ca="1" si="119"/>
        <v>0</v>
      </c>
      <c r="S270" s="508" t="str">
        <f t="shared" ca="1" si="120"/>
        <v>Muestras 1</v>
      </c>
      <c r="T270" s="508">
        <f t="shared" ca="1" si="121"/>
        <v>0</v>
      </c>
      <c r="U270" s="508">
        <f t="shared" ca="1" si="122"/>
        <v>0</v>
      </c>
      <c r="V270" s="508" t="str">
        <f t="shared" ca="1" si="123"/>
        <v>Bidding/Licitación</v>
      </c>
      <c r="W270" s="508" t="str">
        <f t="shared" ca="1" si="124"/>
        <v>ALS</v>
      </c>
      <c r="X270" s="508">
        <f t="shared" ca="1" si="125"/>
        <v>0</v>
      </c>
      <c r="Y270" s="508">
        <f t="shared" ca="1" si="126"/>
        <v>0</v>
      </c>
      <c r="Z270" s="508">
        <f t="shared" ca="1" si="127"/>
        <v>0</v>
      </c>
      <c r="AA270" s="508">
        <f t="shared" ca="1" si="128"/>
        <v>0</v>
      </c>
      <c r="AB270" s="508">
        <f t="shared" ca="1" si="118"/>
        <v>3</v>
      </c>
      <c r="AC270" s="508">
        <f t="shared" ca="1" si="129"/>
        <v>12</v>
      </c>
      <c r="AD270" s="912">
        <f t="shared" ca="1" si="130"/>
        <v>180000</v>
      </c>
      <c r="AE270" s="512">
        <f t="shared" ca="1" si="131"/>
        <v>60000</v>
      </c>
      <c r="AF270" s="512">
        <f t="shared" ca="1" si="132"/>
        <v>60000</v>
      </c>
      <c r="AG270" s="512">
        <f t="shared" ca="1" si="133"/>
        <v>60000</v>
      </c>
      <c r="AH270" s="512">
        <f t="shared" ca="1" si="134"/>
        <v>0</v>
      </c>
      <c r="AI270" s="512">
        <f t="shared" ca="1" si="135"/>
        <v>0</v>
      </c>
      <c r="AJ270" s="512">
        <f t="shared" ca="1" si="136"/>
        <v>0</v>
      </c>
      <c r="AK270" s="512">
        <f t="shared" ca="1" si="137"/>
        <v>0</v>
      </c>
      <c r="AL270" s="512">
        <f t="shared" ca="1" si="138"/>
        <v>0</v>
      </c>
      <c r="AM270" s="512">
        <f t="shared" ca="1" si="139"/>
        <v>0</v>
      </c>
      <c r="AN270" s="512">
        <f t="shared" ca="1" si="140"/>
        <v>0</v>
      </c>
      <c r="AO270" s="512">
        <f t="shared" ca="1" si="141"/>
        <v>0</v>
      </c>
      <c r="AP270" s="512">
        <f t="shared" ca="1" si="142"/>
        <v>0</v>
      </c>
      <c r="AQ270" s="512" t="str">
        <f t="shared" ca="1" si="143"/>
        <v>Contrato</v>
      </c>
      <c r="AR270" s="512"/>
      <c r="AS270" s="512" t="str">
        <f t="shared" ca="1" si="144"/>
        <v>Si</v>
      </c>
      <c r="AT270" s="151">
        <f t="shared" ca="1" si="145"/>
        <v>180000</v>
      </c>
      <c r="AU270" s="151">
        <f>IFERROR(VLOOKUP(A270,'[7]TD CuentasBDG'!$N$5:$O$21,2,0),0)</f>
        <v>0</v>
      </c>
      <c r="AV270" t="str">
        <f t="shared" si="146"/>
        <v>Renovación de Contrato</v>
      </c>
      <c r="AW270" t="s">
        <v>2100</v>
      </c>
      <c r="AX270" t="s">
        <v>1702</v>
      </c>
    </row>
    <row r="271" spans="1:50" ht="30" x14ac:dyDescent="0.25">
      <c r="A271" s="508" t="s">
        <v>2104</v>
      </c>
      <c r="B271" s="508" t="s">
        <v>1416</v>
      </c>
      <c r="C271" s="922" t="s">
        <v>162</v>
      </c>
      <c r="D271" s="508" t="s">
        <v>162</v>
      </c>
      <c r="E271" s="508"/>
      <c r="F271" s="508"/>
      <c r="G271" s="508" t="s">
        <v>1647</v>
      </c>
      <c r="H271" s="508" t="s">
        <v>469</v>
      </c>
      <c r="I271" s="508">
        <v>0</v>
      </c>
      <c r="J271" s="555" t="s">
        <v>1650</v>
      </c>
      <c r="K271" s="555" t="s">
        <v>1651</v>
      </c>
      <c r="L271" s="911">
        <f ca="1">IFERROR(INDEX(Lists!$O$2:$Z$2,MATCH(TRUE,INDEX((AE271:AP271&lt;&gt;0),0),0)),DATE(2018,1,1))</f>
        <v>43102</v>
      </c>
      <c r="M271" s="911">
        <f ca="1">IFERROR(INDEX(Lists!$O$3:$Z$3, VALUE(SUBSTITUTE(TEXT(ADDRESS(SUMPRODUCT(MAX((COLUMN(AE271:AP271)*(AE271:AP271&gt;0)))),1),),"$A$",""))-30),DATE(2018,1,1))</f>
        <v>43190</v>
      </c>
      <c r="N271" s="508" t="s">
        <v>1652</v>
      </c>
      <c r="O271" s="508" t="s">
        <v>1653</v>
      </c>
      <c r="P271" s="508" t="s">
        <v>1676</v>
      </c>
      <c r="Q271" s="508" t="s">
        <v>1676</v>
      </c>
      <c r="R271" s="508">
        <f t="shared" ca="1" si="119"/>
        <v>0</v>
      </c>
      <c r="S271" s="508" t="str">
        <f t="shared" ca="1" si="120"/>
        <v>Muestras 2</v>
      </c>
      <c r="T271" s="508">
        <f t="shared" ca="1" si="121"/>
        <v>0</v>
      </c>
      <c r="U271" s="508">
        <f t="shared" ca="1" si="122"/>
        <v>0</v>
      </c>
      <c r="V271" s="508">
        <f t="shared" ca="1" si="123"/>
        <v>0</v>
      </c>
      <c r="W271" s="508" t="str">
        <f t="shared" ca="1" si="124"/>
        <v>IMG</v>
      </c>
      <c r="X271" s="508">
        <f t="shared" ca="1" si="125"/>
        <v>0</v>
      </c>
      <c r="Y271" s="508">
        <f t="shared" ca="1" si="126"/>
        <v>0</v>
      </c>
      <c r="Z271" s="508">
        <f t="shared" ca="1" si="127"/>
        <v>0</v>
      </c>
      <c r="AA271" s="508">
        <f t="shared" ca="1" si="128"/>
        <v>0</v>
      </c>
      <c r="AB271" s="508">
        <f t="shared" ca="1" si="118"/>
        <v>3</v>
      </c>
      <c r="AC271" s="508">
        <f t="shared" ca="1" si="129"/>
        <v>0</v>
      </c>
      <c r="AD271" s="912">
        <f t="shared" ca="1" si="130"/>
        <v>60000</v>
      </c>
      <c r="AE271" s="512">
        <f t="shared" ca="1" si="131"/>
        <v>20000</v>
      </c>
      <c r="AF271" s="512">
        <f t="shared" ca="1" si="132"/>
        <v>20000</v>
      </c>
      <c r="AG271" s="512">
        <f t="shared" ca="1" si="133"/>
        <v>20000</v>
      </c>
      <c r="AH271" s="512">
        <f t="shared" ca="1" si="134"/>
        <v>0</v>
      </c>
      <c r="AI271" s="512">
        <f t="shared" ca="1" si="135"/>
        <v>0</v>
      </c>
      <c r="AJ271" s="512">
        <f t="shared" ca="1" si="136"/>
        <v>0</v>
      </c>
      <c r="AK271" s="512">
        <f t="shared" ca="1" si="137"/>
        <v>0</v>
      </c>
      <c r="AL271" s="512">
        <f t="shared" ca="1" si="138"/>
        <v>0</v>
      </c>
      <c r="AM271" s="512">
        <f t="shared" ca="1" si="139"/>
        <v>0</v>
      </c>
      <c r="AN271" s="512">
        <f t="shared" ca="1" si="140"/>
        <v>0</v>
      </c>
      <c r="AO271" s="512">
        <f t="shared" ca="1" si="141"/>
        <v>0</v>
      </c>
      <c r="AP271" s="512">
        <f t="shared" ca="1" si="142"/>
        <v>0</v>
      </c>
      <c r="AQ271" s="512" t="str">
        <f t="shared" ca="1" si="143"/>
        <v>Contrato</v>
      </c>
      <c r="AR271" s="512"/>
      <c r="AS271" s="512" t="str">
        <f t="shared" ca="1" si="144"/>
        <v>Si</v>
      </c>
      <c r="AT271" s="151">
        <f t="shared" ca="1" si="145"/>
        <v>60000</v>
      </c>
      <c r="AU271" s="151">
        <f>IFERROR(VLOOKUP(A271,'[7]TD CuentasBDG'!$N$5:$O$21,2,0),0)</f>
        <v>0</v>
      </c>
      <c r="AV271" t="str">
        <f t="shared" si="146"/>
        <v>Renovación de Contrato</v>
      </c>
      <c r="AW271" t="s">
        <v>2100</v>
      </c>
      <c r="AX271" t="s">
        <v>1702</v>
      </c>
    </row>
    <row r="272" spans="1:50" ht="45" x14ac:dyDescent="0.25">
      <c r="A272" s="508" t="s">
        <v>2105</v>
      </c>
      <c r="B272" s="508" t="s">
        <v>1416</v>
      </c>
      <c r="C272" s="922" t="s">
        <v>162</v>
      </c>
      <c r="D272" s="508" t="s">
        <v>162</v>
      </c>
      <c r="E272" s="508"/>
      <c r="F272" s="508"/>
      <c r="G272" s="508" t="s">
        <v>1647</v>
      </c>
      <c r="H272" s="508" t="s">
        <v>468</v>
      </c>
      <c r="I272" s="508">
        <v>0</v>
      </c>
      <c r="J272" s="555" t="s">
        <v>1650</v>
      </c>
      <c r="K272" s="555" t="s">
        <v>1651</v>
      </c>
      <c r="L272" s="911">
        <f ca="1">IFERROR(INDEX(Lists!$O$2:$Z$2,MATCH(TRUE,INDEX((AE272:AP272&lt;&gt;0),0),0)),DATE(2018,1,1))</f>
        <v>43102</v>
      </c>
      <c r="M272" s="911">
        <f ca="1">IFERROR(INDEX(Lists!$O$3:$Z$3, VALUE(SUBSTITUTE(TEXT(ADDRESS(SUMPRODUCT(MAX((COLUMN(AE272:AP272)*(AE272:AP272&gt;0)))),1),),"$A$",""))-30),DATE(2018,1,1))</f>
        <v>43190</v>
      </c>
      <c r="N272" s="508" t="s">
        <v>1652</v>
      </c>
      <c r="O272" s="508" t="s">
        <v>1653</v>
      </c>
      <c r="P272" s="508" t="s">
        <v>1071</v>
      </c>
      <c r="Q272" s="508" t="s">
        <v>1071</v>
      </c>
      <c r="R272" s="508">
        <f t="shared" ca="1" si="119"/>
        <v>0</v>
      </c>
      <c r="S272" s="508" t="str">
        <f t="shared" ca="1" si="120"/>
        <v>Arriendo casa geologos</v>
      </c>
      <c r="T272" s="508">
        <f t="shared" ca="1" si="121"/>
        <v>0</v>
      </c>
      <c r="U272" s="508">
        <f t="shared" ca="1" si="122"/>
        <v>0</v>
      </c>
      <c r="V272" s="508">
        <f t="shared" ca="1" si="123"/>
        <v>0</v>
      </c>
      <c r="W272" s="508" t="str">
        <f t="shared" ca="1" si="124"/>
        <v>N/A</v>
      </c>
      <c r="X272" s="508">
        <f t="shared" ca="1" si="125"/>
        <v>0</v>
      </c>
      <c r="Y272" s="508">
        <f t="shared" ca="1" si="126"/>
        <v>0</v>
      </c>
      <c r="Z272" s="508">
        <f t="shared" ca="1" si="127"/>
        <v>0</v>
      </c>
      <c r="AA272" s="508">
        <f t="shared" ca="1" si="128"/>
        <v>0</v>
      </c>
      <c r="AB272" s="508">
        <f t="shared" ca="1" si="118"/>
        <v>3</v>
      </c>
      <c r="AC272" s="508">
        <f t="shared" ca="1" si="129"/>
        <v>0</v>
      </c>
      <c r="AD272" s="912">
        <f t="shared" ca="1" si="130"/>
        <v>4500</v>
      </c>
      <c r="AE272" s="512">
        <f t="shared" ca="1" si="131"/>
        <v>1500</v>
      </c>
      <c r="AF272" s="512">
        <f t="shared" ca="1" si="132"/>
        <v>1500</v>
      </c>
      <c r="AG272" s="512">
        <f t="shared" ca="1" si="133"/>
        <v>1500</v>
      </c>
      <c r="AH272" s="512">
        <f t="shared" ca="1" si="134"/>
        <v>0</v>
      </c>
      <c r="AI272" s="512">
        <f t="shared" ca="1" si="135"/>
        <v>0</v>
      </c>
      <c r="AJ272" s="512">
        <f t="shared" ca="1" si="136"/>
        <v>0</v>
      </c>
      <c r="AK272" s="512">
        <f t="shared" ca="1" si="137"/>
        <v>0</v>
      </c>
      <c r="AL272" s="512">
        <f t="shared" ca="1" si="138"/>
        <v>0</v>
      </c>
      <c r="AM272" s="512">
        <f t="shared" ca="1" si="139"/>
        <v>0</v>
      </c>
      <c r="AN272" s="512">
        <f t="shared" ca="1" si="140"/>
        <v>0</v>
      </c>
      <c r="AO272" s="512">
        <f t="shared" ca="1" si="141"/>
        <v>0</v>
      </c>
      <c r="AP272" s="512">
        <f t="shared" ca="1" si="142"/>
        <v>0</v>
      </c>
      <c r="AQ272" s="512" t="str">
        <f t="shared" ca="1" si="143"/>
        <v>Orden de Servicio Sin Terreno</v>
      </c>
      <c r="AR272" s="512"/>
      <c r="AS272" s="512" t="str">
        <f t="shared" ca="1" si="144"/>
        <v>No</v>
      </c>
      <c r="AT272" s="151">
        <f t="shared" ca="1" si="145"/>
        <v>4500</v>
      </c>
      <c r="AU272" s="151">
        <f>IFERROR(VLOOKUP(A272,'[7]TD CuentasBDG'!$N$5:$O$21,2,0),0)</f>
        <v>0</v>
      </c>
      <c r="AV272" t="str">
        <f t="shared" si="146"/>
        <v>Renovación de Contrato</v>
      </c>
      <c r="AW272" t="s">
        <v>1654</v>
      </c>
      <c r="AX272" t="s">
        <v>1655</v>
      </c>
    </row>
    <row r="273" spans="1:50" ht="30" x14ac:dyDescent="0.25">
      <c r="A273" s="508" t="s">
        <v>2106</v>
      </c>
      <c r="B273" s="508" t="s">
        <v>1416</v>
      </c>
      <c r="C273" s="922" t="s">
        <v>162</v>
      </c>
      <c r="D273" s="508" t="s">
        <v>162</v>
      </c>
      <c r="E273" s="508"/>
      <c r="F273" s="508"/>
      <c r="G273" s="508" t="s">
        <v>1647</v>
      </c>
      <c r="H273" s="508" t="s">
        <v>471</v>
      </c>
      <c r="I273" s="508">
        <v>0</v>
      </c>
      <c r="J273" s="555" t="s">
        <v>1650</v>
      </c>
      <c r="K273" s="555" t="s">
        <v>1651</v>
      </c>
      <c r="L273" s="911">
        <f ca="1">IFERROR(INDEX(Lists!$O$2:$Z$2,MATCH(TRUE,INDEX((AE273:AP273&lt;&gt;0),0),0)),DATE(2018,1,1))</f>
        <v>43102</v>
      </c>
      <c r="M273" s="911">
        <f ca="1">IFERROR(INDEX(Lists!$O$3:$Z$3, VALUE(SUBSTITUTE(TEXT(ADDRESS(SUMPRODUCT(MAX((COLUMN(AE273:AP273)*(AE273:AP273&gt;0)))),1),),"$A$",""))-30),DATE(2018,1,1))</f>
        <v>43131</v>
      </c>
      <c r="N273" s="508" t="s">
        <v>1652</v>
      </c>
      <c r="O273" s="508" t="s">
        <v>1653</v>
      </c>
      <c r="P273" s="508" t="s">
        <v>1071</v>
      </c>
      <c r="Q273" s="508" t="s">
        <v>1676</v>
      </c>
      <c r="R273" s="508">
        <f t="shared" ca="1" si="119"/>
        <v>0</v>
      </c>
      <c r="S273" s="508" t="str">
        <f t="shared" ca="1" si="120"/>
        <v>Extensión campaña de Sondaje</v>
      </c>
      <c r="T273" s="508">
        <f t="shared" ca="1" si="121"/>
        <v>0</v>
      </c>
      <c r="U273" s="508">
        <f t="shared" ca="1" si="122"/>
        <v>0</v>
      </c>
      <c r="V273" s="508">
        <f t="shared" ca="1" si="123"/>
        <v>0</v>
      </c>
      <c r="W273" s="508" t="str">
        <f t="shared" ca="1" si="124"/>
        <v xml:space="preserve">Griffith Drilling </v>
      </c>
      <c r="X273" s="508">
        <f t="shared" ca="1" si="125"/>
        <v>0</v>
      </c>
      <c r="Y273" s="508">
        <f t="shared" ca="1" si="126"/>
        <v>0</v>
      </c>
      <c r="Z273" s="508">
        <f t="shared" ca="1" si="127"/>
        <v>0</v>
      </c>
      <c r="AA273" s="508">
        <f t="shared" ca="1" si="128"/>
        <v>0</v>
      </c>
      <c r="AB273" s="508">
        <f t="shared" ca="1" si="118"/>
        <v>1</v>
      </c>
      <c r="AC273" s="508">
        <f t="shared" ca="1" si="129"/>
        <v>0</v>
      </c>
      <c r="AD273" s="912">
        <f t="shared" ca="1" si="130"/>
        <v>500000</v>
      </c>
      <c r="AE273" s="512">
        <f t="shared" ca="1" si="131"/>
        <v>500000</v>
      </c>
      <c r="AF273" s="512">
        <f t="shared" ca="1" si="132"/>
        <v>0</v>
      </c>
      <c r="AG273" s="512">
        <f t="shared" ca="1" si="133"/>
        <v>0</v>
      </c>
      <c r="AH273" s="512">
        <f t="shared" ca="1" si="134"/>
        <v>0</v>
      </c>
      <c r="AI273" s="512">
        <f t="shared" ca="1" si="135"/>
        <v>0</v>
      </c>
      <c r="AJ273" s="512">
        <f t="shared" ca="1" si="136"/>
        <v>0</v>
      </c>
      <c r="AK273" s="512">
        <f t="shared" ca="1" si="137"/>
        <v>0</v>
      </c>
      <c r="AL273" s="512">
        <f t="shared" ca="1" si="138"/>
        <v>0</v>
      </c>
      <c r="AM273" s="512">
        <f t="shared" ca="1" si="139"/>
        <v>0</v>
      </c>
      <c r="AN273" s="512">
        <f t="shared" ca="1" si="140"/>
        <v>0</v>
      </c>
      <c r="AO273" s="512">
        <f t="shared" ca="1" si="141"/>
        <v>0</v>
      </c>
      <c r="AP273" s="512">
        <f t="shared" ca="1" si="142"/>
        <v>0</v>
      </c>
      <c r="AQ273" s="512" t="str">
        <f t="shared" ca="1" si="143"/>
        <v>Contrato</v>
      </c>
      <c r="AR273" s="512"/>
      <c r="AS273" s="512" t="str">
        <f t="shared" ca="1" si="144"/>
        <v>Si</v>
      </c>
      <c r="AT273" s="151">
        <f t="shared" ca="1" si="145"/>
        <v>500000</v>
      </c>
      <c r="AU273" s="151">
        <f>IFERROR(VLOOKUP(A273,'[7]TD CuentasBDG'!$N$5:$O$21,2,0),0)</f>
        <v>0</v>
      </c>
      <c r="AV273" t="str">
        <f t="shared" si="146"/>
        <v>Renovación de Contrato</v>
      </c>
      <c r="AW273" t="s">
        <v>2060</v>
      </c>
      <c r="AX273" t="s">
        <v>1702</v>
      </c>
    </row>
    <row r="274" spans="1:50" ht="30" x14ac:dyDescent="0.25">
      <c r="A274" s="914" t="s">
        <v>2107</v>
      </c>
      <c r="B274" s="508" t="s">
        <v>1416</v>
      </c>
      <c r="C274" s="922" t="s">
        <v>2108</v>
      </c>
      <c r="D274" s="508" t="s">
        <v>140</v>
      </c>
      <c r="E274" s="508"/>
      <c r="F274" s="508"/>
      <c r="G274" s="508" t="s">
        <v>1707</v>
      </c>
      <c r="H274" s="508"/>
      <c r="I274" s="508"/>
      <c r="J274" s="555"/>
      <c r="K274" s="555"/>
      <c r="L274" s="911">
        <f ca="1">IFERROR(INDEX(Lists!$O$2:$Z$2,MATCH(TRUE,INDEX((AE274:AP274&lt;&gt;0),0),0)),DATE(2018,1,1))</f>
        <v>43102</v>
      </c>
      <c r="M274" s="911">
        <f ca="1">IFERROR(INDEX(Lists!$O$3:$Z$3, VALUE(SUBSTITUTE(TEXT(ADDRESS(SUMPRODUCT(MAX((COLUMN(AE274:AP274)*(AE274:AP274&gt;0)))),1),),"$A$",""))-30),DATE(2018,1,1))</f>
        <v>43465</v>
      </c>
      <c r="N274" s="508"/>
      <c r="O274" s="508"/>
      <c r="P274" s="508"/>
      <c r="Q274" s="508"/>
      <c r="R274" s="508" t="str">
        <f t="shared" ca="1" si="119"/>
        <v>RESOURCES</v>
      </c>
      <c r="S274" s="508" t="str">
        <f t="shared" ca="1" si="120"/>
        <v>Alimentación</v>
      </c>
      <c r="T274" s="508" t="str">
        <f t="shared" ca="1" si="121"/>
        <v>Alimentación para 4 ó 5 personas</v>
      </c>
      <c r="U274" s="508" t="str">
        <f t="shared" ca="1" si="122"/>
        <v>685 / 51-11-3314</v>
      </c>
      <c r="V274" s="508" t="str">
        <f t="shared" ca="1" si="123"/>
        <v>Active Ct</v>
      </c>
      <c r="W274" s="508" t="str">
        <f t="shared" ca="1" si="124"/>
        <v>Santa Isabel</v>
      </c>
      <c r="X274" s="508" t="str">
        <f t="shared" ca="1" si="125"/>
        <v>N/A</v>
      </c>
      <c r="Y274" s="508" t="str">
        <f t="shared" ca="1" si="126"/>
        <v>N/A</v>
      </c>
      <c r="Z274" s="508" t="str">
        <f t="shared" ca="1" si="127"/>
        <v>N/A</v>
      </c>
      <c r="AA274" s="508" t="str">
        <f t="shared" ca="1" si="128"/>
        <v>N/A</v>
      </c>
      <c r="AB274" s="508">
        <f t="shared" ca="1" si="118"/>
        <v>12</v>
      </c>
      <c r="AC274" s="508">
        <f t="shared" ca="1" si="129"/>
        <v>12</v>
      </c>
      <c r="AD274" s="912">
        <f t="shared" ca="1" si="130"/>
        <v>17647.058823529409</v>
      </c>
      <c r="AE274" s="512">
        <f t="shared" ca="1" si="131"/>
        <v>1470.5882352941176</v>
      </c>
      <c r="AF274" s="512">
        <f t="shared" ca="1" si="132"/>
        <v>1470.5882352941176</v>
      </c>
      <c r="AG274" s="512">
        <f t="shared" ca="1" si="133"/>
        <v>1470.5882352941176</v>
      </c>
      <c r="AH274" s="512">
        <f t="shared" ca="1" si="134"/>
        <v>1470.5882352941176</v>
      </c>
      <c r="AI274" s="512">
        <f t="shared" ca="1" si="135"/>
        <v>1470.5882352941176</v>
      </c>
      <c r="AJ274" s="512">
        <f t="shared" ca="1" si="136"/>
        <v>1470.5882352941176</v>
      </c>
      <c r="AK274" s="512">
        <f t="shared" ca="1" si="137"/>
        <v>1470.5882352941176</v>
      </c>
      <c r="AL274" s="512">
        <f t="shared" ca="1" si="138"/>
        <v>1470.5882352941176</v>
      </c>
      <c r="AM274" s="512">
        <f t="shared" ca="1" si="139"/>
        <v>1470.5882352941176</v>
      </c>
      <c r="AN274" s="512">
        <f t="shared" ca="1" si="140"/>
        <v>1470.5882352941176</v>
      </c>
      <c r="AO274" s="512">
        <f t="shared" ca="1" si="141"/>
        <v>1470.5882352941176</v>
      </c>
      <c r="AP274" s="512">
        <f t="shared" ca="1" si="142"/>
        <v>1470.5882352941176</v>
      </c>
      <c r="AQ274" s="512" t="str">
        <f t="shared" si="143"/>
        <v/>
      </c>
      <c r="AR274" s="512"/>
      <c r="AS274" s="512" t="str">
        <f t="shared" si="144"/>
        <v/>
      </c>
      <c r="AT274" s="151">
        <f t="shared" si="145"/>
        <v>0</v>
      </c>
      <c r="AU274" s="151">
        <f>IFERROR(VLOOKUP(A274,'[7]TD CuentasBDG'!$N$5:$O$21,2,0),0)</f>
        <v>0</v>
      </c>
      <c r="AV274">
        <f t="shared" si="146"/>
        <v>0</v>
      </c>
    </row>
    <row r="275" spans="1:50" ht="45" x14ac:dyDescent="0.25">
      <c r="A275" s="914" t="s">
        <v>2109</v>
      </c>
      <c r="B275" s="508" t="s">
        <v>1416</v>
      </c>
      <c r="C275" s="922" t="s">
        <v>2108</v>
      </c>
      <c r="D275" s="508" t="s">
        <v>140</v>
      </c>
      <c r="E275" s="508"/>
      <c r="F275" s="508"/>
      <c r="G275" s="508" t="s">
        <v>1647</v>
      </c>
      <c r="H275" s="508" t="s">
        <v>399</v>
      </c>
      <c r="I275" s="508" t="s">
        <v>2110</v>
      </c>
      <c r="J275" s="555" t="s">
        <v>1650</v>
      </c>
      <c r="K275" s="555" t="s">
        <v>1651</v>
      </c>
      <c r="L275" s="911">
        <f ca="1">IFERROR(INDEX(Lists!$O$2:$Z$2,MATCH(TRUE,INDEX((AE275:AP275&lt;&gt;0),0),0)),DATE(2018,1,1))</f>
        <v>43102</v>
      </c>
      <c r="M275" s="911">
        <f ca="1">IFERROR(INDEX(Lists!$O$3:$Z$3, VALUE(SUBSTITUTE(TEXT(ADDRESS(SUMPRODUCT(MAX((COLUMN(AE275:AP275)*(AE275:AP275&gt;0)))),1),),"$A$",""))-30),DATE(2018,1,1))</f>
        <v>43465</v>
      </c>
      <c r="N275" s="508" t="s">
        <v>1668</v>
      </c>
      <c r="O275" s="508" t="s">
        <v>1786</v>
      </c>
      <c r="P275" s="508" t="s">
        <v>1676</v>
      </c>
      <c r="Q275" s="508" t="s">
        <v>1071</v>
      </c>
      <c r="R275" s="508" t="str">
        <f t="shared" ca="1" si="119"/>
        <v>RESOURCES</v>
      </c>
      <c r="S275" s="508" t="str">
        <f t="shared" ca="1" si="120"/>
        <v>Arriendo grupo generador</v>
      </c>
      <c r="T275" s="508" t="str">
        <f t="shared" ca="1" si="121"/>
        <v>Generador 24/7, precio incluye mantención</v>
      </c>
      <c r="U275" s="508" t="str">
        <f t="shared" ca="1" si="122"/>
        <v>685 / 51-11-3314</v>
      </c>
      <c r="V275" s="508" t="str">
        <f t="shared" ca="1" si="123"/>
        <v>Bid Ct</v>
      </c>
      <c r="W275" s="508" t="str">
        <f t="shared" ca="1" si="124"/>
        <v>Serviterra</v>
      </c>
      <c r="X275" s="508" t="str">
        <f t="shared" ca="1" si="125"/>
        <v>Ene</v>
      </c>
      <c r="Y275" s="508" t="str">
        <f t="shared" ca="1" si="126"/>
        <v>Feb</v>
      </c>
      <c r="Z275" s="508" t="str">
        <f t="shared" ca="1" si="127"/>
        <v>Mar</v>
      </c>
      <c r="AA275" s="508" t="str">
        <f t="shared" ca="1" si="128"/>
        <v>Abr</v>
      </c>
      <c r="AB275" s="508">
        <f t="shared" ca="1" si="118"/>
        <v>12</v>
      </c>
      <c r="AC275" s="508">
        <f t="shared" ca="1" si="129"/>
        <v>0</v>
      </c>
      <c r="AD275" s="912">
        <f t="shared" ca="1" si="130"/>
        <v>17710.588235294159</v>
      </c>
      <c r="AE275" s="512">
        <f t="shared" ca="1" si="131"/>
        <v>1475.88235294118</v>
      </c>
      <c r="AF275" s="512">
        <f t="shared" ca="1" si="132"/>
        <v>1475.88235294118</v>
      </c>
      <c r="AG275" s="512">
        <f t="shared" ca="1" si="133"/>
        <v>1475.88235294118</v>
      </c>
      <c r="AH275" s="512">
        <f t="shared" ca="1" si="134"/>
        <v>1475.88235294118</v>
      </c>
      <c r="AI275" s="512">
        <f t="shared" ca="1" si="135"/>
        <v>1475.88235294118</v>
      </c>
      <c r="AJ275" s="512">
        <f t="shared" ca="1" si="136"/>
        <v>1475.88235294118</v>
      </c>
      <c r="AK275" s="512">
        <f t="shared" ca="1" si="137"/>
        <v>1475.88235294118</v>
      </c>
      <c r="AL275" s="512">
        <f t="shared" ca="1" si="138"/>
        <v>1475.88235294118</v>
      </c>
      <c r="AM275" s="512">
        <f t="shared" ca="1" si="139"/>
        <v>1475.88235294118</v>
      </c>
      <c r="AN275" s="512">
        <f t="shared" ca="1" si="140"/>
        <v>1475.88235294118</v>
      </c>
      <c r="AO275" s="512">
        <f t="shared" ca="1" si="141"/>
        <v>1475.88235294118</v>
      </c>
      <c r="AP275" s="512">
        <f t="shared" ca="1" si="142"/>
        <v>1475.88235294118</v>
      </c>
      <c r="AQ275" s="512" t="str">
        <f t="shared" ca="1" si="143"/>
        <v>Orden de Servicio Sin Terreno</v>
      </c>
      <c r="AR275" s="512"/>
      <c r="AS275" s="512" t="str">
        <f t="shared" ca="1" si="144"/>
        <v>No</v>
      </c>
      <c r="AT275" s="151">
        <f t="shared" ca="1" si="145"/>
        <v>17710.588235294159</v>
      </c>
      <c r="AU275" s="151">
        <f>IFERROR(VLOOKUP(A275,'[7]TD CuentasBDG'!$N$5:$O$21,2,0),0)</f>
        <v>0</v>
      </c>
      <c r="AV275" t="str">
        <f t="shared" ca="1" si="146"/>
        <v>Licitación Corta</v>
      </c>
      <c r="AW275" t="s">
        <v>1798</v>
      </c>
      <c r="AX275" t="s">
        <v>1655</v>
      </c>
    </row>
    <row r="276" spans="1:50" ht="45" x14ac:dyDescent="0.25">
      <c r="A276" s="914" t="s">
        <v>2111</v>
      </c>
      <c r="B276" s="508" t="s">
        <v>1416</v>
      </c>
      <c r="C276" s="922" t="s">
        <v>2108</v>
      </c>
      <c r="D276" s="508" t="s">
        <v>140</v>
      </c>
      <c r="E276" s="508"/>
      <c r="F276" s="508"/>
      <c r="G276" s="508" t="s">
        <v>1647</v>
      </c>
      <c r="H276" s="508" t="s">
        <v>400</v>
      </c>
      <c r="I276" s="508" t="s">
        <v>421</v>
      </c>
      <c r="J276" s="555" t="s">
        <v>1650</v>
      </c>
      <c r="K276" s="555" t="s">
        <v>1651</v>
      </c>
      <c r="L276" s="911">
        <f ca="1">IFERROR(INDEX(Lists!$O$2:$Z$2,MATCH(TRUE,INDEX((AE276:AP276&lt;&gt;0),0),0)),DATE(2018,1,1))</f>
        <v>43102</v>
      </c>
      <c r="M276" s="911">
        <f ca="1">IFERROR(INDEX(Lists!$O$3:$Z$3, VALUE(SUBSTITUTE(TEXT(ADDRESS(SUMPRODUCT(MAX((COLUMN(AE276:AP276)*(AE276:AP276&gt;0)))),1),),"$A$",""))-30),DATE(2018,1,1))</f>
        <v>43465</v>
      </c>
      <c r="N276" s="508" t="s">
        <v>1668</v>
      </c>
      <c r="O276" s="508" t="s">
        <v>1653</v>
      </c>
      <c r="P276" s="508" t="s">
        <v>1676</v>
      </c>
      <c r="Q276" s="508" t="s">
        <v>1071</v>
      </c>
      <c r="R276" s="508" t="str">
        <f t="shared" ca="1" si="119"/>
        <v>RESOURCES</v>
      </c>
      <c r="S276" s="508" t="str">
        <f t="shared" ca="1" si="120"/>
        <v>Servicio de mantención generador propio</v>
      </c>
      <c r="T276" s="508" t="str">
        <f t="shared" ca="1" si="121"/>
        <v>Mantención para generador de respaldo</v>
      </c>
      <c r="U276" s="508" t="str">
        <f t="shared" ca="1" si="122"/>
        <v>685 / 51-11-3314</v>
      </c>
      <c r="V276" s="508" t="str">
        <f t="shared" ca="1" si="123"/>
        <v>Bid OC</v>
      </c>
      <c r="W276" s="508" t="str">
        <f t="shared" ca="1" si="124"/>
        <v>no se ha contratado</v>
      </c>
      <c r="X276" s="508" t="str">
        <f t="shared" ca="1" si="125"/>
        <v>Ene</v>
      </c>
      <c r="Y276" s="508" t="str">
        <f t="shared" ca="1" si="126"/>
        <v>Feb</v>
      </c>
      <c r="Z276" s="508" t="str">
        <f t="shared" ca="1" si="127"/>
        <v>Mar</v>
      </c>
      <c r="AA276" s="508" t="str">
        <f t="shared" ca="1" si="128"/>
        <v>Abr</v>
      </c>
      <c r="AB276" s="508">
        <f t="shared" ca="1" si="118"/>
        <v>12</v>
      </c>
      <c r="AC276" s="508">
        <f t="shared" ca="1" si="129"/>
        <v>0</v>
      </c>
      <c r="AD276" s="912">
        <f t="shared" ca="1" si="130"/>
        <v>2647.0588235294113</v>
      </c>
      <c r="AE276" s="512">
        <f t="shared" ca="1" si="131"/>
        <v>220.58823529411765</v>
      </c>
      <c r="AF276" s="512">
        <f t="shared" ca="1" si="132"/>
        <v>220.58823529411765</v>
      </c>
      <c r="AG276" s="512">
        <f t="shared" ca="1" si="133"/>
        <v>220.58823529411765</v>
      </c>
      <c r="AH276" s="512">
        <f t="shared" ca="1" si="134"/>
        <v>220.58823529411765</v>
      </c>
      <c r="AI276" s="512">
        <f t="shared" ca="1" si="135"/>
        <v>220.58823529411765</v>
      </c>
      <c r="AJ276" s="512">
        <f t="shared" ca="1" si="136"/>
        <v>220.58823529411765</v>
      </c>
      <c r="AK276" s="512">
        <f t="shared" ca="1" si="137"/>
        <v>220.58823529411765</v>
      </c>
      <c r="AL276" s="512">
        <f t="shared" ca="1" si="138"/>
        <v>220.58823529411765</v>
      </c>
      <c r="AM276" s="512">
        <f t="shared" ca="1" si="139"/>
        <v>220.58823529411765</v>
      </c>
      <c r="AN276" s="512">
        <f t="shared" ca="1" si="140"/>
        <v>220.58823529411765</v>
      </c>
      <c r="AO276" s="512">
        <f t="shared" ca="1" si="141"/>
        <v>220.58823529411765</v>
      </c>
      <c r="AP276" s="512">
        <f t="shared" ca="1" si="142"/>
        <v>220.58823529411765</v>
      </c>
      <c r="AQ276" s="512" t="str">
        <f t="shared" ca="1" si="143"/>
        <v>Orden de Servicio Sin Terreno</v>
      </c>
      <c r="AR276" s="512"/>
      <c r="AS276" s="512" t="str">
        <f t="shared" ca="1" si="144"/>
        <v>No</v>
      </c>
      <c r="AT276" s="151">
        <f t="shared" ca="1" si="145"/>
        <v>2647.0588235294113</v>
      </c>
      <c r="AU276" s="151">
        <f>IFERROR(VLOOKUP(A276,'[7]TD CuentasBDG'!$N$5:$O$21,2,0),0)</f>
        <v>0</v>
      </c>
      <c r="AV276" t="str">
        <f t="shared" ca="1" si="146"/>
        <v>Licitación Corta</v>
      </c>
      <c r="AW276" t="s">
        <v>2112</v>
      </c>
      <c r="AX276" t="s">
        <v>1655</v>
      </c>
    </row>
    <row r="277" spans="1:50" ht="30" x14ac:dyDescent="0.25">
      <c r="A277" s="914" t="s">
        <v>2113</v>
      </c>
      <c r="B277" s="508" t="s">
        <v>1416</v>
      </c>
      <c r="C277" s="922" t="s">
        <v>2108</v>
      </c>
      <c r="D277" s="508" t="s">
        <v>140</v>
      </c>
      <c r="E277" s="508"/>
      <c r="F277" s="508"/>
      <c r="G277" s="508" t="s">
        <v>1647</v>
      </c>
      <c r="H277" s="508" t="s">
        <v>401</v>
      </c>
      <c r="I277" s="508" t="s">
        <v>422</v>
      </c>
      <c r="J277" s="555" t="s">
        <v>1650</v>
      </c>
      <c r="K277" s="555" t="s">
        <v>1651</v>
      </c>
      <c r="L277" s="911">
        <f ca="1">IFERROR(INDEX(Lists!$O$2:$Z$2,MATCH(TRUE,INDEX((AE277:AP277&lt;&gt;0),0),0)),DATE(2018,1,1))</f>
        <v>43102</v>
      </c>
      <c r="M277" s="911">
        <f ca="1">IFERROR(INDEX(Lists!$O$3:$Z$3, VALUE(SUBSTITUTE(TEXT(ADDRESS(SUMPRODUCT(MAX((COLUMN(AE277:AP277)*(AE277:AP277&gt;0)))),1),),"$A$",""))-30),DATE(2018,1,1))</f>
        <v>43465</v>
      </c>
      <c r="N277" s="508" t="s">
        <v>1668</v>
      </c>
      <c r="O277" s="508" t="s">
        <v>1653</v>
      </c>
      <c r="P277" s="508" t="s">
        <v>1071</v>
      </c>
      <c r="Q277" s="508" t="s">
        <v>1676</v>
      </c>
      <c r="R277" s="508" t="str">
        <f t="shared" ca="1" si="119"/>
        <v>RESOURCES</v>
      </c>
      <c r="S277" s="508" t="str">
        <f t="shared" ca="1" si="120"/>
        <v xml:space="preserve">Servicio apoyo personal </v>
      </c>
      <c r="T277" s="508" t="str">
        <f t="shared" ca="1" si="121"/>
        <v xml:space="preserve">Personal para reemplazo por vacaciones </v>
      </c>
      <c r="U277" s="508" t="str">
        <f t="shared" ca="1" si="122"/>
        <v>685 / 51-11-3314</v>
      </c>
      <c r="V277" s="508" t="str">
        <f t="shared" ca="1" si="123"/>
        <v>Bid Ct</v>
      </c>
      <c r="W277" s="508" t="str">
        <f t="shared" ca="1" si="124"/>
        <v>Workmate</v>
      </c>
      <c r="X277" s="508" t="str">
        <f t="shared" ca="1" si="125"/>
        <v>Ene</v>
      </c>
      <c r="Y277" s="508" t="str">
        <f t="shared" ca="1" si="126"/>
        <v>Feb</v>
      </c>
      <c r="Z277" s="508" t="str">
        <f t="shared" ca="1" si="127"/>
        <v>Mar</v>
      </c>
      <c r="AA277" s="508" t="str">
        <f t="shared" ca="1" si="128"/>
        <v>Abr</v>
      </c>
      <c r="AB277" s="508">
        <f t="shared" ca="1" si="118"/>
        <v>12</v>
      </c>
      <c r="AC277" s="508">
        <f t="shared" ca="1" si="129"/>
        <v>0</v>
      </c>
      <c r="AD277" s="912">
        <f t="shared" ca="1" si="130"/>
        <v>6617.6470588235297</v>
      </c>
      <c r="AE277" s="512">
        <f t="shared" ca="1" si="131"/>
        <v>2205.8823529411766</v>
      </c>
      <c r="AF277" s="512">
        <f t="shared" ca="1" si="132"/>
        <v>2205.8823529411766</v>
      </c>
      <c r="AG277" s="512">
        <f t="shared" ca="1" si="133"/>
        <v>0</v>
      </c>
      <c r="AH277" s="512">
        <f t="shared" ca="1" si="134"/>
        <v>0</v>
      </c>
      <c r="AI277" s="512">
        <f t="shared" ca="1" si="135"/>
        <v>0</v>
      </c>
      <c r="AJ277" s="512">
        <f t="shared" ca="1" si="136"/>
        <v>0</v>
      </c>
      <c r="AK277" s="512">
        <f t="shared" ca="1" si="137"/>
        <v>0</v>
      </c>
      <c r="AL277" s="512">
        <f t="shared" ca="1" si="138"/>
        <v>0</v>
      </c>
      <c r="AM277" s="512">
        <f t="shared" ca="1" si="139"/>
        <v>0</v>
      </c>
      <c r="AN277" s="512">
        <f t="shared" ca="1" si="140"/>
        <v>0</v>
      </c>
      <c r="AO277" s="512">
        <f t="shared" ca="1" si="141"/>
        <v>0</v>
      </c>
      <c r="AP277" s="512">
        <f t="shared" ca="1" si="142"/>
        <v>2205.8823529411766</v>
      </c>
      <c r="AQ277" s="512" t="str">
        <f t="shared" ca="1" si="143"/>
        <v>Contrato</v>
      </c>
      <c r="AR277" s="512"/>
      <c r="AS277" s="512" t="str">
        <f t="shared" ca="1" si="144"/>
        <v>No</v>
      </c>
      <c r="AT277" s="151">
        <f t="shared" ca="1" si="145"/>
        <v>6617.6470588235297</v>
      </c>
      <c r="AU277" s="151">
        <f>IFERROR(VLOOKUP(A277,'[7]TD CuentasBDG'!$N$5:$O$21,2,0),0)</f>
        <v>0</v>
      </c>
      <c r="AV277" t="str">
        <f t="shared" ca="1" si="146"/>
        <v>Licitación Corta</v>
      </c>
      <c r="AW277" t="s">
        <v>2026</v>
      </c>
      <c r="AX277" t="s">
        <v>1655</v>
      </c>
    </row>
    <row r="278" spans="1:50" ht="30" x14ac:dyDescent="0.25">
      <c r="A278" s="914" t="s">
        <v>2114</v>
      </c>
      <c r="B278" s="508" t="s">
        <v>1416</v>
      </c>
      <c r="C278" s="922" t="s">
        <v>2108</v>
      </c>
      <c r="D278" s="508" t="s">
        <v>140</v>
      </c>
      <c r="E278" s="508"/>
      <c r="F278" s="508"/>
      <c r="G278" s="508" t="s">
        <v>1647</v>
      </c>
      <c r="H278" s="508" t="s">
        <v>402</v>
      </c>
      <c r="I278" s="508" t="s">
        <v>423</v>
      </c>
      <c r="J278" s="555" t="s">
        <v>1650</v>
      </c>
      <c r="K278" s="555" t="s">
        <v>1651</v>
      </c>
      <c r="L278" s="911">
        <f ca="1">IFERROR(INDEX(Lists!$O$2:$Z$2,MATCH(TRUE,INDEX((AE278:AP278&lt;&gt;0),0),0)),DATE(2018,1,1))</f>
        <v>43160</v>
      </c>
      <c r="M278" s="911">
        <f ca="1">IFERROR(INDEX(Lists!$O$3:$Z$3, VALUE(SUBSTITUTE(TEXT(ADDRESS(SUMPRODUCT(MAX((COLUMN(AE278:AP278)*(AE278:AP278&gt;0)))),1),),"$A$",""))-30),DATE(2018,1,1))</f>
        <v>43373</v>
      </c>
      <c r="N278" s="508" t="s">
        <v>1668</v>
      </c>
      <c r="O278" s="508" t="s">
        <v>1653</v>
      </c>
      <c r="P278" s="508" t="s">
        <v>1071</v>
      </c>
      <c r="Q278" s="508" t="s">
        <v>1676</v>
      </c>
      <c r="R278" s="508">
        <f t="shared" ca="1" si="119"/>
        <v>0</v>
      </c>
      <c r="S278" s="508" t="str">
        <f t="shared" ca="1" si="120"/>
        <v>Retiro de Respel</v>
      </c>
      <c r="T278" s="508" t="str">
        <f t="shared" ca="1" si="121"/>
        <v>Retiro de residuos peligrosos cada 6 meses</v>
      </c>
      <c r="U278" s="508" t="str">
        <f t="shared" ca="1" si="122"/>
        <v>685 / 51-11-3314</v>
      </c>
      <c r="V278" s="508" t="str">
        <f t="shared" ca="1" si="123"/>
        <v>Bid OC</v>
      </c>
      <c r="W278" s="508" t="str">
        <f t="shared" ca="1" si="124"/>
        <v>no se ha contratado</v>
      </c>
      <c r="X278" s="508" t="str">
        <f t="shared" ca="1" si="125"/>
        <v>Ene</v>
      </c>
      <c r="Y278" s="508" t="str">
        <f t="shared" ca="1" si="126"/>
        <v>Feb</v>
      </c>
      <c r="Z278" s="508" t="str">
        <f t="shared" ca="1" si="127"/>
        <v>Mar</v>
      </c>
      <c r="AA278" s="508" t="str">
        <f t="shared" ca="1" si="128"/>
        <v>Abr</v>
      </c>
      <c r="AB278" s="508">
        <f t="shared" ca="1" si="118"/>
        <v>7</v>
      </c>
      <c r="AC278" s="508">
        <f t="shared" ca="1" si="129"/>
        <v>0</v>
      </c>
      <c r="AD278" s="912">
        <f t="shared" ca="1" si="130"/>
        <v>5391.1241176470585</v>
      </c>
      <c r="AE278" s="512">
        <f t="shared" ca="1" si="131"/>
        <v>0</v>
      </c>
      <c r="AF278" s="512">
        <f t="shared" ca="1" si="132"/>
        <v>0</v>
      </c>
      <c r="AG278" s="512">
        <f t="shared" ca="1" si="133"/>
        <v>2695.5620588235292</v>
      </c>
      <c r="AH278" s="512">
        <f t="shared" ca="1" si="134"/>
        <v>0</v>
      </c>
      <c r="AI278" s="512">
        <f t="shared" ca="1" si="135"/>
        <v>0</v>
      </c>
      <c r="AJ278" s="512">
        <f t="shared" ca="1" si="136"/>
        <v>0</v>
      </c>
      <c r="AK278" s="512">
        <f t="shared" ca="1" si="137"/>
        <v>0</v>
      </c>
      <c r="AL278" s="512">
        <f t="shared" ca="1" si="138"/>
        <v>0</v>
      </c>
      <c r="AM278" s="512">
        <f t="shared" ca="1" si="139"/>
        <v>2695.5620588235292</v>
      </c>
      <c r="AN278" s="512">
        <f t="shared" ca="1" si="140"/>
        <v>0</v>
      </c>
      <c r="AO278" s="512">
        <f t="shared" ca="1" si="141"/>
        <v>0</v>
      </c>
      <c r="AP278" s="512">
        <f t="shared" ca="1" si="142"/>
        <v>0</v>
      </c>
      <c r="AQ278" s="512" t="str">
        <f t="shared" ca="1" si="143"/>
        <v>Contrato</v>
      </c>
      <c r="AR278" s="512"/>
      <c r="AS278" s="512" t="str">
        <f t="shared" ca="1" si="144"/>
        <v>No</v>
      </c>
      <c r="AT278" s="151">
        <f t="shared" ca="1" si="145"/>
        <v>5391.1241176470585</v>
      </c>
      <c r="AU278" s="151">
        <f>IFERROR(VLOOKUP(A278,'[7]TD CuentasBDG'!$N$5:$O$21,2,0),0)</f>
        <v>0</v>
      </c>
      <c r="AV278" t="str">
        <f t="shared" ca="1" si="146"/>
        <v>Licitación Corta</v>
      </c>
      <c r="AW278" t="s">
        <v>2112</v>
      </c>
      <c r="AX278" t="s">
        <v>1655</v>
      </c>
    </row>
    <row r="279" spans="1:50" ht="45" x14ac:dyDescent="0.25">
      <c r="A279" s="914" t="s">
        <v>2115</v>
      </c>
      <c r="B279" s="508" t="s">
        <v>1416</v>
      </c>
      <c r="C279" s="922" t="s">
        <v>2108</v>
      </c>
      <c r="D279" s="508" t="s">
        <v>140</v>
      </c>
      <c r="E279" s="508"/>
      <c r="F279" s="508"/>
      <c r="G279" s="508" t="s">
        <v>1647</v>
      </c>
      <c r="H279" s="508" t="s">
        <v>403</v>
      </c>
      <c r="I279" s="508" t="s">
        <v>424</v>
      </c>
      <c r="J279" s="555" t="s">
        <v>1650</v>
      </c>
      <c r="K279" s="555" t="s">
        <v>1651</v>
      </c>
      <c r="L279" s="911">
        <f ca="1">IFERROR(INDEX(Lists!$O$2:$Z$2,MATCH(TRUE,INDEX((AE279:AP279&lt;&gt;0),0),0)),DATE(2018,1,1))</f>
        <v>43102</v>
      </c>
      <c r="M279" s="911">
        <f ca="1">IFERROR(INDEX(Lists!$O$3:$Z$3, VALUE(SUBSTITUTE(TEXT(ADDRESS(SUMPRODUCT(MAX((COLUMN(AE279:AP279)*(AE279:AP279&gt;0)))),1),),"$A$",""))-30),DATE(2018,1,1))</f>
        <v>43281</v>
      </c>
      <c r="N279" s="508" t="s">
        <v>1668</v>
      </c>
      <c r="O279" s="508" t="s">
        <v>1786</v>
      </c>
      <c r="P279" s="508" t="s">
        <v>1676</v>
      </c>
      <c r="Q279" s="508" t="s">
        <v>1676</v>
      </c>
      <c r="R279" s="508">
        <f t="shared" ca="1" si="119"/>
        <v>0</v>
      </c>
      <c r="S279" s="508" t="str">
        <f t="shared" ca="1" si="120"/>
        <v>Limpieza fosa séptica y lavado de cámaras de inspección</v>
      </c>
      <c r="T279" s="508" t="str">
        <f t="shared" ca="1" si="121"/>
        <v>Limpieza de fosa y retiro de sólidos una vez al año</v>
      </c>
      <c r="U279" s="508" t="str">
        <f t="shared" ca="1" si="122"/>
        <v>685 / 51-11-3314</v>
      </c>
      <c r="V279" s="508" t="str">
        <f t="shared" ca="1" si="123"/>
        <v>Bid Ct</v>
      </c>
      <c r="W279" s="508" t="str">
        <f t="shared" ca="1" si="124"/>
        <v>bioseptic</v>
      </c>
      <c r="X279" s="508" t="str">
        <f t="shared" ca="1" si="125"/>
        <v>Ene</v>
      </c>
      <c r="Y279" s="508" t="str">
        <f t="shared" ca="1" si="126"/>
        <v>Feb</v>
      </c>
      <c r="Z279" s="508" t="str">
        <f t="shared" ca="1" si="127"/>
        <v>Mar</v>
      </c>
      <c r="AA279" s="508" t="str">
        <f t="shared" ca="1" si="128"/>
        <v>Abr</v>
      </c>
      <c r="AB279" s="508">
        <f t="shared" ca="1" si="118"/>
        <v>6</v>
      </c>
      <c r="AC279" s="508">
        <f t="shared" ca="1" si="129"/>
        <v>0</v>
      </c>
      <c r="AD279" s="912">
        <f t="shared" ca="1" si="130"/>
        <v>2058.8235294117649</v>
      </c>
      <c r="AE279" s="512" t="str">
        <f t="shared" ca="1" si="131"/>
        <v xml:space="preserve"> </v>
      </c>
      <c r="AF279" s="512">
        <f t="shared" ca="1" si="132"/>
        <v>0</v>
      </c>
      <c r="AG279" s="512">
        <f t="shared" ca="1" si="133"/>
        <v>0</v>
      </c>
      <c r="AH279" s="512">
        <f t="shared" ca="1" si="134"/>
        <v>0</v>
      </c>
      <c r="AI279" s="512">
        <f t="shared" ca="1" si="135"/>
        <v>0</v>
      </c>
      <c r="AJ279" s="512">
        <f t="shared" ca="1" si="136"/>
        <v>2058.8235294117649</v>
      </c>
      <c r="AK279" s="512">
        <f t="shared" ca="1" si="137"/>
        <v>0</v>
      </c>
      <c r="AL279" s="512">
        <f t="shared" ca="1" si="138"/>
        <v>0</v>
      </c>
      <c r="AM279" s="512">
        <f t="shared" ca="1" si="139"/>
        <v>0</v>
      </c>
      <c r="AN279" s="512">
        <f t="shared" ca="1" si="140"/>
        <v>0</v>
      </c>
      <c r="AO279" s="512">
        <f t="shared" ca="1" si="141"/>
        <v>0</v>
      </c>
      <c r="AP279" s="512">
        <f t="shared" ca="1" si="142"/>
        <v>0</v>
      </c>
      <c r="AQ279" s="512" t="str">
        <f t="shared" ca="1" si="143"/>
        <v>Contrato</v>
      </c>
      <c r="AR279" s="512"/>
      <c r="AS279" s="512" t="str">
        <f t="shared" ca="1" si="144"/>
        <v>No</v>
      </c>
      <c r="AT279" s="151">
        <f t="shared" ca="1" si="145"/>
        <v>2058.8235294117649</v>
      </c>
      <c r="AU279" s="151">
        <f>IFERROR(VLOOKUP(A279,'[7]TD CuentasBDG'!$N$5:$O$21,2,0),0)</f>
        <v>0</v>
      </c>
      <c r="AV279" t="str">
        <f t="shared" ca="1" si="146"/>
        <v>Licitación Corta</v>
      </c>
      <c r="AW279" t="s">
        <v>2112</v>
      </c>
      <c r="AX279" t="s">
        <v>1655</v>
      </c>
    </row>
    <row r="280" spans="1:50" ht="30" x14ac:dyDescent="0.25">
      <c r="A280" s="914" t="s">
        <v>2116</v>
      </c>
      <c r="B280" s="508" t="s">
        <v>1416</v>
      </c>
      <c r="C280" s="922" t="s">
        <v>2108</v>
      </c>
      <c r="D280" s="508" t="s">
        <v>140</v>
      </c>
      <c r="E280" s="508"/>
      <c r="F280" s="508"/>
      <c r="G280" s="508" t="s">
        <v>1647</v>
      </c>
      <c r="H280" s="508" t="s">
        <v>404</v>
      </c>
      <c r="I280" s="508" t="s">
        <v>404</v>
      </c>
      <c r="J280" s="555" t="s">
        <v>1650</v>
      </c>
      <c r="K280" s="555" t="s">
        <v>1651</v>
      </c>
      <c r="L280" s="911">
        <f ca="1">IFERROR(INDEX(Lists!$O$2:$Z$2,MATCH(TRUE,INDEX((AE280:AP280&lt;&gt;0),0),0)),DATE(2018,1,1))</f>
        <v>43102</v>
      </c>
      <c r="M280" s="911">
        <f ca="1">IFERROR(INDEX(Lists!$O$3:$Z$3, VALUE(SUBSTITUTE(TEXT(ADDRESS(SUMPRODUCT(MAX((COLUMN(AE280:AP280)*(AE280:AP280&gt;0)))),1),),"$A$",""))-30),DATE(2018,1,1))</f>
        <v>43434</v>
      </c>
      <c r="N280" s="508" t="s">
        <v>1668</v>
      </c>
      <c r="O280" s="508" t="s">
        <v>1786</v>
      </c>
      <c r="P280" s="508" t="s">
        <v>1676</v>
      </c>
      <c r="Q280" s="508" t="s">
        <v>1676</v>
      </c>
      <c r="R280" s="508">
        <f t="shared" ca="1" si="119"/>
        <v>0</v>
      </c>
      <c r="S280" s="508" t="str">
        <f t="shared" ca="1" si="120"/>
        <v>Suministro y Traslado de agua potable</v>
      </c>
      <c r="T280" s="508">
        <f t="shared" ca="1" si="121"/>
        <v>0</v>
      </c>
      <c r="U280" s="508" t="str">
        <f t="shared" ca="1" si="122"/>
        <v>685 / 51-11-3314</v>
      </c>
      <c r="V280" s="508" t="str">
        <f t="shared" ca="1" si="123"/>
        <v>Bid OC</v>
      </c>
      <c r="W280" s="508" t="str">
        <f t="shared" ca="1" si="124"/>
        <v>Agua Chañar</v>
      </c>
      <c r="X280" s="508" t="str">
        <f t="shared" ca="1" si="125"/>
        <v>Ene</v>
      </c>
      <c r="Y280" s="508" t="str">
        <f t="shared" ca="1" si="126"/>
        <v>Feb</v>
      </c>
      <c r="Z280" s="508" t="str">
        <f t="shared" ca="1" si="127"/>
        <v>Mar</v>
      </c>
      <c r="AA280" s="508" t="str">
        <f t="shared" ca="1" si="128"/>
        <v>Abr</v>
      </c>
      <c r="AB280" s="508">
        <f t="shared" ca="1" si="118"/>
        <v>11</v>
      </c>
      <c r="AC280" s="508">
        <f t="shared" ca="1" si="129"/>
        <v>0</v>
      </c>
      <c r="AD280" s="912">
        <f t="shared" ca="1" si="130"/>
        <v>3970.588235294118</v>
      </c>
      <c r="AE280" s="512">
        <f t="shared" ca="1" si="131"/>
        <v>661.76470588235293</v>
      </c>
      <c r="AF280" s="512">
        <f t="shared" ca="1" si="132"/>
        <v>0</v>
      </c>
      <c r="AG280" s="512">
        <f t="shared" ca="1" si="133"/>
        <v>661.76470588235293</v>
      </c>
      <c r="AH280" s="512">
        <f t="shared" ca="1" si="134"/>
        <v>0</v>
      </c>
      <c r="AI280" s="512">
        <f t="shared" ca="1" si="135"/>
        <v>661.76470588235293</v>
      </c>
      <c r="AJ280" s="512">
        <f t="shared" ca="1" si="136"/>
        <v>0</v>
      </c>
      <c r="AK280" s="512">
        <f t="shared" ca="1" si="137"/>
        <v>661.76470588235293</v>
      </c>
      <c r="AL280" s="512">
        <f t="shared" ca="1" si="138"/>
        <v>0</v>
      </c>
      <c r="AM280" s="512">
        <f t="shared" ca="1" si="139"/>
        <v>661.76470588235293</v>
      </c>
      <c r="AN280" s="512">
        <f t="shared" ca="1" si="140"/>
        <v>0</v>
      </c>
      <c r="AO280" s="512">
        <f t="shared" ca="1" si="141"/>
        <v>661.76470588235293</v>
      </c>
      <c r="AP280" s="512">
        <f t="shared" ca="1" si="142"/>
        <v>0</v>
      </c>
      <c r="AQ280" s="512" t="str">
        <f t="shared" ca="1" si="143"/>
        <v>Contrato</v>
      </c>
      <c r="AR280" s="512"/>
      <c r="AS280" s="512" t="str">
        <f t="shared" ca="1" si="144"/>
        <v>No</v>
      </c>
      <c r="AT280" s="151">
        <f t="shared" ca="1" si="145"/>
        <v>3970.588235294118</v>
      </c>
      <c r="AU280" s="151">
        <f>IFERROR(VLOOKUP(A280,'[7]TD CuentasBDG'!$N$5:$O$21,2,0),0)</f>
        <v>0</v>
      </c>
      <c r="AV280" t="str">
        <f t="shared" ca="1" si="146"/>
        <v>Licitación Corta</v>
      </c>
      <c r="AW280" t="s">
        <v>2112</v>
      </c>
      <c r="AX280" t="s">
        <v>1655</v>
      </c>
    </row>
    <row r="281" spans="1:50" ht="45" x14ac:dyDescent="0.25">
      <c r="A281" s="914" t="s">
        <v>2117</v>
      </c>
      <c r="B281" s="508" t="s">
        <v>1416</v>
      </c>
      <c r="C281" s="922" t="s">
        <v>2108</v>
      </c>
      <c r="D281" s="508" t="s">
        <v>140</v>
      </c>
      <c r="E281" s="508"/>
      <c r="F281" s="508"/>
      <c r="G281" s="508" t="s">
        <v>1647</v>
      </c>
      <c r="H281" s="508" t="s">
        <v>405</v>
      </c>
      <c r="I281" s="508" t="s">
        <v>405</v>
      </c>
      <c r="J281" s="555" t="s">
        <v>1650</v>
      </c>
      <c r="K281" s="555" t="s">
        <v>1651</v>
      </c>
      <c r="L281" s="911">
        <f ca="1">IFERROR(INDEX(Lists!$O$2:$Z$2,MATCH(TRUE,INDEX((AE281:AP281&lt;&gt;0),0),0)),DATE(2018,1,1))</f>
        <v>43102</v>
      </c>
      <c r="M281" s="911">
        <f ca="1">IFERROR(INDEX(Lists!$O$3:$Z$3, VALUE(SUBSTITUTE(TEXT(ADDRESS(SUMPRODUCT(MAX((COLUMN(AE281:AP281)*(AE281:AP281&gt;0)))),1),),"$A$",""))-30),DATE(2018,1,1))</f>
        <v>43465</v>
      </c>
      <c r="N281" s="508" t="s">
        <v>1668</v>
      </c>
      <c r="O281" s="508" t="s">
        <v>1786</v>
      </c>
      <c r="P281" s="508" t="s">
        <v>1676</v>
      </c>
      <c r="Q281" s="508" t="s">
        <v>1071</v>
      </c>
      <c r="R281" s="508">
        <f t="shared" ca="1" si="119"/>
        <v>0</v>
      </c>
      <c r="S281" s="508" t="str">
        <f t="shared" ca="1" si="120"/>
        <v>Agua envasada</v>
      </c>
      <c r="T281" s="508">
        <f t="shared" ca="1" si="121"/>
        <v>0</v>
      </c>
      <c r="U281" s="508" t="str">
        <f t="shared" ca="1" si="122"/>
        <v>685 / 51-11-3314</v>
      </c>
      <c r="V281" s="508" t="str">
        <f t="shared" ca="1" si="123"/>
        <v>Bid Ct</v>
      </c>
      <c r="W281" s="508" t="str">
        <f t="shared" ca="1" si="124"/>
        <v>Carlos Vergara</v>
      </c>
      <c r="X281" s="508" t="str">
        <f t="shared" ca="1" si="125"/>
        <v>Ene</v>
      </c>
      <c r="Y281" s="508" t="str">
        <f t="shared" ca="1" si="126"/>
        <v>Feb</v>
      </c>
      <c r="Z281" s="508" t="str">
        <f t="shared" ca="1" si="127"/>
        <v>Mar</v>
      </c>
      <c r="AA281" s="508" t="str">
        <f t="shared" ca="1" si="128"/>
        <v>Abr</v>
      </c>
      <c r="AB281" s="508">
        <f t="shared" ca="1" si="118"/>
        <v>12</v>
      </c>
      <c r="AC281" s="508">
        <f t="shared" ca="1" si="129"/>
        <v>0</v>
      </c>
      <c r="AD281" s="912">
        <f t="shared" ca="1" si="130"/>
        <v>2964.705882352941</v>
      </c>
      <c r="AE281" s="512">
        <f t="shared" ca="1" si="131"/>
        <v>247.05882352941177</v>
      </c>
      <c r="AF281" s="512">
        <f t="shared" ca="1" si="132"/>
        <v>247.05882352941177</v>
      </c>
      <c r="AG281" s="512">
        <f t="shared" ca="1" si="133"/>
        <v>247.05882352941177</v>
      </c>
      <c r="AH281" s="512">
        <f t="shared" ca="1" si="134"/>
        <v>247.05882352941177</v>
      </c>
      <c r="AI281" s="512">
        <f t="shared" ca="1" si="135"/>
        <v>247.05882352941177</v>
      </c>
      <c r="AJ281" s="512">
        <f t="shared" ca="1" si="136"/>
        <v>247.05882352941177</v>
      </c>
      <c r="AK281" s="512">
        <f t="shared" ca="1" si="137"/>
        <v>247.05882352941177</v>
      </c>
      <c r="AL281" s="512">
        <f t="shared" ca="1" si="138"/>
        <v>247.05882352941177</v>
      </c>
      <c r="AM281" s="512">
        <f t="shared" ca="1" si="139"/>
        <v>247.05882352941177</v>
      </c>
      <c r="AN281" s="512">
        <f t="shared" ca="1" si="140"/>
        <v>247.05882352941177</v>
      </c>
      <c r="AO281" s="512">
        <f t="shared" ca="1" si="141"/>
        <v>247.05882352941177</v>
      </c>
      <c r="AP281" s="512">
        <f t="shared" ca="1" si="142"/>
        <v>247.05882352941177</v>
      </c>
      <c r="AQ281" s="512" t="str">
        <f t="shared" ca="1" si="143"/>
        <v>Orden de Servicio Sin Terreno</v>
      </c>
      <c r="AR281" s="512"/>
      <c r="AS281" s="512" t="str">
        <f t="shared" ca="1" si="144"/>
        <v>No</v>
      </c>
      <c r="AT281" s="151">
        <f t="shared" ca="1" si="145"/>
        <v>2964.705882352941</v>
      </c>
      <c r="AU281" s="151">
        <f>IFERROR(VLOOKUP(A281,'[7]TD CuentasBDG'!$N$5:$O$21,2,0),0)</f>
        <v>0</v>
      </c>
      <c r="AV281" t="str">
        <f t="shared" ca="1" si="146"/>
        <v>Licitación Corta</v>
      </c>
      <c r="AW281" t="s">
        <v>2112</v>
      </c>
      <c r="AX281" t="s">
        <v>1655</v>
      </c>
    </row>
    <row r="282" spans="1:50" ht="30" x14ac:dyDescent="0.25">
      <c r="A282" s="914" t="s">
        <v>2118</v>
      </c>
      <c r="B282" s="508" t="s">
        <v>1416</v>
      </c>
      <c r="C282" s="922" t="s">
        <v>2108</v>
      </c>
      <c r="D282" s="508" t="s">
        <v>140</v>
      </c>
      <c r="E282" s="508"/>
      <c r="F282" s="508"/>
      <c r="G282" s="508" t="s">
        <v>1707</v>
      </c>
      <c r="H282" s="508"/>
      <c r="I282" s="508"/>
      <c r="J282" s="555"/>
      <c r="K282" s="555"/>
      <c r="L282" s="911">
        <f ca="1">IFERROR(INDEX(Lists!$O$2:$Z$2,MATCH(TRUE,INDEX((AE282:AP282&lt;&gt;0),0),0)),DATE(2018,1,1))</f>
        <v>43102</v>
      </c>
      <c r="M282" s="911">
        <f ca="1">IFERROR(INDEX(Lists!$O$3:$Z$3, VALUE(SUBSTITUTE(TEXT(ADDRESS(SUMPRODUCT(MAX((COLUMN(AE282:AP282)*(AE282:AP282&gt;0)))),1),),"$A$",""))-30),DATE(2018,1,1))</f>
        <v>43465</v>
      </c>
      <c r="N282" s="508"/>
      <c r="O282" s="508"/>
      <c r="P282" s="508"/>
      <c r="Q282" s="508"/>
      <c r="R282" s="508">
        <f t="shared" ca="1" si="119"/>
        <v>0</v>
      </c>
      <c r="S282" s="508" t="str">
        <f t="shared" ca="1" si="120"/>
        <v>Gas licuado</v>
      </c>
      <c r="T282" s="508">
        <f t="shared" ca="1" si="121"/>
        <v>0</v>
      </c>
      <c r="U282" s="508" t="str">
        <f t="shared" ca="1" si="122"/>
        <v>685 / 51-11-3314</v>
      </c>
      <c r="V282" s="508" t="str">
        <f t="shared" ca="1" si="123"/>
        <v>Sole Source OC</v>
      </c>
      <c r="W282" s="508">
        <f t="shared" ca="1" si="124"/>
        <v>0</v>
      </c>
      <c r="X282" s="508" t="str">
        <f t="shared" ca="1" si="125"/>
        <v>Ene</v>
      </c>
      <c r="Y282" s="508" t="str">
        <f t="shared" ca="1" si="126"/>
        <v>Feb</v>
      </c>
      <c r="Z282" s="508" t="str">
        <f t="shared" ca="1" si="127"/>
        <v>Mar</v>
      </c>
      <c r="AA282" s="508" t="str">
        <f t="shared" ca="1" si="128"/>
        <v>Abr</v>
      </c>
      <c r="AB282" s="508">
        <f t="shared" ca="1" si="118"/>
        <v>12</v>
      </c>
      <c r="AC282" s="508">
        <f t="shared" ca="1" si="129"/>
        <v>0</v>
      </c>
      <c r="AD282" s="912">
        <f t="shared" ca="1" si="130"/>
        <v>1217.6470588235295</v>
      </c>
      <c r="AE282" s="512">
        <f t="shared" ca="1" si="131"/>
        <v>101.47058823529412</v>
      </c>
      <c r="AF282" s="512">
        <f t="shared" ca="1" si="132"/>
        <v>101.47058823529412</v>
      </c>
      <c r="AG282" s="512">
        <f t="shared" ca="1" si="133"/>
        <v>101.47058823529412</v>
      </c>
      <c r="AH282" s="512">
        <f t="shared" ca="1" si="134"/>
        <v>101.47058823529412</v>
      </c>
      <c r="AI282" s="512">
        <f t="shared" ca="1" si="135"/>
        <v>101.47058823529412</v>
      </c>
      <c r="AJ282" s="512">
        <f t="shared" ca="1" si="136"/>
        <v>101.47058823529412</v>
      </c>
      <c r="AK282" s="512">
        <f t="shared" ca="1" si="137"/>
        <v>101.47058823529412</v>
      </c>
      <c r="AL282" s="512">
        <f t="shared" ca="1" si="138"/>
        <v>101.47058823529412</v>
      </c>
      <c r="AM282" s="512">
        <f t="shared" ca="1" si="139"/>
        <v>101.47058823529412</v>
      </c>
      <c r="AN282" s="512">
        <f t="shared" ca="1" si="140"/>
        <v>101.47058823529412</v>
      </c>
      <c r="AO282" s="512">
        <f t="shared" ca="1" si="141"/>
        <v>101.47058823529412</v>
      </c>
      <c r="AP282" s="512">
        <f t="shared" ca="1" si="142"/>
        <v>101.47058823529412</v>
      </c>
      <c r="AQ282" s="512" t="str">
        <f t="shared" si="143"/>
        <v/>
      </c>
      <c r="AR282" s="512"/>
      <c r="AS282" s="512" t="str">
        <f t="shared" si="144"/>
        <v/>
      </c>
      <c r="AT282" s="151">
        <f t="shared" si="145"/>
        <v>0</v>
      </c>
      <c r="AU282" s="151">
        <f>IFERROR(VLOOKUP(A282,'[7]TD CuentasBDG'!$N$5:$O$21,2,0),0)</f>
        <v>0</v>
      </c>
      <c r="AV282">
        <f t="shared" si="146"/>
        <v>0</v>
      </c>
    </row>
    <row r="283" spans="1:50" ht="45" x14ac:dyDescent="0.25">
      <c r="A283" s="914" t="s">
        <v>2119</v>
      </c>
      <c r="B283" s="508" t="s">
        <v>1416</v>
      </c>
      <c r="C283" s="922" t="s">
        <v>2108</v>
      </c>
      <c r="D283" s="508" t="s">
        <v>140</v>
      </c>
      <c r="E283" s="508"/>
      <c r="F283" s="508"/>
      <c r="G283" s="508" t="s">
        <v>1707</v>
      </c>
      <c r="H283" s="508"/>
      <c r="I283" s="508"/>
      <c r="J283" s="555"/>
      <c r="K283" s="555"/>
      <c r="L283" s="911">
        <f ca="1">IFERROR(INDEX(Lists!$O$2:$Z$2,MATCH(TRUE,INDEX((AE283:AP283&lt;&gt;0),0),0)),DATE(2018,1,1))</f>
        <v>43102</v>
      </c>
      <c r="M283" s="911">
        <f ca="1">IFERROR(INDEX(Lists!$O$3:$Z$3, VALUE(SUBSTITUTE(TEXT(ADDRESS(SUMPRODUCT(MAX((COLUMN(AE283:AP283)*(AE283:AP283&gt;0)))),1),),"$A$",""))-30),DATE(2018,1,1))</f>
        <v>43465</v>
      </c>
      <c r="N283" s="508"/>
      <c r="O283" s="508"/>
      <c r="P283" s="508"/>
      <c r="Q283" s="508"/>
      <c r="R283" s="508">
        <f t="shared" ca="1" si="119"/>
        <v>0</v>
      </c>
      <c r="S283" s="508" t="str">
        <f t="shared" ca="1" si="120"/>
        <v>Petróleo (generación + camioneta)</v>
      </c>
      <c r="T283" s="508" t="str">
        <f t="shared" ca="1" si="121"/>
        <v>Consumo diario: 80 lt para la generación y 10 litros para camioneta de servicio</v>
      </c>
      <c r="U283" s="508" t="str">
        <f t="shared" ca="1" si="122"/>
        <v>685 / 51-11-3314</v>
      </c>
      <c r="V283" s="508" t="str">
        <f t="shared" ca="1" si="123"/>
        <v>PDN OC</v>
      </c>
      <c r="W283" s="508">
        <f t="shared" ca="1" si="124"/>
        <v>0</v>
      </c>
      <c r="X283" s="508" t="str">
        <f t="shared" ca="1" si="125"/>
        <v>Ene</v>
      </c>
      <c r="Y283" s="508" t="str">
        <f t="shared" ca="1" si="126"/>
        <v>Feb</v>
      </c>
      <c r="Z283" s="508" t="str">
        <f t="shared" ca="1" si="127"/>
        <v>Mar</v>
      </c>
      <c r="AA283" s="508" t="str">
        <f t="shared" ca="1" si="128"/>
        <v>Abr</v>
      </c>
      <c r="AB283" s="508">
        <f t="shared" ca="1" si="118"/>
        <v>12</v>
      </c>
      <c r="AC283" s="508">
        <f t="shared" ca="1" si="129"/>
        <v>0</v>
      </c>
      <c r="AD283" s="912">
        <f t="shared" ca="1" si="130"/>
        <v>19058.823529411766</v>
      </c>
      <c r="AE283" s="512">
        <f t="shared" ca="1" si="131"/>
        <v>1588.2352941176471</v>
      </c>
      <c r="AF283" s="512">
        <f t="shared" ca="1" si="132"/>
        <v>1588.2352941176471</v>
      </c>
      <c r="AG283" s="512">
        <f t="shared" ca="1" si="133"/>
        <v>1588.2352941176471</v>
      </c>
      <c r="AH283" s="512">
        <f t="shared" ca="1" si="134"/>
        <v>1588.2352941176471</v>
      </c>
      <c r="AI283" s="512">
        <f t="shared" ca="1" si="135"/>
        <v>1588.2352941176471</v>
      </c>
      <c r="AJ283" s="512">
        <f t="shared" ca="1" si="136"/>
        <v>1588.2352941176471</v>
      </c>
      <c r="AK283" s="512">
        <f t="shared" ca="1" si="137"/>
        <v>1588.2352941176471</v>
      </c>
      <c r="AL283" s="512">
        <f t="shared" ca="1" si="138"/>
        <v>1588.2352941176471</v>
      </c>
      <c r="AM283" s="512">
        <f t="shared" ca="1" si="139"/>
        <v>1588.2352941176471</v>
      </c>
      <c r="AN283" s="512">
        <f t="shared" ca="1" si="140"/>
        <v>1588.2352941176471</v>
      </c>
      <c r="AO283" s="512">
        <f t="shared" ca="1" si="141"/>
        <v>1588.2352941176471</v>
      </c>
      <c r="AP283" s="512">
        <f t="shared" ca="1" si="142"/>
        <v>1588.2352941176471</v>
      </c>
      <c r="AQ283" s="512" t="str">
        <f t="shared" si="143"/>
        <v/>
      </c>
      <c r="AR283" s="512"/>
      <c r="AS283" s="512" t="str">
        <f t="shared" si="144"/>
        <v/>
      </c>
      <c r="AT283" s="151">
        <f t="shared" si="145"/>
        <v>0</v>
      </c>
      <c r="AU283" s="151">
        <f>IFERROR(VLOOKUP(A283,'[7]TD CuentasBDG'!$N$5:$O$21,2,0),0)</f>
        <v>0</v>
      </c>
      <c r="AV283">
        <f t="shared" si="146"/>
        <v>0</v>
      </c>
    </row>
    <row r="284" spans="1:50" ht="30" x14ac:dyDescent="0.25">
      <c r="A284" s="914" t="s">
        <v>2120</v>
      </c>
      <c r="B284" s="508" t="s">
        <v>1416</v>
      </c>
      <c r="C284" s="922" t="s">
        <v>2108</v>
      </c>
      <c r="D284" s="508" t="s">
        <v>140</v>
      </c>
      <c r="E284" s="508"/>
      <c r="F284" s="508"/>
      <c r="G284" s="508" t="s">
        <v>1707</v>
      </c>
      <c r="H284" s="508"/>
      <c r="I284" s="508"/>
      <c r="J284" s="555"/>
      <c r="K284" s="555"/>
      <c r="L284" s="911">
        <f ca="1">IFERROR(INDEX(Lists!$O$2:$Z$2,MATCH(TRUE,INDEX((AE284:AP284&lt;&gt;0),0),0)),DATE(2018,1,1))</f>
        <v>43132</v>
      </c>
      <c r="M284" s="911">
        <f ca="1">IFERROR(INDEX(Lists!$O$3:$Z$3, VALUE(SUBSTITUTE(TEXT(ADDRESS(SUMPRODUCT(MAX((COLUMN(AE284:AP284)*(AE284:AP284&gt;0)))),1),),"$A$",""))-30),DATE(2018,1,1))</f>
        <v>43465</v>
      </c>
      <c r="N284" s="508"/>
      <c r="O284" s="508"/>
      <c r="P284" s="508"/>
      <c r="Q284" s="508"/>
      <c r="R284" s="508">
        <f t="shared" ca="1" si="119"/>
        <v>0</v>
      </c>
      <c r="S284" s="508" t="str">
        <f t="shared" ca="1" si="120"/>
        <v>Flete por transporte de petróleo</v>
      </c>
      <c r="T284" s="508" t="str">
        <f t="shared" ca="1" si="121"/>
        <v>Transporte de petróleo cada 2 meses</v>
      </c>
      <c r="U284" s="508" t="str">
        <f t="shared" ca="1" si="122"/>
        <v>685 / 51-11-3314</v>
      </c>
      <c r="V284" s="508" t="str">
        <f t="shared" ca="1" si="123"/>
        <v>PDN OS</v>
      </c>
      <c r="W284" s="508">
        <f t="shared" ca="1" si="124"/>
        <v>0</v>
      </c>
      <c r="X284" s="508" t="str">
        <f t="shared" ca="1" si="125"/>
        <v>Ene</v>
      </c>
      <c r="Y284" s="508" t="str">
        <f t="shared" ca="1" si="126"/>
        <v>Feb</v>
      </c>
      <c r="Z284" s="508" t="str">
        <f t="shared" ca="1" si="127"/>
        <v>Mar</v>
      </c>
      <c r="AA284" s="508" t="str">
        <f t="shared" ca="1" si="128"/>
        <v>Abr</v>
      </c>
      <c r="AB284" s="508">
        <f t="shared" ca="1" si="118"/>
        <v>11</v>
      </c>
      <c r="AC284" s="508">
        <f t="shared" ca="1" si="129"/>
        <v>0</v>
      </c>
      <c r="AD284" s="912">
        <f t="shared" ca="1" si="130"/>
        <v>3088.2352941176478</v>
      </c>
      <c r="AE284" s="512">
        <f t="shared" ca="1" si="131"/>
        <v>0</v>
      </c>
      <c r="AF284" s="512">
        <f t="shared" ca="1" si="132"/>
        <v>514.70588235294122</v>
      </c>
      <c r="AG284" s="512">
        <f t="shared" ca="1" si="133"/>
        <v>0</v>
      </c>
      <c r="AH284" s="512">
        <f t="shared" ca="1" si="134"/>
        <v>514.70588235294122</v>
      </c>
      <c r="AI284" s="512">
        <f t="shared" ca="1" si="135"/>
        <v>0</v>
      </c>
      <c r="AJ284" s="512">
        <f t="shared" ca="1" si="136"/>
        <v>514.70588235294122</v>
      </c>
      <c r="AK284" s="512">
        <f t="shared" ca="1" si="137"/>
        <v>0</v>
      </c>
      <c r="AL284" s="512">
        <f t="shared" ca="1" si="138"/>
        <v>514.70588235294122</v>
      </c>
      <c r="AM284" s="512">
        <f t="shared" ca="1" si="139"/>
        <v>0</v>
      </c>
      <c r="AN284" s="512">
        <f t="shared" ca="1" si="140"/>
        <v>514.70588235294122</v>
      </c>
      <c r="AO284" s="512">
        <f t="shared" ca="1" si="141"/>
        <v>0</v>
      </c>
      <c r="AP284" s="512">
        <f t="shared" ca="1" si="142"/>
        <v>514.70588235294122</v>
      </c>
      <c r="AQ284" s="512" t="str">
        <f t="shared" si="143"/>
        <v/>
      </c>
      <c r="AR284" s="512"/>
      <c r="AS284" s="512" t="str">
        <f t="shared" si="144"/>
        <v/>
      </c>
      <c r="AT284" s="151">
        <f t="shared" si="145"/>
        <v>0</v>
      </c>
      <c r="AU284" s="151">
        <f>IFERROR(VLOOKUP(A284,'[7]TD CuentasBDG'!$N$5:$O$21,2,0),0)</f>
        <v>0</v>
      </c>
      <c r="AV284">
        <f t="shared" si="146"/>
        <v>0</v>
      </c>
    </row>
    <row r="285" spans="1:50" ht="30" x14ac:dyDescent="0.25">
      <c r="A285" s="914" t="s">
        <v>2121</v>
      </c>
      <c r="B285" s="508" t="s">
        <v>1416</v>
      </c>
      <c r="C285" s="922" t="s">
        <v>2108</v>
      </c>
      <c r="D285" s="508" t="s">
        <v>140</v>
      </c>
      <c r="E285" s="508"/>
      <c r="F285" s="508"/>
      <c r="G285" s="508" t="s">
        <v>1707</v>
      </c>
      <c r="H285" s="508"/>
      <c r="I285" s="508"/>
      <c r="J285" s="555"/>
      <c r="K285" s="555"/>
      <c r="L285" s="911">
        <f ca="1">IFERROR(INDEX(Lists!$O$2:$Z$2,MATCH(TRUE,INDEX((AE285:AP285&lt;&gt;0),0),0)),DATE(2018,1,1))</f>
        <v>43102</v>
      </c>
      <c r="M285" s="911">
        <f ca="1">IFERROR(INDEX(Lists!$O$3:$Z$3, VALUE(SUBSTITUTE(TEXT(ADDRESS(SUMPRODUCT(MAX((COLUMN(AE285:AP285)*(AE285:AP285&gt;0)))),1),),"$A$",""))-30),DATE(2018,1,1))</f>
        <v>43465</v>
      </c>
      <c r="N285" s="508"/>
      <c r="O285" s="508"/>
      <c r="P285" s="508"/>
      <c r="Q285" s="508"/>
      <c r="R285" s="508">
        <f t="shared" ca="1" si="119"/>
        <v>0</v>
      </c>
      <c r="S285" s="508" t="str">
        <f t="shared" ca="1" si="120"/>
        <v>Televisión satelital</v>
      </c>
      <c r="T285" s="508" t="str">
        <f t="shared" ca="1" si="121"/>
        <v>2 planes de TV satelital</v>
      </c>
      <c r="U285" s="508" t="str">
        <f t="shared" ca="1" si="122"/>
        <v>685 / 51-11-3314</v>
      </c>
      <c r="V285" s="508" t="str">
        <f t="shared" ca="1" si="123"/>
        <v>Bid Ct</v>
      </c>
      <c r="W285" s="508">
        <f t="shared" ca="1" si="124"/>
        <v>0</v>
      </c>
      <c r="X285" s="508" t="str">
        <f t="shared" ca="1" si="125"/>
        <v>Ene</v>
      </c>
      <c r="Y285" s="508" t="str">
        <f t="shared" ca="1" si="126"/>
        <v>Feb</v>
      </c>
      <c r="Z285" s="508" t="str">
        <f t="shared" ca="1" si="127"/>
        <v>Mar</v>
      </c>
      <c r="AA285" s="508" t="str">
        <f t="shared" ca="1" si="128"/>
        <v>Abr</v>
      </c>
      <c r="AB285" s="508">
        <f t="shared" ca="1" si="118"/>
        <v>12</v>
      </c>
      <c r="AC285" s="508">
        <f t="shared" ca="1" si="129"/>
        <v>0</v>
      </c>
      <c r="AD285" s="912">
        <f t="shared" ca="1" si="130"/>
        <v>2823.5294117647063</v>
      </c>
      <c r="AE285" s="512">
        <f t="shared" ca="1" si="131"/>
        <v>235.29411764705881</v>
      </c>
      <c r="AF285" s="512">
        <f t="shared" ca="1" si="132"/>
        <v>235.29411764705881</v>
      </c>
      <c r="AG285" s="512">
        <f t="shared" ca="1" si="133"/>
        <v>235.29411764705881</v>
      </c>
      <c r="AH285" s="512">
        <f t="shared" ca="1" si="134"/>
        <v>235.29411764705881</v>
      </c>
      <c r="AI285" s="512">
        <f t="shared" ca="1" si="135"/>
        <v>235.29411764705881</v>
      </c>
      <c r="AJ285" s="512">
        <f t="shared" ca="1" si="136"/>
        <v>235.29411764705881</v>
      </c>
      <c r="AK285" s="512">
        <f t="shared" ca="1" si="137"/>
        <v>235.29411764705881</v>
      </c>
      <c r="AL285" s="512">
        <f t="shared" ca="1" si="138"/>
        <v>235.29411764705881</v>
      </c>
      <c r="AM285" s="512">
        <f t="shared" ca="1" si="139"/>
        <v>235.29411764705881</v>
      </c>
      <c r="AN285" s="512">
        <f t="shared" ca="1" si="140"/>
        <v>235.29411764705881</v>
      </c>
      <c r="AO285" s="512">
        <f t="shared" ca="1" si="141"/>
        <v>235.29411764705881</v>
      </c>
      <c r="AP285" s="512">
        <f t="shared" ca="1" si="142"/>
        <v>235.29411764705881</v>
      </c>
      <c r="AQ285" s="512" t="str">
        <f t="shared" si="143"/>
        <v/>
      </c>
      <c r="AR285" s="512"/>
      <c r="AS285" s="512" t="str">
        <f t="shared" si="144"/>
        <v/>
      </c>
      <c r="AT285" s="151">
        <f t="shared" si="145"/>
        <v>0</v>
      </c>
      <c r="AU285" s="151">
        <f>IFERROR(VLOOKUP(A285,'[7]TD CuentasBDG'!$N$5:$O$21,2,0),0)</f>
        <v>0</v>
      </c>
      <c r="AV285">
        <f t="shared" si="146"/>
        <v>0</v>
      </c>
    </row>
    <row r="286" spans="1:50" ht="30" x14ac:dyDescent="0.25">
      <c r="A286" s="914" t="s">
        <v>2122</v>
      </c>
      <c r="B286" s="508" t="s">
        <v>1416</v>
      </c>
      <c r="C286" s="922" t="s">
        <v>2108</v>
      </c>
      <c r="D286" s="508" t="s">
        <v>140</v>
      </c>
      <c r="E286" s="508"/>
      <c r="F286" s="508"/>
      <c r="G286" s="508" t="s">
        <v>1647</v>
      </c>
      <c r="H286" s="508" t="s">
        <v>410</v>
      </c>
      <c r="I286" s="508" t="s">
        <v>428</v>
      </c>
      <c r="J286" s="555" t="s">
        <v>1650</v>
      </c>
      <c r="K286" s="555" t="s">
        <v>1651</v>
      </c>
      <c r="L286" s="911">
        <f ca="1">IFERROR(INDEX(Lists!$O$2:$Z$2,MATCH(TRUE,INDEX((AE286:AP286&lt;&gt;0),0),0)),DATE(2018,1,1))</f>
        <v>43102</v>
      </c>
      <c r="M286" s="911">
        <f ca="1">IFERROR(INDEX(Lists!$O$3:$Z$3, VALUE(SUBSTITUTE(TEXT(ADDRESS(SUMPRODUCT(MAX((COLUMN(AE286:AP286)*(AE286:AP286&gt;0)))),1),),"$A$",""))-30),DATE(2018,1,1))</f>
        <v>43465</v>
      </c>
      <c r="N286" s="508" t="s">
        <v>1683</v>
      </c>
      <c r="O286" s="508" t="s">
        <v>1653</v>
      </c>
      <c r="P286" s="508" t="s">
        <v>1676</v>
      </c>
      <c r="Q286" s="508" t="s">
        <v>1676</v>
      </c>
      <c r="R286" s="508">
        <f t="shared" ca="1" si="119"/>
        <v>0</v>
      </c>
      <c r="S286" s="508" t="str">
        <f t="shared" ca="1" si="120"/>
        <v>Control de plagas</v>
      </c>
      <c r="T286" s="508" t="str">
        <f t="shared" ca="1" si="121"/>
        <v>Servicio con dos visitas mensuales</v>
      </c>
      <c r="U286" s="508" t="str">
        <f t="shared" ca="1" si="122"/>
        <v>685 / 51-11-3314</v>
      </c>
      <c r="V286" s="508" t="str">
        <f t="shared" ca="1" si="123"/>
        <v>Bid OC</v>
      </c>
      <c r="W286" s="508">
        <f t="shared" ca="1" si="124"/>
        <v>0</v>
      </c>
      <c r="X286" s="508" t="str">
        <f t="shared" ca="1" si="125"/>
        <v>Ene</v>
      </c>
      <c r="Y286" s="508" t="str">
        <f t="shared" ca="1" si="126"/>
        <v>Feb</v>
      </c>
      <c r="Z286" s="508" t="str">
        <f t="shared" ca="1" si="127"/>
        <v>Mar</v>
      </c>
      <c r="AA286" s="508" t="str">
        <f t="shared" ca="1" si="128"/>
        <v>Abr</v>
      </c>
      <c r="AB286" s="508">
        <f t="shared" ca="1" si="118"/>
        <v>12</v>
      </c>
      <c r="AC286" s="508">
        <f t="shared" ca="1" si="129"/>
        <v>0</v>
      </c>
      <c r="AD286" s="912">
        <f t="shared" ca="1" si="130"/>
        <v>16866.516882352942</v>
      </c>
      <c r="AE286" s="512">
        <f t="shared" ca="1" si="131"/>
        <v>1405.5430735294117</v>
      </c>
      <c r="AF286" s="512">
        <f t="shared" ca="1" si="132"/>
        <v>1405.5430735294117</v>
      </c>
      <c r="AG286" s="512">
        <f t="shared" ca="1" si="133"/>
        <v>1405.5430735294117</v>
      </c>
      <c r="AH286" s="512">
        <f t="shared" ca="1" si="134"/>
        <v>1405.5430735294117</v>
      </c>
      <c r="AI286" s="512">
        <f t="shared" ca="1" si="135"/>
        <v>1405.5430735294117</v>
      </c>
      <c r="AJ286" s="512">
        <f t="shared" ca="1" si="136"/>
        <v>1405.5430735294117</v>
      </c>
      <c r="AK286" s="512">
        <f t="shared" ca="1" si="137"/>
        <v>1405.5430735294117</v>
      </c>
      <c r="AL286" s="512">
        <f t="shared" ca="1" si="138"/>
        <v>1405.5430735294117</v>
      </c>
      <c r="AM286" s="512">
        <f t="shared" ca="1" si="139"/>
        <v>1405.5430735294117</v>
      </c>
      <c r="AN286" s="512">
        <f t="shared" ca="1" si="140"/>
        <v>1405.5430735294117</v>
      </c>
      <c r="AO286" s="512">
        <f t="shared" ca="1" si="141"/>
        <v>1405.5430735294117</v>
      </c>
      <c r="AP286" s="512">
        <f t="shared" ca="1" si="142"/>
        <v>1405.5430735294117</v>
      </c>
      <c r="AQ286" s="512" t="str">
        <f t="shared" ca="1" si="143"/>
        <v>Contrato</v>
      </c>
      <c r="AR286" s="512"/>
      <c r="AS286" s="512" t="str">
        <f t="shared" ca="1" si="144"/>
        <v>No</v>
      </c>
      <c r="AT286" s="151">
        <f t="shared" ca="1" si="145"/>
        <v>16866.516882352942</v>
      </c>
      <c r="AU286" s="151">
        <f>IFERROR(VLOOKUP(A286,'[7]TD CuentasBDG'!$N$5:$O$21,2,0),0)</f>
        <v>0</v>
      </c>
      <c r="AV286" t="str">
        <f t="shared" si="146"/>
        <v>Adjudicación Directa</v>
      </c>
      <c r="AW286" t="s">
        <v>2112</v>
      </c>
      <c r="AX286" t="s">
        <v>1655</v>
      </c>
    </row>
    <row r="287" spans="1:50" ht="45" x14ac:dyDescent="0.25">
      <c r="A287" s="914" t="s">
        <v>2123</v>
      </c>
      <c r="B287" s="508" t="s">
        <v>1416</v>
      </c>
      <c r="C287" s="922" t="s">
        <v>2108</v>
      </c>
      <c r="D287" s="508" t="s">
        <v>140</v>
      </c>
      <c r="E287" s="508"/>
      <c r="F287" s="508"/>
      <c r="G287" s="508" t="s">
        <v>1707</v>
      </c>
      <c r="H287" s="508"/>
      <c r="I287" s="508"/>
      <c r="J287" s="555"/>
      <c r="K287" s="555"/>
      <c r="L287" s="911">
        <f ca="1">IFERROR(INDEX(Lists!$O$2:$Z$2,MATCH(TRUE,INDEX((AE287:AP287&lt;&gt;0),0),0)),DATE(2018,1,1))</f>
        <v>43102</v>
      </c>
      <c r="M287" s="911">
        <f ca="1">IFERROR(INDEX(Lists!$O$3:$Z$3, VALUE(SUBSTITUTE(TEXT(ADDRESS(SUMPRODUCT(MAX((COLUMN(AE287:AP287)*(AE287:AP287&gt;0)))),1),),"$A$",""))-30),DATE(2018,1,1))</f>
        <v>43465</v>
      </c>
      <c r="N287" s="508"/>
      <c r="O287" s="508"/>
      <c r="P287" s="508"/>
      <c r="Q287" s="508"/>
      <c r="R287" s="508">
        <f t="shared" ca="1" si="119"/>
        <v>0</v>
      </c>
      <c r="S287" s="508" t="str">
        <f t="shared" ca="1" si="120"/>
        <v>Mantenciones menores</v>
      </c>
      <c r="T287" s="508" t="str">
        <f t="shared" ca="1" si="121"/>
        <v>Recarga de extintores, gasfiteria, electricidad, reponer cercos y otros</v>
      </c>
      <c r="U287" s="508" t="str">
        <f t="shared" ca="1" si="122"/>
        <v>685 / 51-11-3314</v>
      </c>
      <c r="V287" s="508" t="str">
        <f t="shared" ca="1" si="123"/>
        <v>Bid Ct</v>
      </c>
      <c r="W287" s="508">
        <f t="shared" ca="1" si="124"/>
        <v>0</v>
      </c>
      <c r="X287" s="508" t="str">
        <f t="shared" ca="1" si="125"/>
        <v>Ene</v>
      </c>
      <c r="Y287" s="508" t="str">
        <f t="shared" ca="1" si="126"/>
        <v>Feb</v>
      </c>
      <c r="Z287" s="508" t="str">
        <f t="shared" ca="1" si="127"/>
        <v>Mar</v>
      </c>
      <c r="AA287" s="508" t="str">
        <f t="shared" ca="1" si="128"/>
        <v>Abr</v>
      </c>
      <c r="AB287" s="508">
        <f t="shared" ca="1" si="118"/>
        <v>12</v>
      </c>
      <c r="AC287" s="508">
        <f t="shared" ca="1" si="129"/>
        <v>0</v>
      </c>
      <c r="AD287" s="912">
        <f t="shared" ca="1" si="130"/>
        <v>30000</v>
      </c>
      <c r="AE287" s="512">
        <f t="shared" ca="1" si="131"/>
        <v>2500</v>
      </c>
      <c r="AF287" s="512">
        <f t="shared" ca="1" si="132"/>
        <v>2500</v>
      </c>
      <c r="AG287" s="512">
        <f t="shared" ca="1" si="133"/>
        <v>2500</v>
      </c>
      <c r="AH287" s="512">
        <f t="shared" ca="1" si="134"/>
        <v>2500</v>
      </c>
      <c r="AI287" s="512">
        <f t="shared" ca="1" si="135"/>
        <v>2500</v>
      </c>
      <c r="AJ287" s="512">
        <f t="shared" ca="1" si="136"/>
        <v>2500</v>
      </c>
      <c r="AK287" s="512">
        <f t="shared" ca="1" si="137"/>
        <v>2500</v>
      </c>
      <c r="AL287" s="512">
        <f t="shared" ca="1" si="138"/>
        <v>2500</v>
      </c>
      <c r="AM287" s="512">
        <f t="shared" ca="1" si="139"/>
        <v>2500</v>
      </c>
      <c r="AN287" s="512">
        <f t="shared" ca="1" si="140"/>
        <v>2500</v>
      </c>
      <c r="AO287" s="512">
        <f t="shared" ca="1" si="141"/>
        <v>2500</v>
      </c>
      <c r="AP287" s="512">
        <f t="shared" ca="1" si="142"/>
        <v>2500</v>
      </c>
      <c r="AQ287" s="512" t="str">
        <f t="shared" si="143"/>
        <v/>
      </c>
      <c r="AR287" s="512"/>
      <c r="AS287" s="512" t="str">
        <f t="shared" si="144"/>
        <v/>
      </c>
      <c r="AT287" s="151">
        <f t="shared" si="145"/>
        <v>0</v>
      </c>
      <c r="AU287" s="151">
        <f>IFERROR(VLOOKUP(A287,'[7]TD CuentasBDG'!$N$5:$O$21,2,0),0)</f>
        <v>0</v>
      </c>
      <c r="AV287">
        <f t="shared" si="146"/>
        <v>0</v>
      </c>
    </row>
    <row r="288" spans="1:50" ht="60" x14ac:dyDescent="0.25">
      <c r="A288" s="914" t="s">
        <v>2124</v>
      </c>
      <c r="B288" s="508" t="s">
        <v>1416</v>
      </c>
      <c r="C288" s="922" t="s">
        <v>2108</v>
      </c>
      <c r="D288" s="508" t="s">
        <v>140</v>
      </c>
      <c r="E288" s="508"/>
      <c r="F288" s="508"/>
      <c r="G288" s="508" t="s">
        <v>1707</v>
      </c>
      <c r="H288" s="508"/>
      <c r="I288" s="508"/>
      <c r="J288" s="555"/>
      <c r="K288" s="555"/>
      <c r="L288" s="911">
        <f ca="1">IFERROR(INDEX(Lists!$O$2:$Z$2,MATCH(TRUE,INDEX((AE288:AP288&lt;&gt;0),0),0)),DATE(2018,1,1))</f>
        <v>43160</v>
      </c>
      <c r="M288" s="911">
        <f ca="1">IFERROR(INDEX(Lists!$O$3:$Z$3, VALUE(SUBSTITUTE(TEXT(ADDRESS(SUMPRODUCT(MAX((COLUMN(AE288:AP288)*(AE288:AP288&gt;0)))),1),),"$A$",""))-30),DATE(2018,1,1))</f>
        <v>43343</v>
      </c>
      <c r="N288" s="508"/>
      <c r="O288" s="508"/>
      <c r="P288" s="508"/>
      <c r="Q288" s="508"/>
      <c r="R288" s="508">
        <f t="shared" ca="1" si="119"/>
        <v>0</v>
      </c>
      <c r="S288" s="508" t="str">
        <f t="shared" ca="1" si="120"/>
        <v>Elemento Protección Personal</v>
      </c>
      <c r="T288" s="508" t="str">
        <f t="shared" ca="1" si="121"/>
        <v>Se considera $ 200,000 por personas dos veces al año en verano e invierno, solo para el personal del Camp</v>
      </c>
      <c r="U288" s="508" t="str">
        <f t="shared" ca="1" si="122"/>
        <v>685 / 51-11-3314</v>
      </c>
      <c r="V288" s="508" t="str">
        <f t="shared" ca="1" si="123"/>
        <v>Bid OC</v>
      </c>
      <c r="W288" s="508">
        <f t="shared" ca="1" si="124"/>
        <v>0</v>
      </c>
      <c r="X288" s="508" t="str">
        <f t="shared" ca="1" si="125"/>
        <v>Ene</v>
      </c>
      <c r="Y288" s="508" t="str">
        <f t="shared" ca="1" si="126"/>
        <v>Feb</v>
      </c>
      <c r="Z288" s="508" t="str">
        <f t="shared" ca="1" si="127"/>
        <v>Mar</v>
      </c>
      <c r="AA288" s="508" t="str">
        <f t="shared" ca="1" si="128"/>
        <v>Abr</v>
      </c>
      <c r="AB288" s="508">
        <f t="shared" ca="1" si="118"/>
        <v>6</v>
      </c>
      <c r="AC288" s="508">
        <f t="shared" ca="1" si="129"/>
        <v>0</v>
      </c>
      <c r="AD288" s="912">
        <f t="shared" ca="1" si="130"/>
        <v>3529.4117647058824</v>
      </c>
      <c r="AE288" s="512">
        <f t="shared" ca="1" si="131"/>
        <v>0</v>
      </c>
      <c r="AF288" s="512">
        <f t="shared" ca="1" si="132"/>
        <v>0</v>
      </c>
      <c r="AG288" s="512">
        <f t="shared" ca="1" si="133"/>
        <v>1764.7058823529412</v>
      </c>
      <c r="AH288" s="512">
        <f t="shared" ca="1" si="134"/>
        <v>0</v>
      </c>
      <c r="AI288" s="512">
        <f t="shared" ca="1" si="135"/>
        <v>0</v>
      </c>
      <c r="AJ288" s="512">
        <f t="shared" ca="1" si="136"/>
        <v>0</v>
      </c>
      <c r="AK288" s="512">
        <f t="shared" ca="1" si="137"/>
        <v>0</v>
      </c>
      <c r="AL288" s="512">
        <f t="shared" ca="1" si="138"/>
        <v>1764.7058823529412</v>
      </c>
      <c r="AM288" s="512">
        <f t="shared" ca="1" si="139"/>
        <v>0</v>
      </c>
      <c r="AN288" s="512">
        <f t="shared" ca="1" si="140"/>
        <v>0</v>
      </c>
      <c r="AO288" s="512">
        <f t="shared" ca="1" si="141"/>
        <v>0</v>
      </c>
      <c r="AP288" s="512">
        <f t="shared" ca="1" si="142"/>
        <v>0</v>
      </c>
      <c r="AQ288" s="512" t="str">
        <f t="shared" si="143"/>
        <v/>
      </c>
      <c r="AR288" s="512"/>
      <c r="AS288" s="512" t="str">
        <f t="shared" si="144"/>
        <v/>
      </c>
      <c r="AT288" s="151">
        <f t="shared" si="145"/>
        <v>0</v>
      </c>
      <c r="AU288" s="151">
        <f>IFERROR(VLOOKUP(A288,'[7]TD CuentasBDG'!$N$5:$O$21,2,0),0)</f>
        <v>0</v>
      </c>
      <c r="AV288">
        <f t="shared" si="146"/>
        <v>0</v>
      </c>
    </row>
    <row r="289" spans="1:50" ht="30" x14ac:dyDescent="0.25">
      <c r="A289" s="914" t="s">
        <v>2125</v>
      </c>
      <c r="B289" s="508" t="s">
        <v>1416</v>
      </c>
      <c r="C289" s="922" t="s">
        <v>2108</v>
      </c>
      <c r="D289" s="508" t="s">
        <v>140</v>
      </c>
      <c r="E289" s="508"/>
      <c r="F289" s="508"/>
      <c r="G289" s="508" t="s">
        <v>1647</v>
      </c>
      <c r="H289" s="508" t="s">
        <v>413</v>
      </c>
      <c r="I289" s="508" t="s">
        <v>431</v>
      </c>
      <c r="J289" s="555" t="s">
        <v>1650</v>
      </c>
      <c r="K289" s="555" t="s">
        <v>1651</v>
      </c>
      <c r="L289" s="911">
        <f ca="1">IFERROR(INDEX(Lists!$O$2:$Z$2,MATCH(TRUE,INDEX((AE289:AP289&lt;&gt;0),0),0)),DATE(2018,1,1))</f>
        <v>43102</v>
      </c>
      <c r="M289" s="911">
        <f ca="1">IFERROR(INDEX(Lists!$O$3:$Z$3, VALUE(SUBSTITUTE(TEXT(ADDRESS(SUMPRODUCT(MAX((COLUMN(AE289:AP289)*(AE289:AP289&gt;0)))),1),),"$A$",""))-30),DATE(2018,1,1))</f>
        <v>43465</v>
      </c>
      <c r="N289" s="508" t="s">
        <v>1668</v>
      </c>
      <c r="O289" s="508" t="s">
        <v>1653</v>
      </c>
      <c r="P289" s="508" t="s">
        <v>1071</v>
      </c>
      <c r="Q289" s="508" t="s">
        <v>1676</v>
      </c>
      <c r="R289" s="508">
        <f t="shared" ca="1" si="119"/>
        <v>0</v>
      </c>
      <c r="S289" s="508" t="str">
        <f t="shared" ca="1" si="120"/>
        <v>Aerorescate</v>
      </c>
      <c r="T289" s="508" t="str">
        <f t="shared" ca="1" si="121"/>
        <v xml:space="preserve">Servicio de aerorescate médico </v>
      </c>
      <c r="U289" s="508" t="str">
        <f t="shared" ca="1" si="122"/>
        <v>685 / 51-11-3314</v>
      </c>
      <c r="V289" s="508" t="str">
        <f t="shared" ca="1" si="123"/>
        <v>Bid Ct</v>
      </c>
      <c r="W289" s="508">
        <f t="shared" ca="1" si="124"/>
        <v>0</v>
      </c>
      <c r="X289" s="508" t="str">
        <f t="shared" ca="1" si="125"/>
        <v>Ene</v>
      </c>
      <c r="Y289" s="508" t="str">
        <f t="shared" ca="1" si="126"/>
        <v>Feb</v>
      </c>
      <c r="Z289" s="508" t="str">
        <f t="shared" ca="1" si="127"/>
        <v>Mar</v>
      </c>
      <c r="AA289" s="508" t="str">
        <f t="shared" ca="1" si="128"/>
        <v>Abr</v>
      </c>
      <c r="AB289" s="508">
        <f t="shared" ca="1" si="118"/>
        <v>12</v>
      </c>
      <c r="AC289" s="508">
        <f t="shared" ca="1" si="129"/>
        <v>0</v>
      </c>
      <c r="AD289" s="912">
        <f t="shared" ca="1" si="130"/>
        <v>45600</v>
      </c>
      <c r="AE289" s="512">
        <f t="shared" ca="1" si="131"/>
        <v>3800</v>
      </c>
      <c r="AF289" s="512">
        <f t="shared" ca="1" si="132"/>
        <v>3800</v>
      </c>
      <c r="AG289" s="512">
        <f t="shared" ca="1" si="133"/>
        <v>3800</v>
      </c>
      <c r="AH289" s="512">
        <f t="shared" ca="1" si="134"/>
        <v>3800</v>
      </c>
      <c r="AI289" s="512">
        <f t="shared" ca="1" si="135"/>
        <v>3800</v>
      </c>
      <c r="AJ289" s="512">
        <f t="shared" ca="1" si="136"/>
        <v>3800</v>
      </c>
      <c r="AK289" s="512">
        <f t="shared" ca="1" si="137"/>
        <v>3800</v>
      </c>
      <c r="AL289" s="512">
        <f t="shared" ca="1" si="138"/>
        <v>3800</v>
      </c>
      <c r="AM289" s="512">
        <f t="shared" ca="1" si="139"/>
        <v>3800</v>
      </c>
      <c r="AN289" s="512">
        <f t="shared" ca="1" si="140"/>
        <v>3800</v>
      </c>
      <c r="AO289" s="512">
        <f t="shared" ca="1" si="141"/>
        <v>3800</v>
      </c>
      <c r="AP289" s="512">
        <f t="shared" ca="1" si="142"/>
        <v>3800</v>
      </c>
      <c r="AQ289" s="512" t="str">
        <f t="shared" ca="1" si="143"/>
        <v>Contrato</v>
      </c>
      <c r="AR289" s="512"/>
      <c r="AS289" s="512" t="str">
        <f t="shared" ca="1" si="144"/>
        <v>No</v>
      </c>
      <c r="AT289" s="151">
        <f t="shared" ca="1" si="145"/>
        <v>45600</v>
      </c>
      <c r="AU289" s="151">
        <f>IFERROR(VLOOKUP(A289,'[7]TD CuentasBDG'!$N$5:$O$21,2,0),0)</f>
        <v>0</v>
      </c>
      <c r="AV289" t="str">
        <f t="shared" ca="1" si="146"/>
        <v>Licitación Corta</v>
      </c>
      <c r="AW289" t="s">
        <v>2112</v>
      </c>
      <c r="AX289" t="s">
        <v>1655</v>
      </c>
    </row>
    <row r="290" spans="1:50" ht="30" x14ac:dyDescent="0.25">
      <c r="A290" s="914" t="s">
        <v>2126</v>
      </c>
      <c r="B290" s="508" t="s">
        <v>1416</v>
      </c>
      <c r="C290" s="922" t="s">
        <v>2108</v>
      </c>
      <c r="D290" s="508" t="s">
        <v>140</v>
      </c>
      <c r="E290" s="508"/>
      <c r="F290" s="508"/>
      <c r="G290" s="508" t="s">
        <v>1707</v>
      </c>
      <c r="H290" s="508"/>
      <c r="I290" s="508"/>
      <c r="J290" s="555"/>
      <c r="K290" s="555"/>
      <c r="L290" s="911">
        <f ca="1">IFERROR(INDEX(Lists!$O$2:$Z$2,MATCH(TRUE,INDEX((AE290:AP290&lt;&gt;0),0),0)),DATE(2018,1,1))</f>
        <v>43102</v>
      </c>
      <c r="M290" s="911">
        <f ca="1">IFERROR(INDEX(Lists!$O$3:$Z$3, VALUE(SUBSTITUTE(TEXT(ADDRESS(SUMPRODUCT(MAX((COLUMN(AE290:AP290)*(AE290:AP290&gt;0)))),1),),"$A$",""))-30),DATE(2018,1,1))</f>
        <v>43465</v>
      </c>
      <c r="N290" s="508"/>
      <c r="O290" s="508"/>
      <c r="P290" s="508"/>
      <c r="Q290" s="508"/>
      <c r="R290" s="508">
        <f t="shared" ca="1" si="119"/>
        <v>0</v>
      </c>
      <c r="S290" s="508" t="str">
        <f t="shared" ca="1" si="120"/>
        <v>Lavado de ropa</v>
      </c>
      <c r="T290" s="508" t="str">
        <f t="shared" ca="1" si="121"/>
        <v>Lavado de ropa de cama y ropa del personal del campamento</v>
      </c>
      <c r="U290" s="508" t="str">
        <f t="shared" ca="1" si="122"/>
        <v>685 / 51-11-3314</v>
      </c>
      <c r="V290" s="508" t="str">
        <f t="shared" ca="1" si="123"/>
        <v>Bid OC</v>
      </c>
      <c r="W290" s="508">
        <f t="shared" ca="1" si="124"/>
        <v>0</v>
      </c>
      <c r="X290" s="508" t="str">
        <f t="shared" ca="1" si="125"/>
        <v>Ene</v>
      </c>
      <c r="Y290" s="508" t="str">
        <f t="shared" ca="1" si="126"/>
        <v>Feb</v>
      </c>
      <c r="Z290" s="508" t="str">
        <f t="shared" ca="1" si="127"/>
        <v>Mar</v>
      </c>
      <c r="AA290" s="508" t="str">
        <f t="shared" ca="1" si="128"/>
        <v>Abr</v>
      </c>
      <c r="AB290" s="508">
        <f t="shared" ca="1" si="118"/>
        <v>12</v>
      </c>
      <c r="AC290" s="508">
        <f t="shared" ca="1" si="129"/>
        <v>0</v>
      </c>
      <c r="AD290" s="912">
        <f t="shared" ca="1" si="130"/>
        <v>2400</v>
      </c>
      <c r="AE290" s="512">
        <f t="shared" ca="1" si="131"/>
        <v>200</v>
      </c>
      <c r="AF290" s="512">
        <f t="shared" ca="1" si="132"/>
        <v>200</v>
      </c>
      <c r="AG290" s="512">
        <f t="shared" ca="1" si="133"/>
        <v>200</v>
      </c>
      <c r="AH290" s="512">
        <f t="shared" ca="1" si="134"/>
        <v>200</v>
      </c>
      <c r="AI290" s="512">
        <f t="shared" ca="1" si="135"/>
        <v>200</v>
      </c>
      <c r="AJ290" s="512">
        <f t="shared" ca="1" si="136"/>
        <v>200</v>
      </c>
      <c r="AK290" s="512">
        <f t="shared" ca="1" si="137"/>
        <v>200</v>
      </c>
      <c r="AL290" s="512">
        <f t="shared" ca="1" si="138"/>
        <v>200</v>
      </c>
      <c r="AM290" s="512">
        <f t="shared" ca="1" si="139"/>
        <v>200</v>
      </c>
      <c r="AN290" s="512">
        <f t="shared" ca="1" si="140"/>
        <v>200</v>
      </c>
      <c r="AO290" s="512">
        <f t="shared" ca="1" si="141"/>
        <v>200</v>
      </c>
      <c r="AP290" s="512">
        <f t="shared" ca="1" si="142"/>
        <v>200</v>
      </c>
      <c r="AQ290" s="512" t="str">
        <f t="shared" si="143"/>
        <v/>
      </c>
      <c r="AR290" s="512"/>
      <c r="AS290" s="512" t="str">
        <f t="shared" si="144"/>
        <v/>
      </c>
      <c r="AT290" s="151">
        <f t="shared" si="145"/>
        <v>0</v>
      </c>
      <c r="AU290" s="151">
        <f>IFERROR(VLOOKUP(A290,'[7]TD CuentasBDG'!$N$5:$O$21,2,0),0)</f>
        <v>0</v>
      </c>
      <c r="AV290">
        <f t="shared" si="146"/>
        <v>0</v>
      </c>
    </row>
    <row r="291" spans="1:50" ht="30" x14ac:dyDescent="0.25">
      <c r="A291" s="914" t="s">
        <v>2127</v>
      </c>
      <c r="B291" s="508" t="s">
        <v>1416</v>
      </c>
      <c r="C291" s="922" t="s">
        <v>2108</v>
      </c>
      <c r="D291" s="508" t="s">
        <v>140</v>
      </c>
      <c r="E291" s="508"/>
      <c r="F291" s="508"/>
      <c r="G291" s="508" t="s">
        <v>1707</v>
      </c>
      <c r="H291" s="508"/>
      <c r="I291" s="508"/>
      <c r="J291" s="555"/>
      <c r="K291" s="555"/>
      <c r="L291" s="911">
        <f ca="1">IFERROR(INDEX(Lists!$O$2:$Z$2,MATCH(TRUE,INDEX((AE291:AP291&lt;&gt;0),0),0)),DATE(2018,1,1))</f>
        <v>43102</v>
      </c>
      <c r="M291" s="911">
        <f ca="1">IFERROR(INDEX(Lists!$O$3:$Z$3, VALUE(SUBSTITUTE(TEXT(ADDRESS(SUMPRODUCT(MAX((COLUMN(AE291:AP291)*(AE291:AP291&gt;0)))),1),),"$A$",""))-30),DATE(2018,1,1))</f>
        <v>43465</v>
      </c>
      <c r="N291" s="508"/>
      <c r="O291" s="508"/>
      <c r="P291" s="508"/>
      <c r="Q291" s="508"/>
      <c r="R291" s="508">
        <f t="shared" ca="1" si="119"/>
        <v>0</v>
      </c>
      <c r="S291" s="508" t="str">
        <f t="shared" ca="1" si="120"/>
        <v>Útiles de escritorio</v>
      </c>
      <c r="T291" s="508" t="str">
        <f t="shared" ca="1" si="121"/>
        <v>Papel, lapices, pilas y otros</v>
      </c>
      <c r="U291" s="508" t="str">
        <f t="shared" ca="1" si="122"/>
        <v>685 / 51-11-3314</v>
      </c>
      <c r="V291" s="508" t="str">
        <f t="shared" ca="1" si="123"/>
        <v>Bid Ct</v>
      </c>
      <c r="W291" s="508">
        <f t="shared" ca="1" si="124"/>
        <v>0</v>
      </c>
      <c r="X291" s="508" t="str">
        <f t="shared" ca="1" si="125"/>
        <v>Ene</v>
      </c>
      <c r="Y291" s="508" t="str">
        <f t="shared" ca="1" si="126"/>
        <v>Feb</v>
      </c>
      <c r="Z291" s="508" t="str">
        <f t="shared" ca="1" si="127"/>
        <v>Mar</v>
      </c>
      <c r="AA291" s="508" t="str">
        <f t="shared" ca="1" si="128"/>
        <v>Abr</v>
      </c>
      <c r="AB291" s="508">
        <f t="shared" ca="1" si="118"/>
        <v>12</v>
      </c>
      <c r="AC291" s="508">
        <f t="shared" ca="1" si="129"/>
        <v>0</v>
      </c>
      <c r="AD291" s="912">
        <f t="shared" ca="1" si="130"/>
        <v>1200</v>
      </c>
      <c r="AE291" s="512">
        <f t="shared" ca="1" si="131"/>
        <v>100</v>
      </c>
      <c r="AF291" s="512">
        <f t="shared" ca="1" si="132"/>
        <v>100</v>
      </c>
      <c r="AG291" s="512">
        <f t="shared" ca="1" si="133"/>
        <v>100</v>
      </c>
      <c r="AH291" s="512">
        <f t="shared" ca="1" si="134"/>
        <v>100</v>
      </c>
      <c r="AI291" s="512">
        <f t="shared" ca="1" si="135"/>
        <v>100</v>
      </c>
      <c r="AJ291" s="512">
        <f t="shared" ca="1" si="136"/>
        <v>100</v>
      </c>
      <c r="AK291" s="512">
        <f t="shared" ca="1" si="137"/>
        <v>100</v>
      </c>
      <c r="AL291" s="512">
        <f t="shared" ca="1" si="138"/>
        <v>100</v>
      </c>
      <c r="AM291" s="512">
        <f t="shared" ca="1" si="139"/>
        <v>100</v>
      </c>
      <c r="AN291" s="512">
        <f t="shared" ca="1" si="140"/>
        <v>100</v>
      </c>
      <c r="AO291" s="512">
        <f t="shared" ca="1" si="141"/>
        <v>100</v>
      </c>
      <c r="AP291" s="512">
        <f t="shared" ca="1" si="142"/>
        <v>100</v>
      </c>
      <c r="AQ291" s="512" t="str">
        <f t="shared" si="143"/>
        <v/>
      </c>
      <c r="AR291" s="512"/>
      <c r="AS291" s="512" t="str">
        <f t="shared" si="144"/>
        <v/>
      </c>
      <c r="AT291" s="151">
        <f t="shared" si="145"/>
        <v>0</v>
      </c>
      <c r="AU291" s="151">
        <f>IFERROR(VLOOKUP(A291,'[7]TD CuentasBDG'!$N$5:$O$21,2,0),0)</f>
        <v>0</v>
      </c>
      <c r="AV291">
        <f t="shared" si="146"/>
        <v>0</v>
      </c>
    </row>
    <row r="292" spans="1:50" ht="60" x14ac:dyDescent="0.25">
      <c r="A292" s="914" t="s">
        <v>2128</v>
      </c>
      <c r="B292" s="508" t="s">
        <v>1416</v>
      </c>
      <c r="C292" s="922" t="s">
        <v>2108</v>
      </c>
      <c r="D292" s="508" t="s">
        <v>140</v>
      </c>
      <c r="E292" s="508"/>
      <c r="F292" s="508"/>
      <c r="G292" s="508" t="s">
        <v>1647</v>
      </c>
      <c r="H292" s="508" t="s">
        <v>416</v>
      </c>
      <c r="I292" s="508" t="s">
        <v>434</v>
      </c>
      <c r="J292" s="555" t="s">
        <v>1785</v>
      </c>
      <c r="K292" s="555" t="s">
        <v>1651</v>
      </c>
      <c r="L292" s="911">
        <f ca="1">IFERROR(INDEX(Lists!$O$2:$Z$2,MATCH(TRUE,INDEX((AE292:AP292&lt;&gt;0),0),0)),DATE(2018,1,1))</f>
        <v>43102</v>
      </c>
      <c r="M292" s="911">
        <f ca="1">IFERROR(INDEX(Lists!$O$3:$Z$3, VALUE(SUBSTITUTE(TEXT(ADDRESS(SUMPRODUCT(MAX((COLUMN(AE292:AP292)*(AE292:AP292&gt;0)))),1),),"$A$",""))-30),DATE(2018,1,1))</f>
        <v>43465</v>
      </c>
      <c r="N292" s="508" t="s">
        <v>1652</v>
      </c>
      <c r="O292" s="508" t="s">
        <v>1786</v>
      </c>
      <c r="P292" s="508" t="s">
        <v>1071</v>
      </c>
      <c r="Q292" s="508" t="s">
        <v>1071</v>
      </c>
      <c r="R292" s="508">
        <f t="shared" ca="1" si="119"/>
        <v>0</v>
      </c>
      <c r="S292" s="508" t="str">
        <f t="shared" ca="1" si="120"/>
        <v>Arriendo Bodegas Vallenar</v>
      </c>
      <c r="T292" s="508" t="str">
        <f t="shared" ca="1" si="121"/>
        <v>Arriendo de 5 bodegas en Vallenar. En estas bodegas estan almacenado los sondajes de el morro</v>
      </c>
      <c r="U292" s="508" t="str">
        <f t="shared" ca="1" si="122"/>
        <v>685 / 51-11-3314</v>
      </c>
      <c r="V292" s="508" t="str">
        <f t="shared" ca="1" si="123"/>
        <v>Bid OC</v>
      </c>
      <c r="W292" s="508">
        <f t="shared" ca="1" si="124"/>
        <v>0</v>
      </c>
      <c r="X292" s="508" t="str">
        <f t="shared" ca="1" si="125"/>
        <v>Ene</v>
      </c>
      <c r="Y292" s="508" t="str">
        <f t="shared" ca="1" si="126"/>
        <v>Feb</v>
      </c>
      <c r="Z292" s="508" t="str">
        <f t="shared" ca="1" si="127"/>
        <v>Mar</v>
      </c>
      <c r="AA292" s="508" t="str">
        <f t="shared" ca="1" si="128"/>
        <v>Abr</v>
      </c>
      <c r="AB292" s="508">
        <f t="shared" ca="1" si="118"/>
        <v>12</v>
      </c>
      <c r="AC292" s="508">
        <f t="shared" ca="1" si="129"/>
        <v>0</v>
      </c>
      <c r="AD292" s="912">
        <f t="shared" ca="1" si="130"/>
        <v>75783.801882352942</v>
      </c>
      <c r="AE292" s="512">
        <f t="shared" ca="1" si="131"/>
        <v>6315.3168235294106</v>
      </c>
      <c r="AF292" s="512">
        <f t="shared" ca="1" si="132"/>
        <v>6315.3168235294106</v>
      </c>
      <c r="AG292" s="512">
        <f t="shared" ca="1" si="133"/>
        <v>6315.3168235294106</v>
      </c>
      <c r="AH292" s="512">
        <f t="shared" ca="1" si="134"/>
        <v>6315.3168235294106</v>
      </c>
      <c r="AI292" s="512">
        <f t="shared" ca="1" si="135"/>
        <v>6315.3168235294106</v>
      </c>
      <c r="AJ292" s="512">
        <f t="shared" ca="1" si="136"/>
        <v>6315.3168235294106</v>
      </c>
      <c r="AK292" s="512">
        <f t="shared" ca="1" si="137"/>
        <v>6315.3168235294106</v>
      </c>
      <c r="AL292" s="512">
        <f t="shared" ca="1" si="138"/>
        <v>6315.3168235294106</v>
      </c>
      <c r="AM292" s="512">
        <f t="shared" ca="1" si="139"/>
        <v>6315.3168235294106</v>
      </c>
      <c r="AN292" s="512">
        <f t="shared" ca="1" si="140"/>
        <v>6315.3168235294106</v>
      </c>
      <c r="AO292" s="512">
        <f t="shared" ca="1" si="141"/>
        <v>6315.3168235294106</v>
      </c>
      <c r="AP292" s="512">
        <f t="shared" ca="1" si="142"/>
        <v>6315.3168235294106</v>
      </c>
      <c r="AQ292" s="512" t="str">
        <f t="shared" ca="1" si="143"/>
        <v>Orden de Servicio Sin Terreno</v>
      </c>
      <c r="AR292" s="512"/>
      <c r="AS292" s="512" t="str">
        <f t="shared" ca="1" si="144"/>
        <v>Si</v>
      </c>
      <c r="AT292" s="151">
        <f t="shared" ca="1" si="145"/>
        <v>75783.801882352942</v>
      </c>
      <c r="AU292" s="151">
        <f>IFERROR(VLOOKUP(A292,'[7]TD CuentasBDG'!$N$5:$O$21,2,0),0)</f>
        <v>0</v>
      </c>
      <c r="AV292" t="str">
        <f t="shared" si="146"/>
        <v>Renovación de Contrato</v>
      </c>
      <c r="AW292" t="s">
        <v>1654</v>
      </c>
      <c r="AX292" t="s">
        <v>1655</v>
      </c>
    </row>
    <row r="293" spans="1:50" ht="60" x14ac:dyDescent="0.25">
      <c r="A293" s="914" t="s">
        <v>2129</v>
      </c>
      <c r="B293" s="508" t="s">
        <v>1416</v>
      </c>
      <c r="C293" s="922" t="s">
        <v>2108</v>
      </c>
      <c r="D293" s="508" t="s">
        <v>140</v>
      </c>
      <c r="E293" s="508"/>
      <c r="F293" s="508"/>
      <c r="G293" s="508" t="s">
        <v>1647</v>
      </c>
      <c r="H293" s="508" t="s">
        <v>417</v>
      </c>
      <c r="I293" s="508" t="s">
        <v>2130</v>
      </c>
      <c r="J293" s="555" t="s">
        <v>1785</v>
      </c>
      <c r="K293" s="555" t="s">
        <v>1651</v>
      </c>
      <c r="L293" s="911">
        <f ca="1">IFERROR(INDEX(Lists!$O$2:$Z$2,MATCH(TRUE,INDEX((AE293:AP293&lt;&gt;0),0),0)),DATE(2018,1,1))</f>
        <v>43102</v>
      </c>
      <c r="M293" s="911">
        <f ca="1">IFERROR(INDEX(Lists!$O$3:$Z$3, VALUE(SUBSTITUTE(TEXT(ADDRESS(SUMPRODUCT(MAX((COLUMN(AE293:AP293)*(AE293:AP293&gt;0)))),1),),"$A$",""))-30),DATE(2018,1,1))</f>
        <v>43465</v>
      </c>
      <c r="N293" s="508" t="s">
        <v>1652</v>
      </c>
      <c r="O293" s="508" t="s">
        <v>1653</v>
      </c>
      <c r="P293" s="508" t="s">
        <v>1071</v>
      </c>
      <c r="Q293" s="508" t="s">
        <v>1071</v>
      </c>
      <c r="R293" s="508">
        <f t="shared" ca="1" si="119"/>
        <v>0</v>
      </c>
      <c r="S293" s="508" t="str">
        <f t="shared" ca="1" si="120"/>
        <v>Arriendo camionetas ( 2 )</v>
      </c>
      <c r="T293" s="508" t="str">
        <f t="shared" ca="1" si="121"/>
        <v>Una camioneta de servicio en campamento y otra para traslados entre Vallenar, Relincho, El Pingo y El Morro</v>
      </c>
      <c r="U293" s="508" t="str">
        <f t="shared" ca="1" si="122"/>
        <v>685 / 51-11-3314</v>
      </c>
      <c r="V293" s="508" t="str">
        <f t="shared" ca="1" si="123"/>
        <v>Bid Ct</v>
      </c>
      <c r="W293" s="508">
        <f t="shared" ca="1" si="124"/>
        <v>0</v>
      </c>
      <c r="X293" s="508" t="str">
        <f t="shared" ca="1" si="125"/>
        <v>Ene</v>
      </c>
      <c r="Y293" s="508" t="str">
        <f t="shared" ca="1" si="126"/>
        <v>Feb</v>
      </c>
      <c r="Z293" s="508" t="str">
        <f t="shared" ca="1" si="127"/>
        <v>Mar</v>
      </c>
      <c r="AA293" s="508" t="str">
        <f t="shared" ca="1" si="128"/>
        <v>Abr</v>
      </c>
      <c r="AB293" s="508">
        <f t="shared" ca="1" si="118"/>
        <v>12</v>
      </c>
      <c r="AC293" s="508">
        <f t="shared" ca="1" si="129"/>
        <v>0</v>
      </c>
      <c r="AD293" s="912">
        <f t="shared" ca="1" si="130"/>
        <v>28945.715548235286</v>
      </c>
      <c r="AE293" s="512">
        <f t="shared" ca="1" si="131"/>
        <v>2412.1429623529411</v>
      </c>
      <c r="AF293" s="512">
        <f t="shared" ca="1" si="132"/>
        <v>2412.1429623529411</v>
      </c>
      <c r="AG293" s="512">
        <f t="shared" ca="1" si="133"/>
        <v>2412.1429623529411</v>
      </c>
      <c r="AH293" s="512">
        <f t="shared" ca="1" si="134"/>
        <v>2412.1429623529411</v>
      </c>
      <c r="AI293" s="512">
        <f t="shared" ca="1" si="135"/>
        <v>2412.1429623529411</v>
      </c>
      <c r="AJ293" s="512">
        <f t="shared" ca="1" si="136"/>
        <v>2412.1429623529411</v>
      </c>
      <c r="AK293" s="512">
        <f t="shared" ca="1" si="137"/>
        <v>2412.1429623529411</v>
      </c>
      <c r="AL293" s="512">
        <f t="shared" ca="1" si="138"/>
        <v>2412.1429623529411</v>
      </c>
      <c r="AM293" s="512">
        <f t="shared" ca="1" si="139"/>
        <v>2412.1429623529411</v>
      </c>
      <c r="AN293" s="512">
        <f t="shared" ca="1" si="140"/>
        <v>2412.1429623529411</v>
      </c>
      <c r="AO293" s="512">
        <f t="shared" ca="1" si="141"/>
        <v>2412.1429623529411</v>
      </c>
      <c r="AP293" s="512">
        <f t="shared" ca="1" si="142"/>
        <v>2412.1429623529411</v>
      </c>
      <c r="AQ293" s="512" t="str">
        <f t="shared" ca="1" si="143"/>
        <v>Orden de Servicio Sin Terreno</v>
      </c>
      <c r="AR293" s="512"/>
      <c r="AS293" s="512" t="str">
        <f t="shared" ca="1" si="144"/>
        <v>No</v>
      </c>
      <c r="AT293" s="151">
        <f t="shared" ca="1" si="145"/>
        <v>28945.715548235286</v>
      </c>
      <c r="AU293" s="151">
        <f>IFERROR(VLOOKUP(A293,'[7]TD CuentasBDG'!$N$5:$O$21,2,0),0)</f>
        <v>0</v>
      </c>
      <c r="AV293" t="str">
        <f t="shared" si="146"/>
        <v>Renovación de Contrato</v>
      </c>
      <c r="AW293" t="s">
        <v>1798</v>
      </c>
      <c r="AX293" t="s">
        <v>1655</v>
      </c>
    </row>
    <row r="294" spans="1:50" ht="45" x14ac:dyDescent="0.25">
      <c r="A294" s="914" t="s">
        <v>2131</v>
      </c>
      <c r="B294" s="508" t="s">
        <v>1416</v>
      </c>
      <c r="C294" s="922" t="s">
        <v>2108</v>
      </c>
      <c r="D294" s="508" t="s">
        <v>140</v>
      </c>
      <c r="E294" s="508"/>
      <c r="F294" s="508"/>
      <c r="G294" s="508" t="s">
        <v>1707</v>
      </c>
      <c r="H294" s="508"/>
      <c r="I294" s="508"/>
      <c r="J294" s="555"/>
      <c r="K294" s="555"/>
      <c r="L294" s="911">
        <f ca="1">IFERROR(INDEX(Lists!$O$2:$Z$2,MATCH(TRUE,INDEX((AE294:AP294&lt;&gt;0),0),0)),DATE(2018,1,1))</f>
        <v>43102</v>
      </c>
      <c r="M294" s="911">
        <f ca="1">IFERROR(INDEX(Lists!$O$3:$Z$3, VALUE(SUBSTITUTE(TEXT(ADDRESS(SUMPRODUCT(MAX((COLUMN(AE294:AP294)*(AE294:AP294&gt;0)))),1),),"$A$",""))-30),DATE(2018,1,1))</f>
        <v>43465</v>
      </c>
      <c r="N294" s="508"/>
      <c r="O294" s="508"/>
      <c r="P294" s="508"/>
      <c r="Q294" s="508"/>
      <c r="R294" s="508">
        <f t="shared" ca="1" si="119"/>
        <v>0</v>
      </c>
      <c r="S294" s="508" t="str">
        <f t="shared" ca="1" si="120"/>
        <v>Petróleo Cupón Electrónico camionetas</v>
      </c>
      <c r="T294" s="508" t="str">
        <f t="shared" ca="1" si="121"/>
        <v>Petróleo parala camioneta que tendrá como base Vallenar</v>
      </c>
      <c r="U294" s="508" t="str">
        <f t="shared" ca="1" si="122"/>
        <v>685 / 51-11-3314</v>
      </c>
      <c r="V294" s="508" t="str">
        <f t="shared" ca="1" si="123"/>
        <v>Bid OC</v>
      </c>
      <c r="W294" s="508">
        <f t="shared" ca="1" si="124"/>
        <v>0</v>
      </c>
      <c r="X294" s="508" t="str">
        <f t="shared" ca="1" si="125"/>
        <v>Ene</v>
      </c>
      <c r="Y294" s="508" t="str">
        <f t="shared" ca="1" si="126"/>
        <v>Feb</v>
      </c>
      <c r="Z294" s="508" t="str">
        <f t="shared" ca="1" si="127"/>
        <v>Mar</v>
      </c>
      <c r="AA294" s="508" t="str">
        <f t="shared" ca="1" si="128"/>
        <v>Abr</v>
      </c>
      <c r="AB294" s="508">
        <f t="shared" ca="1" si="118"/>
        <v>12</v>
      </c>
      <c r="AC294" s="508">
        <f t="shared" ca="1" si="129"/>
        <v>0</v>
      </c>
      <c r="AD294" s="912">
        <f t="shared" ca="1" si="130"/>
        <v>1800</v>
      </c>
      <c r="AE294" s="512">
        <f t="shared" ca="1" si="131"/>
        <v>150</v>
      </c>
      <c r="AF294" s="512">
        <f t="shared" ca="1" si="132"/>
        <v>150</v>
      </c>
      <c r="AG294" s="512">
        <f t="shared" ca="1" si="133"/>
        <v>150</v>
      </c>
      <c r="AH294" s="512">
        <f t="shared" ca="1" si="134"/>
        <v>150</v>
      </c>
      <c r="AI294" s="512">
        <f t="shared" ca="1" si="135"/>
        <v>150</v>
      </c>
      <c r="AJ294" s="512">
        <f t="shared" ca="1" si="136"/>
        <v>150</v>
      </c>
      <c r="AK294" s="512">
        <f t="shared" ca="1" si="137"/>
        <v>150</v>
      </c>
      <c r="AL294" s="512">
        <f t="shared" ca="1" si="138"/>
        <v>150</v>
      </c>
      <c r="AM294" s="512">
        <f t="shared" ca="1" si="139"/>
        <v>150</v>
      </c>
      <c r="AN294" s="512">
        <f t="shared" ca="1" si="140"/>
        <v>150</v>
      </c>
      <c r="AO294" s="512">
        <f t="shared" ca="1" si="141"/>
        <v>150</v>
      </c>
      <c r="AP294" s="512">
        <f t="shared" ca="1" si="142"/>
        <v>150</v>
      </c>
      <c r="AQ294" s="512" t="str">
        <f t="shared" si="143"/>
        <v/>
      </c>
      <c r="AR294" s="512"/>
      <c r="AS294" s="512" t="str">
        <f t="shared" si="144"/>
        <v/>
      </c>
      <c r="AT294" s="151">
        <f t="shared" si="145"/>
        <v>0</v>
      </c>
      <c r="AU294" s="151">
        <f>IFERROR(VLOOKUP(A294,'[7]TD CuentasBDG'!$N$5:$O$21,2,0),0)</f>
        <v>0</v>
      </c>
      <c r="AV294">
        <f t="shared" si="146"/>
        <v>0</v>
      </c>
    </row>
    <row r="295" spans="1:50" ht="30" x14ac:dyDescent="0.25">
      <c r="A295" s="914" t="s">
        <v>2132</v>
      </c>
      <c r="B295" s="508" t="s">
        <v>1416</v>
      </c>
      <c r="C295" s="922" t="s">
        <v>2108</v>
      </c>
      <c r="D295" s="508" t="s">
        <v>140</v>
      </c>
      <c r="E295" s="508"/>
      <c r="F295" s="508"/>
      <c r="G295" s="508" t="s">
        <v>1707</v>
      </c>
      <c r="H295" s="508"/>
      <c r="I295" s="508"/>
      <c r="J295" s="555"/>
      <c r="K295" s="555"/>
      <c r="L295" s="911">
        <f ca="1">IFERROR(INDEX(Lists!$O$2:$Z$2,MATCH(TRUE,INDEX((AE295:AP295&lt;&gt;0),0),0)),DATE(2018,1,1))</f>
        <v>43102</v>
      </c>
      <c r="M295" s="911">
        <f ca="1">IFERROR(INDEX(Lists!$O$3:$Z$3, VALUE(SUBSTITUTE(TEXT(ADDRESS(SUMPRODUCT(MAX((COLUMN(AE295:AP295)*(AE295:AP295&gt;0)))),1),),"$A$",""))-30),DATE(2018,1,1))</f>
        <v>43465</v>
      </c>
      <c r="N295" s="508"/>
      <c r="O295" s="508"/>
      <c r="P295" s="508"/>
      <c r="Q295" s="508"/>
      <c r="R295" s="508">
        <f t="shared" ca="1" si="119"/>
        <v>0</v>
      </c>
      <c r="S295" s="508" t="str">
        <f t="shared" ca="1" si="120"/>
        <v xml:space="preserve">other </v>
      </c>
      <c r="T295" s="508">
        <f t="shared" ca="1" si="121"/>
        <v>0</v>
      </c>
      <c r="U295" s="508" t="str">
        <f t="shared" ca="1" si="122"/>
        <v>685 / 51-11-3314</v>
      </c>
      <c r="V295" s="508">
        <f t="shared" ca="1" si="123"/>
        <v>0</v>
      </c>
      <c r="W295" s="508">
        <f t="shared" ca="1" si="124"/>
        <v>0</v>
      </c>
      <c r="X295" s="508">
        <f t="shared" ca="1" si="125"/>
        <v>0</v>
      </c>
      <c r="Y295" s="508">
        <f t="shared" ca="1" si="126"/>
        <v>0</v>
      </c>
      <c r="Z295" s="508">
        <f t="shared" ca="1" si="127"/>
        <v>0</v>
      </c>
      <c r="AA295" s="508">
        <f t="shared" ca="1" si="128"/>
        <v>0</v>
      </c>
      <c r="AB295" s="508">
        <f t="shared" ca="1" si="118"/>
        <v>12</v>
      </c>
      <c r="AC295" s="508">
        <f t="shared" ca="1" si="129"/>
        <v>0</v>
      </c>
      <c r="AD295" s="912">
        <f t="shared" ca="1" si="130"/>
        <v>17146.999999999996</v>
      </c>
      <c r="AE295" s="512">
        <f t="shared" ca="1" si="131"/>
        <v>1428.9166666666667</v>
      </c>
      <c r="AF295" s="512">
        <f t="shared" ca="1" si="132"/>
        <v>1428.9166666666667</v>
      </c>
      <c r="AG295" s="512">
        <f t="shared" ca="1" si="133"/>
        <v>1428.9166666666667</v>
      </c>
      <c r="AH295" s="512">
        <f t="shared" ca="1" si="134"/>
        <v>1428.9166666666667</v>
      </c>
      <c r="AI295" s="512">
        <f t="shared" ca="1" si="135"/>
        <v>1428.9166666666667</v>
      </c>
      <c r="AJ295" s="512">
        <f t="shared" ca="1" si="136"/>
        <v>1428.9166666666667</v>
      </c>
      <c r="AK295" s="512">
        <f t="shared" ca="1" si="137"/>
        <v>1428.9166666666667</v>
      </c>
      <c r="AL295" s="512">
        <f t="shared" ca="1" si="138"/>
        <v>1428.9166666666667</v>
      </c>
      <c r="AM295" s="512">
        <f t="shared" ca="1" si="139"/>
        <v>1428.9166666666667</v>
      </c>
      <c r="AN295" s="512">
        <f t="shared" ca="1" si="140"/>
        <v>1428.9166666666667</v>
      </c>
      <c r="AO295" s="512">
        <f t="shared" ca="1" si="141"/>
        <v>1428.9166666666667</v>
      </c>
      <c r="AP295" s="512">
        <f t="shared" ca="1" si="142"/>
        <v>1428.9166666666667</v>
      </c>
      <c r="AQ295" s="512" t="str">
        <f t="shared" si="143"/>
        <v/>
      </c>
      <c r="AR295" s="512"/>
      <c r="AS295" s="512" t="str">
        <f t="shared" si="144"/>
        <v/>
      </c>
      <c r="AT295" s="151">
        <f t="shared" si="145"/>
        <v>0</v>
      </c>
      <c r="AU295" s="151">
        <f>IFERROR(VLOOKUP(A295,'[7]TD CuentasBDG'!$N$5:$O$21,2,0),0)</f>
        <v>0</v>
      </c>
      <c r="AV295">
        <f t="shared" si="146"/>
        <v>0</v>
      </c>
    </row>
    <row r="296" spans="1:50" ht="45" x14ac:dyDescent="0.25">
      <c r="A296" s="914" t="s">
        <v>2133</v>
      </c>
      <c r="B296" s="508" t="s">
        <v>1416</v>
      </c>
      <c r="C296" s="922" t="s">
        <v>463</v>
      </c>
      <c r="D296" s="508" t="s">
        <v>140</v>
      </c>
      <c r="E296" s="508"/>
      <c r="F296" s="508"/>
      <c r="G296" s="508" t="s">
        <v>1647</v>
      </c>
      <c r="H296" s="508" t="s">
        <v>450</v>
      </c>
      <c r="I296" s="508" t="s">
        <v>2134</v>
      </c>
      <c r="J296" s="555" t="s">
        <v>1650</v>
      </c>
      <c r="K296" s="555" t="s">
        <v>1651</v>
      </c>
      <c r="L296" s="911">
        <f ca="1">IFERROR(INDEX(Lists!$O$2:$Z$2,MATCH(TRUE,INDEX((AE296:AP296&lt;&gt;0),0),0)),DATE(2018,1,1))</f>
        <v>43102</v>
      </c>
      <c r="M296" s="911">
        <f ca="1">IFERROR(INDEX(Lists!$O$3:$Z$3, VALUE(SUBSTITUTE(TEXT(ADDRESS(SUMPRODUCT(MAX((COLUMN(AE296:AP296)*(AE296:AP296&gt;0)))),1),),"$A$",""))-30),DATE(2018,1,1))</f>
        <v>43465</v>
      </c>
      <c r="N296" s="508" t="s">
        <v>1668</v>
      </c>
      <c r="O296" s="508" t="s">
        <v>1786</v>
      </c>
      <c r="P296" s="508" t="s">
        <v>1676</v>
      </c>
      <c r="Q296" s="508" t="s">
        <v>1676</v>
      </c>
      <c r="R296" s="508">
        <f t="shared" ca="1" si="119"/>
        <v>0</v>
      </c>
      <c r="S296" s="508" t="str">
        <f t="shared" ca="1" si="120"/>
        <v xml:space="preserve">Servicio de resguardo y mantención </v>
      </c>
      <c r="T296" s="508" t="str">
        <f t="shared" ca="1" si="121"/>
        <v>El servicio incluye personal, alimentación, generación, camioneta, petróleo y TV Satelital</v>
      </c>
      <c r="U296" s="508" t="str">
        <f t="shared" ca="1" si="122"/>
        <v>685 / 51-11-3314</v>
      </c>
      <c r="V296" s="508" t="str">
        <f t="shared" ca="1" si="123"/>
        <v>Active Ct</v>
      </c>
      <c r="W296" s="508">
        <f t="shared" ca="1" si="124"/>
        <v>0</v>
      </c>
      <c r="X296" s="508" t="str">
        <f t="shared" ca="1" si="125"/>
        <v>Ene</v>
      </c>
      <c r="Y296" s="508" t="str">
        <f t="shared" ca="1" si="126"/>
        <v>Feb</v>
      </c>
      <c r="Z296" s="508" t="str">
        <f t="shared" ca="1" si="127"/>
        <v>Mar</v>
      </c>
      <c r="AA296" s="508" t="str">
        <f t="shared" ca="1" si="128"/>
        <v>Abr</v>
      </c>
      <c r="AB296" s="508">
        <f t="shared" ca="1" si="118"/>
        <v>12</v>
      </c>
      <c r="AC296" s="508">
        <f t="shared" ca="1" si="129"/>
        <v>0</v>
      </c>
      <c r="AD296" s="912">
        <f t="shared" ca="1" si="130"/>
        <v>172764.70588235295</v>
      </c>
      <c r="AE296" s="512">
        <f t="shared" ca="1" si="131"/>
        <v>14397.058823529413</v>
      </c>
      <c r="AF296" s="512">
        <f t="shared" ca="1" si="132"/>
        <v>14397.058823529413</v>
      </c>
      <c r="AG296" s="512">
        <f t="shared" ca="1" si="133"/>
        <v>14397.058823529413</v>
      </c>
      <c r="AH296" s="512">
        <f t="shared" ca="1" si="134"/>
        <v>14397.058823529413</v>
      </c>
      <c r="AI296" s="512">
        <f t="shared" ca="1" si="135"/>
        <v>14397.058823529413</v>
      </c>
      <c r="AJ296" s="512">
        <f t="shared" ca="1" si="136"/>
        <v>14397.058823529413</v>
      </c>
      <c r="AK296" s="512">
        <f t="shared" ca="1" si="137"/>
        <v>14397.058823529413</v>
      </c>
      <c r="AL296" s="512">
        <f t="shared" ca="1" si="138"/>
        <v>14397.058823529413</v>
      </c>
      <c r="AM296" s="512">
        <f t="shared" ca="1" si="139"/>
        <v>14397.058823529413</v>
      </c>
      <c r="AN296" s="512">
        <f t="shared" ca="1" si="140"/>
        <v>14397.058823529413</v>
      </c>
      <c r="AO296" s="512">
        <f t="shared" ca="1" si="141"/>
        <v>14397.058823529413</v>
      </c>
      <c r="AP296" s="512">
        <f t="shared" ca="1" si="142"/>
        <v>14397.058823529413</v>
      </c>
      <c r="AQ296" s="512" t="str">
        <f t="shared" ca="1" si="143"/>
        <v>Contrato</v>
      </c>
      <c r="AR296" s="512"/>
      <c r="AS296" s="512" t="str">
        <f t="shared" ca="1" si="144"/>
        <v>No</v>
      </c>
      <c r="AT296" s="151">
        <f t="shared" ca="1" si="145"/>
        <v>172764.70588235295</v>
      </c>
      <c r="AU296" s="151">
        <f>IFERROR(VLOOKUP(A296,'[7]TD CuentasBDG'!$N$5:$O$21,2,0),0)</f>
        <v>0</v>
      </c>
      <c r="AV296" t="str">
        <f t="shared" ca="1" si="146"/>
        <v>Licitación</v>
      </c>
      <c r="AW296" t="s">
        <v>1660</v>
      </c>
      <c r="AX296" t="s">
        <v>1655</v>
      </c>
    </row>
    <row r="297" spans="1:50" ht="30" x14ac:dyDescent="0.25">
      <c r="A297" s="914" t="s">
        <v>2135</v>
      </c>
      <c r="B297" s="508" t="s">
        <v>1416</v>
      </c>
      <c r="C297" s="922" t="s">
        <v>463</v>
      </c>
      <c r="D297" s="508" t="s">
        <v>140</v>
      </c>
      <c r="E297" s="508"/>
      <c r="F297" s="508"/>
      <c r="G297" s="508" t="s">
        <v>1647</v>
      </c>
      <c r="H297" s="508" t="s">
        <v>404</v>
      </c>
      <c r="I297" s="508" t="s">
        <v>404</v>
      </c>
      <c r="J297" s="555" t="s">
        <v>1650</v>
      </c>
      <c r="K297" s="555" t="s">
        <v>1651</v>
      </c>
      <c r="L297" s="911">
        <f ca="1">IFERROR(INDEX(Lists!$O$2:$Z$2,MATCH(TRUE,INDEX((AE297:AP297&lt;&gt;0),0),0)),DATE(2018,1,1))</f>
        <v>43102</v>
      </c>
      <c r="M297" s="911">
        <f ca="1">IFERROR(INDEX(Lists!$O$3:$Z$3, VALUE(SUBSTITUTE(TEXT(ADDRESS(SUMPRODUCT(MAX((COLUMN(AE297:AP297)*(AE297:AP297&gt;0)))),1),),"$A$",""))-30),DATE(2018,1,1))</f>
        <v>43434</v>
      </c>
      <c r="N297" s="508" t="s">
        <v>1652</v>
      </c>
      <c r="O297" s="508" t="s">
        <v>1653</v>
      </c>
      <c r="P297" s="508" t="s">
        <v>1676</v>
      </c>
      <c r="Q297" s="508" t="s">
        <v>1676</v>
      </c>
      <c r="R297" s="508">
        <f t="shared" ca="1" si="119"/>
        <v>0</v>
      </c>
      <c r="S297" s="508" t="str">
        <f t="shared" ca="1" si="120"/>
        <v>Suministro y Traslado de agua potable</v>
      </c>
      <c r="T297" s="508">
        <f t="shared" ca="1" si="121"/>
        <v>0</v>
      </c>
      <c r="U297" s="508" t="str">
        <f t="shared" ca="1" si="122"/>
        <v>685 / 51-11-3314</v>
      </c>
      <c r="V297" s="508" t="str">
        <f t="shared" ca="1" si="123"/>
        <v>Active Ct</v>
      </c>
      <c r="W297" s="508">
        <f t="shared" ca="1" si="124"/>
        <v>0</v>
      </c>
      <c r="X297" s="508" t="str">
        <f t="shared" ca="1" si="125"/>
        <v>Ene</v>
      </c>
      <c r="Y297" s="508" t="str">
        <f t="shared" ca="1" si="126"/>
        <v>Feb</v>
      </c>
      <c r="Z297" s="508" t="str">
        <f t="shared" ca="1" si="127"/>
        <v>Mar</v>
      </c>
      <c r="AA297" s="508" t="str">
        <f t="shared" ca="1" si="128"/>
        <v>Abr</v>
      </c>
      <c r="AB297" s="508">
        <f t="shared" ca="1" si="118"/>
        <v>11</v>
      </c>
      <c r="AC297" s="508">
        <f t="shared" ca="1" si="129"/>
        <v>0</v>
      </c>
      <c r="AD297" s="912">
        <f t="shared" ca="1" si="130"/>
        <v>5117.6470588235297</v>
      </c>
      <c r="AE297" s="512">
        <f t="shared" ca="1" si="131"/>
        <v>852.94117647058829</v>
      </c>
      <c r="AF297" s="512">
        <f t="shared" ca="1" si="132"/>
        <v>0</v>
      </c>
      <c r="AG297" s="512">
        <f t="shared" ca="1" si="133"/>
        <v>852.94117647058829</v>
      </c>
      <c r="AH297" s="512">
        <f t="shared" ca="1" si="134"/>
        <v>0</v>
      </c>
      <c r="AI297" s="512">
        <f t="shared" ca="1" si="135"/>
        <v>852.94117647058829</v>
      </c>
      <c r="AJ297" s="512">
        <f t="shared" ca="1" si="136"/>
        <v>0</v>
      </c>
      <c r="AK297" s="512">
        <f t="shared" ca="1" si="137"/>
        <v>852.94117647058829</v>
      </c>
      <c r="AL297" s="512">
        <f t="shared" ca="1" si="138"/>
        <v>0</v>
      </c>
      <c r="AM297" s="512">
        <f t="shared" ca="1" si="139"/>
        <v>852.94117647058829</v>
      </c>
      <c r="AN297" s="512">
        <f t="shared" ca="1" si="140"/>
        <v>0</v>
      </c>
      <c r="AO297" s="512">
        <f t="shared" ca="1" si="141"/>
        <v>852.94117647058829</v>
      </c>
      <c r="AP297" s="512">
        <f t="shared" ca="1" si="142"/>
        <v>0</v>
      </c>
      <c r="AQ297" s="512" t="str">
        <f t="shared" ca="1" si="143"/>
        <v>Contrato</v>
      </c>
      <c r="AR297" s="512"/>
      <c r="AS297" s="512" t="str">
        <f t="shared" ca="1" si="144"/>
        <v>No</v>
      </c>
      <c r="AT297" s="151">
        <f t="shared" ca="1" si="145"/>
        <v>5117.6470588235297</v>
      </c>
      <c r="AU297" s="151">
        <f>IFERROR(VLOOKUP(A297,'[7]TD CuentasBDG'!$N$5:$O$21,2,0),0)</f>
        <v>0</v>
      </c>
      <c r="AV297" t="str">
        <f t="shared" si="146"/>
        <v>Renovación de Contrato</v>
      </c>
      <c r="AW297" t="s">
        <v>2112</v>
      </c>
      <c r="AX297" t="s">
        <v>1655</v>
      </c>
    </row>
    <row r="298" spans="1:50" ht="30" x14ac:dyDescent="0.25">
      <c r="A298" s="914" t="s">
        <v>2136</v>
      </c>
      <c r="B298" s="508" t="s">
        <v>1416</v>
      </c>
      <c r="C298" s="922" t="s">
        <v>463</v>
      </c>
      <c r="D298" s="508" t="s">
        <v>140</v>
      </c>
      <c r="E298" s="508"/>
      <c r="F298" s="508"/>
      <c r="G298" s="508" t="s">
        <v>1647</v>
      </c>
      <c r="H298" s="508" t="s">
        <v>451</v>
      </c>
      <c r="I298" s="508" t="s">
        <v>428</v>
      </c>
      <c r="J298" s="555" t="s">
        <v>1650</v>
      </c>
      <c r="K298" s="555" t="s">
        <v>1651</v>
      </c>
      <c r="L298" s="911">
        <f ca="1">IFERROR(INDEX(Lists!$O$2:$Z$2,MATCH(TRUE,INDEX((AE298:AP298&lt;&gt;0),0),0)),DATE(2018,1,1))</f>
        <v>43102</v>
      </c>
      <c r="M298" s="911">
        <f ca="1">IFERROR(INDEX(Lists!$O$3:$Z$3, VALUE(SUBSTITUTE(TEXT(ADDRESS(SUMPRODUCT(MAX((COLUMN(AE298:AP298)*(AE298:AP298&gt;0)))),1),),"$A$",""))-30),DATE(2018,1,1))</f>
        <v>43465</v>
      </c>
      <c r="N298" s="508" t="s">
        <v>1668</v>
      </c>
      <c r="O298" s="508" t="s">
        <v>1653</v>
      </c>
      <c r="P298" s="508" t="s">
        <v>1676</v>
      </c>
      <c r="Q298" s="508" t="s">
        <v>1676</v>
      </c>
      <c r="R298" s="508">
        <f t="shared" ca="1" si="119"/>
        <v>0</v>
      </c>
      <c r="S298" s="508" t="str">
        <f t="shared" ca="1" si="120"/>
        <v>Control de plaga</v>
      </c>
      <c r="T298" s="508" t="str">
        <f t="shared" ca="1" si="121"/>
        <v>Servicio con dos visitas mensuales</v>
      </c>
      <c r="U298" s="508" t="str">
        <f t="shared" ca="1" si="122"/>
        <v>685 / 51-11-3314</v>
      </c>
      <c r="V298" s="508" t="str">
        <f t="shared" ca="1" si="123"/>
        <v>Active Ct</v>
      </c>
      <c r="W298" s="508">
        <f t="shared" ca="1" si="124"/>
        <v>0</v>
      </c>
      <c r="X298" s="508" t="str">
        <f t="shared" ca="1" si="125"/>
        <v>Ene</v>
      </c>
      <c r="Y298" s="508" t="str">
        <f t="shared" ca="1" si="126"/>
        <v>Feb</v>
      </c>
      <c r="Z298" s="508" t="str">
        <f t="shared" ca="1" si="127"/>
        <v>Mar</v>
      </c>
      <c r="AA298" s="508" t="str">
        <f t="shared" ca="1" si="128"/>
        <v>Abr</v>
      </c>
      <c r="AB298" s="508">
        <f t="shared" ca="1" si="118"/>
        <v>12</v>
      </c>
      <c r="AC298" s="508">
        <f t="shared" ca="1" si="129"/>
        <v>0</v>
      </c>
      <c r="AD298" s="912">
        <f t="shared" ca="1" si="130"/>
        <v>8400</v>
      </c>
      <c r="AE298" s="512">
        <f t="shared" ca="1" si="131"/>
        <v>700</v>
      </c>
      <c r="AF298" s="512">
        <f t="shared" ca="1" si="132"/>
        <v>700</v>
      </c>
      <c r="AG298" s="512">
        <f t="shared" ca="1" si="133"/>
        <v>700</v>
      </c>
      <c r="AH298" s="512">
        <f t="shared" ca="1" si="134"/>
        <v>700</v>
      </c>
      <c r="AI298" s="512">
        <f t="shared" ca="1" si="135"/>
        <v>700</v>
      </c>
      <c r="AJ298" s="512">
        <f t="shared" ca="1" si="136"/>
        <v>700</v>
      </c>
      <c r="AK298" s="512">
        <f t="shared" ca="1" si="137"/>
        <v>700</v>
      </c>
      <c r="AL298" s="512">
        <f t="shared" ca="1" si="138"/>
        <v>700</v>
      </c>
      <c r="AM298" s="512">
        <f t="shared" ca="1" si="139"/>
        <v>700</v>
      </c>
      <c r="AN298" s="512">
        <f t="shared" ca="1" si="140"/>
        <v>700</v>
      </c>
      <c r="AO298" s="512">
        <f t="shared" ca="1" si="141"/>
        <v>700</v>
      </c>
      <c r="AP298" s="512">
        <f t="shared" ca="1" si="142"/>
        <v>700</v>
      </c>
      <c r="AQ298" s="512" t="str">
        <f t="shared" ca="1" si="143"/>
        <v>Contrato</v>
      </c>
      <c r="AR298" s="512"/>
      <c r="AS298" s="512" t="str">
        <f t="shared" ca="1" si="144"/>
        <v>No</v>
      </c>
      <c r="AT298" s="151">
        <f t="shared" ca="1" si="145"/>
        <v>8400</v>
      </c>
      <c r="AU298" s="151">
        <f>IFERROR(VLOOKUP(A298,'[7]TD CuentasBDG'!$N$5:$O$21,2,0),0)</f>
        <v>0</v>
      </c>
      <c r="AV298" t="str">
        <f t="shared" ca="1" si="146"/>
        <v>Licitación Corta</v>
      </c>
      <c r="AW298" t="s">
        <v>1660</v>
      </c>
      <c r="AX298" t="s">
        <v>1655</v>
      </c>
    </row>
    <row r="299" spans="1:50" ht="30" x14ac:dyDescent="0.25">
      <c r="A299" s="914" t="s">
        <v>2137</v>
      </c>
      <c r="B299" s="508" t="s">
        <v>1416</v>
      </c>
      <c r="C299" s="922" t="s">
        <v>463</v>
      </c>
      <c r="D299" s="508" t="s">
        <v>140</v>
      </c>
      <c r="E299" s="508"/>
      <c r="F299" s="508"/>
      <c r="G299" s="508" t="s">
        <v>1647</v>
      </c>
      <c r="H299" s="508" t="s">
        <v>452</v>
      </c>
      <c r="I299" s="508" t="s">
        <v>454</v>
      </c>
      <c r="J299" s="555" t="s">
        <v>1650</v>
      </c>
      <c r="K299" s="555" t="s">
        <v>1651</v>
      </c>
      <c r="L299" s="911">
        <f ca="1">IFERROR(INDEX(Lists!$O$2:$Z$2,MATCH(TRUE,INDEX((AE299:AP299&lt;&gt;0),0),0)),DATE(2018,1,1))</f>
        <v>43132</v>
      </c>
      <c r="M299" s="911">
        <f ca="1">IFERROR(INDEX(Lists!$O$3:$Z$3, VALUE(SUBSTITUTE(TEXT(ADDRESS(SUMPRODUCT(MAX((COLUMN(AE299:AP299)*(AE299:AP299&gt;0)))),1),),"$A$",""))-30),DATE(2018,1,1))</f>
        <v>43465</v>
      </c>
      <c r="N299" s="508" t="s">
        <v>1652</v>
      </c>
      <c r="O299" s="508" t="s">
        <v>1653</v>
      </c>
      <c r="P299" s="508" t="s">
        <v>1676</v>
      </c>
      <c r="Q299" s="508" t="s">
        <v>1676</v>
      </c>
      <c r="R299" s="508">
        <f t="shared" ca="1" si="119"/>
        <v>0</v>
      </c>
      <c r="S299" s="508" t="str">
        <f t="shared" ca="1" si="120"/>
        <v xml:space="preserve">Limpieza fosa séptica </v>
      </c>
      <c r="T299" s="508" t="str">
        <f t="shared" ca="1" si="121"/>
        <v>Limpieza de fosa y retiro de sólidos cada dos meses</v>
      </c>
      <c r="U299" s="508" t="str">
        <f t="shared" ca="1" si="122"/>
        <v>685 / 51-11-3314</v>
      </c>
      <c r="V299" s="508" t="str">
        <f t="shared" ca="1" si="123"/>
        <v>Active Ct</v>
      </c>
      <c r="W299" s="508">
        <f t="shared" ca="1" si="124"/>
        <v>0</v>
      </c>
      <c r="X299" s="508" t="str">
        <f t="shared" ca="1" si="125"/>
        <v>Ene</v>
      </c>
      <c r="Y299" s="508" t="str">
        <f t="shared" ca="1" si="126"/>
        <v>Feb</v>
      </c>
      <c r="Z299" s="508" t="str">
        <f t="shared" ca="1" si="127"/>
        <v>Mar</v>
      </c>
      <c r="AA299" s="508" t="str">
        <f t="shared" ca="1" si="128"/>
        <v>Abr</v>
      </c>
      <c r="AB299" s="508">
        <f t="shared" ca="1" si="118"/>
        <v>11</v>
      </c>
      <c r="AC299" s="508">
        <f t="shared" ca="1" si="129"/>
        <v>0</v>
      </c>
      <c r="AD299" s="912">
        <f t="shared" ca="1" si="130"/>
        <v>5294.1176470588234</v>
      </c>
      <c r="AE299" s="512">
        <f t="shared" ca="1" si="131"/>
        <v>0</v>
      </c>
      <c r="AF299" s="512">
        <f t="shared" ca="1" si="132"/>
        <v>882.35294117647061</v>
      </c>
      <c r="AG299" s="512">
        <f t="shared" ca="1" si="133"/>
        <v>0</v>
      </c>
      <c r="AH299" s="512">
        <f t="shared" ca="1" si="134"/>
        <v>882.35294117647061</v>
      </c>
      <c r="AI299" s="512">
        <f t="shared" ca="1" si="135"/>
        <v>0</v>
      </c>
      <c r="AJ299" s="512">
        <f t="shared" ca="1" si="136"/>
        <v>882.35294117647061</v>
      </c>
      <c r="AK299" s="512">
        <f t="shared" ca="1" si="137"/>
        <v>0</v>
      </c>
      <c r="AL299" s="512">
        <f t="shared" ca="1" si="138"/>
        <v>882.35294117647061</v>
      </c>
      <c r="AM299" s="512">
        <f t="shared" ca="1" si="139"/>
        <v>0</v>
      </c>
      <c r="AN299" s="512">
        <f t="shared" ca="1" si="140"/>
        <v>882.35294117647061</v>
      </c>
      <c r="AO299" s="512">
        <f t="shared" ca="1" si="141"/>
        <v>0</v>
      </c>
      <c r="AP299" s="512">
        <f t="shared" ca="1" si="142"/>
        <v>882.35294117647061</v>
      </c>
      <c r="AQ299" s="512" t="str">
        <f t="shared" ca="1" si="143"/>
        <v>Contrato</v>
      </c>
      <c r="AR299" s="512"/>
      <c r="AS299" s="512" t="str">
        <f t="shared" ca="1" si="144"/>
        <v>No</v>
      </c>
      <c r="AT299" s="151">
        <f t="shared" ca="1" si="145"/>
        <v>5294.1176470588234</v>
      </c>
      <c r="AU299" s="151">
        <f>IFERROR(VLOOKUP(A299,'[7]TD CuentasBDG'!$N$5:$O$21,2,0),0)</f>
        <v>0</v>
      </c>
      <c r="AV299" t="str">
        <f t="shared" si="146"/>
        <v>Renovación de Contrato</v>
      </c>
      <c r="AW299" t="s">
        <v>2112</v>
      </c>
      <c r="AX299" t="s">
        <v>1655</v>
      </c>
    </row>
    <row r="300" spans="1:50" ht="45" x14ac:dyDescent="0.25">
      <c r="A300" s="914" t="s">
        <v>2138</v>
      </c>
      <c r="B300" s="508" t="s">
        <v>1416</v>
      </c>
      <c r="C300" s="922" t="s">
        <v>463</v>
      </c>
      <c r="D300" s="508" t="s">
        <v>140</v>
      </c>
      <c r="E300" s="508"/>
      <c r="F300" s="508"/>
      <c r="G300" s="508" t="s">
        <v>1707</v>
      </c>
      <c r="H300" s="508"/>
      <c r="I300" s="508"/>
      <c r="J300" s="555"/>
      <c r="K300" s="555"/>
      <c r="L300" s="911">
        <f ca="1">IFERROR(INDEX(Lists!$O$2:$Z$2,MATCH(TRUE,INDEX((AE300:AP300&lt;&gt;0),0),0)),DATE(2018,1,1))</f>
        <v>43102</v>
      </c>
      <c r="M300" s="911">
        <f ca="1">IFERROR(INDEX(Lists!$O$3:$Z$3, VALUE(SUBSTITUTE(TEXT(ADDRESS(SUMPRODUCT(MAX((COLUMN(AE300:AP300)*(AE300:AP300&gt;0)))),1),),"$A$",""))-30),DATE(2018,1,1))</f>
        <v>43465</v>
      </c>
      <c r="N300" s="508"/>
      <c r="O300" s="508"/>
      <c r="P300" s="508"/>
      <c r="Q300" s="508"/>
      <c r="R300" s="508">
        <f t="shared" ca="1" si="119"/>
        <v>0</v>
      </c>
      <c r="S300" s="508" t="str">
        <f t="shared" ca="1" si="120"/>
        <v>Mantenciones menores</v>
      </c>
      <c r="T300" s="508" t="str">
        <f t="shared" ca="1" si="121"/>
        <v>Recarga de extintores, gasfiteria, electricidad, reponer cercos y otros</v>
      </c>
      <c r="U300" s="508" t="str">
        <f t="shared" ca="1" si="122"/>
        <v>685 / 51-11-3314</v>
      </c>
      <c r="V300" s="508" t="str">
        <f t="shared" ca="1" si="123"/>
        <v>Active Ct</v>
      </c>
      <c r="W300" s="508">
        <f t="shared" ca="1" si="124"/>
        <v>0</v>
      </c>
      <c r="X300" s="508" t="str">
        <f t="shared" ca="1" si="125"/>
        <v>Ene</v>
      </c>
      <c r="Y300" s="508" t="str">
        <f t="shared" ca="1" si="126"/>
        <v>Feb</v>
      </c>
      <c r="Z300" s="508" t="str">
        <f t="shared" ca="1" si="127"/>
        <v>Mar</v>
      </c>
      <c r="AA300" s="508" t="str">
        <f t="shared" ca="1" si="128"/>
        <v>Abr</v>
      </c>
      <c r="AB300" s="508">
        <f t="shared" ca="1" si="118"/>
        <v>12</v>
      </c>
      <c r="AC300" s="508">
        <f t="shared" ca="1" si="129"/>
        <v>0</v>
      </c>
      <c r="AD300" s="912">
        <f t="shared" ca="1" si="130"/>
        <v>12000</v>
      </c>
      <c r="AE300" s="512">
        <f t="shared" ca="1" si="131"/>
        <v>1000</v>
      </c>
      <c r="AF300" s="512">
        <f t="shared" ca="1" si="132"/>
        <v>1000</v>
      </c>
      <c r="AG300" s="512">
        <f t="shared" ca="1" si="133"/>
        <v>1000</v>
      </c>
      <c r="AH300" s="512">
        <f t="shared" ca="1" si="134"/>
        <v>1000</v>
      </c>
      <c r="AI300" s="512">
        <f t="shared" ca="1" si="135"/>
        <v>1000</v>
      </c>
      <c r="AJ300" s="512">
        <f t="shared" ca="1" si="136"/>
        <v>1000</v>
      </c>
      <c r="AK300" s="512">
        <f t="shared" ca="1" si="137"/>
        <v>1000</v>
      </c>
      <c r="AL300" s="512">
        <f t="shared" ca="1" si="138"/>
        <v>1000</v>
      </c>
      <c r="AM300" s="512">
        <f t="shared" ca="1" si="139"/>
        <v>1000</v>
      </c>
      <c r="AN300" s="512">
        <f t="shared" ca="1" si="140"/>
        <v>1000</v>
      </c>
      <c r="AO300" s="512">
        <f t="shared" ca="1" si="141"/>
        <v>1000</v>
      </c>
      <c r="AP300" s="512">
        <f t="shared" ca="1" si="142"/>
        <v>1000</v>
      </c>
      <c r="AQ300" s="512" t="str">
        <f t="shared" si="143"/>
        <v/>
      </c>
      <c r="AR300" s="512"/>
      <c r="AS300" s="512" t="str">
        <f t="shared" si="144"/>
        <v/>
      </c>
      <c r="AT300" s="151">
        <f t="shared" si="145"/>
        <v>0</v>
      </c>
      <c r="AU300" s="151">
        <f>IFERROR(VLOOKUP(A300,'[7]TD CuentasBDG'!$N$5:$O$21,2,0),0)</f>
        <v>0</v>
      </c>
      <c r="AV300">
        <f t="shared" si="146"/>
        <v>0</v>
      </c>
    </row>
    <row r="301" spans="1:50" ht="45" x14ac:dyDescent="0.25">
      <c r="A301" s="914" t="s">
        <v>2139</v>
      </c>
      <c r="B301" s="508" t="s">
        <v>1416</v>
      </c>
      <c r="C301" s="922" t="s">
        <v>464</v>
      </c>
      <c r="D301" s="508" t="s">
        <v>140</v>
      </c>
      <c r="E301" s="508"/>
      <c r="F301" s="508"/>
      <c r="G301" s="508" t="s">
        <v>1647</v>
      </c>
      <c r="H301" s="508" t="s">
        <v>450</v>
      </c>
      <c r="I301" s="508" t="s">
        <v>2140</v>
      </c>
      <c r="J301" s="555" t="s">
        <v>1650</v>
      </c>
      <c r="K301" s="555" t="s">
        <v>1651</v>
      </c>
      <c r="L301" s="911">
        <f ca="1">IFERROR(INDEX(Lists!$O$2:$Z$2,MATCH(TRUE,INDEX((AE301:AP301&lt;&gt;0),0),0)),DATE(2018,1,1))</f>
        <v>43344</v>
      </c>
      <c r="M301" s="911">
        <f ca="1">IFERROR(INDEX(Lists!$O$3:$Z$3, VALUE(SUBSTITUTE(TEXT(ADDRESS(SUMPRODUCT(MAX((COLUMN(AE301:AP301)*(AE301:AP301&gt;0)))),1),),"$A$",""))-30),DATE(2018,1,1))</f>
        <v>43465</v>
      </c>
      <c r="N301" s="508" t="s">
        <v>1668</v>
      </c>
      <c r="O301" s="508" t="s">
        <v>1653</v>
      </c>
      <c r="P301" s="508" t="s">
        <v>1676</v>
      </c>
      <c r="Q301" s="508" t="s">
        <v>1676</v>
      </c>
      <c r="R301" s="508">
        <f t="shared" ca="1" si="119"/>
        <v>0</v>
      </c>
      <c r="S301" s="508" t="str">
        <f t="shared" ca="1" si="120"/>
        <v xml:space="preserve">Servicio de resguardo y mantención </v>
      </c>
      <c r="T301" s="508" t="str">
        <f t="shared" ca="1" si="121"/>
        <v>El servicio incluye personal, alimentación, generación, camioneta y TV Satelital</v>
      </c>
      <c r="U301" s="508" t="str">
        <f t="shared" ca="1" si="122"/>
        <v>685 / 51-11-3314</v>
      </c>
      <c r="V301" s="508" t="str">
        <f t="shared" ca="1" si="123"/>
        <v>Active Ct</v>
      </c>
      <c r="W301" s="508">
        <f t="shared" ca="1" si="124"/>
        <v>0</v>
      </c>
      <c r="X301" s="508" t="str">
        <f t="shared" ca="1" si="125"/>
        <v>Jun</v>
      </c>
      <c r="Y301" s="508" t="str">
        <f t="shared" ca="1" si="126"/>
        <v>Jul</v>
      </c>
      <c r="Z301" s="508" t="str">
        <f t="shared" ca="1" si="127"/>
        <v>Ago</v>
      </c>
      <c r="AA301" s="508" t="str">
        <f t="shared" ca="1" si="128"/>
        <v>Sept</v>
      </c>
      <c r="AB301" s="508">
        <f t="shared" ca="1" si="118"/>
        <v>4</v>
      </c>
      <c r="AC301" s="508">
        <f t="shared" ca="1" si="129"/>
        <v>0</v>
      </c>
      <c r="AD301" s="912">
        <f t="shared" ca="1" si="130"/>
        <v>67764.705882352937</v>
      </c>
      <c r="AE301" s="512">
        <f t="shared" ca="1" si="131"/>
        <v>0</v>
      </c>
      <c r="AF301" s="512">
        <f t="shared" ca="1" si="132"/>
        <v>0</v>
      </c>
      <c r="AG301" s="512">
        <f t="shared" ca="1" si="133"/>
        <v>0</v>
      </c>
      <c r="AH301" s="512">
        <f t="shared" ca="1" si="134"/>
        <v>0</v>
      </c>
      <c r="AI301" s="512">
        <f t="shared" ca="1" si="135"/>
        <v>0</v>
      </c>
      <c r="AJ301" s="512">
        <f t="shared" ca="1" si="136"/>
        <v>0</v>
      </c>
      <c r="AK301" s="512">
        <f t="shared" ca="1" si="137"/>
        <v>0</v>
      </c>
      <c r="AL301" s="512">
        <f t="shared" ca="1" si="138"/>
        <v>0</v>
      </c>
      <c r="AM301" s="512">
        <f t="shared" ca="1" si="139"/>
        <v>16941.176470588234</v>
      </c>
      <c r="AN301" s="512">
        <f t="shared" ca="1" si="140"/>
        <v>16941.176470588234</v>
      </c>
      <c r="AO301" s="512">
        <f t="shared" ca="1" si="141"/>
        <v>16941.176470588234</v>
      </c>
      <c r="AP301" s="512">
        <f t="shared" ca="1" si="142"/>
        <v>16941.176470588234</v>
      </c>
      <c r="AQ301" s="512" t="str">
        <f t="shared" ca="1" si="143"/>
        <v>Contrato</v>
      </c>
      <c r="AR301" s="512"/>
      <c r="AS301" s="512" t="str">
        <f t="shared" ca="1" si="144"/>
        <v>No</v>
      </c>
      <c r="AT301" s="151">
        <f t="shared" ca="1" si="145"/>
        <v>67764.705882352937</v>
      </c>
      <c r="AU301" s="151">
        <f>IFERROR(VLOOKUP(A301,'[7]TD CuentasBDG'!$N$5:$O$21,2,0),0)</f>
        <v>0</v>
      </c>
      <c r="AV301" t="str">
        <f t="shared" ca="1" si="146"/>
        <v>Licitación</v>
      </c>
      <c r="AW301" t="s">
        <v>1660</v>
      </c>
      <c r="AX301" t="s">
        <v>1655</v>
      </c>
    </row>
    <row r="302" spans="1:50" ht="45" x14ac:dyDescent="0.25">
      <c r="A302" s="914" t="s">
        <v>2141</v>
      </c>
      <c r="B302" s="508" t="s">
        <v>1416</v>
      </c>
      <c r="C302" s="922" t="s">
        <v>464</v>
      </c>
      <c r="D302" s="508" t="s">
        <v>140</v>
      </c>
      <c r="E302" s="508"/>
      <c r="F302" s="508"/>
      <c r="G302" s="508" t="s">
        <v>1647</v>
      </c>
      <c r="H302" s="508" t="s">
        <v>404</v>
      </c>
      <c r="I302" s="508" t="s">
        <v>404</v>
      </c>
      <c r="J302" s="555" t="s">
        <v>1650</v>
      </c>
      <c r="K302" s="555" t="s">
        <v>1651</v>
      </c>
      <c r="L302" s="911">
        <f ca="1">IFERROR(INDEX(Lists!$O$2:$Z$2,MATCH(TRUE,INDEX((AE302:AP302&lt;&gt;0),0),0)),DATE(2018,1,1))</f>
        <v>43344</v>
      </c>
      <c r="M302" s="911">
        <f ca="1">IFERROR(INDEX(Lists!$O$3:$Z$3, VALUE(SUBSTITUTE(TEXT(ADDRESS(SUMPRODUCT(MAX((COLUMN(AE302:AP302)*(AE302:AP302&gt;0)))),1),),"$A$",""))-30),DATE(2018,1,1))</f>
        <v>43434</v>
      </c>
      <c r="N302" s="508" t="s">
        <v>1652</v>
      </c>
      <c r="O302" s="508" t="s">
        <v>1653</v>
      </c>
      <c r="P302" s="508" t="s">
        <v>1676</v>
      </c>
      <c r="Q302" s="508" t="s">
        <v>1676</v>
      </c>
      <c r="R302" s="508">
        <f t="shared" ca="1" si="119"/>
        <v>0</v>
      </c>
      <c r="S302" s="508" t="str">
        <f t="shared" ca="1" si="120"/>
        <v>Suministro y Traslado de agua potable</v>
      </c>
      <c r="T302" s="508">
        <f t="shared" ca="1" si="121"/>
        <v>0</v>
      </c>
      <c r="U302" s="508" t="str">
        <f t="shared" ca="1" si="122"/>
        <v>685 / 51-11-3314</v>
      </c>
      <c r="V302" s="508" t="str">
        <f t="shared" ca="1" si="123"/>
        <v>Active Ct</v>
      </c>
      <c r="W302" s="508">
        <f t="shared" ca="1" si="124"/>
        <v>0</v>
      </c>
      <c r="X302" s="508" t="str">
        <f t="shared" ca="1" si="125"/>
        <v>Jun</v>
      </c>
      <c r="Y302" s="508" t="str">
        <f t="shared" ca="1" si="126"/>
        <v>Jul</v>
      </c>
      <c r="Z302" s="508" t="str">
        <f t="shared" ca="1" si="127"/>
        <v>Ago</v>
      </c>
      <c r="AA302" s="508" t="str">
        <f t="shared" ca="1" si="128"/>
        <v>Sept</v>
      </c>
      <c r="AB302" s="508">
        <f t="shared" ca="1" si="118"/>
        <v>3</v>
      </c>
      <c r="AC302" s="508">
        <f t="shared" ca="1" si="129"/>
        <v>0</v>
      </c>
      <c r="AD302" s="912">
        <f t="shared" ca="1" si="130"/>
        <v>1882.3529411764705</v>
      </c>
      <c r="AE302" s="512">
        <f t="shared" ca="1" si="131"/>
        <v>0</v>
      </c>
      <c r="AF302" s="512">
        <f t="shared" ca="1" si="132"/>
        <v>0</v>
      </c>
      <c r="AG302" s="512">
        <f t="shared" ca="1" si="133"/>
        <v>0</v>
      </c>
      <c r="AH302" s="512">
        <f t="shared" ca="1" si="134"/>
        <v>0</v>
      </c>
      <c r="AI302" s="512">
        <f t="shared" ca="1" si="135"/>
        <v>0</v>
      </c>
      <c r="AJ302" s="512">
        <f t="shared" ca="1" si="136"/>
        <v>0</v>
      </c>
      <c r="AK302" s="512">
        <f t="shared" ca="1" si="137"/>
        <v>0</v>
      </c>
      <c r="AL302" s="512">
        <f t="shared" ca="1" si="138"/>
        <v>0</v>
      </c>
      <c r="AM302" s="512">
        <f t="shared" ca="1" si="139"/>
        <v>941.17647058823525</v>
      </c>
      <c r="AN302" s="512">
        <f t="shared" ca="1" si="140"/>
        <v>0</v>
      </c>
      <c r="AO302" s="512">
        <f t="shared" ca="1" si="141"/>
        <v>941.17647058823525</v>
      </c>
      <c r="AP302" s="512">
        <f t="shared" ca="1" si="142"/>
        <v>0</v>
      </c>
      <c r="AQ302" s="512" t="str">
        <f t="shared" ca="1" si="143"/>
        <v>Orden de Servicio Con Terreno</v>
      </c>
      <c r="AR302" s="512"/>
      <c r="AS302" s="512" t="str">
        <f t="shared" ca="1" si="144"/>
        <v>No</v>
      </c>
      <c r="AT302" s="151">
        <f t="shared" ca="1" si="145"/>
        <v>1882.3529411764705</v>
      </c>
      <c r="AU302" s="151">
        <f>IFERROR(VLOOKUP(A302,'[7]TD CuentasBDG'!$N$5:$O$21,2,0),0)</f>
        <v>0</v>
      </c>
      <c r="AV302" t="str">
        <f t="shared" si="146"/>
        <v>Renovación de Contrato</v>
      </c>
      <c r="AW302" t="s">
        <v>2112</v>
      </c>
      <c r="AX302" t="s">
        <v>1655</v>
      </c>
    </row>
    <row r="303" spans="1:50" ht="30" x14ac:dyDescent="0.25">
      <c r="A303" s="914" t="s">
        <v>2142</v>
      </c>
      <c r="B303" s="508" t="s">
        <v>1416</v>
      </c>
      <c r="C303" s="922" t="s">
        <v>464</v>
      </c>
      <c r="D303" s="508" t="s">
        <v>140</v>
      </c>
      <c r="E303" s="508"/>
      <c r="F303" s="508"/>
      <c r="G303" s="508" t="s">
        <v>1647</v>
      </c>
      <c r="H303" s="508" t="s">
        <v>451</v>
      </c>
      <c r="I303" s="508" t="s">
        <v>428</v>
      </c>
      <c r="J303" s="555" t="s">
        <v>1650</v>
      </c>
      <c r="K303" s="555" t="s">
        <v>1651</v>
      </c>
      <c r="L303" s="911">
        <f ca="1">IFERROR(INDEX(Lists!$O$2:$Z$2,MATCH(TRUE,INDEX((AE303:AP303&lt;&gt;0),0),0)),DATE(2018,1,1))</f>
        <v>43344</v>
      </c>
      <c r="M303" s="911">
        <f ca="1">IFERROR(INDEX(Lists!$O$3:$Z$3, VALUE(SUBSTITUTE(TEXT(ADDRESS(SUMPRODUCT(MAX((COLUMN(AE303:AP303)*(AE303:AP303&gt;0)))),1),),"$A$",""))-30),DATE(2018,1,1))</f>
        <v>43465</v>
      </c>
      <c r="N303" s="508" t="s">
        <v>1668</v>
      </c>
      <c r="O303" s="508" t="s">
        <v>1653</v>
      </c>
      <c r="P303" s="508" t="s">
        <v>1676</v>
      </c>
      <c r="Q303" s="508" t="s">
        <v>1676</v>
      </c>
      <c r="R303" s="508">
        <f t="shared" ca="1" si="119"/>
        <v>0</v>
      </c>
      <c r="S303" s="508" t="str">
        <f t="shared" ca="1" si="120"/>
        <v>Control de plaga</v>
      </c>
      <c r="T303" s="508" t="str">
        <f t="shared" ca="1" si="121"/>
        <v>Servicio con dos visitas mensuales</v>
      </c>
      <c r="U303" s="508" t="str">
        <f t="shared" ca="1" si="122"/>
        <v>685 / 51-11-3314</v>
      </c>
      <c r="V303" s="508" t="str">
        <f t="shared" ca="1" si="123"/>
        <v>Active Ct</v>
      </c>
      <c r="W303" s="508">
        <f t="shared" ca="1" si="124"/>
        <v>0</v>
      </c>
      <c r="X303" s="508" t="str">
        <f t="shared" ca="1" si="125"/>
        <v>Jun</v>
      </c>
      <c r="Y303" s="508" t="str">
        <f t="shared" ca="1" si="126"/>
        <v>Jul</v>
      </c>
      <c r="Z303" s="508" t="str">
        <f t="shared" ca="1" si="127"/>
        <v>Ago</v>
      </c>
      <c r="AA303" s="508" t="str">
        <f t="shared" ca="1" si="128"/>
        <v>Sept</v>
      </c>
      <c r="AB303" s="508">
        <f t="shared" ca="1" si="118"/>
        <v>4</v>
      </c>
      <c r="AC303" s="508">
        <f t="shared" ca="1" si="129"/>
        <v>0</v>
      </c>
      <c r="AD303" s="912">
        <f t="shared" ca="1" si="130"/>
        <v>6161.2847058823527</v>
      </c>
      <c r="AE303" s="512">
        <f t="shared" ca="1" si="131"/>
        <v>0</v>
      </c>
      <c r="AF303" s="512">
        <f t="shared" ca="1" si="132"/>
        <v>0</v>
      </c>
      <c r="AG303" s="512">
        <f t="shared" ca="1" si="133"/>
        <v>0</v>
      </c>
      <c r="AH303" s="512">
        <f t="shared" ca="1" si="134"/>
        <v>0</v>
      </c>
      <c r="AI303" s="512">
        <f t="shared" ca="1" si="135"/>
        <v>0</v>
      </c>
      <c r="AJ303" s="512">
        <f t="shared" ca="1" si="136"/>
        <v>0</v>
      </c>
      <c r="AK303" s="512">
        <f t="shared" ca="1" si="137"/>
        <v>0</v>
      </c>
      <c r="AL303" s="512">
        <f t="shared" ca="1" si="138"/>
        <v>0</v>
      </c>
      <c r="AM303" s="512">
        <f t="shared" ca="1" si="139"/>
        <v>1540.3211764705882</v>
      </c>
      <c r="AN303" s="512">
        <f t="shared" ca="1" si="140"/>
        <v>1540.3211764705882</v>
      </c>
      <c r="AO303" s="512">
        <f t="shared" ca="1" si="141"/>
        <v>1540.3211764705882</v>
      </c>
      <c r="AP303" s="512">
        <f t="shared" ca="1" si="142"/>
        <v>1540.3211764705882</v>
      </c>
      <c r="AQ303" s="512" t="str">
        <f t="shared" ca="1" si="143"/>
        <v>Contrato</v>
      </c>
      <c r="AR303" s="512"/>
      <c r="AS303" s="512" t="str">
        <f t="shared" ca="1" si="144"/>
        <v>No</v>
      </c>
      <c r="AT303" s="151">
        <f t="shared" ca="1" si="145"/>
        <v>6161.2847058823527</v>
      </c>
      <c r="AU303" s="151">
        <f>IFERROR(VLOOKUP(A303,'[7]TD CuentasBDG'!$N$5:$O$21,2,0),0)</f>
        <v>0</v>
      </c>
      <c r="AV303" t="str">
        <f t="shared" ca="1" si="146"/>
        <v>Licitación Corta</v>
      </c>
      <c r="AW303" t="s">
        <v>1660</v>
      </c>
      <c r="AX303" t="s">
        <v>1655</v>
      </c>
    </row>
    <row r="304" spans="1:50" ht="45" x14ac:dyDescent="0.25">
      <c r="A304" s="914" t="s">
        <v>2143</v>
      </c>
      <c r="B304" s="508" t="s">
        <v>1416</v>
      </c>
      <c r="C304" s="922" t="s">
        <v>464</v>
      </c>
      <c r="D304" s="508" t="s">
        <v>140</v>
      </c>
      <c r="E304" s="508"/>
      <c r="F304" s="508"/>
      <c r="G304" s="508" t="s">
        <v>1647</v>
      </c>
      <c r="H304" s="508" t="s">
        <v>452</v>
      </c>
      <c r="I304" s="508" t="s">
        <v>454</v>
      </c>
      <c r="J304" s="555" t="s">
        <v>1650</v>
      </c>
      <c r="K304" s="555" t="s">
        <v>1651</v>
      </c>
      <c r="L304" s="911">
        <f ca="1">IFERROR(INDEX(Lists!$O$2:$Z$2,MATCH(TRUE,INDEX((AE304:AP304&lt;&gt;0),0),0)),DATE(2018,1,1))</f>
        <v>43374</v>
      </c>
      <c r="M304" s="911">
        <f ca="1">IFERROR(INDEX(Lists!$O$3:$Z$3, VALUE(SUBSTITUTE(TEXT(ADDRESS(SUMPRODUCT(MAX((COLUMN(AE304:AP304)*(AE304:AP304&gt;0)))),1),),"$A$",""))-30),DATE(2018,1,1))</f>
        <v>43465</v>
      </c>
      <c r="N304" s="508" t="s">
        <v>1652</v>
      </c>
      <c r="O304" s="508" t="s">
        <v>1653</v>
      </c>
      <c r="P304" s="508" t="s">
        <v>1676</v>
      </c>
      <c r="Q304" s="508" t="s">
        <v>1676</v>
      </c>
      <c r="R304" s="508">
        <f t="shared" ca="1" si="119"/>
        <v>0</v>
      </c>
      <c r="S304" s="508" t="str">
        <f t="shared" ca="1" si="120"/>
        <v xml:space="preserve">Limpieza fosa séptica </v>
      </c>
      <c r="T304" s="508" t="str">
        <f t="shared" ca="1" si="121"/>
        <v>Limpieza de fosa y retiro de sólidos cada dos meses</v>
      </c>
      <c r="U304" s="508" t="str">
        <f t="shared" ca="1" si="122"/>
        <v>685 / 51-11-3314</v>
      </c>
      <c r="V304" s="508" t="str">
        <f t="shared" ca="1" si="123"/>
        <v>Active Ct</v>
      </c>
      <c r="W304" s="508">
        <f t="shared" ca="1" si="124"/>
        <v>0</v>
      </c>
      <c r="X304" s="508" t="str">
        <f t="shared" ca="1" si="125"/>
        <v>Jun</v>
      </c>
      <c r="Y304" s="508" t="str">
        <f t="shared" ca="1" si="126"/>
        <v>Jul</v>
      </c>
      <c r="Z304" s="508" t="str">
        <f t="shared" ca="1" si="127"/>
        <v>Ago</v>
      </c>
      <c r="AA304" s="508" t="str">
        <f t="shared" ca="1" si="128"/>
        <v>Sept</v>
      </c>
      <c r="AB304" s="508">
        <f t="shared" ca="1" si="118"/>
        <v>3</v>
      </c>
      <c r="AC304" s="508">
        <f t="shared" ca="1" si="129"/>
        <v>0</v>
      </c>
      <c r="AD304" s="912">
        <f t="shared" ca="1" si="130"/>
        <v>2147.0588235294117</v>
      </c>
      <c r="AE304" s="512">
        <f t="shared" ca="1" si="131"/>
        <v>0</v>
      </c>
      <c r="AF304" s="512">
        <f t="shared" ca="1" si="132"/>
        <v>0</v>
      </c>
      <c r="AG304" s="512">
        <f t="shared" ca="1" si="133"/>
        <v>0</v>
      </c>
      <c r="AH304" s="512">
        <f t="shared" ca="1" si="134"/>
        <v>0</v>
      </c>
      <c r="AI304" s="512">
        <f t="shared" ca="1" si="135"/>
        <v>0</v>
      </c>
      <c r="AJ304" s="512">
        <f t="shared" ca="1" si="136"/>
        <v>0</v>
      </c>
      <c r="AK304" s="512">
        <f t="shared" ca="1" si="137"/>
        <v>0</v>
      </c>
      <c r="AL304" s="512">
        <f t="shared" ca="1" si="138"/>
        <v>0</v>
      </c>
      <c r="AM304" s="512">
        <f t="shared" ca="1" si="139"/>
        <v>0</v>
      </c>
      <c r="AN304" s="512">
        <f t="shared" ca="1" si="140"/>
        <v>1073.5294117647059</v>
      </c>
      <c r="AO304" s="512">
        <f t="shared" ca="1" si="141"/>
        <v>0</v>
      </c>
      <c r="AP304" s="512">
        <f t="shared" ca="1" si="142"/>
        <v>1073.5294117647059</v>
      </c>
      <c r="AQ304" s="512" t="str">
        <f t="shared" ca="1" si="143"/>
        <v>Orden de Servicio Con Terreno</v>
      </c>
      <c r="AR304" s="512"/>
      <c r="AS304" s="512" t="str">
        <f t="shared" ca="1" si="144"/>
        <v>No</v>
      </c>
      <c r="AT304" s="151">
        <f t="shared" ca="1" si="145"/>
        <v>2147.0588235294117</v>
      </c>
      <c r="AU304" s="151">
        <f>IFERROR(VLOOKUP(A304,'[7]TD CuentasBDG'!$N$5:$O$21,2,0),0)</f>
        <v>0</v>
      </c>
      <c r="AV304" t="str">
        <f t="shared" si="146"/>
        <v>Renovación de Contrato</v>
      </c>
      <c r="AW304" t="s">
        <v>2112</v>
      </c>
      <c r="AX304" t="s">
        <v>1655</v>
      </c>
    </row>
    <row r="305" spans="1:50" ht="45" x14ac:dyDescent="0.25">
      <c r="A305" s="914" t="s">
        <v>2144</v>
      </c>
      <c r="B305" s="508" t="s">
        <v>1416</v>
      </c>
      <c r="C305" s="922" t="s">
        <v>464</v>
      </c>
      <c r="D305" s="508" t="s">
        <v>140</v>
      </c>
      <c r="E305" s="508"/>
      <c r="F305" s="508"/>
      <c r="G305" s="508" t="s">
        <v>1707</v>
      </c>
      <c r="H305" s="508"/>
      <c r="I305" s="508"/>
      <c r="J305" s="555"/>
      <c r="K305" s="555"/>
      <c r="L305" s="911">
        <f ca="1">IFERROR(INDEX(Lists!$O$2:$Z$2,MATCH(TRUE,INDEX((AE305:AP305&lt;&gt;0),0),0)),DATE(2018,1,1))</f>
        <v>43344</v>
      </c>
      <c r="M305" s="911">
        <f ca="1">IFERROR(INDEX(Lists!$O$3:$Z$3, VALUE(SUBSTITUTE(TEXT(ADDRESS(SUMPRODUCT(MAX((COLUMN(AE305:AP305)*(AE305:AP305&gt;0)))),1),),"$A$",""))-30),DATE(2018,1,1))</f>
        <v>43465</v>
      </c>
      <c r="N305" s="508"/>
      <c r="O305" s="508"/>
      <c r="P305" s="508"/>
      <c r="Q305" s="508"/>
      <c r="R305" s="508">
        <f t="shared" ca="1" si="119"/>
        <v>0</v>
      </c>
      <c r="S305" s="508" t="str">
        <f t="shared" ca="1" si="120"/>
        <v>Mantenciones menores</v>
      </c>
      <c r="T305" s="508" t="str">
        <f t="shared" ca="1" si="121"/>
        <v>Recarga de extintores, gasfiteria, electricidad, reponer cercos y otros</v>
      </c>
      <c r="U305" s="508" t="str">
        <f t="shared" ca="1" si="122"/>
        <v>685 / 51-11-3314</v>
      </c>
      <c r="V305" s="508" t="str">
        <f t="shared" ca="1" si="123"/>
        <v>Active Ct</v>
      </c>
      <c r="W305" s="508">
        <f t="shared" ca="1" si="124"/>
        <v>0</v>
      </c>
      <c r="X305" s="508" t="str">
        <f t="shared" ca="1" si="125"/>
        <v>Jun</v>
      </c>
      <c r="Y305" s="508" t="str">
        <f t="shared" ca="1" si="126"/>
        <v>Jul</v>
      </c>
      <c r="Z305" s="508" t="str">
        <f t="shared" ca="1" si="127"/>
        <v>Ago</v>
      </c>
      <c r="AA305" s="508" t="str">
        <f t="shared" ca="1" si="128"/>
        <v>Sept</v>
      </c>
      <c r="AB305" s="508">
        <f t="shared" ca="1" si="118"/>
        <v>4</v>
      </c>
      <c r="AC305" s="508">
        <f t="shared" ca="1" si="129"/>
        <v>0</v>
      </c>
      <c r="AD305" s="912">
        <f t="shared" ca="1" si="130"/>
        <v>10000</v>
      </c>
      <c r="AE305" s="512">
        <f t="shared" ca="1" si="131"/>
        <v>0</v>
      </c>
      <c r="AF305" s="512">
        <f t="shared" ca="1" si="132"/>
        <v>0</v>
      </c>
      <c r="AG305" s="512">
        <f t="shared" ca="1" si="133"/>
        <v>0</v>
      </c>
      <c r="AH305" s="512">
        <f t="shared" ca="1" si="134"/>
        <v>0</v>
      </c>
      <c r="AI305" s="512">
        <f t="shared" ca="1" si="135"/>
        <v>0</v>
      </c>
      <c r="AJ305" s="512">
        <f t="shared" ca="1" si="136"/>
        <v>0</v>
      </c>
      <c r="AK305" s="512">
        <f t="shared" ca="1" si="137"/>
        <v>0</v>
      </c>
      <c r="AL305" s="512">
        <f t="shared" ca="1" si="138"/>
        <v>0</v>
      </c>
      <c r="AM305" s="512">
        <f t="shared" ca="1" si="139"/>
        <v>2500</v>
      </c>
      <c r="AN305" s="512">
        <f t="shared" ca="1" si="140"/>
        <v>2500</v>
      </c>
      <c r="AO305" s="512">
        <f t="shared" ca="1" si="141"/>
        <v>2500</v>
      </c>
      <c r="AP305" s="512">
        <f t="shared" ca="1" si="142"/>
        <v>2500</v>
      </c>
      <c r="AQ305" s="512" t="str">
        <f t="shared" si="143"/>
        <v/>
      </c>
      <c r="AR305" s="512"/>
      <c r="AS305" s="512" t="str">
        <f t="shared" si="144"/>
        <v/>
      </c>
      <c r="AT305" s="151">
        <f t="shared" si="145"/>
        <v>0</v>
      </c>
      <c r="AU305" s="151">
        <f>IFERROR(VLOOKUP(A305,'[7]TD CuentasBDG'!$N$5:$O$21,2,0),0)</f>
        <v>0</v>
      </c>
      <c r="AV305">
        <f t="shared" si="146"/>
        <v>0</v>
      </c>
    </row>
    <row r="306" spans="1:50" ht="30" x14ac:dyDescent="0.25">
      <c r="A306" s="508" t="s">
        <v>2145</v>
      </c>
      <c r="B306" s="508" t="s">
        <v>197</v>
      </c>
      <c r="C306" s="508" t="s">
        <v>143</v>
      </c>
      <c r="D306" s="508" t="s">
        <v>168</v>
      </c>
      <c r="E306" s="508"/>
      <c r="F306" s="508"/>
      <c r="G306" s="508" t="s">
        <v>1707</v>
      </c>
      <c r="H306" s="508" t="s">
        <v>492</v>
      </c>
      <c r="I306" s="508"/>
      <c r="J306" s="555"/>
      <c r="K306" s="555"/>
      <c r="L306" s="911">
        <f ca="1">IFERROR(INDEX(Lists!$O$2:$Z$2,MATCH(TRUE,INDEX((AE306:AP306&lt;&gt;0),0),0)),DATE(2018,1,1))</f>
        <v>43160</v>
      </c>
      <c r="M306" s="911">
        <f ca="1">IFERROR(INDEX(Lists!$O$3:$Z$3, VALUE(SUBSTITUTE(TEXT(ADDRESS(SUMPRODUCT(MAX((COLUMN(AE306:AP306)*(AE306:AP306&gt;0)))),1),),"$A$",""))-30),DATE(2018,1,1))</f>
        <v>43220</v>
      </c>
      <c r="N306" s="508"/>
      <c r="O306" s="508"/>
      <c r="P306" s="508"/>
      <c r="Q306" s="508"/>
      <c r="R306" s="508" t="str">
        <f t="shared" ca="1" si="119"/>
        <v>Vulcan Software</v>
      </c>
      <c r="S306" s="508" t="str">
        <f t="shared" ca="1" si="120"/>
        <v>NuevaUnion</v>
      </c>
      <c r="T306" s="508" t="str">
        <f t="shared" ca="1" si="121"/>
        <v>Operations and Technical Services</v>
      </c>
      <c r="U306" s="508" t="str">
        <f t="shared" ca="1" si="122"/>
        <v>687 / 51-11-3331</v>
      </c>
      <c r="V306" s="508">
        <f t="shared" ca="1" si="123"/>
        <v>0</v>
      </c>
      <c r="W306" s="508" t="str">
        <f t="shared" ca="1" si="124"/>
        <v>TBD</v>
      </c>
      <c r="X306" s="508" t="str">
        <f t="shared" ca="1" si="125"/>
        <v>Ene</v>
      </c>
      <c r="Y306" s="508" t="str">
        <f t="shared" ca="1" si="126"/>
        <v>Ene</v>
      </c>
      <c r="Z306" s="508">
        <f t="shared" ca="1" si="127"/>
        <v>0</v>
      </c>
      <c r="AA306" s="508" t="str">
        <f t="shared" ca="1" si="128"/>
        <v>Ene</v>
      </c>
      <c r="AB306" s="508">
        <f t="shared" ca="1" si="118"/>
        <v>2</v>
      </c>
      <c r="AC306" s="508">
        <f t="shared" ca="1" si="129"/>
        <v>0</v>
      </c>
      <c r="AD306" s="912">
        <f t="shared" ca="1" si="130"/>
        <v>100000</v>
      </c>
      <c r="AE306" s="512">
        <f t="shared" ca="1" si="131"/>
        <v>0</v>
      </c>
      <c r="AF306" s="512">
        <f t="shared" ca="1" si="132"/>
        <v>0</v>
      </c>
      <c r="AG306" s="512">
        <f t="shared" ca="1" si="133"/>
        <v>50000</v>
      </c>
      <c r="AH306" s="512">
        <f t="shared" ca="1" si="134"/>
        <v>50000</v>
      </c>
      <c r="AI306" s="512">
        <f t="shared" ca="1" si="135"/>
        <v>0</v>
      </c>
      <c r="AJ306" s="512">
        <f t="shared" ca="1" si="136"/>
        <v>0</v>
      </c>
      <c r="AK306" s="512">
        <f t="shared" ca="1" si="137"/>
        <v>0</v>
      </c>
      <c r="AL306" s="512">
        <f t="shared" ca="1" si="138"/>
        <v>0</v>
      </c>
      <c r="AM306" s="512">
        <f t="shared" ca="1" si="139"/>
        <v>0</v>
      </c>
      <c r="AN306" s="512">
        <f t="shared" ca="1" si="140"/>
        <v>0</v>
      </c>
      <c r="AO306" s="512">
        <f t="shared" ca="1" si="141"/>
        <v>0</v>
      </c>
      <c r="AP306" s="512">
        <f t="shared" ca="1" si="142"/>
        <v>0</v>
      </c>
      <c r="AQ306" s="512" t="str">
        <f t="shared" si="143"/>
        <v/>
      </c>
      <c r="AR306" s="512"/>
      <c r="AS306" s="512" t="str">
        <f t="shared" si="144"/>
        <v/>
      </c>
      <c r="AT306" s="151">
        <f t="shared" si="145"/>
        <v>0</v>
      </c>
      <c r="AU306" s="151">
        <f>IFERROR(VLOOKUP(A306,'[7]TD CuentasBDG'!$N$5:$O$21,2,0),0)</f>
        <v>0</v>
      </c>
      <c r="AV306">
        <f t="shared" si="146"/>
        <v>0</v>
      </c>
    </row>
    <row r="307" spans="1:50" ht="30" x14ac:dyDescent="0.25">
      <c r="A307" s="508" t="s">
        <v>2146</v>
      </c>
      <c r="B307" s="508" t="s">
        <v>197</v>
      </c>
      <c r="C307" s="508" t="s">
        <v>143</v>
      </c>
      <c r="D307" s="508" t="s">
        <v>168</v>
      </c>
      <c r="E307" s="508"/>
      <c r="F307" s="508"/>
      <c r="G307" s="508" t="s">
        <v>1707</v>
      </c>
      <c r="H307" s="508" t="s">
        <v>494</v>
      </c>
      <c r="I307" s="508"/>
      <c r="J307" s="555"/>
      <c r="K307" s="555"/>
      <c r="L307" s="911">
        <f ca="1">IFERROR(INDEX(Lists!$O$2:$Z$2,MATCH(TRUE,INDEX((AE307:AP307&lt;&gt;0),0),0)),DATE(2018,1,1))</f>
        <v>43160</v>
      </c>
      <c r="M307" s="911">
        <f ca="1">IFERROR(INDEX(Lists!$O$3:$Z$3, VALUE(SUBSTITUTE(TEXT(ADDRESS(SUMPRODUCT(MAX((COLUMN(AE307:AP307)*(AE307:AP307&gt;0)))),1),),"$A$",""))-30),DATE(2018,1,1))</f>
        <v>43220</v>
      </c>
      <c r="N307" s="508"/>
      <c r="O307" s="508"/>
      <c r="P307" s="508"/>
      <c r="Q307" s="508"/>
      <c r="R307" s="508" t="str">
        <f t="shared" ca="1" si="119"/>
        <v>Training Vulcan</v>
      </c>
      <c r="S307" s="508" t="str">
        <f t="shared" ca="1" si="120"/>
        <v>NuevaUnion</v>
      </c>
      <c r="T307" s="508" t="str">
        <f t="shared" ca="1" si="121"/>
        <v>Operations and Technical Services</v>
      </c>
      <c r="U307" s="508" t="str">
        <f t="shared" ca="1" si="122"/>
        <v>687 / 51-11-3331</v>
      </c>
      <c r="V307" s="508">
        <f t="shared" ca="1" si="123"/>
        <v>0</v>
      </c>
      <c r="W307" s="508" t="str">
        <f t="shared" ca="1" si="124"/>
        <v>TBD</v>
      </c>
      <c r="X307" s="508" t="str">
        <f t="shared" ca="1" si="125"/>
        <v>Ene</v>
      </c>
      <c r="Y307" s="508" t="str">
        <f t="shared" ca="1" si="126"/>
        <v>Ene</v>
      </c>
      <c r="Z307" s="508">
        <f t="shared" ca="1" si="127"/>
        <v>0</v>
      </c>
      <c r="AA307" s="508" t="str">
        <f t="shared" ca="1" si="128"/>
        <v>Ene</v>
      </c>
      <c r="AB307" s="508">
        <f t="shared" ca="1" si="118"/>
        <v>2</v>
      </c>
      <c r="AC307" s="508">
        <f t="shared" ca="1" si="129"/>
        <v>0</v>
      </c>
      <c r="AD307" s="912">
        <f t="shared" ca="1" si="130"/>
        <v>20000</v>
      </c>
      <c r="AE307" s="512">
        <f t="shared" ca="1" si="131"/>
        <v>0</v>
      </c>
      <c r="AF307" s="512">
        <f t="shared" ca="1" si="132"/>
        <v>0</v>
      </c>
      <c r="AG307" s="512">
        <f t="shared" ca="1" si="133"/>
        <v>10000</v>
      </c>
      <c r="AH307" s="512">
        <f t="shared" ca="1" si="134"/>
        <v>10000</v>
      </c>
      <c r="AI307" s="512">
        <f t="shared" ca="1" si="135"/>
        <v>0</v>
      </c>
      <c r="AJ307" s="512">
        <f t="shared" ca="1" si="136"/>
        <v>0</v>
      </c>
      <c r="AK307" s="512">
        <f t="shared" ca="1" si="137"/>
        <v>0</v>
      </c>
      <c r="AL307" s="512">
        <f t="shared" ca="1" si="138"/>
        <v>0</v>
      </c>
      <c r="AM307" s="512">
        <f t="shared" ca="1" si="139"/>
        <v>0</v>
      </c>
      <c r="AN307" s="512">
        <f t="shared" ca="1" si="140"/>
        <v>0</v>
      </c>
      <c r="AO307" s="512">
        <f t="shared" ca="1" si="141"/>
        <v>0</v>
      </c>
      <c r="AP307" s="512">
        <f t="shared" ca="1" si="142"/>
        <v>0</v>
      </c>
      <c r="AQ307" s="512" t="str">
        <f t="shared" si="143"/>
        <v/>
      </c>
      <c r="AR307" s="512"/>
      <c r="AS307" s="512" t="str">
        <f t="shared" si="144"/>
        <v/>
      </c>
      <c r="AT307" s="151">
        <f t="shared" si="145"/>
        <v>0</v>
      </c>
      <c r="AU307" s="151">
        <f>IFERROR(VLOOKUP(A307,'[7]TD CuentasBDG'!$N$5:$O$21,2,0),0)</f>
        <v>0</v>
      </c>
      <c r="AV307">
        <f t="shared" si="146"/>
        <v>0</v>
      </c>
    </row>
    <row r="308" spans="1:50" ht="30" x14ac:dyDescent="0.25">
      <c r="A308" s="508" t="s">
        <v>2147</v>
      </c>
      <c r="B308" s="508" t="s">
        <v>197</v>
      </c>
      <c r="C308" s="508" t="s">
        <v>143</v>
      </c>
      <c r="D308" s="508" t="s">
        <v>168</v>
      </c>
      <c r="E308" s="508"/>
      <c r="F308" s="508"/>
      <c r="G308" s="508" t="s">
        <v>1707</v>
      </c>
      <c r="H308" s="508" t="s">
        <v>495</v>
      </c>
      <c r="I308" s="508"/>
      <c r="J308" s="555"/>
      <c r="K308" s="555"/>
      <c r="L308" s="911">
        <f ca="1">IFERROR(INDEX(Lists!$O$2:$Z$2,MATCH(TRUE,INDEX((AE308:AP308&lt;&gt;0),0),0)),DATE(2018,1,1))</f>
        <v>43102</v>
      </c>
      <c r="M308" s="911">
        <f ca="1">IFERROR(INDEX(Lists!$O$3:$Z$3, VALUE(SUBSTITUTE(TEXT(ADDRESS(SUMPRODUCT(MAX((COLUMN(AE308:AP308)*(AE308:AP308&gt;0)))),1),),"$A$",""))-30),DATE(2018,1,1))</f>
        <v>43159</v>
      </c>
      <c r="N308" s="508"/>
      <c r="O308" s="508"/>
      <c r="P308" s="508"/>
      <c r="Q308" s="508"/>
      <c r="R308" s="508" t="str">
        <f t="shared" ca="1" si="119"/>
        <v>Whittle Software</v>
      </c>
      <c r="S308" s="508" t="str">
        <f t="shared" ca="1" si="120"/>
        <v>NuevaUnion</v>
      </c>
      <c r="T308" s="508" t="str">
        <f t="shared" ca="1" si="121"/>
        <v>Operations and Technical Services</v>
      </c>
      <c r="U308" s="508" t="str">
        <f t="shared" ca="1" si="122"/>
        <v>687 / 51-11-3331</v>
      </c>
      <c r="V308" s="508">
        <f t="shared" ca="1" si="123"/>
        <v>0</v>
      </c>
      <c r="W308" s="508" t="str">
        <f t="shared" ca="1" si="124"/>
        <v>TBD</v>
      </c>
      <c r="X308" s="508" t="str">
        <f t="shared" ca="1" si="125"/>
        <v>Ene</v>
      </c>
      <c r="Y308" s="508" t="str">
        <f t="shared" ca="1" si="126"/>
        <v>Ene</v>
      </c>
      <c r="Z308" s="508">
        <f t="shared" ca="1" si="127"/>
        <v>0</v>
      </c>
      <c r="AA308" s="508" t="str">
        <f t="shared" ca="1" si="128"/>
        <v>Ene</v>
      </c>
      <c r="AB308" s="508">
        <f t="shared" ca="1" si="118"/>
        <v>2</v>
      </c>
      <c r="AC308" s="508">
        <f t="shared" ca="1" si="129"/>
        <v>0</v>
      </c>
      <c r="AD308" s="912">
        <f t="shared" ca="1" si="130"/>
        <v>120000</v>
      </c>
      <c r="AE308" s="512">
        <f t="shared" ca="1" si="131"/>
        <v>60000</v>
      </c>
      <c r="AF308" s="512">
        <f t="shared" ca="1" si="132"/>
        <v>60000</v>
      </c>
      <c r="AG308" s="512">
        <f t="shared" ca="1" si="133"/>
        <v>0</v>
      </c>
      <c r="AH308" s="512">
        <f t="shared" ca="1" si="134"/>
        <v>0</v>
      </c>
      <c r="AI308" s="512">
        <f t="shared" ca="1" si="135"/>
        <v>0</v>
      </c>
      <c r="AJ308" s="512">
        <f t="shared" ca="1" si="136"/>
        <v>0</v>
      </c>
      <c r="AK308" s="512">
        <f t="shared" ca="1" si="137"/>
        <v>0</v>
      </c>
      <c r="AL308" s="512">
        <f t="shared" ca="1" si="138"/>
        <v>0</v>
      </c>
      <c r="AM308" s="512">
        <f t="shared" ca="1" si="139"/>
        <v>0</v>
      </c>
      <c r="AN308" s="512">
        <f t="shared" ca="1" si="140"/>
        <v>0</v>
      </c>
      <c r="AO308" s="512">
        <f t="shared" ca="1" si="141"/>
        <v>0</v>
      </c>
      <c r="AP308" s="512">
        <f t="shared" ca="1" si="142"/>
        <v>0</v>
      </c>
      <c r="AQ308" s="512" t="str">
        <f t="shared" si="143"/>
        <v/>
      </c>
      <c r="AR308" s="512"/>
      <c r="AS308" s="512" t="str">
        <f t="shared" si="144"/>
        <v/>
      </c>
      <c r="AT308" s="151">
        <f t="shared" si="145"/>
        <v>0</v>
      </c>
      <c r="AU308" s="151">
        <f>IFERROR(VLOOKUP(A308,'[7]TD CuentasBDG'!$N$5:$O$21,2,0),0)</f>
        <v>0</v>
      </c>
      <c r="AV308">
        <f t="shared" si="146"/>
        <v>0</v>
      </c>
    </row>
    <row r="309" spans="1:50" ht="30" x14ac:dyDescent="0.25">
      <c r="A309" s="508" t="s">
        <v>2148</v>
      </c>
      <c r="B309" s="508" t="s">
        <v>197</v>
      </c>
      <c r="C309" s="508" t="s">
        <v>143</v>
      </c>
      <c r="D309" s="508" t="s">
        <v>168</v>
      </c>
      <c r="E309" s="508"/>
      <c r="F309" s="508"/>
      <c r="G309" s="508" t="s">
        <v>1707</v>
      </c>
      <c r="H309" s="508" t="s">
        <v>496</v>
      </c>
      <c r="I309" s="508"/>
      <c r="J309" s="555"/>
      <c r="K309" s="555"/>
      <c r="L309" s="911">
        <f ca="1">IFERROR(INDEX(Lists!$O$2:$Z$2,MATCH(TRUE,INDEX((AE309:AP309&lt;&gt;0),0),0)),DATE(2018,1,1))</f>
        <v>43160</v>
      </c>
      <c r="M309" s="911">
        <f ca="1">IFERROR(INDEX(Lists!$O$3:$Z$3, VALUE(SUBSTITUTE(TEXT(ADDRESS(SUMPRODUCT(MAX((COLUMN(AE309:AP309)*(AE309:AP309&gt;0)))),1),),"$A$",""))-30),DATE(2018,1,1))</f>
        <v>43220</v>
      </c>
      <c r="N309" s="508"/>
      <c r="O309" s="508"/>
      <c r="P309" s="508"/>
      <c r="Q309" s="508"/>
      <c r="R309" s="508" t="str">
        <f t="shared" ca="1" si="119"/>
        <v>Training Whittle</v>
      </c>
      <c r="S309" s="508" t="str">
        <f t="shared" ca="1" si="120"/>
        <v>NuevaUnion</v>
      </c>
      <c r="T309" s="508" t="str">
        <f t="shared" ca="1" si="121"/>
        <v>Operations and Technical Services</v>
      </c>
      <c r="U309" s="508" t="str">
        <f t="shared" ca="1" si="122"/>
        <v>687 / 51-11-3331</v>
      </c>
      <c r="V309" s="508">
        <f t="shared" ca="1" si="123"/>
        <v>0</v>
      </c>
      <c r="W309" s="508" t="str">
        <f t="shared" ca="1" si="124"/>
        <v>TBD</v>
      </c>
      <c r="X309" s="508" t="str">
        <f t="shared" ca="1" si="125"/>
        <v>Ene</v>
      </c>
      <c r="Y309" s="508" t="str">
        <f t="shared" ca="1" si="126"/>
        <v>Ene</v>
      </c>
      <c r="Z309" s="508">
        <f t="shared" ca="1" si="127"/>
        <v>0</v>
      </c>
      <c r="AA309" s="508" t="str">
        <f t="shared" ca="1" si="128"/>
        <v>Ene</v>
      </c>
      <c r="AB309" s="508">
        <f t="shared" ca="1" si="118"/>
        <v>2</v>
      </c>
      <c r="AC309" s="508">
        <f t="shared" ca="1" si="129"/>
        <v>0</v>
      </c>
      <c r="AD309" s="912">
        <f t="shared" ca="1" si="130"/>
        <v>20000</v>
      </c>
      <c r="AE309" s="512">
        <f t="shared" ca="1" si="131"/>
        <v>0</v>
      </c>
      <c r="AF309" s="512">
        <f t="shared" ca="1" si="132"/>
        <v>0</v>
      </c>
      <c r="AG309" s="512">
        <f t="shared" ca="1" si="133"/>
        <v>10000</v>
      </c>
      <c r="AH309" s="512">
        <f t="shared" ca="1" si="134"/>
        <v>10000</v>
      </c>
      <c r="AI309" s="512">
        <f t="shared" ca="1" si="135"/>
        <v>0</v>
      </c>
      <c r="AJ309" s="512">
        <f t="shared" ca="1" si="136"/>
        <v>0</v>
      </c>
      <c r="AK309" s="512">
        <f t="shared" ca="1" si="137"/>
        <v>0</v>
      </c>
      <c r="AL309" s="512">
        <f t="shared" ca="1" si="138"/>
        <v>0</v>
      </c>
      <c r="AM309" s="512">
        <f t="shared" ca="1" si="139"/>
        <v>0</v>
      </c>
      <c r="AN309" s="512">
        <f t="shared" ca="1" si="140"/>
        <v>0</v>
      </c>
      <c r="AO309" s="512">
        <f t="shared" ca="1" si="141"/>
        <v>0</v>
      </c>
      <c r="AP309" s="512">
        <f t="shared" ca="1" si="142"/>
        <v>0</v>
      </c>
      <c r="AQ309" s="512" t="str">
        <f t="shared" si="143"/>
        <v/>
      </c>
      <c r="AR309" s="512"/>
      <c r="AS309" s="512" t="str">
        <f t="shared" si="144"/>
        <v/>
      </c>
      <c r="AT309" s="151">
        <f t="shared" si="145"/>
        <v>0</v>
      </c>
      <c r="AU309" s="151">
        <f>IFERROR(VLOOKUP(A309,'[7]TD CuentasBDG'!$N$5:$O$21,2,0),0)</f>
        <v>0</v>
      </c>
      <c r="AV309">
        <f t="shared" si="146"/>
        <v>0</v>
      </c>
    </row>
    <row r="310" spans="1:50" ht="45" x14ac:dyDescent="0.25">
      <c r="A310" s="508" t="s">
        <v>2149</v>
      </c>
      <c r="B310" s="508" t="s">
        <v>197</v>
      </c>
      <c r="C310" s="508" t="s">
        <v>143</v>
      </c>
      <c r="D310" s="508" t="s">
        <v>168</v>
      </c>
      <c r="E310" s="508"/>
      <c r="F310" s="508"/>
      <c r="G310" s="508" t="s">
        <v>1647</v>
      </c>
      <c r="H310" s="508" t="s">
        <v>497</v>
      </c>
      <c r="I310" s="508" t="s">
        <v>484</v>
      </c>
      <c r="J310" s="555" t="s">
        <v>1650</v>
      </c>
      <c r="K310" s="555" t="s">
        <v>1651</v>
      </c>
      <c r="L310" s="911">
        <f ca="1">IFERROR(INDEX(Lists!$O$2:$Z$2,MATCH(TRUE,INDEX((AE310:AP310&lt;&gt;0),0),0)),DATE(2018,1,1))</f>
        <v>43160</v>
      </c>
      <c r="M310" s="911">
        <f ca="1">IFERROR(INDEX(Lists!$O$3:$Z$3, VALUE(SUBSTITUTE(TEXT(ADDRESS(SUMPRODUCT(MAX((COLUMN(AE310:AP310)*(AE310:AP310&gt;0)))),1),),"$A$",""))-30),DATE(2018,1,1))</f>
        <v>43190</v>
      </c>
      <c r="N310" s="508" t="s">
        <v>1683</v>
      </c>
      <c r="O310" s="508" t="s">
        <v>1984</v>
      </c>
      <c r="P310" s="508" t="s">
        <v>1071</v>
      </c>
      <c r="Q310" s="508" t="s">
        <v>1071</v>
      </c>
      <c r="R310" s="508" t="str">
        <f t="shared" ca="1" si="119"/>
        <v>Comet Model Support</v>
      </c>
      <c r="S310" s="508" t="str">
        <f t="shared" ca="1" si="120"/>
        <v>NuevaUnion</v>
      </c>
      <c r="T310" s="508" t="str">
        <f t="shared" ca="1" si="121"/>
        <v>Operations and Technical Services</v>
      </c>
      <c r="U310" s="508" t="str">
        <f t="shared" ca="1" si="122"/>
        <v>687 / 51-11-3331</v>
      </c>
      <c r="V310" s="508">
        <f t="shared" ca="1" si="123"/>
        <v>0</v>
      </c>
      <c r="W310" s="508" t="str">
        <f t="shared" ca="1" si="124"/>
        <v>TBD</v>
      </c>
      <c r="X310" s="508" t="str">
        <f t="shared" ca="1" si="125"/>
        <v>Ene</v>
      </c>
      <c r="Y310" s="508" t="str">
        <f t="shared" ca="1" si="126"/>
        <v>Ene</v>
      </c>
      <c r="Z310" s="508">
        <f t="shared" ca="1" si="127"/>
        <v>0</v>
      </c>
      <c r="AA310" s="508" t="str">
        <f t="shared" ca="1" si="128"/>
        <v>Ene</v>
      </c>
      <c r="AB310" s="508">
        <f t="shared" ca="1" si="118"/>
        <v>1</v>
      </c>
      <c r="AC310" s="508">
        <f t="shared" ca="1" si="129"/>
        <v>0</v>
      </c>
      <c r="AD310" s="912">
        <f t="shared" ca="1" si="130"/>
        <v>30000</v>
      </c>
      <c r="AE310" s="512">
        <f t="shared" ca="1" si="131"/>
        <v>0</v>
      </c>
      <c r="AF310" s="512">
        <f t="shared" ca="1" si="132"/>
        <v>0</v>
      </c>
      <c r="AG310" s="512">
        <f t="shared" ca="1" si="133"/>
        <v>30000</v>
      </c>
      <c r="AH310" s="512">
        <f t="shared" ca="1" si="134"/>
        <v>0</v>
      </c>
      <c r="AI310" s="512">
        <f t="shared" ca="1" si="135"/>
        <v>0</v>
      </c>
      <c r="AJ310" s="512">
        <f t="shared" ca="1" si="136"/>
        <v>0</v>
      </c>
      <c r="AK310" s="512">
        <f t="shared" ca="1" si="137"/>
        <v>0</v>
      </c>
      <c r="AL310" s="512">
        <f t="shared" ca="1" si="138"/>
        <v>0</v>
      </c>
      <c r="AM310" s="512">
        <f t="shared" ca="1" si="139"/>
        <v>0</v>
      </c>
      <c r="AN310" s="512">
        <f t="shared" ca="1" si="140"/>
        <v>0</v>
      </c>
      <c r="AO310" s="512">
        <f t="shared" ca="1" si="141"/>
        <v>0</v>
      </c>
      <c r="AP310" s="512">
        <f t="shared" ca="1" si="142"/>
        <v>0</v>
      </c>
      <c r="AQ310" s="512" t="str">
        <f t="shared" ca="1" si="143"/>
        <v>Orden de Servicio Sin Terreno</v>
      </c>
      <c r="AR310" s="512"/>
      <c r="AS310" s="512" t="str">
        <f t="shared" ca="1" si="144"/>
        <v>No</v>
      </c>
      <c r="AT310" s="151">
        <f t="shared" ca="1" si="145"/>
        <v>30000</v>
      </c>
      <c r="AU310" s="151">
        <f>IFERROR(VLOOKUP(A310,'[7]TD CuentasBDG'!$N$5:$O$21,2,0),0)</f>
        <v>0</v>
      </c>
      <c r="AV310" t="str">
        <f t="shared" si="146"/>
        <v>Adjudicación Directa</v>
      </c>
      <c r="AW310" t="s">
        <v>1690</v>
      </c>
      <c r="AX310" t="s">
        <v>1655</v>
      </c>
    </row>
    <row r="311" spans="1:50" ht="45" x14ac:dyDescent="0.25">
      <c r="A311" s="508" t="s">
        <v>2150</v>
      </c>
      <c r="B311" s="508" t="s">
        <v>197</v>
      </c>
      <c r="C311" s="508" t="s">
        <v>143</v>
      </c>
      <c r="D311" s="508" t="s">
        <v>168</v>
      </c>
      <c r="E311" s="508"/>
      <c r="F311" s="508"/>
      <c r="G311" s="508" t="s">
        <v>1647</v>
      </c>
      <c r="H311" s="508" t="s">
        <v>1178</v>
      </c>
      <c r="I311" s="508" t="s">
        <v>484</v>
      </c>
      <c r="J311" s="555" t="s">
        <v>1650</v>
      </c>
      <c r="K311" s="555" t="s">
        <v>1651</v>
      </c>
      <c r="L311" s="911">
        <f ca="1">IFERROR(INDEX(Lists!$O$2:$Z$2,MATCH(TRUE,INDEX((AE311:AP311&lt;&gt;0),0),0)),DATE(2018,1,1))</f>
        <v>43160</v>
      </c>
      <c r="M311" s="911">
        <f ca="1">IFERROR(INDEX(Lists!$O$3:$Z$3, VALUE(SUBSTITUTE(TEXT(ADDRESS(SUMPRODUCT(MAX((COLUMN(AE311:AP311)*(AE311:AP311&gt;0)))),1),),"$A$",""))-30),DATE(2018,1,1))</f>
        <v>43404</v>
      </c>
      <c r="N311" s="508" t="s">
        <v>1683</v>
      </c>
      <c r="O311" s="508" t="s">
        <v>1984</v>
      </c>
      <c r="P311" s="508" t="s">
        <v>1071</v>
      </c>
      <c r="Q311" s="508" t="s">
        <v>1071</v>
      </c>
      <c r="R311" s="508" t="str">
        <f t="shared" ca="1" si="119"/>
        <v>Feasibility Comet Support</v>
      </c>
      <c r="S311" s="508" t="str">
        <f t="shared" ca="1" si="120"/>
        <v>NuevaUnion</v>
      </c>
      <c r="T311" s="508" t="str">
        <f t="shared" ca="1" si="121"/>
        <v>Operations and Technical Services</v>
      </c>
      <c r="U311" s="508" t="str">
        <f t="shared" ca="1" si="122"/>
        <v>687 / 51-11-3331</v>
      </c>
      <c r="V311" s="508">
        <f t="shared" ca="1" si="123"/>
        <v>0</v>
      </c>
      <c r="W311" s="508" t="str">
        <f t="shared" ca="1" si="124"/>
        <v>TBD</v>
      </c>
      <c r="X311" s="508" t="str">
        <f t="shared" ca="1" si="125"/>
        <v>Ene</v>
      </c>
      <c r="Y311" s="508" t="str">
        <f t="shared" ca="1" si="126"/>
        <v>Ene</v>
      </c>
      <c r="Z311" s="508">
        <f t="shared" ca="1" si="127"/>
        <v>0</v>
      </c>
      <c r="AA311" s="508" t="str">
        <f t="shared" ca="1" si="128"/>
        <v>Ene</v>
      </c>
      <c r="AB311" s="508">
        <f t="shared" ca="1" si="118"/>
        <v>8</v>
      </c>
      <c r="AC311" s="508">
        <f t="shared" ca="1" si="129"/>
        <v>0</v>
      </c>
      <c r="AD311" s="912">
        <f t="shared" ca="1" si="130"/>
        <v>96000</v>
      </c>
      <c r="AE311" s="512">
        <f t="shared" ca="1" si="131"/>
        <v>0</v>
      </c>
      <c r="AF311" s="512">
        <f t="shared" ca="1" si="132"/>
        <v>0</v>
      </c>
      <c r="AG311" s="512">
        <f t="shared" ca="1" si="133"/>
        <v>12000</v>
      </c>
      <c r="AH311" s="512">
        <f t="shared" ca="1" si="134"/>
        <v>12000</v>
      </c>
      <c r="AI311" s="512">
        <f t="shared" ca="1" si="135"/>
        <v>12000</v>
      </c>
      <c r="AJ311" s="512">
        <f t="shared" ca="1" si="136"/>
        <v>12000</v>
      </c>
      <c r="AK311" s="512">
        <f t="shared" ca="1" si="137"/>
        <v>12000</v>
      </c>
      <c r="AL311" s="512">
        <f t="shared" ca="1" si="138"/>
        <v>12000</v>
      </c>
      <c r="AM311" s="512">
        <f t="shared" ca="1" si="139"/>
        <v>12000</v>
      </c>
      <c r="AN311" s="512">
        <f t="shared" ca="1" si="140"/>
        <v>12000</v>
      </c>
      <c r="AO311" s="512">
        <f t="shared" ca="1" si="141"/>
        <v>0</v>
      </c>
      <c r="AP311" s="512">
        <f t="shared" ca="1" si="142"/>
        <v>0</v>
      </c>
      <c r="AQ311" s="512" t="str">
        <f t="shared" ca="1" si="143"/>
        <v>Orden de Servicio Sin Terreno</v>
      </c>
      <c r="AR311" s="512"/>
      <c r="AS311" s="512" t="str">
        <f t="shared" ca="1" si="144"/>
        <v>Si</v>
      </c>
      <c r="AT311" s="151">
        <f t="shared" ca="1" si="145"/>
        <v>96000</v>
      </c>
      <c r="AU311" s="151">
        <f>IFERROR(VLOOKUP(A311,'[7]TD CuentasBDG'!$N$5:$O$21,2,0),0)</f>
        <v>0</v>
      </c>
      <c r="AV311" t="str">
        <f t="shared" si="146"/>
        <v>Adjudicación Directa</v>
      </c>
      <c r="AW311" t="s">
        <v>1690</v>
      </c>
      <c r="AX311" t="s">
        <v>1655</v>
      </c>
    </row>
    <row r="312" spans="1:50" ht="45" x14ac:dyDescent="0.25">
      <c r="A312" s="914" t="s">
        <v>2151</v>
      </c>
      <c r="B312" s="508" t="s">
        <v>197</v>
      </c>
      <c r="C312" s="508" t="s">
        <v>143</v>
      </c>
      <c r="D312" s="508" t="s">
        <v>168</v>
      </c>
      <c r="E312" s="508"/>
      <c r="F312" s="508"/>
      <c r="G312" s="508" t="s">
        <v>1647</v>
      </c>
      <c r="H312" s="508" t="s">
        <v>498</v>
      </c>
      <c r="I312" s="508" t="s">
        <v>484</v>
      </c>
      <c r="J312" s="555" t="s">
        <v>1650</v>
      </c>
      <c r="K312" s="555" t="s">
        <v>1651</v>
      </c>
      <c r="L312" s="911">
        <f ca="1">IFERROR(INDEX(Lists!$O$2:$Z$2,MATCH(TRUE,INDEX((AE312:AP312&lt;&gt;0),0),0)),DATE(2018,1,1))</f>
        <v>43160</v>
      </c>
      <c r="M312" s="911">
        <f ca="1">IFERROR(INDEX(Lists!$O$3:$Z$3, VALUE(SUBSTITUTE(TEXT(ADDRESS(SUMPRODUCT(MAX((COLUMN(AE312:AP312)*(AE312:AP312&gt;0)))),1),),"$A$",""))-30),DATE(2018,1,1))</f>
        <v>43465</v>
      </c>
      <c r="N312" s="508" t="s">
        <v>1683</v>
      </c>
      <c r="O312" s="508" t="s">
        <v>1984</v>
      </c>
      <c r="P312" s="508" t="s">
        <v>1071</v>
      </c>
      <c r="Q312" s="508" t="s">
        <v>1071</v>
      </c>
      <c r="R312" s="508" t="str">
        <f t="shared" ca="1" si="119"/>
        <v>Mine Engineering Support</v>
      </c>
      <c r="S312" s="508" t="str">
        <f t="shared" ca="1" si="120"/>
        <v>NuevaUnion</v>
      </c>
      <c r="T312" s="508" t="str">
        <f t="shared" ca="1" si="121"/>
        <v>Operations and Technical Services</v>
      </c>
      <c r="U312" s="508" t="str">
        <f t="shared" ca="1" si="122"/>
        <v>687 / 51-11-3331</v>
      </c>
      <c r="V312" s="508">
        <f t="shared" ca="1" si="123"/>
        <v>0</v>
      </c>
      <c r="W312" s="508" t="str">
        <f t="shared" ca="1" si="124"/>
        <v>TBD</v>
      </c>
      <c r="X312" s="508" t="str">
        <f t="shared" ca="1" si="125"/>
        <v>Ene</v>
      </c>
      <c r="Y312" s="508" t="str">
        <f t="shared" ca="1" si="126"/>
        <v>Ene</v>
      </c>
      <c r="Z312" s="508">
        <f t="shared" ca="1" si="127"/>
        <v>0</v>
      </c>
      <c r="AA312" s="508" t="str">
        <f t="shared" ca="1" si="128"/>
        <v>Ene</v>
      </c>
      <c r="AB312" s="508">
        <f t="shared" ca="1" si="118"/>
        <v>10</v>
      </c>
      <c r="AC312" s="508">
        <f t="shared" ca="1" si="129"/>
        <v>0</v>
      </c>
      <c r="AD312" s="912">
        <f t="shared" ca="1" si="130"/>
        <v>60000</v>
      </c>
      <c r="AE312" s="512">
        <f t="shared" ca="1" si="131"/>
        <v>0</v>
      </c>
      <c r="AF312" s="512">
        <f t="shared" ca="1" si="132"/>
        <v>0</v>
      </c>
      <c r="AG312" s="512">
        <f t="shared" ca="1" si="133"/>
        <v>6000</v>
      </c>
      <c r="AH312" s="512">
        <f t="shared" ca="1" si="134"/>
        <v>6000</v>
      </c>
      <c r="AI312" s="512">
        <f t="shared" ca="1" si="135"/>
        <v>6000</v>
      </c>
      <c r="AJ312" s="512">
        <f t="shared" ca="1" si="136"/>
        <v>6000</v>
      </c>
      <c r="AK312" s="512">
        <f t="shared" ca="1" si="137"/>
        <v>6000</v>
      </c>
      <c r="AL312" s="512">
        <f t="shared" ca="1" si="138"/>
        <v>6000</v>
      </c>
      <c r="AM312" s="512">
        <f t="shared" ca="1" si="139"/>
        <v>6000</v>
      </c>
      <c r="AN312" s="512">
        <f t="shared" ca="1" si="140"/>
        <v>6000</v>
      </c>
      <c r="AO312" s="512">
        <f t="shared" ca="1" si="141"/>
        <v>6000</v>
      </c>
      <c r="AP312" s="512">
        <f t="shared" ca="1" si="142"/>
        <v>6000</v>
      </c>
      <c r="AQ312" s="512" t="str">
        <f t="shared" ca="1" si="143"/>
        <v>Orden de Servicio Sin Terreno</v>
      </c>
      <c r="AR312" s="512"/>
      <c r="AS312" s="512" t="str">
        <f t="shared" ca="1" si="144"/>
        <v>Si</v>
      </c>
      <c r="AT312" s="151">
        <f t="shared" ca="1" si="145"/>
        <v>60000</v>
      </c>
      <c r="AU312" s="151">
        <f>IFERROR(VLOOKUP(A312,'[7]TD CuentasBDG'!$N$5:$O$21,2,0),0)</f>
        <v>0</v>
      </c>
      <c r="AV312" t="str">
        <f t="shared" si="146"/>
        <v>Adjudicación Directa</v>
      </c>
      <c r="AW312" t="s">
        <v>1690</v>
      </c>
      <c r="AX312" t="s">
        <v>1655</v>
      </c>
    </row>
    <row r="313" spans="1:50" ht="30" x14ac:dyDescent="0.25">
      <c r="A313" s="508" t="s">
        <v>2152</v>
      </c>
      <c r="B313" s="508" t="s">
        <v>197</v>
      </c>
      <c r="C313" s="508" t="s">
        <v>143</v>
      </c>
      <c r="D313" s="508" t="s">
        <v>168</v>
      </c>
      <c r="E313" s="508"/>
      <c r="F313" s="508"/>
      <c r="G313" s="508" t="s">
        <v>1665</v>
      </c>
      <c r="H313" s="508"/>
      <c r="I313" s="508"/>
      <c r="J313" s="555"/>
      <c r="K313" s="555"/>
      <c r="L313" s="911">
        <f ca="1">IFERROR(INDEX(Lists!$O$2:$Z$2,MATCH(TRUE,INDEX((AE313:AP313&lt;&gt;0),0),0)),DATE(2018,1,1))</f>
        <v>43101</v>
      </c>
      <c r="M313" s="911">
        <f ca="1">IFERROR(INDEX(Lists!$O$3:$Z$3, VALUE(SUBSTITUTE(TEXT(ADDRESS(SUMPRODUCT(MAX((COLUMN(AE313:AP313)*(AE313:AP313&gt;0)))),1),),"$A$",""))-30),DATE(2018,1,1))</f>
        <v>43101</v>
      </c>
      <c r="N313" s="508"/>
      <c r="O313" s="508"/>
      <c r="P313" s="508"/>
      <c r="Q313" s="508"/>
      <c r="R313" s="508" t="str">
        <f t="shared" ca="1" si="119"/>
        <v>Geotechnical design review</v>
      </c>
      <c r="S313" s="508" t="str">
        <f t="shared" ca="1" si="120"/>
        <v>NuevaUnion</v>
      </c>
      <c r="T313" s="508" t="str">
        <f t="shared" ca="1" si="121"/>
        <v>Operations and Technical Services</v>
      </c>
      <c r="U313" s="508" t="str">
        <f t="shared" ca="1" si="122"/>
        <v>687 / 51-11-3331</v>
      </c>
      <c r="V313" s="508">
        <f t="shared" ca="1" si="123"/>
        <v>0</v>
      </c>
      <c r="W313" s="508" t="str">
        <f t="shared" ca="1" si="124"/>
        <v>TBD</v>
      </c>
      <c r="X313" s="508" t="str">
        <f t="shared" ca="1" si="125"/>
        <v>Ene</v>
      </c>
      <c r="Y313" s="508" t="str">
        <f t="shared" ca="1" si="126"/>
        <v>Ene</v>
      </c>
      <c r="Z313" s="508">
        <f t="shared" ca="1" si="127"/>
        <v>0</v>
      </c>
      <c r="AA313" s="508" t="str">
        <f t="shared" ca="1" si="128"/>
        <v>Ene</v>
      </c>
      <c r="AB313" s="508">
        <f t="shared" ca="1" si="118"/>
        <v>1</v>
      </c>
      <c r="AC313" s="508">
        <f t="shared" ca="1" si="129"/>
        <v>0</v>
      </c>
      <c r="AD313" s="912">
        <f t="shared" ca="1" si="130"/>
        <v>0</v>
      </c>
      <c r="AE313" s="512">
        <f t="shared" ca="1" si="131"/>
        <v>0</v>
      </c>
      <c r="AF313" s="512">
        <f t="shared" ca="1" si="132"/>
        <v>0</v>
      </c>
      <c r="AG313" s="512">
        <f t="shared" ca="1" si="133"/>
        <v>0</v>
      </c>
      <c r="AH313" s="512">
        <f t="shared" ca="1" si="134"/>
        <v>0</v>
      </c>
      <c r="AI313" s="512">
        <f t="shared" ca="1" si="135"/>
        <v>0</v>
      </c>
      <c r="AJ313" s="512">
        <f t="shared" ca="1" si="136"/>
        <v>0</v>
      </c>
      <c r="AK313" s="512">
        <f t="shared" ca="1" si="137"/>
        <v>0</v>
      </c>
      <c r="AL313" s="512">
        <f t="shared" ca="1" si="138"/>
        <v>0</v>
      </c>
      <c r="AM313" s="512">
        <f t="shared" ca="1" si="139"/>
        <v>0</v>
      </c>
      <c r="AN313" s="512">
        <f t="shared" ca="1" si="140"/>
        <v>0</v>
      </c>
      <c r="AO313" s="512">
        <f t="shared" ca="1" si="141"/>
        <v>0</v>
      </c>
      <c r="AP313" s="512">
        <f t="shared" ca="1" si="142"/>
        <v>0</v>
      </c>
      <c r="AQ313" s="512" t="str">
        <f t="shared" si="143"/>
        <v/>
      </c>
      <c r="AR313" s="512"/>
      <c r="AS313" s="512" t="str">
        <f t="shared" si="144"/>
        <v/>
      </c>
      <c r="AT313" s="151">
        <f t="shared" si="145"/>
        <v>0</v>
      </c>
      <c r="AU313" s="151">
        <f>IFERROR(VLOOKUP(A313,'[7]TD CuentasBDG'!$N$5:$O$21,2,0),0)</f>
        <v>0</v>
      </c>
      <c r="AV313">
        <f t="shared" si="146"/>
        <v>0</v>
      </c>
    </row>
    <row r="314" spans="1:50" ht="30" x14ac:dyDescent="0.25">
      <c r="A314" s="913" t="s">
        <v>2153</v>
      </c>
      <c r="B314" s="508" t="s">
        <v>197</v>
      </c>
      <c r="C314" s="508" t="s">
        <v>143</v>
      </c>
      <c r="D314" s="508" t="s">
        <v>168</v>
      </c>
      <c r="E314" s="508"/>
      <c r="F314" s="508"/>
      <c r="G314" s="508" t="s">
        <v>1647</v>
      </c>
      <c r="H314" s="508" t="s">
        <v>500</v>
      </c>
      <c r="I314" s="508" t="s">
        <v>484</v>
      </c>
      <c r="J314" s="555" t="s">
        <v>1650</v>
      </c>
      <c r="K314" s="555" t="s">
        <v>1651</v>
      </c>
      <c r="L314" s="911">
        <f ca="1">IFERROR(INDEX(Lists!$O$2:$Z$2,MATCH(TRUE,INDEX((AE314:AP314&lt;&gt;0),0),0)),DATE(2018,1,1))</f>
        <v>43313</v>
      </c>
      <c r="M314" s="911">
        <f ca="1">IFERROR(INDEX(Lists!$O$3:$Z$3, VALUE(SUBSTITUTE(TEXT(ADDRESS(SUMPRODUCT(MAX((COLUMN(AE314:AP314)*(AE314:AP314&gt;0)))),1),),"$A$",""))-30),DATE(2018,1,1))</f>
        <v>43465</v>
      </c>
      <c r="N314" s="508" t="s">
        <v>1668</v>
      </c>
      <c r="O314" s="508" t="s">
        <v>1984</v>
      </c>
      <c r="P314" s="508" t="s">
        <v>1071</v>
      </c>
      <c r="Q314" s="508" t="s">
        <v>1071</v>
      </c>
      <c r="R314" s="508" t="str">
        <f t="shared" ca="1" si="119"/>
        <v>Block Cave Study - Trade-offs</v>
      </c>
      <c r="S314" s="508" t="str">
        <f t="shared" ca="1" si="120"/>
        <v>NuevaUnion</v>
      </c>
      <c r="T314" s="508" t="str">
        <f t="shared" ca="1" si="121"/>
        <v>Operations and Technical Services</v>
      </c>
      <c r="U314" s="508" t="str">
        <f t="shared" ca="1" si="122"/>
        <v>687 / 51-11-3331</v>
      </c>
      <c r="V314" s="508">
        <f t="shared" ca="1" si="123"/>
        <v>0</v>
      </c>
      <c r="W314" s="508" t="str">
        <f t="shared" ca="1" si="124"/>
        <v>TBD</v>
      </c>
      <c r="X314" s="508" t="str">
        <f t="shared" ca="1" si="125"/>
        <v>Ene</v>
      </c>
      <c r="Y314" s="508" t="str">
        <f t="shared" ca="1" si="126"/>
        <v>Ene</v>
      </c>
      <c r="Z314" s="508">
        <f t="shared" ca="1" si="127"/>
        <v>0</v>
      </c>
      <c r="AA314" s="508" t="str">
        <f t="shared" ca="1" si="128"/>
        <v>Ene</v>
      </c>
      <c r="AB314" s="508">
        <f t="shared" ca="1" si="118"/>
        <v>5</v>
      </c>
      <c r="AC314" s="508">
        <f t="shared" ca="1" si="129"/>
        <v>0</v>
      </c>
      <c r="AD314" s="912">
        <f t="shared" ca="1" si="130"/>
        <v>240000</v>
      </c>
      <c r="AE314" s="512">
        <f t="shared" ca="1" si="131"/>
        <v>0</v>
      </c>
      <c r="AF314" s="512">
        <f t="shared" ca="1" si="132"/>
        <v>0</v>
      </c>
      <c r="AG314" s="512">
        <f t="shared" ca="1" si="133"/>
        <v>0</v>
      </c>
      <c r="AH314" s="512">
        <f t="shared" ca="1" si="134"/>
        <v>0</v>
      </c>
      <c r="AI314" s="512">
        <f t="shared" ca="1" si="135"/>
        <v>0</v>
      </c>
      <c r="AJ314" s="512">
        <f t="shared" ca="1" si="136"/>
        <v>0</v>
      </c>
      <c r="AK314" s="512">
        <f t="shared" ca="1" si="137"/>
        <v>0</v>
      </c>
      <c r="AL314" s="512">
        <f t="shared" ca="1" si="138"/>
        <v>48000</v>
      </c>
      <c r="AM314" s="512">
        <f t="shared" ca="1" si="139"/>
        <v>48000</v>
      </c>
      <c r="AN314" s="512">
        <f t="shared" ca="1" si="140"/>
        <v>48000</v>
      </c>
      <c r="AO314" s="512">
        <f t="shared" ca="1" si="141"/>
        <v>48000</v>
      </c>
      <c r="AP314" s="512">
        <f t="shared" ca="1" si="142"/>
        <v>48000</v>
      </c>
      <c r="AQ314" s="512" t="str">
        <f t="shared" ca="1" si="143"/>
        <v>Contrato</v>
      </c>
      <c r="AR314" s="512"/>
      <c r="AS314" s="512" t="str">
        <f t="shared" ca="1" si="144"/>
        <v>No</v>
      </c>
      <c r="AT314" s="151">
        <f t="shared" ca="1" si="145"/>
        <v>240000</v>
      </c>
      <c r="AU314" s="151">
        <f>IFERROR(VLOOKUP(A314,'[7]TD CuentasBDG'!$N$5:$O$21,2,0),0)</f>
        <v>0</v>
      </c>
      <c r="AV314" t="str">
        <f t="shared" ca="1" si="146"/>
        <v>Licitación</v>
      </c>
      <c r="AW314" t="s">
        <v>1690</v>
      </c>
      <c r="AX314" t="s">
        <v>1655</v>
      </c>
    </row>
    <row r="315" spans="1:50" ht="75" x14ac:dyDescent="0.25">
      <c r="A315" s="508" t="s">
        <v>2154</v>
      </c>
      <c r="B315" s="508" t="s">
        <v>197</v>
      </c>
      <c r="C315" s="508" t="s">
        <v>143</v>
      </c>
      <c r="D315" s="508" t="s">
        <v>168</v>
      </c>
      <c r="E315" s="508"/>
      <c r="F315" s="508"/>
      <c r="G315" s="508" t="s">
        <v>1665</v>
      </c>
      <c r="H315" s="508"/>
      <c r="I315" s="508"/>
      <c r="J315" s="555"/>
      <c r="K315" s="555"/>
      <c r="L315" s="911">
        <f ca="1">IFERROR(INDEX(Lists!$O$2:$Z$2,MATCH(TRUE,INDEX((AE315:AP315&lt;&gt;0),0),0)),DATE(2018,1,1))</f>
        <v>43101</v>
      </c>
      <c r="M315" s="911">
        <f ca="1">IFERROR(INDEX(Lists!$O$3:$Z$3, VALUE(SUBSTITUTE(TEXT(ADDRESS(SUMPRODUCT(MAX((COLUMN(AE315:AP315)*(AE315:AP315&gt;0)))),1),),"$A$",""))-30),DATE(2018,1,1))</f>
        <v>43101</v>
      </c>
      <c r="N315" s="508"/>
      <c r="O315" s="508"/>
      <c r="P315" s="508"/>
      <c r="Q315" s="508"/>
      <c r="R315" s="508" t="str">
        <f t="shared" ca="1" si="119"/>
        <v>Primary Crusher and Mine Infrastructure Siting Optimization</v>
      </c>
      <c r="S315" s="508" t="str">
        <f t="shared" ca="1" si="120"/>
        <v>NuevaUnion</v>
      </c>
      <c r="T315" s="508" t="str">
        <f t="shared" ca="1" si="121"/>
        <v>Operations and Technical Services</v>
      </c>
      <c r="U315" s="508" t="str">
        <f t="shared" ca="1" si="122"/>
        <v>687 / 51-11-3331</v>
      </c>
      <c r="V315" s="508">
        <f t="shared" ca="1" si="123"/>
        <v>0</v>
      </c>
      <c r="W315" s="508" t="str">
        <f t="shared" ca="1" si="124"/>
        <v>TBD</v>
      </c>
      <c r="X315" s="508" t="str">
        <f t="shared" ca="1" si="125"/>
        <v>Ene</v>
      </c>
      <c r="Y315" s="508" t="str">
        <f t="shared" ca="1" si="126"/>
        <v>Ene</v>
      </c>
      <c r="Z315" s="508">
        <f t="shared" ca="1" si="127"/>
        <v>0</v>
      </c>
      <c r="AA315" s="508" t="str">
        <f t="shared" ca="1" si="128"/>
        <v>Ene</v>
      </c>
      <c r="AB315" s="508">
        <f t="shared" ca="1" si="118"/>
        <v>1</v>
      </c>
      <c r="AC315" s="508">
        <f t="shared" ca="1" si="129"/>
        <v>0</v>
      </c>
      <c r="AD315" s="912">
        <f t="shared" ca="1" si="130"/>
        <v>0</v>
      </c>
      <c r="AE315" s="512">
        <f t="shared" ca="1" si="131"/>
        <v>0</v>
      </c>
      <c r="AF315" s="512">
        <f t="shared" ca="1" si="132"/>
        <v>0</v>
      </c>
      <c r="AG315" s="512">
        <f t="shared" ca="1" si="133"/>
        <v>0</v>
      </c>
      <c r="AH315" s="512">
        <f t="shared" ca="1" si="134"/>
        <v>0</v>
      </c>
      <c r="AI315" s="512">
        <f t="shared" ca="1" si="135"/>
        <v>0</v>
      </c>
      <c r="AJ315" s="512">
        <f t="shared" ca="1" si="136"/>
        <v>0</v>
      </c>
      <c r="AK315" s="512">
        <f t="shared" ca="1" si="137"/>
        <v>0</v>
      </c>
      <c r="AL315" s="512">
        <f t="shared" ca="1" si="138"/>
        <v>0</v>
      </c>
      <c r="AM315" s="512">
        <f t="shared" ca="1" si="139"/>
        <v>0</v>
      </c>
      <c r="AN315" s="512">
        <f t="shared" ca="1" si="140"/>
        <v>0</v>
      </c>
      <c r="AO315" s="512">
        <f t="shared" ca="1" si="141"/>
        <v>0</v>
      </c>
      <c r="AP315" s="512">
        <f t="shared" ca="1" si="142"/>
        <v>0</v>
      </c>
      <c r="AQ315" s="512" t="str">
        <f t="shared" si="143"/>
        <v/>
      </c>
      <c r="AR315" s="512"/>
      <c r="AS315" s="512" t="str">
        <f t="shared" si="144"/>
        <v/>
      </c>
      <c r="AT315" s="151">
        <f t="shared" si="145"/>
        <v>0</v>
      </c>
      <c r="AU315" s="151">
        <f>IFERROR(VLOOKUP(A315,'[7]TD CuentasBDG'!$N$5:$O$21,2,0),0)</f>
        <v>0</v>
      </c>
      <c r="AV315">
        <f t="shared" si="146"/>
        <v>0</v>
      </c>
    </row>
    <row r="316" spans="1:50" ht="30" x14ac:dyDescent="0.25">
      <c r="A316" s="508" t="s">
        <v>2155</v>
      </c>
      <c r="B316" s="508" t="s">
        <v>197</v>
      </c>
      <c r="C316" s="508" t="s">
        <v>143</v>
      </c>
      <c r="D316" s="508" t="s">
        <v>168</v>
      </c>
      <c r="E316" s="508"/>
      <c r="F316" s="508"/>
      <c r="G316" s="508" t="s">
        <v>1665</v>
      </c>
      <c r="H316" s="508"/>
      <c r="I316" s="508"/>
      <c r="J316" s="555"/>
      <c r="K316" s="555"/>
      <c r="L316" s="911">
        <f ca="1">IFERROR(INDEX(Lists!$O$2:$Z$2,MATCH(TRUE,INDEX((AE316:AP316&lt;&gt;0),0),0)),DATE(2018,1,1))</f>
        <v>43101</v>
      </c>
      <c r="M316" s="911">
        <f ca="1">IFERROR(INDEX(Lists!$O$3:$Z$3, VALUE(SUBSTITUTE(TEXT(ADDRESS(SUMPRODUCT(MAX((COLUMN(AE316:AP316)*(AE316:AP316&gt;0)))),1),),"$A$",""))-30),DATE(2018,1,1))</f>
        <v>43101</v>
      </c>
      <c r="N316" s="508"/>
      <c r="O316" s="508"/>
      <c r="P316" s="508"/>
      <c r="Q316" s="508"/>
      <c r="R316" s="508" t="str">
        <f t="shared" ca="1" si="119"/>
        <v>Mine Equipment Study</v>
      </c>
      <c r="S316" s="508" t="str">
        <f t="shared" ca="1" si="120"/>
        <v>NuevaUnion</v>
      </c>
      <c r="T316" s="508" t="str">
        <f t="shared" ca="1" si="121"/>
        <v>Operations and Technical Services</v>
      </c>
      <c r="U316" s="508" t="str">
        <f t="shared" ca="1" si="122"/>
        <v>687 / 51-11-3331</v>
      </c>
      <c r="V316" s="508">
        <f t="shared" ca="1" si="123"/>
        <v>0</v>
      </c>
      <c r="W316" s="508" t="str">
        <f t="shared" ca="1" si="124"/>
        <v>TBD</v>
      </c>
      <c r="X316" s="508" t="str">
        <f t="shared" ca="1" si="125"/>
        <v>Ene</v>
      </c>
      <c r="Y316" s="508" t="str">
        <f t="shared" ca="1" si="126"/>
        <v>Ene</v>
      </c>
      <c r="Z316" s="508">
        <f t="shared" ca="1" si="127"/>
        <v>0</v>
      </c>
      <c r="AA316" s="508" t="str">
        <f t="shared" ca="1" si="128"/>
        <v>Ene</v>
      </c>
      <c r="AB316" s="508">
        <f t="shared" ca="1" si="118"/>
        <v>1</v>
      </c>
      <c r="AC316" s="508">
        <f t="shared" ca="1" si="129"/>
        <v>0</v>
      </c>
      <c r="AD316" s="912">
        <f t="shared" ca="1" si="130"/>
        <v>0</v>
      </c>
      <c r="AE316" s="512">
        <f t="shared" ca="1" si="131"/>
        <v>0</v>
      </c>
      <c r="AF316" s="512">
        <f t="shared" ca="1" si="132"/>
        <v>0</v>
      </c>
      <c r="AG316" s="512">
        <f t="shared" ca="1" si="133"/>
        <v>0</v>
      </c>
      <c r="AH316" s="512">
        <f t="shared" ca="1" si="134"/>
        <v>0</v>
      </c>
      <c r="AI316" s="512">
        <f t="shared" ca="1" si="135"/>
        <v>0</v>
      </c>
      <c r="AJ316" s="512">
        <f t="shared" ca="1" si="136"/>
        <v>0</v>
      </c>
      <c r="AK316" s="512">
        <f t="shared" ca="1" si="137"/>
        <v>0</v>
      </c>
      <c r="AL316" s="512">
        <f t="shared" ca="1" si="138"/>
        <v>0</v>
      </c>
      <c r="AM316" s="512">
        <f t="shared" ca="1" si="139"/>
        <v>0</v>
      </c>
      <c r="AN316" s="512">
        <f t="shared" ca="1" si="140"/>
        <v>0</v>
      </c>
      <c r="AO316" s="512">
        <f t="shared" ca="1" si="141"/>
        <v>0</v>
      </c>
      <c r="AP316" s="512">
        <f t="shared" ca="1" si="142"/>
        <v>0</v>
      </c>
      <c r="AQ316" s="512" t="str">
        <f t="shared" si="143"/>
        <v/>
      </c>
      <c r="AR316" s="512"/>
      <c r="AS316" s="512" t="str">
        <f t="shared" si="144"/>
        <v/>
      </c>
      <c r="AT316" s="151">
        <f t="shared" si="145"/>
        <v>0</v>
      </c>
      <c r="AU316" s="151">
        <f>IFERROR(VLOOKUP(A316,'[7]TD CuentasBDG'!$N$5:$O$21,2,0),0)</f>
        <v>0</v>
      </c>
      <c r="AV316">
        <f t="shared" si="146"/>
        <v>0</v>
      </c>
    </row>
    <row r="317" spans="1:50" ht="45" x14ac:dyDescent="0.25">
      <c r="A317" s="913" t="s">
        <v>2156</v>
      </c>
      <c r="B317" s="508" t="s">
        <v>197</v>
      </c>
      <c r="C317" s="508" t="s">
        <v>143</v>
      </c>
      <c r="D317" s="508" t="s">
        <v>168</v>
      </c>
      <c r="E317" s="508"/>
      <c r="F317" s="508"/>
      <c r="G317" s="508" t="s">
        <v>1647</v>
      </c>
      <c r="H317" s="508" t="s">
        <v>1179</v>
      </c>
      <c r="I317" s="508" t="s">
        <v>484</v>
      </c>
      <c r="J317" s="555" t="s">
        <v>1650</v>
      </c>
      <c r="K317" s="555" t="s">
        <v>1651</v>
      </c>
      <c r="L317" s="911">
        <f ca="1">IFERROR(INDEX(Lists!$O$2:$Z$2,MATCH(TRUE,INDEX((AE317:AP317&lt;&gt;0),0),0)),DATE(2018,1,1))</f>
        <v>43191</v>
      </c>
      <c r="M317" s="911">
        <f ca="1">IFERROR(INDEX(Lists!$O$3:$Z$3, VALUE(SUBSTITUTE(TEXT(ADDRESS(SUMPRODUCT(MAX((COLUMN(AE317:AP317)*(AE317:AP317&gt;0)))),1),),"$A$",""))-30),DATE(2018,1,1))</f>
        <v>43312</v>
      </c>
      <c r="N317" s="508" t="s">
        <v>1683</v>
      </c>
      <c r="O317" s="508" t="s">
        <v>1653</v>
      </c>
      <c r="P317" s="508" t="s">
        <v>1071</v>
      </c>
      <c r="Q317" s="508" t="s">
        <v>1071</v>
      </c>
      <c r="R317" s="508" t="str">
        <f t="shared" ca="1" si="119"/>
        <v>Peer reviewed 43-101 PFS</v>
      </c>
      <c r="S317" s="508" t="str">
        <f t="shared" ca="1" si="120"/>
        <v>NuevaUnion</v>
      </c>
      <c r="T317" s="508" t="str">
        <f t="shared" ca="1" si="121"/>
        <v>Operations and Technical Services</v>
      </c>
      <c r="U317" s="508" t="str">
        <f t="shared" ca="1" si="122"/>
        <v>687 / 51-11-3331</v>
      </c>
      <c r="V317" s="508">
        <f t="shared" ca="1" si="123"/>
        <v>0</v>
      </c>
      <c r="W317" s="508" t="str">
        <f t="shared" ca="1" si="124"/>
        <v>TBD</v>
      </c>
      <c r="X317" s="508" t="str">
        <f t="shared" ca="1" si="125"/>
        <v>Ene</v>
      </c>
      <c r="Y317" s="508" t="str">
        <f t="shared" ca="1" si="126"/>
        <v>Ene</v>
      </c>
      <c r="Z317" s="508">
        <f t="shared" ca="1" si="127"/>
        <v>0</v>
      </c>
      <c r="AA317" s="508" t="str">
        <f t="shared" ca="1" si="128"/>
        <v>Ene</v>
      </c>
      <c r="AB317" s="508">
        <f t="shared" ca="1" si="118"/>
        <v>4</v>
      </c>
      <c r="AC317" s="508">
        <f t="shared" ca="1" si="129"/>
        <v>0</v>
      </c>
      <c r="AD317" s="912">
        <f t="shared" ca="1" si="130"/>
        <v>70000</v>
      </c>
      <c r="AE317" s="512">
        <f t="shared" ca="1" si="131"/>
        <v>0</v>
      </c>
      <c r="AF317" s="512">
        <f t="shared" ca="1" si="132"/>
        <v>0</v>
      </c>
      <c r="AG317" s="512">
        <f t="shared" ca="1" si="133"/>
        <v>0</v>
      </c>
      <c r="AH317" s="512">
        <f t="shared" ca="1" si="134"/>
        <v>17500</v>
      </c>
      <c r="AI317" s="512">
        <f t="shared" ca="1" si="135"/>
        <v>17500</v>
      </c>
      <c r="AJ317" s="512">
        <f t="shared" ca="1" si="136"/>
        <v>17500</v>
      </c>
      <c r="AK317" s="512">
        <f t="shared" ca="1" si="137"/>
        <v>17500</v>
      </c>
      <c r="AL317" s="512">
        <f t="shared" ca="1" si="138"/>
        <v>0</v>
      </c>
      <c r="AM317" s="512">
        <f t="shared" ca="1" si="139"/>
        <v>0</v>
      </c>
      <c r="AN317" s="512">
        <f t="shared" ca="1" si="140"/>
        <v>0</v>
      </c>
      <c r="AO317" s="512">
        <f t="shared" ca="1" si="141"/>
        <v>0</v>
      </c>
      <c r="AP317" s="512">
        <f t="shared" ca="1" si="142"/>
        <v>0</v>
      </c>
      <c r="AQ317" s="512" t="str">
        <f t="shared" ca="1" si="143"/>
        <v>Orden de Servicio Sin Terreno</v>
      </c>
      <c r="AR317" s="512"/>
      <c r="AS317" s="512" t="str">
        <f t="shared" ca="1" si="144"/>
        <v>Si</v>
      </c>
      <c r="AT317" s="151">
        <f t="shared" ca="1" si="145"/>
        <v>70000</v>
      </c>
      <c r="AU317" s="151">
        <f>IFERROR(VLOOKUP(A317,'[7]TD CuentasBDG'!$N$5:$O$21,2,0),0)</f>
        <v>0</v>
      </c>
      <c r="AV317" t="str">
        <f t="shared" si="146"/>
        <v>Adjudicación Directa</v>
      </c>
      <c r="AW317" t="s">
        <v>1690</v>
      </c>
      <c r="AX317" t="s">
        <v>1655</v>
      </c>
    </row>
    <row r="318" spans="1:50" ht="30" x14ac:dyDescent="0.25">
      <c r="A318" s="508" t="s">
        <v>2157</v>
      </c>
      <c r="B318" s="508" t="s">
        <v>197</v>
      </c>
      <c r="C318" s="508" t="s">
        <v>143</v>
      </c>
      <c r="D318" s="508" t="s">
        <v>168</v>
      </c>
      <c r="E318" s="508"/>
      <c r="F318" s="508"/>
      <c r="G318" s="508" t="s">
        <v>1665</v>
      </c>
      <c r="H318" s="508"/>
      <c r="I318" s="508"/>
      <c r="J318" s="555"/>
      <c r="K318" s="555"/>
      <c r="L318" s="911">
        <f ca="1">IFERROR(INDEX(Lists!$O$2:$Z$2,MATCH(TRUE,INDEX((AE318:AP318&lt;&gt;0),0),0)),DATE(2018,1,1))</f>
        <v>43101</v>
      </c>
      <c r="M318" s="911">
        <f ca="1">IFERROR(INDEX(Lists!$O$3:$Z$3, VALUE(SUBSTITUTE(TEXT(ADDRESS(SUMPRODUCT(MAX((COLUMN(AE318:AP318)*(AE318:AP318&gt;0)))),1),),"$A$",""))-30),DATE(2018,1,1))</f>
        <v>43101</v>
      </c>
      <c r="N318" s="508"/>
      <c r="O318" s="508"/>
      <c r="P318" s="508"/>
      <c r="Q318" s="508"/>
      <c r="R318" s="508" t="str">
        <f t="shared" ca="1" si="119"/>
        <v>IPCC Study for Relincho</v>
      </c>
      <c r="S318" s="508" t="str">
        <f t="shared" ca="1" si="120"/>
        <v>NuevaUnion</v>
      </c>
      <c r="T318" s="508" t="str">
        <f t="shared" ca="1" si="121"/>
        <v>Operations and Technical Services</v>
      </c>
      <c r="U318" s="508" t="str">
        <f t="shared" ca="1" si="122"/>
        <v>687 / 51-11-3331</v>
      </c>
      <c r="V318" s="508">
        <f t="shared" ca="1" si="123"/>
        <v>0</v>
      </c>
      <c r="W318" s="508" t="str">
        <f t="shared" ca="1" si="124"/>
        <v>TBD</v>
      </c>
      <c r="X318" s="508" t="str">
        <f t="shared" ca="1" si="125"/>
        <v>Ene</v>
      </c>
      <c r="Y318" s="508" t="str">
        <f t="shared" ca="1" si="126"/>
        <v>Ene</v>
      </c>
      <c r="Z318" s="508">
        <f t="shared" ca="1" si="127"/>
        <v>0</v>
      </c>
      <c r="AA318" s="508" t="str">
        <f t="shared" ca="1" si="128"/>
        <v>Ene</v>
      </c>
      <c r="AB318" s="508">
        <f t="shared" ca="1" si="118"/>
        <v>1</v>
      </c>
      <c r="AC318" s="508">
        <f t="shared" ca="1" si="129"/>
        <v>0</v>
      </c>
      <c r="AD318" s="912">
        <f t="shared" ca="1" si="130"/>
        <v>0</v>
      </c>
      <c r="AE318" s="512">
        <f t="shared" ca="1" si="131"/>
        <v>0</v>
      </c>
      <c r="AF318" s="512">
        <f t="shared" ca="1" si="132"/>
        <v>0</v>
      </c>
      <c r="AG318" s="512">
        <f t="shared" ca="1" si="133"/>
        <v>0</v>
      </c>
      <c r="AH318" s="512">
        <f t="shared" ca="1" si="134"/>
        <v>0</v>
      </c>
      <c r="AI318" s="512">
        <f t="shared" ca="1" si="135"/>
        <v>0</v>
      </c>
      <c r="AJ318" s="512">
        <f t="shared" ca="1" si="136"/>
        <v>0</v>
      </c>
      <c r="AK318" s="512">
        <f t="shared" ca="1" si="137"/>
        <v>0</v>
      </c>
      <c r="AL318" s="512">
        <f t="shared" ca="1" si="138"/>
        <v>0</v>
      </c>
      <c r="AM318" s="512">
        <f t="shared" ca="1" si="139"/>
        <v>0</v>
      </c>
      <c r="AN318" s="512">
        <f t="shared" ca="1" si="140"/>
        <v>0</v>
      </c>
      <c r="AO318" s="512">
        <f t="shared" ca="1" si="141"/>
        <v>0</v>
      </c>
      <c r="AP318" s="512">
        <f t="shared" ca="1" si="142"/>
        <v>0</v>
      </c>
      <c r="AQ318" s="512" t="str">
        <f t="shared" si="143"/>
        <v/>
      </c>
      <c r="AR318" s="512"/>
      <c r="AS318" s="512" t="str">
        <f t="shared" si="144"/>
        <v/>
      </c>
      <c r="AT318" s="151">
        <f t="shared" si="145"/>
        <v>0</v>
      </c>
      <c r="AU318" s="151">
        <f>IFERROR(VLOOKUP(A318,'[7]TD CuentasBDG'!$N$5:$O$21,2,0),0)</f>
        <v>0</v>
      </c>
      <c r="AV318">
        <f t="shared" si="146"/>
        <v>0</v>
      </c>
    </row>
    <row r="319" spans="1:50" ht="30" x14ac:dyDescent="0.25">
      <c r="A319" s="508" t="s">
        <v>2158</v>
      </c>
      <c r="B319" s="508" t="s">
        <v>197</v>
      </c>
      <c r="C319" s="508" t="s">
        <v>143</v>
      </c>
      <c r="D319" s="508" t="s">
        <v>168</v>
      </c>
      <c r="E319" s="508"/>
      <c r="F319" s="508"/>
      <c r="G319" s="508" t="s">
        <v>1665</v>
      </c>
      <c r="H319" s="508"/>
      <c r="I319" s="508"/>
      <c r="J319" s="555"/>
      <c r="K319" s="555"/>
      <c r="L319" s="911">
        <f ca="1">IFERROR(INDEX(Lists!$O$2:$Z$2,MATCH(TRUE,INDEX((AE319:AP319&lt;&gt;0),0),0)),DATE(2018,1,1))</f>
        <v>43101</v>
      </c>
      <c r="M319" s="911">
        <f ca="1">IFERROR(INDEX(Lists!$O$3:$Z$3, VALUE(SUBSTITUTE(TEXT(ADDRESS(SUMPRODUCT(MAX((COLUMN(AE319:AP319)*(AE319:AP319&gt;0)))),1),),"$A$",""))-30),DATE(2018,1,1))</f>
        <v>43101</v>
      </c>
      <c r="N319" s="508"/>
      <c r="O319" s="508"/>
      <c r="P319" s="508"/>
      <c r="Q319" s="508"/>
      <c r="R319" s="508" t="str">
        <f t="shared" ca="1" si="119"/>
        <v>Maintenance Strategy</v>
      </c>
      <c r="S319" s="508" t="str">
        <f t="shared" ca="1" si="120"/>
        <v>NuevaUnion</v>
      </c>
      <c r="T319" s="508" t="str">
        <f t="shared" ca="1" si="121"/>
        <v>Operations and Technical Services</v>
      </c>
      <c r="U319" s="508" t="str">
        <f t="shared" ca="1" si="122"/>
        <v>687 / 51-11-3331</v>
      </c>
      <c r="V319" s="508">
        <f t="shared" ca="1" si="123"/>
        <v>0</v>
      </c>
      <c r="W319" s="508" t="str">
        <f t="shared" ca="1" si="124"/>
        <v>TBD</v>
      </c>
      <c r="X319" s="508" t="str">
        <f t="shared" ca="1" si="125"/>
        <v>Ene</v>
      </c>
      <c r="Y319" s="508" t="str">
        <f t="shared" ca="1" si="126"/>
        <v>Ene</v>
      </c>
      <c r="Z319" s="508">
        <f t="shared" ca="1" si="127"/>
        <v>0</v>
      </c>
      <c r="AA319" s="508" t="str">
        <f t="shared" ca="1" si="128"/>
        <v>Ene</v>
      </c>
      <c r="AB319" s="508">
        <f t="shared" ca="1" si="118"/>
        <v>1</v>
      </c>
      <c r="AC319" s="508">
        <f t="shared" ca="1" si="129"/>
        <v>0</v>
      </c>
      <c r="AD319" s="912">
        <f t="shared" ca="1" si="130"/>
        <v>0</v>
      </c>
      <c r="AE319" s="512">
        <f t="shared" ca="1" si="131"/>
        <v>0</v>
      </c>
      <c r="AF319" s="512">
        <f t="shared" ca="1" si="132"/>
        <v>0</v>
      </c>
      <c r="AG319" s="512">
        <f t="shared" ca="1" si="133"/>
        <v>0</v>
      </c>
      <c r="AH319" s="512">
        <f t="shared" ca="1" si="134"/>
        <v>0</v>
      </c>
      <c r="AI319" s="512">
        <f t="shared" ca="1" si="135"/>
        <v>0</v>
      </c>
      <c r="AJ319" s="512">
        <f t="shared" ca="1" si="136"/>
        <v>0</v>
      </c>
      <c r="AK319" s="512">
        <f t="shared" ca="1" si="137"/>
        <v>0</v>
      </c>
      <c r="AL319" s="512">
        <f t="shared" ca="1" si="138"/>
        <v>0</v>
      </c>
      <c r="AM319" s="512">
        <f t="shared" ca="1" si="139"/>
        <v>0</v>
      </c>
      <c r="AN319" s="512">
        <f t="shared" ca="1" si="140"/>
        <v>0</v>
      </c>
      <c r="AO319" s="512">
        <f t="shared" ca="1" si="141"/>
        <v>0</v>
      </c>
      <c r="AP319" s="512">
        <f t="shared" ca="1" si="142"/>
        <v>0</v>
      </c>
      <c r="AQ319" s="512" t="str">
        <f t="shared" si="143"/>
        <v/>
      </c>
      <c r="AR319" s="512"/>
      <c r="AS319" s="512" t="str">
        <f t="shared" si="144"/>
        <v/>
      </c>
      <c r="AT319" s="151">
        <f t="shared" si="145"/>
        <v>0</v>
      </c>
      <c r="AU319" s="151">
        <f>IFERROR(VLOOKUP(A319,'[7]TD CuentasBDG'!$N$5:$O$21,2,0),0)</f>
        <v>0</v>
      </c>
      <c r="AV319">
        <f t="shared" si="146"/>
        <v>0</v>
      </c>
    </row>
    <row r="320" spans="1:50" ht="30" x14ac:dyDescent="0.25">
      <c r="A320" s="508" t="s">
        <v>2159</v>
      </c>
      <c r="B320" s="508" t="s">
        <v>197</v>
      </c>
      <c r="C320" s="508" t="s">
        <v>143</v>
      </c>
      <c r="D320" s="508" t="s">
        <v>168</v>
      </c>
      <c r="E320" s="508"/>
      <c r="F320" s="508"/>
      <c r="G320" s="508" t="s">
        <v>1647</v>
      </c>
      <c r="H320" s="508" t="s">
        <v>505</v>
      </c>
      <c r="I320" s="508" t="s">
        <v>484</v>
      </c>
      <c r="J320" s="555" t="s">
        <v>1650</v>
      </c>
      <c r="K320" s="555" t="s">
        <v>1651</v>
      </c>
      <c r="L320" s="911">
        <f ca="1">IFERROR(INDEX(Lists!$O$2:$Z$2,MATCH(TRUE,INDEX((AE320:AP320&lt;&gt;0),0),0)),DATE(2018,1,1))</f>
        <v>43160</v>
      </c>
      <c r="M320" s="911">
        <f ca="1">IFERROR(INDEX(Lists!$O$3:$Z$3, VALUE(SUBSTITUTE(TEXT(ADDRESS(SUMPRODUCT(MAX((COLUMN(AE320:AP320)*(AE320:AP320&gt;0)))),1),),"$A$",""))-30),DATE(2018,1,1))</f>
        <v>43465</v>
      </c>
      <c r="N320" s="508" t="s">
        <v>1668</v>
      </c>
      <c r="O320" s="508" t="s">
        <v>1653</v>
      </c>
      <c r="P320" s="508" t="s">
        <v>1071</v>
      </c>
      <c r="Q320" s="508" t="s">
        <v>1071</v>
      </c>
      <c r="R320" s="508" t="str">
        <f t="shared" ca="1" si="119"/>
        <v>Operations Strategy</v>
      </c>
      <c r="S320" s="508" t="str">
        <f t="shared" ca="1" si="120"/>
        <v>NuevaUnion</v>
      </c>
      <c r="T320" s="508" t="str">
        <f t="shared" ca="1" si="121"/>
        <v>Operations and Technical Services</v>
      </c>
      <c r="U320" s="508" t="str">
        <f t="shared" ca="1" si="122"/>
        <v>687 / 51-11-3331</v>
      </c>
      <c r="V320" s="508">
        <f t="shared" ca="1" si="123"/>
        <v>0</v>
      </c>
      <c r="W320" s="508" t="str">
        <f t="shared" ca="1" si="124"/>
        <v>TBD</v>
      </c>
      <c r="X320" s="508" t="str">
        <f t="shared" ca="1" si="125"/>
        <v>Ene</v>
      </c>
      <c r="Y320" s="508" t="str">
        <f t="shared" ca="1" si="126"/>
        <v>Ene</v>
      </c>
      <c r="Z320" s="508">
        <f t="shared" ca="1" si="127"/>
        <v>0</v>
      </c>
      <c r="AA320" s="508" t="str">
        <f t="shared" ca="1" si="128"/>
        <v>Ene</v>
      </c>
      <c r="AB320" s="508">
        <f t="shared" ca="1" si="118"/>
        <v>10</v>
      </c>
      <c r="AC320" s="508">
        <f t="shared" ca="1" si="129"/>
        <v>0</v>
      </c>
      <c r="AD320" s="912">
        <f t="shared" ca="1" si="130"/>
        <v>180000</v>
      </c>
      <c r="AE320" s="512">
        <f t="shared" ca="1" si="131"/>
        <v>0</v>
      </c>
      <c r="AF320" s="512">
        <f t="shared" ca="1" si="132"/>
        <v>0</v>
      </c>
      <c r="AG320" s="512">
        <f t="shared" ca="1" si="133"/>
        <v>18000</v>
      </c>
      <c r="AH320" s="512">
        <f t="shared" ca="1" si="134"/>
        <v>18000</v>
      </c>
      <c r="AI320" s="512">
        <f t="shared" ca="1" si="135"/>
        <v>18000</v>
      </c>
      <c r="AJ320" s="512">
        <f t="shared" ca="1" si="136"/>
        <v>18000</v>
      </c>
      <c r="AK320" s="512">
        <f t="shared" ca="1" si="137"/>
        <v>18000</v>
      </c>
      <c r="AL320" s="512">
        <f t="shared" ca="1" si="138"/>
        <v>18000</v>
      </c>
      <c r="AM320" s="512">
        <f t="shared" ca="1" si="139"/>
        <v>18000</v>
      </c>
      <c r="AN320" s="512">
        <f t="shared" ca="1" si="140"/>
        <v>18000</v>
      </c>
      <c r="AO320" s="512">
        <f t="shared" ca="1" si="141"/>
        <v>18000</v>
      </c>
      <c r="AP320" s="512">
        <f t="shared" ca="1" si="142"/>
        <v>18000</v>
      </c>
      <c r="AQ320" s="512" t="str">
        <f t="shared" ca="1" si="143"/>
        <v>Contrato</v>
      </c>
      <c r="AR320" s="512"/>
      <c r="AS320" s="512" t="str">
        <f t="shared" ca="1" si="144"/>
        <v>No</v>
      </c>
      <c r="AT320" s="151">
        <f t="shared" ca="1" si="145"/>
        <v>180000</v>
      </c>
      <c r="AU320" s="151">
        <f>IFERROR(VLOOKUP(A320,'[7]TD CuentasBDG'!$N$5:$O$21,2,0),0)</f>
        <v>0</v>
      </c>
      <c r="AV320" t="str">
        <f t="shared" ca="1" si="146"/>
        <v>Licitación</v>
      </c>
      <c r="AW320" t="s">
        <v>1690</v>
      </c>
      <c r="AX320" t="s">
        <v>1655</v>
      </c>
    </row>
    <row r="321" spans="1:52" ht="45" x14ac:dyDescent="0.25">
      <c r="A321" s="508" t="s">
        <v>2160</v>
      </c>
      <c r="B321" s="508" t="s">
        <v>197</v>
      </c>
      <c r="C321" s="508" t="s">
        <v>143</v>
      </c>
      <c r="D321" s="508" t="s">
        <v>168</v>
      </c>
      <c r="E321" s="508"/>
      <c r="F321" s="508"/>
      <c r="G321" s="508" t="s">
        <v>1665</v>
      </c>
      <c r="H321" s="508"/>
      <c r="I321" s="508"/>
      <c r="J321" s="555"/>
      <c r="K321" s="555"/>
      <c r="L321" s="911">
        <f ca="1">IFERROR(INDEX(Lists!$O$2:$Z$2,MATCH(TRUE,INDEX((AE321:AP321&lt;&gt;0),0),0)),DATE(2018,1,1))</f>
        <v>43101</v>
      </c>
      <c r="M321" s="911">
        <f ca="1">IFERROR(INDEX(Lists!$O$3:$Z$3, VALUE(SUBSTITUTE(TEXT(ADDRESS(SUMPRODUCT(MAX((COLUMN(AE321:AP321)*(AE321:AP321&gt;0)))),1),),"$A$",""))-30),DATE(2018,1,1))</f>
        <v>43101</v>
      </c>
      <c r="N321" s="508"/>
      <c r="O321" s="508"/>
      <c r="P321" s="508"/>
      <c r="Q321" s="508"/>
      <c r="R321" s="508" t="str">
        <f t="shared" ca="1" si="119"/>
        <v xml:space="preserve">Operational readiness consulting               </v>
      </c>
      <c r="S321" s="508" t="str">
        <f t="shared" ca="1" si="120"/>
        <v>NuevaUnion</v>
      </c>
      <c r="T321" s="508" t="str">
        <f t="shared" ca="1" si="121"/>
        <v>Operations and Technical Services</v>
      </c>
      <c r="U321" s="508" t="str">
        <f t="shared" ca="1" si="122"/>
        <v>687 / 51-11-3331</v>
      </c>
      <c r="V321" s="508">
        <f t="shared" ca="1" si="123"/>
        <v>0</v>
      </c>
      <c r="W321" s="508" t="str">
        <f t="shared" ca="1" si="124"/>
        <v>TBD</v>
      </c>
      <c r="X321" s="508" t="str">
        <f t="shared" ca="1" si="125"/>
        <v>Ene</v>
      </c>
      <c r="Y321" s="508" t="str">
        <f t="shared" ca="1" si="126"/>
        <v>Ene</v>
      </c>
      <c r="Z321" s="508">
        <f t="shared" ca="1" si="127"/>
        <v>0</v>
      </c>
      <c r="AA321" s="508" t="str">
        <f t="shared" ca="1" si="128"/>
        <v>Ene</v>
      </c>
      <c r="AB321" s="508">
        <f t="shared" ca="1" si="118"/>
        <v>1</v>
      </c>
      <c r="AC321" s="508">
        <f t="shared" ca="1" si="129"/>
        <v>0</v>
      </c>
      <c r="AD321" s="912">
        <f t="shared" ca="1" si="130"/>
        <v>0</v>
      </c>
      <c r="AE321" s="512">
        <f t="shared" ca="1" si="131"/>
        <v>0</v>
      </c>
      <c r="AF321" s="512">
        <f t="shared" ca="1" si="132"/>
        <v>0</v>
      </c>
      <c r="AG321" s="512">
        <f t="shared" ca="1" si="133"/>
        <v>0</v>
      </c>
      <c r="AH321" s="512">
        <f t="shared" ca="1" si="134"/>
        <v>0</v>
      </c>
      <c r="AI321" s="512">
        <f t="shared" ca="1" si="135"/>
        <v>0</v>
      </c>
      <c r="AJ321" s="512">
        <f t="shared" ca="1" si="136"/>
        <v>0</v>
      </c>
      <c r="AK321" s="512">
        <f t="shared" ca="1" si="137"/>
        <v>0</v>
      </c>
      <c r="AL321" s="512">
        <f t="shared" ca="1" si="138"/>
        <v>0</v>
      </c>
      <c r="AM321" s="512">
        <f t="shared" ca="1" si="139"/>
        <v>0</v>
      </c>
      <c r="AN321" s="512">
        <f t="shared" ca="1" si="140"/>
        <v>0</v>
      </c>
      <c r="AO321" s="512">
        <f t="shared" ca="1" si="141"/>
        <v>0</v>
      </c>
      <c r="AP321" s="512">
        <f t="shared" ca="1" si="142"/>
        <v>0</v>
      </c>
      <c r="AQ321" s="512" t="str">
        <f t="shared" si="143"/>
        <v/>
      </c>
      <c r="AR321" s="512"/>
      <c r="AS321" s="512" t="str">
        <f t="shared" si="144"/>
        <v/>
      </c>
      <c r="AT321" s="151">
        <f t="shared" si="145"/>
        <v>0</v>
      </c>
      <c r="AU321" s="151">
        <f>IFERROR(VLOOKUP(A321,'[7]TD CuentasBDG'!$N$5:$O$21,2,0),0)</f>
        <v>0</v>
      </c>
      <c r="AV321">
        <f t="shared" si="146"/>
        <v>0</v>
      </c>
    </row>
    <row r="322" spans="1:52" ht="113.25" customHeight="1" x14ac:dyDescent="0.25">
      <c r="A322" s="508" t="s">
        <v>2161</v>
      </c>
      <c r="B322" s="508" t="s">
        <v>197</v>
      </c>
      <c r="C322" s="508" t="s">
        <v>143</v>
      </c>
      <c r="D322" s="508" t="s">
        <v>168</v>
      </c>
      <c r="E322" s="508"/>
      <c r="F322" s="508"/>
      <c r="G322" s="508" t="s">
        <v>1665</v>
      </c>
      <c r="H322" s="508" t="s">
        <v>2162</v>
      </c>
      <c r="I322" s="508" t="s">
        <v>1614</v>
      </c>
      <c r="J322" s="555" t="s">
        <v>1650</v>
      </c>
      <c r="K322" s="555" t="s">
        <v>1651</v>
      </c>
      <c r="L322" s="911">
        <f ca="1">IFERROR(INDEX(Lists!$O$2:$Z$2,MATCH(TRUE,INDEX((AE322:AP322&lt;&gt;0),0),0)),DATE(2018,1,1))</f>
        <v>43160</v>
      </c>
      <c r="M322" s="911">
        <f ca="1">IFERROR(INDEX(Lists!$O$3:$Z$3, VALUE(SUBSTITUTE(TEXT(ADDRESS(SUMPRODUCT(MAX((COLUMN(AE322:AP322)*(AE322:AP322&gt;0)))),1),),"$A$",""))-30),DATE(2018,1,1))</f>
        <v>43465</v>
      </c>
      <c r="N322" s="508" t="s">
        <v>1683</v>
      </c>
      <c r="O322" s="508" t="s">
        <v>1984</v>
      </c>
      <c r="P322" s="508" t="s">
        <v>1071</v>
      </c>
      <c r="Q322" s="508" t="s">
        <v>1071</v>
      </c>
      <c r="R322" s="508" t="str">
        <f t="shared" ca="1" si="119"/>
        <v>Planning Consulting</v>
      </c>
      <c r="S322" s="508">
        <f t="shared" ca="1" si="120"/>
        <v>0</v>
      </c>
      <c r="T322" s="508" t="str">
        <f t="shared" ca="1" si="121"/>
        <v>consider mine-to-mill (blasting simulation), haulage simulation to test areas of congestion, winter operation simulation, and other planning simulations, recommended by D. Tutton</v>
      </c>
      <c r="U322" s="508">
        <f t="shared" ca="1" si="122"/>
        <v>0</v>
      </c>
      <c r="V322" s="508">
        <f t="shared" ca="1" si="123"/>
        <v>0</v>
      </c>
      <c r="W322" s="508">
        <f t="shared" ca="1" si="124"/>
        <v>0</v>
      </c>
      <c r="X322" s="508">
        <f t="shared" ca="1" si="125"/>
        <v>0</v>
      </c>
      <c r="Y322" s="508">
        <f t="shared" ca="1" si="126"/>
        <v>0</v>
      </c>
      <c r="Z322" s="508">
        <f t="shared" ca="1" si="127"/>
        <v>0</v>
      </c>
      <c r="AA322" s="508">
        <f t="shared" ca="1" si="128"/>
        <v>0</v>
      </c>
      <c r="AB322" s="508">
        <f t="shared" ca="1" si="118"/>
        <v>10</v>
      </c>
      <c r="AC322" s="508">
        <f t="shared" ca="1" si="129"/>
        <v>0</v>
      </c>
      <c r="AD322" s="912">
        <f t="shared" ca="1" si="130"/>
        <v>200000</v>
      </c>
      <c r="AE322" s="512">
        <f t="shared" ca="1" si="131"/>
        <v>0</v>
      </c>
      <c r="AF322" s="512">
        <f t="shared" ca="1" si="132"/>
        <v>0</v>
      </c>
      <c r="AG322" s="512">
        <f t="shared" ca="1" si="133"/>
        <v>20000</v>
      </c>
      <c r="AH322" s="512">
        <f t="shared" ca="1" si="134"/>
        <v>20000</v>
      </c>
      <c r="AI322" s="512">
        <f t="shared" ca="1" si="135"/>
        <v>20000</v>
      </c>
      <c r="AJ322" s="512">
        <f t="shared" ca="1" si="136"/>
        <v>20000</v>
      </c>
      <c r="AK322" s="512">
        <f t="shared" ca="1" si="137"/>
        <v>20000</v>
      </c>
      <c r="AL322" s="512">
        <f t="shared" ca="1" si="138"/>
        <v>20000</v>
      </c>
      <c r="AM322" s="512">
        <f t="shared" ca="1" si="139"/>
        <v>20000</v>
      </c>
      <c r="AN322" s="512">
        <f t="shared" ca="1" si="140"/>
        <v>20000</v>
      </c>
      <c r="AO322" s="512">
        <f t="shared" ca="1" si="141"/>
        <v>20000</v>
      </c>
      <c r="AP322" s="512">
        <f t="shared" ca="1" si="142"/>
        <v>20000</v>
      </c>
      <c r="AQ322" s="512" t="str">
        <f t="shared" si="143"/>
        <v/>
      </c>
      <c r="AR322" s="512"/>
      <c r="AS322" s="512" t="str">
        <f t="shared" si="144"/>
        <v/>
      </c>
      <c r="AT322" s="151">
        <f t="shared" si="145"/>
        <v>0</v>
      </c>
      <c r="AU322" s="151">
        <f>IFERROR(VLOOKUP(A322,'[7]TD CuentasBDG'!$N$5:$O$21,2,0),0)</f>
        <v>0</v>
      </c>
      <c r="AV322" t="str">
        <f t="shared" si="146"/>
        <v>Adjudicación Directa</v>
      </c>
      <c r="AW322" t="s">
        <v>1690</v>
      </c>
      <c r="AX322" t="s">
        <v>1655</v>
      </c>
      <c r="AZ322" s="917" t="s">
        <v>2163</v>
      </c>
    </row>
    <row r="323" spans="1:52" ht="45" x14ac:dyDescent="0.25">
      <c r="A323" s="508" t="s">
        <v>2164</v>
      </c>
      <c r="B323" s="508" t="s">
        <v>197</v>
      </c>
      <c r="C323" s="508" t="s">
        <v>143</v>
      </c>
      <c r="D323" s="508" t="s">
        <v>168</v>
      </c>
      <c r="E323" s="508"/>
      <c r="F323" s="508"/>
      <c r="G323" s="508" t="s">
        <v>1665</v>
      </c>
      <c r="H323" s="508"/>
      <c r="I323" s="508"/>
      <c r="J323" s="555"/>
      <c r="K323" s="555"/>
      <c r="L323" s="911">
        <f ca="1">IFERROR(INDEX(Lists!$O$2:$Z$2,MATCH(TRUE,INDEX((AE323:AP323&lt;&gt;0),0),0)),DATE(2018,1,1))</f>
        <v>43101</v>
      </c>
      <c r="M323" s="911">
        <f ca="1">IFERROR(INDEX(Lists!$O$3:$Z$3, VALUE(SUBSTITUTE(TEXT(ADDRESS(SUMPRODUCT(MAX((COLUMN(AE323:AP323)*(AE323:AP323&gt;0)))),1),),"$A$",""))-30),DATE(2018,1,1))</f>
        <v>43101</v>
      </c>
      <c r="N323" s="508"/>
      <c r="O323" s="508"/>
      <c r="P323" s="508"/>
      <c r="Q323" s="508"/>
      <c r="R323" s="508" t="str">
        <f t="shared" ca="1" si="119"/>
        <v>Visits to operations, good practices</v>
      </c>
      <c r="S323" s="508">
        <f t="shared" ca="1" si="120"/>
        <v>0</v>
      </c>
      <c r="T323" s="508">
        <f t="shared" ca="1" si="121"/>
        <v>0</v>
      </c>
      <c r="U323" s="508" t="str">
        <f t="shared" ca="1" si="122"/>
        <v>687 / 51-11-3331</v>
      </c>
      <c r="V323" s="508">
        <f t="shared" ca="1" si="123"/>
        <v>0</v>
      </c>
      <c r="W323" s="508" t="str">
        <f t="shared" ca="1" si="124"/>
        <v>TBD</v>
      </c>
      <c r="X323" s="508" t="str">
        <f t="shared" ca="1" si="125"/>
        <v>Ene</v>
      </c>
      <c r="Y323" s="508" t="str">
        <f t="shared" ca="1" si="126"/>
        <v>Ene</v>
      </c>
      <c r="Z323" s="508">
        <f t="shared" ca="1" si="127"/>
        <v>0</v>
      </c>
      <c r="AA323" s="508" t="str">
        <f t="shared" ca="1" si="128"/>
        <v>Ene</v>
      </c>
      <c r="AB323" s="508">
        <f t="shared" ref="AB323:AB386" ca="1" si="147">MONTH(M323)-MONTH(L323)+1</f>
        <v>1</v>
      </c>
      <c r="AC323" s="508">
        <f t="shared" ca="1" si="129"/>
        <v>0</v>
      </c>
      <c r="AD323" s="912">
        <f t="shared" ca="1" si="130"/>
        <v>0</v>
      </c>
      <c r="AE323" s="512">
        <f t="shared" ca="1" si="131"/>
        <v>0</v>
      </c>
      <c r="AF323" s="512">
        <f t="shared" ca="1" si="132"/>
        <v>0</v>
      </c>
      <c r="AG323" s="512">
        <f t="shared" ca="1" si="133"/>
        <v>0</v>
      </c>
      <c r="AH323" s="512">
        <f t="shared" ca="1" si="134"/>
        <v>0</v>
      </c>
      <c r="AI323" s="512">
        <f t="shared" ca="1" si="135"/>
        <v>0</v>
      </c>
      <c r="AJ323" s="512">
        <f t="shared" ca="1" si="136"/>
        <v>0</v>
      </c>
      <c r="AK323" s="512">
        <f t="shared" ca="1" si="137"/>
        <v>0</v>
      </c>
      <c r="AL323" s="512">
        <f t="shared" ca="1" si="138"/>
        <v>0</v>
      </c>
      <c r="AM323" s="512">
        <f t="shared" ca="1" si="139"/>
        <v>0</v>
      </c>
      <c r="AN323" s="512">
        <f t="shared" ca="1" si="140"/>
        <v>0</v>
      </c>
      <c r="AO323" s="512">
        <f t="shared" ca="1" si="141"/>
        <v>0</v>
      </c>
      <c r="AP323" s="512">
        <f t="shared" ca="1" si="142"/>
        <v>0</v>
      </c>
      <c r="AQ323" s="512" t="str">
        <f t="shared" si="143"/>
        <v/>
      </c>
      <c r="AR323" s="512"/>
      <c r="AS323" s="512" t="str">
        <f t="shared" si="144"/>
        <v/>
      </c>
      <c r="AT323" s="151">
        <f t="shared" si="145"/>
        <v>0</v>
      </c>
      <c r="AU323" s="151">
        <f>IFERROR(VLOOKUP(A323,'[7]TD CuentasBDG'!$N$5:$O$21,2,0),0)</f>
        <v>0</v>
      </c>
      <c r="AV323">
        <f t="shared" si="146"/>
        <v>0</v>
      </c>
    </row>
    <row r="324" spans="1:52" ht="45" x14ac:dyDescent="0.25">
      <c r="A324" s="508" t="s">
        <v>2165</v>
      </c>
      <c r="B324" s="508" t="s">
        <v>197</v>
      </c>
      <c r="C324" s="508" t="s">
        <v>143</v>
      </c>
      <c r="D324" s="508" t="s">
        <v>168</v>
      </c>
      <c r="E324" s="508"/>
      <c r="F324" s="508"/>
      <c r="G324" s="508" t="s">
        <v>1665</v>
      </c>
      <c r="H324" s="508"/>
      <c r="I324" s="508"/>
      <c r="J324" s="555"/>
      <c r="K324" s="555"/>
      <c r="L324" s="911">
        <f ca="1">IFERROR(INDEX(Lists!$O$2:$Z$2,MATCH(TRUE,INDEX((AE324:AP324&lt;&gt;0),0),0)),DATE(2018,1,1))</f>
        <v>43102</v>
      </c>
      <c r="M324" s="911">
        <f ca="1">IFERROR(INDEX(Lists!$O$3:$Z$3, VALUE(SUBSTITUTE(TEXT(ADDRESS(SUMPRODUCT(MAX((COLUMN(AE324:AP324)*(AE324:AP324&gt;0)))),1),),"$A$",""))-30),DATE(2018,1,1))</f>
        <v>43465</v>
      </c>
      <c r="N324" s="508"/>
      <c r="O324" s="508"/>
      <c r="P324" s="508"/>
      <c r="Q324" s="508"/>
      <c r="R324" s="508" t="str">
        <f t="shared" ca="1" si="119"/>
        <v>Administration, meals, miscelaneous</v>
      </c>
      <c r="S324" s="508">
        <f t="shared" ca="1" si="120"/>
        <v>0</v>
      </c>
      <c r="T324" s="508">
        <f t="shared" ca="1" si="121"/>
        <v>0</v>
      </c>
      <c r="U324" s="508" t="str">
        <f t="shared" ca="1" si="122"/>
        <v>687 / 51-11-3331</v>
      </c>
      <c r="V324" s="508">
        <f t="shared" ca="1" si="123"/>
        <v>0</v>
      </c>
      <c r="W324" s="508" t="str">
        <f t="shared" ca="1" si="124"/>
        <v>TBD</v>
      </c>
      <c r="X324" s="508" t="str">
        <f t="shared" ca="1" si="125"/>
        <v>Ene</v>
      </c>
      <c r="Y324" s="508" t="str">
        <f t="shared" ca="1" si="126"/>
        <v>Ene</v>
      </c>
      <c r="Z324" s="508">
        <f t="shared" ca="1" si="127"/>
        <v>0</v>
      </c>
      <c r="AA324" s="508" t="str">
        <f t="shared" ca="1" si="128"/>
        <v>Ene</v>
      </c>
      <c r="AB324" s="508">
        <f t="shared" ca="1" si="147"/>
        <v>12</v>
      </c>
      <c r="AC324" s="508">
        <f t="shared" ca="1" si="129"/>
        <v>0</v>
      </c>
      <c r="AD324" s="912">
        <f t="shared" ca="1" si="130"/>
        <v>18000</v>
      </c>
      <c r="AE324" s="512">
        <f t="shared" ca="1" si="131"/>
        <v>1500</v>
      </c>
      <c r="AF324" s="512">
        <f t="shared" ca="1" si="132"/>
        <v>1500</v>
      </c>
      <c r="AG324" s="512">
        <f t="shared" ca="1" si="133"/>
        <v>1500</v>
      </c>
      <c r="AH324" s="512">
        <f t="shared" ca="1" si="134"/>
        <v>1500</v>
      </c>
      <c r="AI324" s="512">
        <f t="shared" ca="1" si="135"/>
        <v>1500</v>
      </c>
      <c r="AJ324" s="512">
        <f t="shared" ca="1" si="136"/>
        <v>1500</v>
      </c>
      <c r="AK324" s="512">
        <f t="shared" ca="1" si="137"/>
        <v>1500</v>
      </c>
      <c r="AL324" s="512">
        <f t="shared" ca="1" si="138"/>
        <v>1500</v>
      </c>
      <c r="AM324" s="512">
        <f t="shared" ca="1" si="139"/>
        <v>1500</v>
      </c>
      <c r="AN324" s="512">
        <f t="shared" ca="1" si="140"/>
        <v>1500</v>
      </c>
      <c r="AO324" s="512">
        <f t="shared" ca="1" si="141"/>
        <v>1500</v>
      </c>
      <c r="AP324" s="512">
        <f t="shared" ca="1" si="142"/>
        <v>1500</v>
      </c>
      <c r="AQ324" s="512"/>
      <c r="AR324" s="512"/>
      <c r="AS324" s="512"/>
      <c r="AT324" s="151">
        <f t="shared" si="145"/>
        <v>0</v>
      </c>
      <c r="AU324" s="151">
        <f>IFERROR(VLOOKUP(A324,'[7]TD CuentasBDG'!$N$5:$O$21,2,0),0)</f>
        <v>0</v>
      </c>
      <c r="AV324">
        <f t="shared" ref="AV324" si="148">IF(N324="Licitación/Cotización",IF(AT324&lt;50000,"Licitación Corta","Licitación"),N324)</f>
        <v>0</v>
      </c>
    </row>
    <row r="325" spans="1:52" ht="30" x14ac:dyDescent="0.25">
      <c r="A325" s="508" t="s">
        <v>2166</v>
      </c>
      <c r="B325" s="508" t="s">
        <v>197</v>
      </c>
      <c r="C325" s="508" t="s">
        <v>146</v>
      </c>
      <c r="D325" s="508" t="s">
        <v>146</v>
      </c>
      <c r="E325" s="508"/>
      <c r="F325" s="508"/>
      <c r="G325" s="508" t="s">
        <v>1707</v>
      </c>
      <c r="H325" s="508"/>
      <c r="I325" s="508"/>
      <c r="J325" s="555"/>
      <c r="K325" s="555"/>
      <c r="L325" s="911">
        <f ca="1">IFERROR(INDEX(Lists!$O$2:$Z$2,MATCH(TRUE,INDEX((AE325:AP325&lt;&gt;0),0),0)),DATE(2018,1,1))</f>
        <v>43102</v>
      </c>
      <c r="M325" s="911">
        <f ca="1">IFERROR(INDEX(Lists!$O$3:$Z$3, VALUE(SUBSTITUTE(TEXT(ADDRESS(SUMPRODUCT(MAX((COLUMN(AE325:AP325)*(AE325:AP325&gt;0)))),1),),"$A$",""))-30),DATE(2018,1,1))</f>
        <v>43465</v>
      </c>
      <c r="N325" s="508"/>
      <c r="O325" s="508"/>
      <c r="P325" s="508"/>
      <c r="Q325" s="508"/>
      <c r="R325" s="508" t="str">
        <f t="shared" ref="R325:R388" ca="1" si="149">VLOOKUP($A325,INDIRECT($D325&amp;"!$A$1:$Z$300"),2,FALSE)</f>
        <v>Vallenar Office</v>
      </c>
      <c r="S325" s="508" t="str">
        <f t="shared" ref="S325:S388" ca="1" si="150">VLOOKUP($A325,INDIRECT($D325&amp;"!$A$1:$Z$300"),3,FALSE)</f>
        <v>Geology Staff</v>
      </c>
      <c r="T325" s="508" t="str">
        <f t="shared" ref="T325:T388" ca="1" si="151">VLOOKUP($A325,INDIRECT($D325&amp;"!$A$1:$Z$300"),4,FALSE)</f>
        <v>Detail in sheet Geology G&amp;A</v>
      </c>
      <c r="U325" s="508" t="str">
        <f t="shared" ref="U325:U388" ca="1" si="152">VLOOKUP($A325,INDIRECT($D325&amp;"!$A$1:$Z$300"),5,FALSE)</f>
        <v>687 / 51-11-3052</v>
      </c>
      <c r="V325" s="508">
        <f t="shared" ref="V325:V388" ca="1" si="153">VLOOKUP($A325,INDIRECT($D325&amp;"!$A$1:$Z$300"),6,FALSE)</f>
        <v>0</v>
      </c>
      <c r="W325" s="508">
        <f t="shared" ref="W325:W388" ca="1" si="154">VLOOKUP($A325,INDIRECT($D325&amp;"!$A$1:$Z$300"),7,FALSE)</f>
        <v>0</v>
      </c>
      <c r="X325" s="508">
        <f t="shared" ref="X325:X388" ca="1" si="155">VLOOKUP($A325,INDIRECT($D325&amp;"!$A$1:$Z$300"),8,FALSE)</f>
        <v>0</v>
      </c>
      <c r="Y325" s="508">
        <f t="shared" ref="Y325:Y388" ca="1" si="156">VLOOKUP($A325,INDIRECT($D325&amp;"!$A$1:$Z$300"),9,FALSE)</f>
        <v>0</v>
      </c>
      <c r="Z325" s="508">
        <f t="shared" ref="Z325:Z388" ca="1" si="157">VLOOKUP($A325,INDIRECT($D325&amp;"!$A$1:$Z$300"),10,FALSE)</f>
        <v>0</v>
      </c>
      <c r="AA325" s="508">
        <f t="shared" ref="AA325:AA388" ca="1" si="158">VLOOKUP($A325,INDIRECT($D325&amp;"!$A$1:$Z$300"),11,FALSE)</f>
        <v>0</v>
      </c>
      <c r="AB325" s="508">
        <f t="shared" ca="1" si="147"/>
        <v>12</v>
      </c>
      <c r="AC325" s="508">
        <f t="shared" ref="AC325:AC374" ca="1" si="159">VLOOKUP($A325,INDIRECT($D325&amp;"!$A$1:$Z$300"),13,FALSE)</f>
        <v>0</v>
      </c>
      <c r="AD325" s="912">
        <f t="shared" ref="AD325:AD388" ca="1" si="160">VLOOKUP($A325,INDIRECT($D325&amp;"!$A$1:$Z$300"),14,FALSE)</f>
        <v>6000</v>
      </c>
      <c r="AE325" s="512">
        <f t="shared" ref="AE325:AE388" ca="1" si="161">VLOOKUP($A325,INDIRECT($D325&amp;"!$A$1:$Z$300"),15,FALSE)</f>
        <v>500</v>
      </c>
      <c r="AF325" s="512">
        <f t="shared" ref="AF325:AF388" ca="1" si="162">VLOOKUP($A325,INDIRECT($D325&amp;"!$A$1:$Z$300"),16,FALSE)</f>
        <v>500</v>
      </c>
      <c r="AG325" s="512">
        <f t="shared" ref="AG325:AG388" ca="1" si="163">VLOOKUP($A325,INDIRECT($D325&amp;"!$A$1:$Z$300"),17,FALSE)</f>
        <v>500</v>
      </c>
      <c r="AH325" s="512">
        <f t="shared" ref="AH325:AH388" ca="1" si="164">VLOOKUP($A325,INDIRECT($D325&amp;"!$A$1:$Z$300"),18,FALSE)</f>
        <v>500</v>
      </c>
      <c r="AI325" s="512">
        <f t="shared" ref="AI325:AI388" ca="1" si="165">VLOOKUP($A325,INDIRECT($D325&amp;"!$A$1:$Z$300"),19,FALSE)</f>
        <v>500</v>
      </c>
      <c r="AJ325" s="512">
        <f t="shared" ref="AJ325:AJ388" ca="1" si="166">VLOOKUP($A325,INDIRECT($D325&amp;"!$A$1:$Z$300"),20,FALSE)</f>
        <v>500</v>
      </c>
      <c r="AK325" s="512">
        <f t="shared" ref="AK325:AK388" ca="1" si="167">VLOOKUP($A325,INDIRECT($D325&amp;"!$A$1:$Z$300"),21,FALSE)</f>
        <v>500</v>
      </c>
      <c r="AL325" s="512">
        <f t="shared" ref="AL325:AL388" ca="1" si="168">VLOOKUP($A325,INDIRECT($D325&amp;"!$A$1:$Z$300"),22,FALSE)</f>
        <v>500</v>
      </c>
      <c r="AM325" s="512">
        <f t="shared" ref="AM325:AM388" ca="1" si="169">VLOOKUP($A325,INDIRECT($D325&amp;"!$A$1:$Z$300"),23,FALSE)</f>
        <v>500</v>
      </c>
      <c r="AN325" s="512">
        <f t="shared" ref="AN325:AN388" ca="1" si="170">VLOOKUP($A325,INDIRECT($D325&amp;"!$A$1:$Z$300"),24,FALSE)</f>
        <v>500</v>
      </c>
      <c r="AO325" s="512">
        <f t="shared" ref="AO325:AO388" ca="1" si="171">VLOOKUP($A325,INDIRECT($D325&amp;"!$A$1:$Z$300"),25,FALSE)</f>
        <v>500</v>
      </c>
      <c r="AP325" s="512">
        <f t="shared" ref="AP325:AP388" ca="1" si="172">VLOOKUP($A325,INDIRECT($D325&amp;"!$A$1:$Z$300"),26,FALSE)</f>
        <v>500</v>
      </c>
      <c r="AQ325" s="512" t="str">
        <f t="shared" ref="AQ325:AQ388" si="173">IF(G325="Contrato/Orden de Servicio",IF(AND(Q325&lt;&gt;"Si",AD325&lt;100000),"Orden de Servicio Sin Terreno",IF(AND(Q325="Si",AD325&lt;50000),IF(AB325&lt;=3,"Orden de Servicio Con Terreno","Contrato"),"Contrato")),"")</f>
        <v/>
      </c>
      <c r="AR325" s="512"/>
      <c r="AS325" s="512" t="str">
        <f t="shared" ref="AS325:AS388" si="174">IF(G325="Contrato/Orden de Servicio",IF(AND(AD325&gt;50000,OR(N325="Renovación de Contrato",N325="Adjudicación Directa")),"Si","No"),"")</f>
        <v/>
      </c>
      <c r="AT325" s="151">
        <f t="shared" ref="AT325:AT388" si="175">IF(G325="Contrato/Orden de Servicio",AD325,0)</f>
        <v>0</v>
      </c>
      <c r="AU325" s="151">
        <f>IFERROR(VLOOKUP(A325,'[7]TD CuentasBDG'!$N$5:$O$21,2,0),0)</f>
        <v>0</v>
      </c>
      <c r="AV325">
        <f t="shared" ref="AV325:AV388" si="176">IF(N325="Licitación/Cotización",IF(AT325&lt;50000,"Licitación Corta","Licitación"),N325)</f>
        <v>0</v>
      </c>
    </row>
    <row r="326" spans="1:52" ht="45" x14ac:dyDescent="0.25">
      <c r="A326" s="508" t="s">
        <v>2167</v>
      </c>
      <c r="B326" s="508" t="s">
        <v>197</v>
      </c>
      <c r="C326" s="508" t="s">
        <v>146</v>
      </c>
      <c r="D326" s="508" t="s">
        <v>146</v>
      </c>
      <c r="E326" s="508"/>
      <c r="F326" s="508"/>
      <c r="G326" s="508" t="s">
        <v>1707</v>
      </c>
      <c r="H326" s="508"/>
      <c r="I326" s="508"/>
      <c r="J326" s="555"/>
      <c r="K326" s="555"/>
      <c r="L326" s="911">
        <f ca="1">IFERROR(INDEX(Lists!$O$2:$Z$2,MATCH(TRUE,INDEX((AE326:AP326&lt;&gt;0),0),0)),DATE(2018,1,1))</f>
        <v>43132</v>
      </c>
      <c r="M326" s="911">
        <f ca="1">IFERROR(INDEX(Lists!$O$3:$Z$3, VALUE(SUBSTITUTE(TEXT(ADDRESS(SUMPRODUCT(MAX((COLUMN(AE326:AP326)*(AE326:AP326&gt;0)))),1),),"$A$",""))-30),DATE(2018,1,1))</f>
        <v>43190</v>
      </c>
      <c r="N326" s="508"/>
      <c r="O326" s="508"/>
      <c r="P326" s="508"/>
      <c r="Q326" s="508"/>
      <c r="R326" s="508" t="str">
        <f t="shared" ca="1" si="149"/>
        <v>IT (Computer, Software, Licenses)</v>
      </c>
      <c r="S326" s="508" t="str">
        <f t="shared" ca="1" si="150"/>
        <v>Geology Staff</v>
      </c>
      <c r="T326" s="508" t="str">
        <f t="shared" ca="1" si="151"/>
        <v>Detail in sheet Geology G&amp;A</v>
      </c>
      <c r="U326" s="508" t="str">
        <f t="shared" ca="1" si="152"/>
        <v>687 / 51-11-3052</v>
      </c>
      <c r="V326" s="508">
        <f t="shared" ca="1" si="153"/>
        <v>0</v>
      </c>
      <c r="W326" s="508">
        <f t="shared" ca="1" si="154"/>
        <v>0</v>
      </c>
      <c r="X326" s="508">
        <f t="shared" ca="1" si="155"/>
        <v>0</v>
      </c>
      <c r="Y326" s="508">
        <f t="shared" ca="1" si="156"/>
        <v>0</v>
      </c>
      <c r="Z326" s="508">
        <f t="shared" ca="1" si="157"/>
        <v>0</v>
      </c>
      <c r="AA326" s="508" t="str">
        <f t="shared" ca="1" si="158"/>
        <v>Ene</v>
      </c>
      <c r="AB326" s="508">
        <f t="shared" ca="1" si="147"/>
        <v>2</v>
      </c>
      <c r="AC326" s="508">
        <f t="shared" ca="1" si="159"/>
        <v>0</v>
      </c>
      <c r="AD326" s="912">
        <f t="shared" ca="1" si="160"/>
        <v>64500</v>
      </c>
      <c r="AE326" s="512">
        <f t="shared" ca="1" si="161"/>
        <v>0</v>
      </c>
      <c r="AF326" s="512">
        <f t="shared" ca="1" si="162"/>
        <v>32250</v>
      </c>
      <c r="AG326" s="512">
        <f t="shared" ca="1" si="163"/>
        <v>32250</v>
      </c>
      <c r="AH326" s="512">
        <f t="shared" ca="1" si="164"/>
        <v>0</v>
      </c>
      <c r="AI326" s="512">
        <f t="shared" ca="1" si="165"/>
        <v>0</v>
      </c>
      <c r="AJ326" s="512">
        <f t="shared" ca="1" si="166"/>
        <v>0</v>
      </c>
      <c r="AK326" s="512">
        <f t="shared" ca="1" si="167"/>
        <v>0</v>
      </c>
      <c r="AL326" s="512">
        <f t="shared" ca="1" si="168"/>
        <v>0</v>
      </c>
      <c r="AM326" s="512">
        <f t="shared" ca="1" si="169"/>
        <v>0</v>
      </c>
      <c r="AN326" s="512">
        <f t="shared" ca="1" si="170"/>
        <v>0</v>
      </c>
      <c r="AO326" s="512">
        <f t="shared" ca="1" si="171"/>
        <v>0</v>
      </c>
      <c r="AP326" s="512">
        <f t="shared" ca="1" si="172"/>
        <v>0</v>
      </c>
      <c r="AQ326" s="512" t="str">
        <f t="shared" si="173"/>
        <v/>
      </c>
      <c r="AR326" s="512"/>
      <c r="AS326" s="512" t="str">
        <f t="shared" si="174"/>
        <v/>
      </c>
      <c r="AT326" s="151">
        <f t="shared" si="175"/>
        <v>0</v>
      </c>
      <c r="AU326" s="151">
        <f>IFERROR(VLOOKUP(A326,'[7]TD CuentasBDG'!$N$5:$O$21,2,0),0)</f>
        <v>0</v>
      </c>
      <c r="AV326">
        <f t="shared" si="176"/>
        <v>0</v>
      </c>
    </row>
    <row r="327" spans="1:52" ht="30" x14ac:dyDescent="0.25">
      <c r="A327" s="508" t="s">
        <v>2168</v>
      </c>
      <c r="B327" s="508" t="s">
        <v>197</v>
      </c>
      <c r="C327" s="508" t="s">
        <v>146</v>
      </c>
      <c r="D327" s="508" t="s">
        <v>146</v>
      </c>
      <c r="E327" s="508"/>
      <c r="F327" s="508"/>
      <c r="G327" s="508" t="s">
        <v>1707</v>
      </c>
      <c r="H327" s="508"/>
      <c r="I327" s="508"/>
      <c r="J327" s="555"/>
      <c r="K327" s="555"/>
      <c r="L327" s="911">
        <f ca="1">IFERROR(INDEX(Lists!$O$2:$Z$2,MATCH(TRUE,INDEX((AE327:AP327&lt;&gt;0),0),0)),DATE(2018,1,1))</f>
        <v>43191</v>
      </c>
      <c r="M327" s="911">
        <f ca="1">IFERROR(INDEX(Lists!$O$3:$Z$3, VALUE(SUBSTITUTE(TEXT(ADDRESS(SUMPRODUCT(MAX((COLUMN(AE327:AP327)*(AE327:AP327&gt;0)))),1),),"$A$",""))-30),DATE(2018,1,1))</f>
        <v>43465</v>
      </c>
      <c r="N327" s="508"/>
      <c r="O327" s="508"/>
      <c r="P327" s="508"/>
      <c r="Q327" s="508"/>
      <c r="R327" s="508" t="str">
        <f t="shared" ca="1" si="149"/>
        <v>Technical Equipment</v>
      </c>
      <c r="S327" s="508" t="str">
        <f t="shared" ca="1" si="150"/>
        <v>Geology Staff</v>
      </c>
      <c r="T327" s="508" t="str">
        <f t="shared" ca="1" si="151"/>
        <v>Detail in sheet Geology G&amp;A</v>
      </c>
      <c r="U327" s="508" t="str">
        <f t="shared" ca="1" si="152"/>
        <v>687 / 51-11-3052</v>
      </c>
      <c r="V327" s="508">
        <f t="shared" ca="1" si="153"/>
        <v>0</v>
      </c>
      <c r="W327" s="508">
        <f t="shared" ca="1" si="154"/>
        <v>0</v>
      </c>
      <c r="X327" s="508">
        <f t="shared" ca="1" si="155"/>
        <v>0</v>
      </c>
      <c r="Y327" s="508">
        <f t="shared" ca="1" si="156"/>
        <v>0</v>
      </c>
      <c r="Z327" s="508">
        <f t="shared" ca="1" si="157"/>
        <v>0</v>
      </c>
      <c r="AA327" s="508" t="str">
        <f t="shared" ca="1" si="158"/>
        <v>Abr</v>
      </c>
      <c r="AB327" s="508">
        <f t="shared" ca="1" si="147"/>
        <v>9</v>
      </c>
      <c r="AC327" s="508">
        <f t="shared" ca="1" si="159"/>
        <v>0</v>
      </c>
      <c r="AD327" s="912">
        <f t="shared" ca="1" si="160"/>
        <v>65250</v>
      </c>
      <c r="AE327" s="512">
        <f t="shared" ca="1" si="161"/>
        <v>0</v>
      </c>
      <c r="AF327" s="512">
        <f t="shared" ca="1" si="162"/>
        <v>0</v>
      </c>
      <c r="AG327" s="512">
        <f t="shared" ca="1" si="163"/>
        <v>0</v>
      </c>
      <c r="AH327" s="512">
        <f t="shared" ca="1" si="164"/>
        <v>7250</v>
      </c>
      <c r="AI327" s="512">
        <f t="shared" ca="1" si="165"/>
        <v>7250</v>
      </c>
      <c r="AJ327" s="512">
        <f t="shared" ca="1" si="166"/>
        <v>7250</v>
      </c>
      <c r="AK327" s="512">
        <f t="shared" ca="1" si="167"/>
        <v>7250</v>
      </c>
      <c r="AL327" s="512">
        <f t="shared" ca="1" si="168"/>
        <v>7250</v>
      </c>
      <c r="AM327" s="512">
        <f t="shared" ca="1" si="169"/>
        <v>7250</v>
      </c>
      <c r="AN327" s="512">
        <f t="shared" ca="1" si="170"/>
        <v>7250</v>
      </c>
      <c r="AO327" s="512">
        <f t="shared" ca="1" si="171"/>
        <v>7250</v>
      </c>
      <c r="AP327" s="512">
        <f t="shared" ca="1" si="172"/>
        <v>7250</v>
      </c>
      <c r="AQ327" s="512" t="str">
        <f t="shared" si="173"/>
        <v/>
      </c>
      <c r="AR327" s="512"/>
      <c r="AS327" s="512" t="str">
        <f t="shared" si="174"/>
        <v/>
      </c>
      <c r="AT327" s="151">
        <f t="shared" si="175"/>
        <v>0</v>
      </c>
      <c r="AU327" s="151">
        <f>IFERROR(VLOOKUP(A327,'[7]TD CuentasBDG'!$N$5:$O$21,2,0),0)</f>
        <v>0</v>
      </c>
      <c r="AV327">
        <f t="shared" si="176"/>
        <v>0</v>
      </c>
    </row>
    <row r="328" spans="1:52" ht="30" x14ac:dyDescent="0.25">
      <c r="A328" s="508" t="s">
        <v>2169</v>
      </c>
      <c r="B328" s="508" t="s">
        <v>197</v>
      </c>
      <c r="C328" s="508" t="s">
        <v>146</v>
      </c>
      <c r="D328" s="508" t="s">
        <v>146</v>
      </c>
      <c r="E328" s="508"/>
      <c r="F328" s="508"/>
      <c r="G328" s="508" t="s">
        <v>1707</v>
      </c>
      <c r="H328" s="508"/>
      <c r="I328" s="508"/>
      <c r="J328" s="555"/>
      <c r="K328" s="555"/>
      <c r="L328" s="911">
        <f ca="1">IFERROR(INDEX(Lists!$O$2:$Z$2,MATCH(TRUE,INDEX((AE328:AP328&lt;&gt;0),0),0)),DATE(2018,1,1))</f>
        <v>43132</v>
      </c>
      <c r="M328" s="911">
        <f ca="1">IFERROR(INDEX(Lists!$O$3:$Z$3, VALUE(SUBSTITUTE(TEXT(ADDRESS(SUMPRODUCT(MAX((COLUMN(AE328:AP328)*(AE328:AP328&gt;0)))),1),),"$A$",""))-30),DATE(2018,1,1))</f>
        <v>43434</v>
      </c>
      <c r="N328" s="508"/>
      <c r="O328" s="508"/>
      <c r="P328" s="508"/>
      <c r="Q328" s="508"/>
      <c r="R328" s="508" t="str">
        <f t="shared" ca="1" si="149"/>
        <v>Training</v>
      </c>
      <c r="S328" s="508" t="str">
        <f t="shared" ca="1" si="150"/>
        <v>Geology Staff</v>
      </c>
      <c r="T328" s="508" t="str">
        <f t="shared" ca="1" si="151"/>
        <v>Detail in sheet Geology G&amp;A</v>
      </c>
      <c r="U328" s="508" t="str">
        <f t="shared" ca="1" si="152"/>
        <v>687 / 51-11-3052</v>
      </c>
      <c r="V328" s="508">
        <f t="shared" ca="1" si="153"/>
        <v>0</v>
      </c>
      <c r="W328" s="508">
        <f t="shared" ca="1" si="154"/>
        <v>0</v>
      </c>
      <c r="X328" s="508">
        <f t="shared" ca="1" si="155"/>
        <v>0</v>
      </c>
      <c r="Y328" s="508">
        <f t="shared" ca="1" si="156"/>
        <v>0</v>
      </c>
      <c r="Z328" s="508">
        <f t="shared" ca="1" si="157"/>
        <v>0</v>
      </c>
      <c r="AA328" s="508" t="str">
        <f t="shared" ca="1" si="158"/>
        <v>Feb</v>
      </c>
      <c r="AB328" s="508">
        <f t="shared" ca="1" si="147"/>
        <v>10</v>
      </c>
      <c r="AC328" s="508">
        <f t="shared" ca="1" si="159"/>
        <v>0</v>
      </c>
      <c r="AD328" s="912">
        <f t="shared" ca="1" si="160"/>
        <v>25000</v>
      </c>
      <c r="AE328" s="512">
        <f t="shared" ca="1" si="161"/>
        <v>0</v>
      </c>
      <c r="AF328" s="512">
        <f t="shared" ca="1" si="162"/>
        <v>2500</v>
      </c>
      <c r="AG328" s="512">
        <f t="shared" ca="1" si="163"/>
        <v>2500</v>
      </c>
      <c r="AH328" s="512">
        <f t="shared" ca="1" si="164"/>
        <v>2500</v>
      </c>
      <c r="AI328" s="512">
        <f t="shared" ca="1" si="165"/>
        <v>2500</v>
      </c>
      <c r="AJ328" s="512">
        <f t="shared" ca="1" si="166"/>
        <v>2500</v>
      </c>
      <c r="AK328" s="512">
        <f t="shared" ca="1" si="167"/>
        <v>2500</v>
      </c>
      <c r="AL328" s="512">
        <f t="shared" ca="1" si="168"/>
        <v>2500</v>
      </c>
      <c r="AM328" s="512">
        <f t="shared" ca="1" si="169"/>
        <v>2500</v>
      </c>
      <c r="AN328" s="512">
        <f t="shared" ca="1" si="170"/>
        <v>2500</v>
      </c>
      <c r="AO328" s="512">
        <f t="shared" ca="1" si="171"/>
        <v>2500</v>
      </c>
      <c r="AP328" s="512">
        <f t="shared" ca="1" si="172"/>
        <v>0</v>
      </c>
      <c r="AQ328" s="512" t="str">
        <f t="shared" si="173"/>
        <v/>
      </c>
      <c r="AR328" s="512"/>
      <c r="AS328" s="512" t="str">
        <f t="shared" si="174"/>
        <v/>
      </c>
      <c r="AT328" s="151">
        <f t="shared" si="175"/>
        <v>0</v>
      </c>
      <c r="AU328" s="151">
        <f>IFERROR(VLOOKUP(A328,'[7]TD CuentasBDG'!$N$5:$O$21,2,0),0)</f>
        <v>0</v>
      </c>
      <c r="AV328">
        <f t="shared" si="176"/>
        <v>0</v>
      </c>
    </row>
    <row r="329" spans="1:52" ht="30" x14ac:dyDescent="0.25">
      <c r="A329" s="508" t="s">
        <v>2170</v>
      </c>
      <c r="B329" s="508" t="s">
        <v>197</v>
      </c>
      <c r="C329" s="508" t="s">
        <v>146</v>
      </c>
      <c r="D329" s="508" t="s">
        <v>146</v>
      </c>
      <c r="E329" s="508"/>
      <c r="F329" s="508"/>
      <c r="G329" s="508" t="s">
        <v>1707</v>
      </c>
      <c r="H329" s="508"/>
      <c r="I329" s="508"/>
      <c r="J329" s="555"/>
      <c r="K329" s="555"/>
      <c r="L329" s="911">
        <f ca="1">IFERROR(INDEX(Lists!$O$2:$Z$2,MATCH(TRUE,INDEX((AE329:AP329&lt;&gt;0),0),0)),DATE(2018,1,1))</f>
        <v>43102</v>
      </c>
      <c r="M329" s="911">
        <f ca="1">IFERROR(INDEX(Lists!$O$3:$Z$3, VALUE(SUBSTITUTE(TEXT(ADDRESS(SUMPRODUCT(MAX((COLUMN(AE329:AP329)*(AE329:AP329&gt;0)))),1),),"$A$",""))-30),DATE(2018,1,1))</f>
        <v>43465</v>
      </c>
      <c r="N329" s="508"/>
      <c r="O329" s="508"/>
      <c r="P329" s="508"/>
      <c r="Q329" s="508"/>
      <c r="R329" s="508" t="str">
        <f t="shared" ca="1" si="149"/>
        <v>Safety &amp; Field Gear</v>
      </c>
      <c r="S329" s="508" t="str">
        <f t="shared" ca="1" si="150"/>
        <v>Geology Staff</v>
      </c>
      <c r="T329" s="508" t="str">
        <f t="shared" ca="1" si="151"/>
        <v>Detail in sheet Geology G&amp;A</v>
      </c>
      <c r="U329" s="508" t="str">
        <f t="shared" ca="1" si="152"/>
        <v>687 / 51-11-3052</v>
      </c>
      <c r="V329" s="508">
        <f t="shared" ca="1" si="153"/>
        <v>0</v>
      </c>
      <c r="W329" s="508">
        <f t="shared" ca="1" si="154"/>
        <v>0</v>
      </c>
      <c r="X329" s="508">
        <f t="shared" ca="1" si="155"/>
        <v>0</v>
      </c>
      <c r="Y329" s="508">
        <f t="shared" ca="1" si="156"/>
        <v>0</v>
      </c>
      <c r="Z329" s="508">
        <f t="shared" ca="1" si="157"/>
        <v>0</v>
      </c>
      <c r="AA329" s="508" t="str">
        <f t="shared" ca="1" si="158"/>
        <v>Ene</v>
      </c>
      <c r="AB329" s="508">
        <f t="shared" ca="1" si="147"/>
        <v>12</v>
      </c>
      <c r="AC329" s="508">
        <f t="shared" ca="1" si="159"/>
        <v>0</v>
      </c>
      <c r="AD329" s="912">
        <f t="shared" ca="1" si="160"/>
        <v>30000</v>
      </c>
      <c r="AE329" s="512">
        <f t="shared" ca="1" si="161"/>
        <v>2500</v>
      </c>
      <c r="AF329" s="512">
        <f t="shared" ca="1" si="162"/>
        <v>2500</v>
      </c>
      <c r="AG329" s="512">
        <f t="shared" ca="1" si="163"/>
        <v>2500</v>
      </c>
      <c r="AH329" s="512">
        <f t="shared" ca="1" si="164"/>
        <v>2500</v>
      </c>
      <c r="AI329" s="512">
        <f t="shared" ca="1" si="165"/>
        <v>2500</v>
      </c>
      <c r="AJ329" s="512">
        <f t="shared" ca="1" si="166"/>
        <v>2500</v>
      </c>
      <c r="AK329" s="512">
        <f t="shared" ca="1" si="167"/>
        <v>2500</v>
      </c>
      <c r="AL329" s="512">
        <f t="shared" ca="1" si="168"/>
        <v>2500</v>
      </c>
      <c r="AM329" s="512">
        <f t="shared" ca="1" si="169"/>
        <v>2500</v>
      </c>
      <c r="AN329" s="512">
        <f t="shared" ca="1" si="170"/>
        <v>2500</v>
      </c>
      <c r="AO329" s="512">
        <f t="shared" ca="1" si="171"/>
        <v>2500</v>
      </c>
      <c r="AP329" s="512">
        <f t="shared" ca="1" si="172"/>
        <v>2500</v>
      </c>
      <c r="AQ329" s="512" t="str">
        <f t="shared" si="173"/>
        <v/>
      </c>
      <c r="AR329" s="512"/>
      <c r="AS329" s="512" t="str">
        <f t="shared" si="174"/>
        <v/>
      </c>
      <c r="AT329" s="151">
        <f t="shared" si="175"/>
        <v>0</v>
      </c>
      <c r="AU329" s="151">
        <f>IFERROR(VLOOKUP(A329,'[7]TD CuentasBDG'!$N$5:$O$21,2,0),0)</f>
        <v>0</v>
      </c>
      <c r="AV329">
        <f t="shared" si="176"/>
        <v>0</v>
      </c>
    </row>
    <row r="330" spans="1:52" ht="30" x14ac:dyDescent="0.25">
      <c r="A330" s="508" t="s">
        <v>2171</v>
      </c>
      <c r="B330" s="508" t="s">
        <v>197</v>
      </c>
      <c r="C330" s="508" t="s">
        <v>146</v>
      </c>
      <c r="D330" s="508" t="s">
        <v>146</v>
      </c>
      <c r="E330" s="508"/>
      <c r="F330" s="508"/>
      <c r="G330" s="508" t="s">
        <v>1707</v>
      </c>
      <c r="H330" s="508"/>
      <c r="I330" s="508"/>
      <c r="J330" s="555"/>
      <c r="K330" s="555"/>
      <c r="L330" s="911">
        <f ca="1">IFERROR(INDEX(Lists!$O$2:$Z$2,MATCH(TRUE,INDEX((AE330:AP330&lt;&gt;0),0),0)),DATE(2018,1,1))</f>
        <v>43102</v>
      </c>
      <c r="M330" s="911">
        <f ca="1">IFERROR(INDEX(Lists!$O$3:$Z$3, VALUE(SUBSTITUTE(TEXT(ADDRESS(SUMPRODUCT(MAX((COLUMN(AE330:AP330)*(AE330:AP330&gt;0)))),1),),"$A$",""))-30),DATE(2018,1,1))</f>
        <v>43465</v>
      </c>
      <c r="N330" s="508"/>
      <c r="O330" s="508"/>
      <c r="P330" s="508"/>
      <c r="Q330" s="508"/>
      <c r="R330" s="508" t="str">
        <f t="shared" ca="1" si="149"/>
        <v>Communication</v>
      </c>
      <c r="S330" s="508" t="str">
        <f t="shared" ca="1" si="150"/>
        <v>Geology Staff</v>
      </c>
      <c r="T330" s="508" t="str">
        <f t="shared" ca="1" si="151"/>
        <v>Detail in sheet Geology G&amp;A</v>
      </c>
      <c r="U330" s="508" t="str">
        <f t="shared" ca="1" si="152"/>
        <v>687 / 51-11-3052</v>
      </c>
      <c r="V330" s="508">
        <f t="shared" ca="1" si="153"/>
        <v>0</v>
      </c>
      <c r="W330" s="508">
        <f t="shared" ca="1" si="154"/>
        <v>0</v>
      </c>
      <c r="X330" s="508">
        <f t="shared" ca="1" si="155"/>
        <v>0</v>
      </c>
      <c r="Y330" s="508">
        <f t="shared" ca="1" si="156"/>
        <v>0</v>
      </c>
      <c r="Z330" s="508">
        <f t="shared" ca="1" si="157"/>
        <v>0</v>
      </c>
      <c r="AA330" s="508" t="str">
        <f t="shared" ca="1" si="158"/>
        <v>Ene</v>
      </c>
      <c r="AB330" s="508">
        <f t="shared" ca="1" si="147"/>
        <v>12</v>
      </c>
      <c r="AC330" s="508">
        <f t="shared" ca="1" si="159"/>
        <v>0</v>
      </c>
      <c r="AD330" s="912">
        <f t="shared" ca="1" si="160"/>
        <v>5760</v>
      </c>
      <c r="AE330" s="512">
        <f t="shared" ca="1" si="161"/>
        <v>480</v>
      </c>
      <c r="AF330" s="512">
        <f t="shared" ca="1" si="162"/>
        <v>480</v>
      </c>
      <c r="AG330" s="512">
        <f t="shared" ca="1" si="163"/>
        <v>480</v>
      </c>
      <c r="AH330" s="512">
        <f t="shared" ca="1" si="164"/>
        <v>480</v>
      </c>
      <c r="AI330" s="512">
        <f t="shared" ca="1" si="165"/>
        <v>480</v>
      </c>
      <c r="AJ330" s="512">
        <f t="shared" ca="1" si="166"/>
        <v>480</v>
      </c>
      <c r="AK330" s="512">
        <f t="shared" ca="1" si="167"/>
        <v>480</v>
      </c>
      <c r="AL330" s="512">
        <f t="shared" ca="1" si="168"/>
        <v>480</v>
      </c>
      <c r="AM330" s="512">
        <f t="shared" ca="1" si="169"/>
        <v>480</v>
      </c>
      <c r="AN330" s="512">
        <f t="shared" ca="1" si="170"/>
        <v>480</v>
      </c>
      <c r="AO330" s="512">
        <f t="shared" ca="1" si="171"/>
        <v>480</v>
      </c>
      <c r="AP330" s="512">
        <f t="shared" ca="1" si="172"/>
        <v>480</v>
      </c>
      <c r="AQ330" s="512" t="str">
        <f t="shared" si="173"/>
        <v/>
      </c>
      <c r="AR330" s="512"/>
      <c r="AS330" s="512" t="str">
        <f t="shared" si="174"/>
        <v/>
      </c>
      <c r="AT330" s="151">
        <f t="shared" si="175"/>
        <v>0</v>
      </c>
      <c r="AU330" s="151">
        <f>IFERROR(VLOOKUP(A330,'[7]TD CuentasBDG'!$N$5:$O$21,2,0),0)</f>
        <v>0</v>
      </c>
      <c r="AV330">
        <f t="shared" si="176"/>
        <v>0</v>
      </c>
    </row>
    <row r="331" spans="1:52" ht="30" x14ac:dyDescent="0.25">
      <c r="A331" s="508" t="s">
        <v>2172</v>
      </c>
      <c r="B331" s="508" t="s">
        <v>197</v>
      </c>
      <c r="C331" s="508" t="s">
        <v>146</v>
      </c>
      <c r="D331" s="508" t="s">
        <v>146</v>
      </c>
      <c r="E331" s="508"/>
      <c r="F331" s="508"/>
      <c r="G331" s="508" t="s">
        <v>1707</v>
      </c>
      <c r="H331" s="508"/>
      <c r="I331" s="508"/>
      <c r="J331" s="555"/>
      <c r="K331" s="555"/>
      <c r="L331" s="911">
        <f ca="1">IFERROR(INDEX(Lists!$O$2:$Z$2,MATCH(TRUE,INDEX((AE331:AP331&lt;&gt;0),0),0)),DATE(2018,1,1))</f>
        <v>43102</v>
      </c>
      <c r="M331" s="911">
        <f ca="1">IFERROR(INDEX(Lists!$O$3:$Z$3, VALUE(SUBSTITUTE(TEXT(ADDRESS(SUMPRODUCT(MAX((COLUMN(AE331:AP331)*(AE331:AP331&gt;0)))),1),),"$A$",""))-30),DATE(2018,1,1))</f>
        <v>43465</v>
      </c>
      <c r="N331" s="508"/>
      <c r="O331" s="508"/>
      <c r="P331" s="508"/>
      <c r="Q331" s="508"/>
      <c r="R331" s="508" t="str">
        <f t="shared" ca="1" si="149"/>
        <v>Mobility (Trucks, incl. Fuel) &amp; Travel</v>
      </c>
      <c r="S331" s="508" t="str">
        <f t="shared" ca="1" si="150"/>
        <v>Geology Staff</v>
      </c>
      <c r="T331" s="508" t="str">
        <f t="shared" ca="1" si="151"/>
        <v>Detail in sheet Geology G&amp;A</v>
      </c>
      <c r="U331" s="508" t="str">
        <f t="shared" ca="1" si="152"/>
        <v>687 / 51-11-3052</v>
      </c>
      <c r="V331" s="508">
        <f t="shared" ca="1" si="153"/>
        <v>0</v>
      </c>
      <c r="W331" s="508">
        <f t="shared" ca="1" si="154"/>
        <v>0</v>
      </c>
      <c r="X331" s="508">
        <f t="shared" ca="1" si="155"/>
        <v>0</v>
      </c>
      <c r="Y331" s="508">
        <f t="shared" ca="1" si="156"/>
        <v>0</v>
      </c>
      <c r="Z331" s="508">
        <f t="shared" ca="1" si="157"/>
        <v>0</v>
      </c>
      <c r="AA331" s="508" t="str">
        <f t="shared" ca="1" si="158"/>
        <v>Ene</v>
      </c>
      <c r="AB331" s="508">
        <f t="shared" ca="1" si="147"/>
        <v>12</v>
      </c>
      <c r="AC331" s="508">
        <f t="shared" ca="1" si="159"/>
        <v>0</v>
      </c>
      <c r="AD331" s="912">
        <f t="shared" ca="1" si="160"/>
        <v>103683.07692307689</v>
      </c>
      <c r="AE331" s="512">
        <f t="shared" ca="1" si="161"/>
        <v>8640.2564102564102</v>
      </c>
      <c r="AF331" s="512">
        <f t="shared" ca="1" si="162"/>
        <v>8640.2564102564102</v>
      </c>
      <c r="AG331" s="512">
        <f t="shared" ca="1" si="163"/>
        <v>8640.2564102564102</v>
      </c>
      <c r="AH331" s="512">
        <f t="shared" ca="1" si="164"/>
        <v>8640.2564102564102</v>
      </c>
      <c r="AI331" s="512">
        <f t="shared" ca="1" si="165"/>
        <v>8640.2564102564102</v>
      </c>
      <c r="AJ331" s="512">
        <f t="shared" ca="1" si="166"/>
        <v>8640.2564102564102</v>
      </c>
      <c r="AK331" s="512">
        <f t="shared" ca="1" si="167"/>
        <v>8640.2564102564102</v>
      </c>
      <c r="AL331" s="512">
        <f t="shared" ca="1" si="168"/>
        <v>8640.2564102564102</v>
      </c>
      <c r="AM331" s="512">
        <f t="shared" ca="1" si="169"/>
        <v>8640.2564102564102</v>
      </c>
      <c r="AN331" s="512">
        <f t="shared" ca="1" si="170"/>
        <v>8640.2564102564102</v>
      </c>
      <c r="AO331" s="512">
        <f t="shared" ca="1" si="171"/>
        <v>8640.2564102564102</v>
      </c>
      <c r="AP331" s="512">
        <f t="shared" ca="1" si="172"/>
        <v>8640.2564102564102</v>
      </c>
      <c r="AQ331" s="512" t="str">
        <f t="shared" si="173"/>
        <v/>
      </c>
      <c r="AR331" s="512"/>
      <c r="AS331" s="512" t="str">
        <f t="shared" si="174"/>
        <v/>
      </c>
      <c r="AT331" s="151">
        <f t="shared" si="175"/>
        <v>0</v>
      </c>
      <c r="AU331" s="151">
        <f>IFERROR(VLOOKUP(A331,'[7]TD CuentasBDG'!$N$5:$O$21,2,0),0)</f>
        <v>0</v>
      </c>
      <c r="AV331">
        <f t="shared" si="176"/>
        <v>0</v>
      </c>
    </row>
    <row r="332" spans="1:52" ht="45" x14ac:dyDescent="0.25">
      <c r="A332" s="508" t="s">
        <v>2173</v>
      </c>
      <c r="B332" s="508" t="s">
        <v>197</v>
      </c>
      <c r="C332" s="508" t="s">
        <v>146</v>
      </c>
      <c r="D332" s="508" t="s">
        <v>146</v>
      </c>
      <c r="E332" s="508"/>
      <c r="F332" s="508"/>
      <c r="G332" s="508" t="s">
        <v>1665</v>
      </c>
      <c r="H332" s="508"/>
      <c r="I332" s="508"/>
      <c r="J332" s="555"/>
      <c r="K332" s="555"/>
      <c r="L332" s="911">
        <f ca="1">IFERROR(INDEX(Lists!$O$2:$Z$2,MATCH(TRUE,INDEX((AE332:AP332&lt;&gt;0),0),0)),DATE(2018,1,1))</f>
        <v>43132</v>
      </c>
      <c r="M332" s="911">
        <f ca="1">IFERROR(INDEX(Lists!$O$3:$Z$3, VALUE(SUBSTITUTE(TEXT(ADDRESS(SUMPRODUCT(MAX((COLUMN(AE332:AP332)*(AE332:AP332&gt;0)))),1),),"$A$",""))-30),DATE(2018,1,1))</f>
        <v>43251</v>
      </c>
      <c r="N332" s="508"/>
      <c r="O332" s="508"/>
      <c r="P332" s="508"/>
      <c r="Q332" s="508"/>
      <c r="R332" s="508" t="str">
        <f t="shared" ca="1" si="149"/>
        <v>La Fortuna - Reorganization (Ready to Move)</v>
      </c>
      <c r="S332" s="508" t="str">
        <f t="shared" ca="1" si="150"/>
        <v>Geology Staff &amp; Helpers</v>
      </c>
      <c r="T332" s="508" t="str">
        <f t="shared" ca="1" si="151"/>
        <v xml:space="preserve">Detail in sheet </v>
      </c>
      <c r="U332" s="508" t="str">
        <f t="shared" ca="1" si="152"/>
        <v>687 / 51-11-3052</v>
      </c>
      <c r="V332" s="508">
        <f t="shared" ca="1" si="153"/>
        <v>0</v>
      </c>
      <c r="W332" s="508">
        <f t="shared" ca="1" si="154"/>
        <v>0</v>
      </c>
      <c r="X332" s="508">
        <f t="shared" ca="1" si="155"/>
        <v>0</v>
      </c>
      <c r="Y332" s="508">
        <f t="shared" ca="1" si="156"/>
        <v>0</v>
      </c>
      <c r="Z332" s="508">
        <f t="shared" ca="1" si="157"/>
        <v>0</v>
      </c>
      <c r="AA332" s="508" t="str">
        <f t="shared" ca="1" si="158"/>
        <v>Ene</v>
      </c>
      <c r="AB332" s="508">
        <f t="shared" ca="1" si="147"/>
        <v>4</v>
      </c>
      <c r="AC332" s="508">
        <f t="shared" ca="1" si="159"/>
        <v>0</v>
      </c>
      <c r="AD332" s="912">
        <f t="shared" ca="1" si="160"/>
        <v>37546.615384615383</v>
      </c>
      <c r="AE332" s="512">
        <f t="shared" ca="1" si="161"/>
        <v>0</v>
      </c>
      <c r="AF332" s="512">
        <f t="shared" ca="1" si="162"/>
        <v>9386.538461538461</v>
      </c>
      <c r="AG332" s="512">
        <f t="shared" ca="1" si="163"/>
        <v>9386.538461538461</v>
      </c>
      <c r="AH332" s="512">
        <f t="shared" ca="1" si="164"/>
        <v>9386.538461538461</v>
      </c>
      <c r="AI332" s="512">
        <f t="shared" ca="1" si="165"/>
        <v>9387</v>
      </c>
      <c r="AJ332" s="512">
        <f t="shared" ca="1" si="166"/>
        <v>0</v>
      </c>
      <c r="AK332" s="512">
        <f t="shared" ca="1" si="167"/>
        <v>0</v>
      </c>
      <c r="AL332" s="512">
        <f t="shared" ca="1" si="168"/>
        <v>0</v>
      </c>
      <c r="AM332" s="512">
        <f t="shared" ca="1" si="169"/>
        <v>0</v>
      </c>
      <c r="AN332" s="512">
        <f t="shared" ca="1" si="170"/>
        <v>0</v>
      </c>
      <c r="AO332" s="512">
        <f t="shared" ca="1" si="171"/>
        <v>0</v>
      </c>
      <c r="AP332" s="512">
        <f t="shared" ca="1" si="172"/>
        <v>0</v>
      </c>
      <c r="AQ332" s="512" t="str">
        <f t="shared" si="173"/>
        <v/>
      </c>
      <c r="AR332" s="512"/>
      <c r="AS332" s="512" t="str">
        <f t="shared" si="174"/>
        <v/>
      </c>
      <c r="AT332" s="151">
        <f t="shared" si="175"/>
        <v>0</v>
      </c>
      <c r="AU332" s="151">
        <f>IFERROR(VLOOKUP(A332,'[7]TD CuentasBDG'!$N$5:$O$21,2,0),0)</f>
        <v>0</v>
      </c>
      <c r="AV332">
        <f t="shared" si="176"/>
        <v>0</v>
      </c>
    </row>
    <row r="333" spans="1:52" ht="60" x14ac:dyDescent="0.25">
      <c r="A333" s="508" t="s">
        <v>2174</v>
      </c>
      <c r="B333" s="508" t="s">
        <v>197</v>
      </c>
      <c r="C333" s="508" t="s">
        <v>146</v>
      </c>
      <c r="D333" s="508" t="s">
        <v>146</v>
      </c>
      <c r="E333" s="508"/>
      <c r="F333" s="508"/>
      <c r="G333" s="508" t="s">
        <v>1665</v>
      </c>
      <c r="H333" s="508"/>
      <c r="I333" s="508"/>
      <c r="J333" s="555"/>
      <c r="K333" s="555"/>
      <c r="L333" s="911">
        <f ca="1">IFERROR(INDEX(Lists!$O$2:$Z$2,MATCH(TRUE,INDEX((AE333:AP333&lt;&gt;0),0),0)),DATE(2018,1,1))</f>
        <v>43252</v>
      </c>
      <c r="M333" s="911">
        <f ca="1">IFERROR(INDEX(Lists!$O$3:$Z$3, VALUE(SUBSTITUTE(TEXT(ADDRESS(SUMPRODUCT(MAX((COLUMN(AE333:AP333)*(AE333:AP333&gt;0)))),1),),"$A$",""))-30),DATE(2018,1,1))</f>
        <v>43404</v>
      </c>
      <c r="N333" s="508"/>
      <c r="O333" s="508"/>
      <c r="P333" s="508"/>
      <c r="Q333" s="508"/>
      <c r="R333" s="508" t="str">
        <f t="shared" ca="1" si="149"/>
        <v>Relincho - Standardization (contunuation from 2013)</v>
      </c>
      <c r="S333" s="508" t="str">
        <f t="shared" ca="1" si="150"/>
        <v>Geology Staff &amp; Helpers</v>
      </c>
      <c r="T333" s="508" t="str">
        <f t="shared" ca="1" si="151"/>
        <v xml:space="preserve">Detail in sheet </v>
      </c>
      <c r="U333" s="508" t="str">
        <f t="shared" ca="1" si="152"/>
        <v>687 / 51-11-3052</v>
      </c>
      <c r="V333" s="508">
        <f t="shared" ca="1" si="153"/>
        <v>0</v>
      </c>
      <c r="W333" s="508">
        <f t="shared" ca="1" si="154"/>
        <v>0</v>
      </c>
      <c r="X333" s="508">
        <f t="shared" ca="1" si="155"/>
        <v>0</v>
      </c>
      <c r="Y333" s="508">
        <f t="shared" ca="1" si="156"/>
        <v>0</v>
      </c>
      <c r="Z333" s="508">
        <f t="shared" ca="1" si="157"/>
        <v>0</v>
      </c>
      <c r="AA333" s="508" t="str">
        <f t="shared" ca="1" si="158"/>
        <v>Jun</v>
      </c>
      <c r="AB333" s="508">
        <f t="shared" ca="1" si="147"/>
        <v>5</v>
      </c>
      <c r="AC333" s="508">
        <f t="shared" ca="1" si="159"/>
        <v>0</v>
      </c>
      <c r="AD333" s="912">
        <f t="shared" ca="1" si="160"/>
        <v>37582.153846153844</v>
      </c>
      <c r="AE333" s="512">
        <f t="shared" ca="1" si="161"/>
        <v>0</v>
      </c>
      <c r="AF333" s="512">
        <f t="shared" ca="1" si="162"/>
        <v>0</v>
      </c>
      <c r="AG333" s="512">
        <f t="shared" ca="1" si="163"/>
        <v>0</v>
      </c>
      <c r="AH333" s="512">
        <f t="shared" ca="1" si="164"/>
        <v>0</v>
      </c>
      <c r="AI333" s="512">
        <f t="shared" ca="1" si="165"/>
        <v>0</v>
      </c>
      <c r="AJ333" s="512">
        <f t="shared" ca="1" si="166"/>
        <v>7516.4307692307684</v>
      </c>
      <c r="AK333" s="512">
        <f t="shared" ca="1" si="167"/>
        <v>7516.4307692307684</v>
      </c>
      <c r="AL333" s="512">
        <f t="shared" ca="1" si="168"/>
        <v>7516.4307692307684</v>
      </c>
      <c r="AM333" s="512">
        <f t="shared" ca="1" si="169"/>
        <v>7516.4307692307684</v>
      </c>
      <c r="AN333" s="512">
        <f t="shared" ca="1" si="170"/>
        <v>7516.4307692307684</v>
      </c>
      <c r="AO333" s="512">
        <f t="shared" ca="1" si="171"/>
        <v>0</v>
      </c>
      <c r="AP333" s="512">
        <f t="shared" ca="1" si="172"/>
        <v>0</v>
      </c>
      <c r="AQ333" s="512" t="str">
        <f t="shared" si="173"/>
        <v/>
      </c>
      <c r="AR333" s="512"/>
      <c r="AS333" s="512" t="str">
        <f t="shared" si="174"/>
        <v/>
      </c>
      <c r="AT333" s="151">
        <f t="shared" si="175"/>
        <v>0</v>
      </c>
      <c r="AU333" s="151">
        <f>IFERROR(VLOOKUP(A333,'[7]TD CuentasBDG'!$N$5:$O$21,2,0),0)</f>
        <v>0</v>
      </c>
      <c r="AV333">
        <f t="shared" si="176"/>
        <v>0</v>
      </c>
    </row>
    <row r="334" spans="1:52" ht="60" x14ac:dyDescent="0.25">
      <c r="A334" s="508" t="s">
        <v>2175</v>
      </c>
      <c r="B334" s="508" t="s">
        <v>197</v>
      </c>
      <c r="C334" s="508" t="s">
        <v>146</v>
      </c>
      <c r="D334" s="508" t="s">
        <v>146</v>
      </c>
      <c r="E334" s="508"/>
      <c r="F334" s="508"/>
      <c r="G334" s="508" t="s">
        <v>1707</v>
      </c>
      <c r="H334" s="508"/>
      <c r="I334" s="508"/>
      <c r="J334" s="555"/>
      <c r="K334" s="555"/>
      <c r="L334" s="911">
        <f ca="1">IFERROR(INDEX(Lists!$O$2:$Z$2,MATCH(TRUE,INDEX((AE334:AP334&lt;&gt;0),0),0)),DATE(2018,1,1))</f>
        <v>43102</v>
      </c>
      <c r="M334" s="911">
        <f ca="1">IFERROR(INDEX(Lists!$O$3:$Z$3, VALUE(SUBSTITUTE(TEXT(ADDRESS(SUMPRODUCT(MAX((COLUMN(AE334:AP334)*(AE334:AP334&gt;0)))),1),),"$A$",""))-30),DATE(2018,1,1))</f>
        <v>43465</v>
      </c>
      <c r="N334" s="508"/>
      <c r="O334" s="508"/>
      <c r="P334" s="508"/>
      <c r="Q334" s="508"/>
      <c r="R334" s="508" t="str">
        <f t="shared" ca="1" si="149"/>
        <v>Geology Warehouses (Rent, Maintenance)</v>
      </c>
      <c r="S334" s="508" t="str">
        <f t="shared" ca="1" si="150"/>
        <v>Patricio Berrios, Marcelo Castro</v>
      </c>
      <c r="T334" s="508" t="str">
        <f t="shared" ca="1" si="151"/>
        <v>Detail in sheet</v>
      </c>
      <c r="U334" s="508" t="str">
        <f t="shared" ca="1" si="152"/>
        <v>687 / 51-11-3052</v>
      </c>
      <c r="V334" s="508">
        <f t="shared" ca="1" si="153"/>
        <v>0</v>
      </c>
      <c r="W334" s="508">
        <f t="shared" ca="1" si="154"/>
        <v>0</v>
      </c>
      <c r="X334" s="508">
        <f t="shared" ca="1" si="155"/>
        <v>0</v>
      </c>
      <c r="Y334" s="508">
        <f t="shared" ca="1" si="156"/>
        <v>0</v>
      </c>
      <c r="Z334" s="508">
        <f t="shared" ca="1" si="157"/>
        <v>0</v>
      </c>
      <c r="AA334" s="508" t="str">
        <f t="shared" ca="1" si="158"/>
        <v>Ene</v>
      </c>
      <c r="AB334" s="508">
        <f t="shared" ca="1" si="147"/>
        <v>12</v>
      </c>
      <c r="AC334" s="508">
        <f t="shared" ca="1" si="159"/>
        <v>0</v>
      </c>
      <c r="AD334" s="912">
        <f t="shared" ca="1" si="160"/>
        <v>105000</v>
      </c>
      <c r="AE334" s="512">
        <f t="shared" ca="1" si="161"/>
        <v>8750</v>
      </c>
      <c r="AF334" s="512">
        <f t="shared" ca="1" si="162"/>
        <v>8750</v>
      </c>
      <c r="AG334" s="512">
        <f t="shared" ca="1" si="163"/>
        <v>8750</v>
      </c>
      <c r="AH334" s="512">
        <f t="shared" ca="1" si="164"/>
        <v>8750</v>
      </c>
      <c r="AI334" s="512">
        <f t="shared" ca="1" si="165"/>
        <v>8750</v>
      </c>
      <c r="AJ334" s="512">
        <f t="shared" ca="1" si="166"/>
        <v>8750</v>
      </c>
      <c r="AK334" s="512">
        <f t="shared" ca="1" si="167"/>
        <v>8750</v>
      </c>
      <c r="AL334" s="512">
        <f t="shared" ca="1" si="168"/>
        <v>8750</v>
      </c>
      <c r="AM334" s="512">
        <f t="shared" ca="1" si="169"/>
        <v>8750</v>
      </c>
      <c r="AN334" s="512">
        <f t="shared" ca="1" si="170"/>
        <v>8750</v>
      </c>
      <c r="AO334" s="512">
        <f t="shared" ca="1" si="171"/>
        <v>8750</v>
      </c>
      <c r="AP334" s="512">
        <f t="shared" ca="1" si="172"/>
        <v>8750</v>
      </c>
      <c r="AQ334" s="512" t="str">
        <f t="shared" si="173"/>
        <v/>
      </c>
      <c r="AR334" s="512"/>
      <c r="AS334" s="512" t="str">
        <f t="shared" si="174"/>
        <v/>
      </c>
      <c r="AT334" s="151">
        <f t="shared" si="175"/>
        <v>0</v>
      </c>
      <c r="AU334" s="151">
        <f>IFERROR(VLOOKUP(A334,'[7]TD CuentasBDG'!$N$5:$O$21,2,0),0)</f>
        <v>0</v>
      </c>
      <c r="AV334">
        <f t="shared" si="176"/>
        <v>0</v>
      </c>
    </row>
    <row r="335" spans="1:52" ht="30" x14ac:dyDescent="0.25">
      <c r="A335" s="508" t="s">
        <v>2176</v>
      </c>
      <c r="B335" s="508" t="s">
        <v>197</v>
      </c>
      <c r="C335" s="508" t="s">
        <v>146</v>
      </c>
      <c r="D335" s="508" t="s">
        <v>146</v>
      </c>
      <c r="E335" s="508"/>
      <c r="F335" s="508"/>
      <c r="G335" s="914" t="s">
        <v>1707</v>
      </c>
      <c r="H335" s="508" t="s">
        <v>542</v>
      </c>
      <c r="I335" s="508" t="s">
        <v>543</v>
      </c>
      <c r="J335" s="555" t="s">
        <v>1650</v>
      </c>
      <c r="K335" s="555" t="s">
        <v>1651</v>
      </c>
      <c r="L335" s="911">
        <f ca="1">IFERROR(INDEX(Lists!$O$2:$Z$2,MATCH(TRUE,INDEX((AE335:AP335&lt;&gt;0),0),0)),DATE(2018,1,1))</f>
        <v>43252</v>
      </c>
      <c r="M335" s="911">
        <f ca="1">IFERROR(INDEX(Lists!$O$3:$Z$3, VALUE(SUBSTITUTE(TEXT(ADDRESS(SUMPRODUCT(MAX((COLUMN(AE335:AP335)*(AE335:AP335&gt;0)))),1),),"$A$",""))-30),DATE(2018,1,1))</f>
        <v>43281</v>
      </c>
      <c r="N335" s="508" t="s">
        <v>1668</v>
      </c>
      <c r="O335" s="508" t="s">
        <v>1653</v>
      </c>
      <c r="P335" s="508" t="s">
        <v>1071</v>
      </c>
      <c r="Q335" s="508" t="s">
        <v>1071</v>
      </c>
      <c r="R335" s="508" t="str">
        <f t="shared" ca="1" si="149"/>
        <v>Petrology (50 units)</v>
      </c>
      <c r="S335" s="508" t="str">
        <f t="shared" ca="1" si="150"/>
        <v>External Consultants</v>
      </c>
      <c r="T335" s="508" t="str">
        <f t="shared" ca="1" si="151"/>
        <v>External Consultants (50)</v>
      </c>
      <c r="U335" s="508" t="str">
        <f t="shared" ca="1" si="152"/>
        <v>687 / 51-11-3052</v>
      </c>
      <c r="V335" s="508">
        <f t="shared" ca="1" si="153"/>
        <v>0</v>
      </c>
      <c r="W335" s="508">
        <f t="shared" ca="1" si="154"/>
        <v>0</v>
      </c>
      <c r="X335" s="508">
        <f t="shared" ca="1" si="155"/>
        <v>0</v>
      </c>
      <c r="Y335" s="508">
        <f t="shared" ca="1" si="156"/>
        <v>0</v>
      </c>
      <c r="Z335" s="508">
        <f t="shared" ca="1" si="157"/>
        <v>0</v>
      </c>
      <c r="AA335" s="508" t="str">
        <f t="shared" ca="1" si="158"/>
        <v>Jun</v>
      </c>
      <c r="AB335" s="508">
        <f t="shared" ca="1" si="147"/>
        <v>1</v>
      </c>
      <c r="AC335" s="508">
        <f t="shared" ca="1" si="159"/>
        <v>0</v>
      </c>
      <c r="AD335" s="912">
        <f t="shared" ca="1" si="160"/>
        <v>5000</v>
      </c>
      <c r="AE335" s="512">
        <f t="shared" ca="1" si="161"/>
        <v>0</v>
      </c>
      <c r="AF335" s="512">
        <f t="shared" ca="1" si="162"/>
        <v>0</v>
      </c>
      <c r="AG335" s="512">
        <f t="shared" ca="1" si="163"/>
        <v>0</v>
      </c>
      <c r="AH335" s="512">
        <f t="shared" ca="1" si="164"/>
        <v>0</v>
      </c>
      <c r="AI335" s="512">
        <f t="shared" ca="1" si="165"/>
        <v>0</v>
      </c>
      <c r="AJ335" s="512">
        <f t="shared" ca="1" si="166"/>
        <v>5000</v>
      </c>
      <c r="AK335" s="512">
        <f t="shared" ca="1" si="167"/>
        <v>0</v>
      </c>
      <c r="AL335" s="512">
        <f t="shared" ca="1" si="168"/>
        <v>0</v>
      </c>
      <c r="AM335" s="512">
        <f t="shared" ca="1" si="169"/>
        <v>0</v>
      </c>
      <c r="AN335" s="512">
        <f t="shared" ca="1" si="170"/>
        <v>0</v>
      </c>
      <c r="AO335" s="512">
        <f t="shared" ca="1" si="171"/>
        <v>0</v>
      </c>
      <c r="AP335" s="512">
        <f t="shared" ca="1" si="172"/>
        <v>0</v>
      </c>
      <c r="AQ335" s="512" t="str">
        <f t="shared" si="173"/>
        <v/>
      </c>
      <c r="AR335" s="512"/>
      <c r="AS335" s="512" t="str">
        <f t="shared" si="174"/>
        <v/>
      </c>
      <c r="AT335" s="151">
        <f t="shared" si="175"/>
        <v>0</v>
      </c>
      <c r="AU335" s="926">
        <f>IFERROR(VLOOKUP(A335,'[7]TD CuentasBDG'!$N$5:$O$21,2,0),0)</f>
        <v>0</v>
      </c>
      <c r="AV335" t="str">
        <f t="shared" si="176"/>
        <v>Licitación Corta</v>
      </c>
      <c r="AW335" s="927"/>
      <c r="AX335" s="927"/>
    </row>
    <row r="336" spans="1:52" ht="30" x14ac:dyDescent="0.25">
      <c r="A336" s="508" t="s">
        <v>2177</v>
      </c>
      <c r="B336" s="508" t="s">
        <v>197</v>
      </c>
      <c r="C336" s="508" t="s">
        <v>146</v>
      </c>
      <c r="D336" s="508" t="s">
        <v>146</v>
      </c>
      <c r="E336" s="508"/>
      <c r="F336" s="508"/>
      <c r="G336" s="914" t="s">
        <v>1707</v>
      </c>
      <c r="H336" s="508" t="s">
        <v>545</v>
      </c>
      <c r="I336" s="508" t="s">
        <v>543</v>
      </c>
      <c r="J336" s="555" t="s">
        <v>1650</v>
      </c>
      <c r="K336" s="555" t="s">
        <v>1651</v>
      </c>
      <c r="L336" s="911">
        <f ca="1">IFERROR(INDEX(Lists!$O$2:$Z$2,MATCH(TRUE,INDEX((AE336:AP336&lt;&gt;0),0),0)),DATE(2018,1,1))</f>
        <v>43252</v>
      </c>
      <c r="M336" s="911">
        <f ca="1">IFERROR(INDEX(Lists!$O$3:$Z$3, VALUE(SUBSTITUTE(TEXT(ADDRESS(SUMPRODUCT(MAX((COLUMN(AE336:AP336)*(AE336:AP336&gt;0)))),1),),"$A$",""))-30),DATE(2018,1,1))</f>
        <v>43281</v>
      </c>
      <c r="N336" s="508" t="s">
        <v>1683</v>
      </c>
      <c r="O336" s="508" t="s">
        <v>1653</v>
      </c>
      <c r="P336" s="508" t="s">
        <v>1071</v>
      </c>
      <c r="Q336" s="508" t="s">
        <v>1071</v>
      </c>
      <c r="R336" s="508" t="str">
        <f t="shared" ca="1" si="149"/>
        <v>Geochronology (10 units)</v>
      </c>
      <c r="S336" s="508" t="str">
        <f t="shared" ca="1" si="150"/>
        <v>External Consultants</v>
      </c>
      <c r="T336" s="508" t="str">
        <f t="shared" ca="1" si="151"/>
        <v>External Consultants (10)</v>
      </c>
      <c r="U336" s="508" t="str">
        <f t="shared" ca="1" si="152"/>
        <v>687 / 51-11-3052</v>
      </c>
      <c r="V336" s="508">
        <f t="shared" ca="1" si="153"/>
        <v>0</v>
      </c>
      <c r="W336" s="508">
        <f t="shared" ca="1" si="154"/>
        <v>0</v>
      </c>
      <c r="X336" s="508">
        <f t="shared" ca="1" si="155"/>
        <v>0</v>
      </c>
      <c r="Y336" s="508">
        <f t="shared" ca="1" si="156"/>
        <v>0</v>
      </c>
      <c r="Z336" s="508">
        <f t="shared" ca="1" si="157"/>
        <v>0</v>
      </c>
      <c r="AA336" s="508" t="str">
        <f t="shared" ca="1" si="158"/>
        <v>Jun</v>
      </c>
      <c r="AB336" s="508">
        <f t="shared" ca="1" si="147"/>
        <v>1</v>
      </c>
      <c r="AC336" s="508">
        <f t="shared" ca="1" si="159"/>
        <v>0</v>
      </c>
      <c r="AD336" s="912">
        <f t="shared" ca="1" si="160"/>
        <v>15000</v>
      </c>
      <c r="AE336" s="512">
        <f t="shared" ca="1" si="161"/>
        <v>0</v>
      </c>
      <c r="AF336" s="512">
        <f t="shared" ca="1" si="162"/>
        <v>0</v>
      </c>
      <c r="AG336" s="512">
        <f t="shared" ca="1" si="163"/>
        <v>0</v>
      </c>
      <c r="AH336" s="512">
        <f t="shared" ca="1" si="164"/>
        <v>0</v>
      </c>
      <c r="AI336" s="512">
        <f t="shared" ca="1" si="165"/>
        <v>0</v>
      </c>
      <c r="AJ336" s="512">
        <f t="shared" ca="1" si="166"/>
        <v>15000</v>
      </c>
      <c r="AK336" s="512">
        <f t="shared" ca="1" si="167"/>
        <v>0</v>
      </c>
      <c r="AL336" s="512">
        <f t="shared" ca="1" si="168"/>
        <v>0</v>
      </c>
      <c r="AM336" s="512">
        <f t="shared" ca="1" si="169"/>
        <v>0</v>
      </c>
      <c r="AN336" s="512">
        <f t="shared" ca="1" si="170"/>
        <v>0</v>
      </c>
      <c r="AO336" s="512">
        <f t="shared" ca="1" si="171"/>
        <v>0</v>
      </c>
      <c r="AP336" s="512">
        <f t="shared" ca="1" si="172"/>
        <v>0</v>
      </c>
      <c r="AQ336" s="512" t="str">
        <f t="shared" si="173"/>
        <v/>
      </c>
      <c r="AR336" s="512"/>
      <c r="AS336" s="512" t="str">
        <f t="shared" si="174"/>
        <v/>
      </c>
      <c r="AT336" s="151">
        <f t="shared" si="175"/>
        <v>0</v>
      </c>
      <c r="AU336" s="926">
        <f>IFERROR(VLOOKUP(A336,'[7]TD CuentasBDG'!$N$5:$O$21,2,0),0)</f>
        <v>0</v>
      </c>
      <c r="AV336" t="str">
        <f t="shared" si="176"/>
        <v>Adjudicación Directa</v>
      </c>
      <c r="AW336" s="927"/>
      <c r="AX336" s="927"/>
    </row>
    <row r="337" spans="1:50" ht="45" x14ac:dyDescent="0.25">
      <c r="A337" s="508" t="s">
        <v>2178</v>
      </c>
      <c r="B337" s="508" t="s">
        <v>197</v>
      </c>
      <c r="C337" s="508" t="s">
        <v>146</v>
      </c>
      <c r="D337" s="508" t="s">
        <v>146</v>
      </c>
      <c r="E337" s="508"/>
      <c r="F337" s="508"/>
      <c r="G337" s="914" t="s">
        <v>1707</v>
      </c>
      <c r="H337" s="508" t="s">
        <v>547</v>
      </c>
      <c r="I337" s="508" t="s">
        <v>543</v>
      </c>
      <c r="J337" s="555" t="s">
        <v>1650</v>
      </c>
      <c r="K337" s="555" t="s">
        <v>1651</v>
      </c>
      <c r="L337" s="911">
        <f ca="1">IFERROR(INDEX(Lists!$O$2:$Z$2,MATCH(TRUE,INDEX((AE337:AP337&lt;&gt;0),0),0)),DATE(2018,1,1))</f>
        <v>43252</v>
      </c>
      <c r="M337" s="911">
        <f ca="1">IFERROR(INDEX(Lists!$O$3:$Z$3, VALUE(SUBSTITUTE(TEXT(ADDRESS(SUMPRODUCT(MAX((COLUMN(AE337:AP337)*(AE337:AP337&gt;0)))),1),),"$A$",""))-30),DATE(2018,1,1))</f>
        <v>43281</v>
      </c>
      <c r="N337" s="508" t="s">
        <v>1683</v>
      </c>
      <c r="O337" s="508" t="s">
        <v>1653</v>
      </c>
      <c r="P337" s="508" t="s">
        <v>1071</v>
      </c>
      <c r="Q337" s="508" t="s">
        <v>1071</v>
      </c>
      <c r="R337" s="508" t="str">
        <f t="shared" ca="1" si="149"/>
        <v>Fluid Inclusions - La Fortuna (15 units)</v>
      </c>
      <c r="S337" s="508" t="str">
        <f t="shared" ca="1" si="150"/>
        <v>External Consultants</v>
      </c>
      <c r="T337" s="508" t="str">
        <f t="shared" ca="1" si="151"/>
        <v>External Consultants (15)</v>
      </c>
      <c r="U337" s="508" t="str">
        <f t="shared" ca="1" si="152"/>
        <v>687 / 51-11-3052</v>
      </c>
      <c r="V337" s="508">
        <f t="shared" ca="1" si="153"/>
        <v>0</v>
      </c>
      <c r="W337" s="508">
        <f t="shared" ca="1" si="154"/>
        <v>0</v>
      </c>
      <c r="X337" s="508">
        <f t="shared" ca="1" si="155"/>
        <v>0</v>
      </c>
      <c r="Y337" s="508">
        <f t="shared" ca="1" si="156"/>
        <v>0</v>
      </c>
      <c r="Z337" s="508">
        <f t="shared" ca="1" si="157"/>
        <v>0</v>
      </c>
      <c r="AA337" s="508" t="str">
        <f t="shared" ca="1" si="158"/>
        <v>Jun</v>
      </c>
      <c r="AB337" s="508">
        <f t="shared" ca="1" si="147"/>
        <v>1</v>
      </c>
      <c r="AC337" s="508">
        <f t="shared" ca="1" si="159"/>
        <v>0</v>
      </c>
      <c r="AD337" s="912">
        <f t="shared" ca="1" si="160"/>
        <v>1500</v>
      </c>
      <c r="AE337" s="512">
        <f t="shared" ca="1" si="161"/>
        <v>0</v>
      </c>
      <c r="AF337" s="512">
        <f t="shared" ca="1" si="162"/>
        <v>0</v>
      </c>
      <c r="AG337" s="512">
        <f t="shared" ca="1" si="163"/>
        <v>0</v>
      </c>
      <c r="AH337" s="512">
        <f t="shared" ca="1" si="164"/>
        <v>0</v>
      </c>
      <c r="AI337" s="512">
        <f t="shared" ca="1" si="165"/>
        <v>0</v>
      </c>
      <c r="AJ337" s="512">
        <f t="shared" ca="1" si="166"/>
        <v>1500</v>
      </c>
      <c r="AK337" s="512">
        <f t="shared" ca="1" si="167"/>
        <v>0</v>
      </c>
      <c r="AL337" s="512">
        <f t="shared" ca="1" si="168"/>
        <v>0</v>
      </c>
      <c r="AM337" s="512">
        <f t="shared" ca="1" si="169"/>
        <v>0</v>
      </c>
      <c r="AN337" s="512">
        <f t="shared" ca="1" si="170"/>
        <v>0</v>
      </c>
      <c r="AO337" s="512">
        <f t="shared" ca="1" si="171"/>
        <v>0</v>
      </c>
      <c r="AP337" s="512">
        <f t="shared" ca="1" si="172"/>
        <v>0</v>
      </c>
      <c r="AQ337" s="512" t="str">
        <f t="shared" si="173"/>
        <v/>
      </c>
      <c r="AR337" s="512"/>
      <c r="AS337" s="512" t="str">
        <f t="shared" si="174"/>
        <v/>
      </c>
      <c r="AT337" s="151">
        <f t="shared" si="175"/>
        <v>0</v>
      </c>
      <c r="AU337" s="926">
        <f>IFERROR(VLOOKUP(A337,'[7]TD CuentasBDG'!$N$5:$O$21,2,0),0)</f>
        <v>0</v>
      </c>
      <c r="AV337" t="str">
        <f t="shared" si="176"/>
        <v>Adjudicación Directa</v>
      </c>
      <c r="AW337" s="927"/>
      <c r="AX337" s="927"/>
    </row>
    <row r="338" spans="1:50" ht="30" x14ac:dyDescent="0.25">
      <c r="A338" s="508" t="s">
        <v>2179</v>
      </c>
      <c r="B338" s="508" t="s">
        <v>197</v>
      </c>
      <c r="C338" s="508" t="s">
        <v>146</v>
      </c>
      <c r="D338" s="508" t="s">
        <v>146</v>
      </c>
      <c r="E338" s="508"/>
      <c r="F338" s="508"/>
      <c r="G338" s="914" t="s">
        <v>1707</v>
      </c>
      <c r="H338" s="508" t="s">
        <v>549</v>
      </c>
      <c r="I338" s="508" t="s">
        <v>543</v>
      </c>
      <c r="J338" s="555" t="s">
        <v>1650</v>
      </c>
      <c r="K338" s="555" t="s">
        <v>1651</v>
      </c>
      <c r="L338" s="911">
        <f ca="1">IFERROR(INDEX(Lists!$O$2:$Z$2,MATCH(TRUE,INDEX((AE338:AP338&lt;&gt;0),0),0)),DATE(2018,1,1))</f>
        <v>43252</v>
      </c>
      <c r="M338" s="911">
        <f ca="1">IFERROR(INDEX(Lists!$O$3:$Z$3, VALUE(SUBSTITUTE(TEXT(ADDRESS(SUMPRODUCT(MAX((COLUMN(AE338:AP338)*(AE338:AP338&gt;0)))),1),),"$A$",""))-30),DATE(2018,1,1))</f>
        <v>43281</v>
      </c>
      <c r="N338" s="508" t="s">
        <v>1683</v>
      </c>
      <c r="O338" s="508" t="s">
        <v>1653</v>
      </c>
      <c r="P338" s="508" t="s">
        <v>1071</v>
      </c>
      <c r="Q338" s="508" t="s">
        <v>1071</v>
      </c>
      <c r="R338" s="508" t="str">
        <f t="shared" ca="1" si="149"/>
        <v>Sulfur Isotopes - La Fortuna (30 units)</v>
      </c>
      <c r="S338" s="508" t="str">
        <f t="shared" ca="1" si="150"/>
        <v>External Consultants</v>
      </c>
      <c r="T338" s="508" t="str">
        <f t="shared" ca="1" si="151"/>
        <v>External Consultants (30)</v>
      </c>
      <c r="U338" s="508" t="str">
        <f t="shared" ca="1" si="152"/>
        <v>687 / 51-11-3052</v>
      </c>
      <c r="V338" s="508">
        <f t="shared" ca="1" si="153"/>
        <v>0</v>
      </c>
      <c r="W338" s="508">
        <f t="shared" ca="1" si="154"/>
        <v>0</v>
      </c>
      <c r="X338" s="508">
        <f t="shared" ca="1" si="155"/>
        <v>0</v>
      </c>
      <c r="Y338" s="508">
        <f t="shared" ca="1" si="156"/>
        <v>0</v>
      </c>
      <c r="Z338" s="508">
        <f t="shared" ca="1" si="157"/>
        <v>0</v>
      </c>
      <c r="AA338" s="508" t="str">
        <f t="shared" ca="1" si="158"/>
        <v>Jun</v>
      </c>
      <c r="AB338" s="508">
        <f t="shared" ca="1" si="147"/>
        <v>1</v>
      </c>
      <c r="AC338" s="508">
        <f t="shared" ca="1" si="159"/>
        <v>0</v>
      </c>
      <c r="AD338" s="912">
        <f t="shared" ca="1" si="160"/>
        <v>1500</v>
      </c>
      <c r="AE338" s="512">
        <f t="shared" ca="1" si="161"/>
        <v>0</v>
      </c>
      <c r="AF338" s="512">
        <f t="shared" ca="1" si="162"/>
        <v>0</v>
      </c>
      <c r="AG338" s="512">
        <f t="shared" ca="1" si="163"/>
        <v>0</v>
      </c>
      <c r="AH338" s="512">
        <f t="shared" ca="1" si="164"/>
        <v>0</v>
      </c>
      <c r="AI338" s="512">
        <f t="shared" ca="1" si="165"/>
        <v>0</v>
      </c>
      <c r="AJ338" s="512">
        <f t="shared" ca="1" si="166"/>
        <v>1500</v>
      </c>
      <c r="AK338" s="512">
        <f t="shared" ca="1" si="167"/>
        <v>0</v>
      </c>
      <c r="AL338" s="512">
        <f t="shared" ca="1" si="168"/>
        <v>0</v>
      </c>
      <c r="AM338" s="512">
        <f t="shared" ca="1" si="169"/>
        <v>0</v>
      </c>
      <c r="AN338" s="512">
        <f t="shared" ca="1" si="170"/>
        <v>0</v>
      </c>
      <c r="AO338" s="512">
        <f t="shared" ca="1" si="171"/>
        <v>0</v>
      </c>
      <c r="AP338" s="512">
        <f t="shared" ca="1" si="172"/>
        <v>0</v>
      </c>
      <c r="AQ338" s="512" t="str">
        <f t="shared" si="173"/>
        <v/>
      </c>
      <c r="AR338" s="512"/>
      <c r="AS338" s="512" t="str">
        <f t="shared" si="174"/>
        <v/>
      </c>
      <c r="AT338" s="151">
        <f t="shared" si="175"/>
        <v>0</v>
      </c>
      <c r="AU338" s="926">
        <f>IFERROR(VLOOKUP(A338,'[7]TD CuentasBDG'!$N$5:$O$21,2,0),0)</f>
        <v>0</v>
      </c>
      <c r="AV338" t="str">
        <f t="shared" si="176"/>
        <v>Adjudicación Directa</v>
      </c>
      <c r="AW338" s="927"/>
      <c r="AX338" s="927"/>
    </row>
    <row r="339" spans="1:50" ht="45" x14ac:dyDescent="0.25">
      <c r="A339" s="508" t="s">
        <v>2180</v>
      </c>
      <c r="B339" s="508" t="s">
        <v>197</v>
      </c>
      <c r="C339" s="508" t="s">
        <v>146</v>
      </c>
      <c r="D339" s="508" t="s">
        <v>146</v>
      </c>
      <c r="E339" s="508"/>
      <c r="F339" s="508"/>
      <c r="G339" s="508" t="s">
        <v>1647</v>
      </c>
      <c r="H339" s="508" t="s">
        <v>551</v>
      </c>
      <c r="I339" s="508" t="s">
        <v>552</v>
      </c>
      <c r="J339" s="555" t="s">
        <v>1650</v>
      </c>
      <c r="K339" s="555" t="s">
        <v>1651</v>
      </c>
      <c r="L339" s="911">
        <f ca="1">IFERROR(INDEX(Lists!$O$2:$Z$2,MATCH(TRUE,INDEX((AE339:AP339&lt;&gt;0),0),0)),DATE(2018,1,1))</f>
        <v>43160</v>
      </c>
      <c r="M339" s="911">
        <f ca="1">IFERROR(INDEX(Lists!$O$3:$Z$3, VALUE(SUBSTITUTE(TEXT(ADDRESS(SUMPRODUCT(MAX((COLUMN(AE339:AP339)*(AE339:AP339&gt;0)))),1),),"$A$",""))-30),DATE(2018,1,1))</f>
        <v>43220</v>
      </c>
      <c r="N339" s="508" t="s">
        <v>1683</v>
      </c>
      <c r="O339" s="508" t="s">
        <v>1653</v>
      </c>
      <c r="P339" s="508" t="s">
        <v>1071</v>
      </c>
      <c r="Q339" s="508" t="s">
        <v>1071</v>
      </c>
      <c r="R339" s="508" t="str">
        <f t="shared" ca="1" si="149"/>
        <v>Certification of NU CRMs</v>
      </c>
      <c r="S339" s="508" t="str">
        <f t="shared" ca="1" si="150"/>
        <v>NU and Teck Vancouver (Iain Dalrymple)</v>
      </c>
      <c r="T339" s="508" t="str">
        <f t="shared" ca="1" si="151"/>
        <v>NU and Teck Vancouver (Iain Dalrymple) (1)</v>
      </c>
      <c r="U339" s="508" t="str">
        <f t="shared" ca="1" si="152"/>
        <v>687 / 51-11-3052</v>
      </c>
      <c r="V339" s="508">
        <f t="shared" ca="1" si="153"/>
        <v>0</v>
      </c>
      <c r="W339" s="508">
        <f t="shared" ca="1" si="154"/>
        <v>0</v>
      </c>
      <c r="X339" s="508">
        <f t="shared" ca="1" si="155"/>
        <v>0</v>
      </c>
      <c r="Y339" s="508">
        <f t="shared" ca="1" si="156"/>
        <v>0</v>
      </c>
      <c r="Z339" s="508">
        <f t="shared" ca="1" si="157"/>
        <v>0</v>
      </c>
      <c r="AA339" s="508" t="str">
        <f t="shared" ca="1" si="158"/>
        <v>Ene</v>
      </c>
      <c r="AB339" s="508">
        <f t="shared" ca="1" si="147"/>
        <v>2</v>
      </c>
      <c r="AC339" s="508">
        <f t="shared" ca="1" si="159"/>
        <v>0</v>
      </c>
      <c r="AD339" s="912">
        <f t="shared" ca="1" si="160"/>
        <v>45000</v>
      </c>
      <c r="AE339" s="512">
        <f t="shared" ca="1" si="161"/>
        <v>0</v>
      </c>
      <c r="AF339" s="512">
        <f t="shared" ca="1" si="162"/>
        <v>0</v>
      </c>
      <c r="AG339" s="512">
        <f t="shared" ca="1" si="163"/>
        <v>22500</v>
      </c>
      <c r="AH339" s="512">
        <f t="shared" ca="1" si="164"/>
        <v>22500</v>
      </c>
      <c r="AI339" s="512">
        <f t="shared" ca="1" si="165"/>
        <v>0</v>
      </c>
      <c r="AJ339" s="512">
        <f t="shared" ca="1" si="166"/>
        <v>0</v>
      </c>
      <c r="AK339" s="512">
        <f t="shared" ca="1" si="167"/>
        <v>0</v>
      </c>
      <c r="AL339" s="512">
        <f t="shared" ca="1" si="168"/>
        <v>0</v>
      </c>
      <c r="AM339" s="512">
        <f t="shared" ca="1" si="169"/>
        <v>0</v>
      </c>
      <c r="AN339" s="512">
        <f t="shared" ca="1" si="170"/>
        <v>0</v>
      </c>
      <c r="AO339" s="512">
        <f t="shared" ca="1" si="171"/>
        <v>0</v>
      </c>
      <c r="AP339" s="512">
        <f t="shared" ca="1" si="172"/>
        <v>0</v>
      </c>
      <c r="AQ339" s="512" t="str">
        <f t="shared" ca="1" si="173"/>
        <v>Orden de Servicio Sin Terreno</v>
      </c>
      <c r="AR339" s="512"/>
      <c r="AS339" s="512" t="str">
        <f t="shared" ca="1" si="174"/>
        <v>No</v>
      </c>
      <c r="AT339" s="151">
        <f t="shared" ca="1" si="175"/>
        <v>45000</v>
      </c>
      <c r="AU339" s="926">
        <f>IFERROR(VLOOKUP(A339,'[7]TD CuentasBDG'!$N$5:$O$21,2,0),0)</f>
        <v>0</v>
      </c>
      <c r="AV339" t="str">
        <f t="shared" si="176"/>
        <v>Adjudicación Directa</v>
      </c>
      <c r="AW339" s="928" t="s">
        <v>2100</v>
      </c>
      <c r="AX339" s="927" t="s">
        <v>1702</v>
      </c>
    </row>
    <row r="340" spans="1:50" ht="30" x14ac:dyDescent="0.25">
      <c r="A340" s="508" t="s">
        <v>2181</v>
      </c>
      <c r="B340" s="508" t="s">
        <v>197</v>
      </c>
      <c r="C340" s="508" t="s">
        <v>146</v>
      </c>
      <c r="D340" s="508" t="s">
        <v>146</v>
      </c>
      <c r="E340" s="508"/>
      <c r="F340" s="508"/>
      <c r="G340" s="508" t="s">
        <v>1665</v>
      </c>
      <c r="H340" s="508"/>
      <c r="I340" s="508"/>
      <c r="J340" s="555"/>
      <c r="K340" s="555"/>
      <c r="L340" s="911">
        <f ca="1">IFERROR(INDEX(Lists!$O$2:$Z$2,MATCH(TRUE,INDEX((AE340:AP340&lt;&gt;0),0),0)),DATE(2018,1,1))</f>
        <v>43252</v>
      </c>
      <c r="M340" s="911">
        <f ca="1">IFERROR(INDEX(Lists!$O$3:$Z$3, VALUE(SUBSTITUTE(TEXT(ADDRESS(SUMPRODUCT(MAX((COLUMN(AE340:AP340)*(AE340:AP340&gt;0)))),1),),"$A$",""))-30),DATE(2018,1,1))</f>
        <v>43281</v>
      </c>
      <c r="N340" s="508"/>
      <c r="O340" s="508"/>
      <c r="P340" s="508"/>
      <c r="Q340" s="508"/>
      <c r="R340" s="508" t="str">
        <f t="shared" ca="1" si="149"/>
        <v>Mapping or Relogging</v>
      </c>
      <c r="S340" s="508" t="str">
        <f t="shared" ca="1" si="150"/>
        <v>Nauches (14 days, 80 USD @ day)</v>
      </c>
      <c r="T340" s="508" t="str">
        <f t="shared" ca="1" si="151"/>
        <v>Geology Staff (3)</v>
      </c>
      <c r="U340" s="508" t="str">
        <f t="shared" ca="1" si="152"/>
        <v>687 / 51-11-3052</v>
      </c>
      <c r="V340" s="508">
        <f t="shared" ca="1" si="153"/>
        <v>0</v>
      </c>
      <c r="W340" s="508">
        <f t="shared" ca="1" si="154"/>
        <v>0</v>
      </c>
      <c r="X340" s="508">
        <f t="shared" ca="1" si="155"/>
        <v>0</v>
      </c>
      <c r="Y340" s="508">
        <f t="shared" ca="1" si="156"/>
        <v>0</v>
      </c>
      <c r="Z340" s="508">
        <f t="shared" ca="1" si="157"/>
        <v>0</v>
      </c>
      <c r="AA340" s="508">
        <f t="shared" ca="1" si="158"/>
        <v>0</v>
      </c>
      <c r="AB340" s="508">
        <f t="shared" ca="1" si="147"/>
        <v>1</v>
      </c>
      <c r="AC340" s="508">
        <f t="shared" ca="1" si="159"/>
        <v>0</v>
      </c>
      <c r="AD340" s="912">
        <f t="shared" ca="1" si="160"/>
        <v>3360</v>
      </c>
      <c r="AE340" s="512">
        <f t="shared" ca="1" si="161"/>
        <v>0</v>
      </c>
      <c r="AF340" s="512">
        <f t="shared" ca="1" si="162"/>
        <v>0</v>
      </c>
      <c r="AG340" s="512">
        <f t="shared" ca="1" si="163"/>
        <v>0</v>
      </c>
      <c r="AH340" s="512">
        <f t="shared" ca="1" si="164"/>
        <v>0</v>
      </c>
      <c r="AI340" s="512">
        <f t="shared" ca="1" si="165"/>
        <v>0</v>
      </c>
      <c r="AJ340" s="512">
        <f t="shared" ca="1" si="166"/>
        <v>3360</v>
      </c>
      <c r="AK340" s="512">
        <f t="shared" ca="1" si="167"/>
        <v>0</v>
      </c>
      <c r="AL340" s="512">
        <f t="shared" ca="1" si="168"/>
        <v>0</v>
      </c>
      <c r="AM340" s="512">
        <f t="shared" ca="1" si="169"/>
        <v>0</v>
      </c>
      <c r="AN340" s="512">
        <f t="shared" ca="1" si="170"/>
        <v>0</v>
      </c>
      <c r="AO340" s="512">
        <f t="shared" ca="1" si="171"/>
        <v>0</v>
      </c>
      <c r="AP340" s="512">
        <f t="shared" ca="1" si="172"/>
        <v>0</v>
      </c>
      <c r="AQ340" s="512" t="str">
        <f t="shared" si="173"/>
        <v/>
      </c>
      <c r="AR340" s="512"/>
      <c r="AS340" s="512" t="str">
        <f t="shared" si="174"/>
        <v/>
      </c>
      <c r="AT340" s="151">
        <f t="shared" si="175"/>
        <v>0</v>
      </c>
      <c r="AU340" s="151">
        <f>IFERROR(VLOOKUP(A340,'[7]TD CuentasBDG'!$N$5:$O$21,2,0),0)</f>
        <v>0</v>
      </c>
      <c r="AV340">
        <f t="shared" si="176"/>
        <v>0</v>
      </c>
    </row>
    <row r="341" spans="1:50" ht="30" x14ac:dyDescent="0.25">
      <c r="A341" s="508" t="s">
        <v>2182</v>
      </c>
      <c r="B341" s="508" t="s">
        <v>197</v>
      </c>
      <c r="C341" s="508" t="s">
        <v>146</v>
      </c>
      <c r="D341" s="508" t="s">
        <v>146</v>
      </c>
      <c r="E341" s="508"/>
      <c r="F341" s="508"/>
      <c r="G341" s="508" t="s">
        <v>1665</v>
      </c>
      <c r="H341" s="508"/>
      <c r="I341" s="508"/>
      <c r="J341" s="555"/>
      <c r="K341" s="555"/>
      <c r="L341" s="911">
        <f ca="1">IFERROR(INDEX(Lists!$O$2:$Z$2,MATCH(TRUE,INDEX((AE341:AP341&lt;&gt;0),0),0)),DATE(2018,1,1))</f>
        <v>43132</v>
      </c>
      <c r="M341" s="911">
        <f ca="1">IFERROR(INDEX(Lists!$O$3:$Z$3, VALUE(SUBSTITUTE(TEXT(ADDRESS(SUMPRODUCT(MAX((COLUMN(AE341:AP341)*(AE341:AP341&gt;0)))),1),),"$A$",""))-30),DATE(2018,1,1))</f>
        <v>43190</v>
      </c>
      <c r="N341" s="508"/>
      <c r="O341" s="508"/>
      <c r="P341" s="508"/>
      <c r="Q341" s="508"/>
      <c r="R341" s="508" t="str">
        <f t="shared" ca="1" si="149"/>
        <v>Mapping or Relogging</v>
      </c>
      <c r="S341" s="508" t="str">
        <f t="shared" ca="1" si="150"/>
        <v>Cerro Colorado (14 days, 80 USD @ day)</v>
      </c>
      <c r="T341" s="508" t="str">
        <f t="shared" ca="1" si="151"/>
        <v>Geology Staff (3)</v>
      </c>
      <c r="U341" s="508" t="str">
        <f t="shared" ca="1" si="152"/>
        <v>687 / 51-11-3052</v>
      </c>
      <c r="V341" s="508">
        <f t="shared" ca="1" si="153"/>
        <v>0</v>
      </c>
      <c r="W341" s="508">
        <f t="shared" ca="1" si="154"/>
        <v>0</v>
      </c>
      <c r="X341" s="508">
        <f t="shared" ca="1" si="155"/>
        <v>0</v>
      </c>
      <c r="Y341" s="508">
        <f t="shared" ca="1" si="156"/>
        <v>0</v>
      </c>
      <c r="Z341" s="508">
        <f t="shared" ca="1" si="157"/>
        <v>0</v>
      </c>
      <c r="AA341" s="508" t="str">
        <f t="shared" ca="1" si="158"/>
        <v>Ene</v>
      </c>
      <c r="AB341" s="508">
        <f t="shared" ca="1" si="147"/>
        <v>2</v>
      </c>
      <c r="AC341" s="508">
        <f t="shared" ca="1" si="159"/>
        <v>0</v>
      </c>
      <c r="AD341" s="912">
        <f t="shared" ca="1" si="160"/>
        <v>3360</v>
      </c>
      <c r="AE341" s="512">
        <f t="shared" ca="1" si="161"/>
        <v>0</v>
      </c>
      <c r="AF341" s="512">
        <f t="shared" ca="1" si="162"/>
        <v>1680</v>
      </c>
      <c r="AG341" s="512">
        <f t="shared" ca="1" si="163"/>
        <v>1680</v>
      </c>
      <c r="AH341" s="512">
        <f t="shared" ca="1" si="164"/>
        <v>0</v>
      </c>
      <c r="AI341" s="512">
        <f t="shared" ca="1" si="165"/>
        <v>0</v>
      </c>
      <c r="AJ341" s="512">
        <f t="shared" ca="1" si="166"/>
        <v>0</v>
      </c>
      <c r="AK341" s="512">
        <f t="shared" ca="1" si="167"/>
        <v>0</v>
      </c>
      <c r="AL341" s="512">
        <f t="shared" ca="1" si="168"/>
        <v>0</v>
      </c>
      <c r="AM341" s="512">
        <f t="shared" ca="1" si="169"/>
        <v>0</v>
      </c>
      <c r="AN341" s="512">
        <f t="shared" ca="1" si="170"/>
        <v>0</v>
      </c>
      <c r="AO341" s="512">
        <f t="shared" ca="1" si="171"/>
        <v>0</v>
      </c>
      <c r="AP341" s="512">
        <f t="shared" ca="1" si="172"/>
        <v>0</v>
      </c>
      <c r="AQ341" s="512" t="str">
        <f t="shared" si="173"/>
        <v/>
      </c>
      <c r="AR341" s="512"/>
      <c r="AS341" s="512" t="str">
        <f t="shared" si="174"/>
        <v/>
      </c>
      <c r="AT341" s="151">
        <f t="shared" si="175"/>
        <v>0</v>
      </c>
      <c r="AU341" s="151">
        <f>IFERROR(VLOOKUP(A341,'[7]TD CuentasBDG'!$N$5:$O$21,2,0),0)</f>
        <v>0</v>
      </c>
      <c r="AV341">
        <f t="shared" si="176"/>
        <v>0</v>
      </c>
    </row>
    <row r="342" spans="1:50" ht="30" x14ac:dyDescent="0.25">
      <c r="A342" s="508" t="s">
        <v>2183</v>
      </c>
      <c r="B342" s="508" t="s">
        <v>197</v>
      </c>
      <c r="C342" s="508" t="s">
        <v>146</v>
      </c>
      <c r="D342" s="508" t="s">
        <v>146</v>
      </c>
      <c r="E342" s="508"/>
      <c r="F342" s="508"/>
      <c r="G342" s="508" t="s">
        <v>1665</v>
      </c>
      <c r="H342" s="508"/>
      <c r="I342" s="508"/>
      <c r="J342" s="555"/>
      <c r="K342" s="555"/>
      <c r="L342" s="911">
        <f ca="1">IFERROR(INDEX(Lists!$O$2:$Z$2,MATCH(TRUE,INDEX((AE342:AP342&lt;&gt;0),0),0)),DATE(2018,1,1))</f>
        <v>43132</v>
      </c>
      <c r="M342" s="911">
        <f ca="1">IFERROR(INDEX(Lists!$O$3:$Z$3, VALUE(SUBSTITUTE(TEXT(ADDRESS(SUMPRODUCT(MAX((COLUMN(AE342:AP342)*(AE342:AP342&gt;0)))),1),),"$A$",""))-30),DATE(2018,1,1))</f>
        <v>43190</v>
      </c>
      <c r="N342" s="508"/>
      <c r="O342" s="508"/>
      <c r="P342" s="508"/>
      <c r="Q342" s="508"/>
      <c r="R342" s="508" t="str">
        <f t="shared" ca="1" si="149"/>
        <v>Mapping or Relogging</v>
      </c>
      <c r="S342" s="508" t="str">
        <f t="shared" ca="1" si="150"/>
        <v>Cantarito (14 days, 80 USD @ day)</v>
      </c>
      <c r="T342" s="508" t="str">
        <f t="shared" ca="1" si="151"/>
        <v>Geology Staff (3)</v>
      </c>
      <c r="U342" s="508" t="str">
        <f t="shared" ca="1" si="152"/>
        <v>687 / 51-11-3052</v>
      </c>
      <c r="V342" s="508">
        <f t="shared" ca="1" si="153"/>
        <v>0</v>
      </c>
      <c r="W342" s="508">
        <f t="shared" ca="1" si="154"/>
        <v>0</v>
      </c>
      <c r="X342" s="508">
        <f t="shared" ca="1" si="155"/>
        <v>0</v>
      </c>
      <c r="Y342" s="508">
        <f t="shared" ca="1" si="156"/>
        <v>0</v>
      </c>
      <c r="Z342" s="508">
        <f t="shared" ca="1" si="157"/>
        <v>0</v>
      </c>
      <c r="AA342" s="508" t="str">
        <f t="shared" ca="1" si="158"/>
        <v>Ene</v>
      </c>
      <c r="AB342" s="508">
        <f t="shared" ca="1" si="147"/>
        <v>2</v>
      </c>
      <c r="AC342" s="508">
        <f t="shared" ca="1" si="159"/>
        <v>0</v>
      </c>
      <c r="AD342" s="912">
        <f t="shared" ca="1" si="160"/>
        <v>3360</v>
      </c>
      <c r="AE342" s="512">
        <f t="shared" ca="1" si="161"/>
        <v>0</v>
      </c>
      <c r="AF342" s="512">
        <f t="shared" ca="1" si="162"/>
        <v>1680</v>
      </c>
      <c r="AG342" s="512">
        <f t="shared" ca="1" si="163"/>
        <v>1680</v>
      </c>
      <c r="AH342" s="512">
        <f t="shared" ca="1" si="164"/>
        <v>0</v>
      </c>
      <c r="AI342" s="512">
        <f t="shared" ca="1" si="165"/>
        <v>0</v>
      </c>
      <c r="AJ342" s="512">
        <f t="shared" ca="1" si="166"/>
        <v>0</v>
      </c>
      <c r="AK342" s="512">
        <f t="shared" ca="1" si="167"/>
        <v>0</v>
      </c>
      <c r="AL342" s="512">
        <f t="shared" ca="1" si="168"/>
        <v>0</v>
      </c>
      <c r="AM342" s="512">
        <f t="shared" ca="1" si="169"/>
        <v>0</v>
      </c>
      <c r="AN342" s="512">
        <f t="shared" ca="1" si="170"/>
        <v>0</v>
      </c>
      <c r="AO342" s="512">
        <f t="shared" ca="1" si="171"/>
        <v>0</v>
      </c>
      <c r="AP342" s="512">
        <f t="shared" ca="1" si="172"/>
        <v>0</v>
      </c>
      <c r="AQ342" s="512" t="str">
        <f t="shared" si="173"/>
        <v/>
      </c>
      <c r="AR342" s="512"/>
      <c r="AS342" s="512" t="str">
        <f t="shared" si="174"/>
        <v/>
      </c>
      <c r="AT342" s="151">
        <f t="shared" si="175"/>
        <v>0</v>
      </c>
      <c r="AU342" s="151">
        <f>IFERROR(VLOOKUP(A342,'[7]TD CuentasBDG'!$N$5:$O$21,2,0),0)</f>
        <v>0</v>
      </c>
      <c r="AV342">
        <f t="shared" si="176"/>
        <v>0</v>
      </c>
    </row>
    <row r="343" spans="1:50" ht="30" x14ac:dyDescent="0.25">
      <c r="A343" s="508" t="s">
        <v>2184</v>
      </c>
      <c r="B343" s="508" t="s">
        <v>197</v>
      </c>
      <c r="C343" s="508" t="s">
        <v>146</v>
      </c>
      <c r="D343" s="508" t="s">
        <v>146</v>
      </c>
      <c r="E343" s="508"/>
      <c r="F343" s="508"/>
      <c r="G343" s="508" t="s">
        <v>1665</v>
      </c>
      <c r="H343" s="508"/>
      <c r="I343" s="508"/>
      <c r="J343" s="555"/>
      <c r="K343" s="555"/>
      <c r="L343" s="911">
        <f ca="1">IFERROR(INDEX(Lists!$O$2:$Z$2,MATCH(TRUE,INDEX((AE343:AP343&lt;&gt;0),0),0)),DATE(2018,1,1))</f>
        <v>43191</v>
      </c>
      <c r="M343" s="911">
        <f ca="1">IFERROR(INDEX(Lists!$O$3:$Z$3, VALUE(SUBSTITUTE(TEXT(ADDRESS(SUMPRODUCT(MAX((COLUMN(AE343:AP343)*(AE343:AP343&gt;0)))),1),),"$A$",""))-30),DATE(2018,1,1))</f>
        <v>43220</v>
      </c>
      <c r="N343" s="508"/>
      <c r="O343" s="508"/>
      <c r="P343" s="508"/>
      <c r="Q343" s="508"/>
      <c r="R343" s="508" t="str">
        <f t="shared" ca="1" si="149"/>
        <v>Mapping or Relogging</v>
      </c>
      <c r="S343" s="508" t="str">
        <f t="shared" ca="1" si="150"/>
        <v>El Morro Compilation (7 days, 80 USD @ day)</v>
      </c>
      <c r="T343" s="508" t="str">
        <f t="shared" ca="1" si="151"/>
        <v>Geology Staff (3)</v>
      </c>
      <c r="U343" s="508" t="str">
        <f t="shared" ca="1" si="152"/>
        <v>687 / 51-11-3052</v>
      </c>
      <c r="V343" s="508">
        <f t="shared" ca="1" si="153"/>
        <v>0</v>
      </c>
      <c r="W343" s="508">
        <f t="shared" ca="1" si="154"/>
        <v>0</v>
      </c>
      <c r="X343" s="508">
        <f t="shared" ca="1" si="155"/>
        <v>0</v>
      </c>
      <c r="Y343" s="508">
        <f t="shared" ca="1" si="156"/>
        <v>0</v>
      </c>
      <c r="Z343" s="508">
        <f t="shared" ca="1" si="157"/>
        <v>0</v>
      </c>
      <c r="AA343" s="508" t="str">
        <f t="shared" ca="1" si="158"/>
        <v>Feb</v>
      </c>
      <c r="AB343" s="508">
        <f t="shared" ca="1" si="147"/>
        <v>1</v>
      </c>
      <c r="AC343" s="508">
        <f t="shared" ca="1" si="159"/>
        <v>0</v>
      </c>
      <c r="AD343" s="912">
        <f t="shared" ca="1" si="160"/>
        <v>1680</v>
      </c>
      <c r="AE343" s="512">
        <f t="shared" ca="1" si="161"/>
        <v>0</v>
      </c>
      <c r="AF343" s="512">
        <f t="shared" ca="1" si="162"/>
        <v>0</v>
      </c>
      <c r="AG343" s="512">
        <f t="shared" ca="1" si="163"/>
        <v>0</v>
      </c>
      <c r="AH343" s="512">
        <f t="shared" ca="1" si="164"/>
        <v>1680</v>
      </c>
      <c r="AI343" s="512">
        <f t="shared" ca="1" si="165"/>
        <v>0</v>
      </c>
      <c r="AJ343" s="512">
        <f t="shared" ca="1" si="166"/>
        <v>0</v>
      </c>
      <c r="AK343" s="512">
        <f t="shared" ca="1" si="167"/>
        <v>0</v>
      </c>
      <c r="AL343" s="512">
        <f t="shared" ca="1" si="168"/>
        <v>0</v>
      </c>
      <c r="AM343" s="512">
        <f t="shared" ca="1" si="169"/>
        <v>0</v>
      </c>
      <c r="AN343" s="512">
        <f t="shared" ca="1" si="170"/>
        <v>0</v>
      </c>
      <c r="AO343" s="512">
        <f t="shared" ca="1" si="171"/>
        <v>0</v>
      </c>
      <c r="AP343" s="512">
        <f t="shared" ca="1" si="172"/>
        <v>0</v>
      </c>
      <c r="AQ343" s="512" t="str">
        <f t="shared" si="173"/>
        <v/>
      </c>
      <c r="AR343" s="512"/>
      <c r="AS343" s="512" t="str">
        <f t="shared" si="174"/>
        <v/>
      </c>
      <c r="AT343" s="151">
        <f t="shared" si="175"/>
        <v>0</v>
      </c>
      <c r="AU343" s="151">
        <f>IFERROR(VLOOKUP(A343,'[7]TD CuentasBDG'!$N$5:$O$21,2,0),0)</f>
        <v>0</v>
      </c>
      <c r="AV343">
        <f t="shared" si="176"/>
        <v>0</v>
      </c>
    </row>
    <row r="344" spans="1:50" ht="45" x14ac:dyDescent="0.25">
      <c r="A344" s="508" t="s">
        <v>2185</v>
      </c>
      <c r="B344" s="508" t="s">
        <v>197</v>
      </c>
      <c r="C344" s="508" t="s">
        <v>146</v>
      </c>
      <c r="D344" s="508" t="s">
        <v>146</v>
      </c>
      <c r="E344" s="508"/>
      <c r="F344" s="508"/>
      <c r="G344" s="508" t="s">
        <v>1647</v>
      </c>
      <c r="H344" s="508" t="s">
        <v>560</v>
      </c>
      <c r="I344" s="508" t="s">
        <v>562</v>
      </c>
      <c r="J344" s="555" t="s">
        <v>1650</v>
      </c>
      <c r="K344" s="555" t="s">
        <v>1651</v>
      </c>
      <c r="L344" s="911">
        <f ca="1">IFERROR(INDEX(Lists!$O$2:$Z$2,MATCH(TRUE,INDEX((AE344:AP344&lt;&gt;0),0),0)),DATE(2018,1,1))</f>
        <v>43160</v>
      </c>
      <c r="M344" s="911">
        <f ca="1">IFERROR(INDEX(Lists!$O$3:$Z$3, VALUE(SUBSTITUTE(TEXT(ADDRESS(SUMPRODUCT(MAX((COLUMN(AE344:AP344)*(AE344:AP344&gt;0)))),1),),"$A$",""))-30),DATE(2018,1,1))</f>
        <v>43190</v>
      </c>
      <c r="N344" s="508" t="s">
        <v>1668</v>
      </c>
      <c r="O344" s="508" t="s">
        <v>1653</v>
      </c>
      <c r="P344" s="508" t="s">
        <v>1071</v>
      </c>
      <c r="Q344" s="508" t="s">
        <v>1676</v>
      </c>
      <c r="R344" s="508" t="str">
        <f t="shared" ca="1" si="149"/>
        <v>Geophysics</v>
      </c>
      <c r="S344" s="508" t="str">
        <f t="shared" ca="1" si="150"/>
        <v>LAF IP Infill (2,500 USD L/km, 4,000 USD Mob-Demob)</v>
      </c>
      <c r="T344" s="508" t="str">
        <f t="shared" ca="1" si="151"/>
        <v>Contractor Crew</v>
      </c>
      <c r="U344" s="508" t="str">
        <f t="shared" ca="1" si="152"/>
        <v>687 / 51-11-3052</v>
      </c>
      <c r="V344" s="508">
        <f t="shared" ca="1" si="153"/>
        <v>0</v>
      </c>
      <c r="W344" s="508">
        <f t="shared" ca="1" si="154"/>
        <v>0</v>
      </c>
      <c r="X344" s="508">
        <f t="shared" ca="1" si="155"/>
        <v>0</v>
      </c>
      <c r="Y344" s="508">
        <f t="shared" ca="1" si="156"/>
        <v>0</v>
      </c>
      <c r="Z344" s="508">
        <f t="shared" ca="1" si="157"/>
        <v>0</v>
      </c>
      <c r="AA344" s="508" t="str">
        <f t="shared" ca="1" si="158"/>
        <v>Feb</v>
      </c>
      <c r="AB344" s="508">
        <f t="shared" ca="1" si="147"/>
        <v>1</v>
      </c>
      <c r="AC344" s="508">
        <f t="shared" ca="1" si="159"/>
        <v>0</v>
      </c>
      <c r="AD344" s="912">
        <f t="shared" ca="1" si="160"/>
        <v>74000</v>
      </c>
      <c r="AE344" s="512">
        <f t="shared" ca="1" si="161"/>
        <v>0</v>
      </c>
      <c r="AF344" s="512">
        <f t="shared" ca="1" si="162"/>
        <v>0</v>
      </c>
      <c r="AG344" s="512">
        <f t="shared" ca="1" si="163"/>
        <v>74000</v>
      </c>
      <c r="AH344" s="512">
        <f t="shared" ca="1" si="164"/>
        <v>0</v>
      </c>
      <c r="AI344" s="512">
        <f t="shared" ca="1" si="165"/>
        <v>0</v>
      </c>
      <c r="AJ344" s="512">
        <f t="shared" ca="1" si="166"/>
        <v>0</v>
      </c>
      <c r="AK344" s="512">
        <f t="shared" ca="1" si="167"/>
        <v>0</v>
      </c>
      <c r="AL344" s="512">
        <f t="shared" ca="1" si="168"/>
        <v>0</v>
      </c>
      <c r="AM344" s="512">
        <f t="shared" ca="1" si="169"/>
        <v>0</v>
      </c>
      <c r="AN344" s="512">
        <f t="shared" ca="1" si="170"/>
        <v>0</v>
      </c>
      <c r="AO344" s="512">
        <f t="shared" ca="1" si="171"/>
        <v>0</v>
      </c>
      <c r="AP344" s="512">
        <f t="shared" ca="1" si="172"/>
        <v>0</v>
      </c>
      <c r="AQ344" s="512" t="str">
        <f t="shared" ca="1" si="173"/>
        <v>Contrato</v>
      </c>
      <c r="AR344" s="512"/>
      <c r="AS344" s="512" t="str">
        <f t="shared" ca="1" si="174"/>
        <v>No</v>
      </c>
      <c r="AT344" s="151">
        <f t="shared" ca="1" si="175"/>
        <v>74000</v>
      </c>
      <c r="AU344" s="926">
        <f>IFERROR(VLOOKUP(A344,'[7]TD CuentasBDG'!$N$5:$O$21,2,0),0)</f>
        <v>0</v>
      </c>
      <c r="AV344" t="str">
        <f t="shared" ca="1" si="176"/>
        <v>Licitación</v>
      </c>
      <c r="AW344" s="927" t="s">
        <v>1897</v>
      </c>
      <c r="AX344" s="927" t="s">
        <v>1702</v>
      </c>
    </row>
    <row r="345" spans="1:50" ht="30" x14ac:dyDescent="0.25">
      <c r="A345" s="508" t="s">
        <v>2186</v>
      </c>
      <c r="B345" s="508" t="s">
        <v>197</v>
      </c>
      <c r="C345" s="508" t="s">
        <v>146</v>
      </c>
      <c r="D345" s="508" t="s">
        <v>146</v>
      </c>
      <c r="E345" s="508"/>
      <c r="F345" s="508"/>
      <c r="G345" s="508" t="s">
        <v>1665</v>
      </c>
      <c r="H345" s="508"/>
      <c r="I345" s="508"/>
      <c r="J345" s="555"/>
      <c r="K345" s="555"/>
      <c r="L345" s="911">
        <f ca="1">IFERROR(INDEX(Lists!$O$2:$Z$2,MATCH(TRUE,INDEX((AE345:AP345&lt;&gt;0),0),0)),DATE(2018,1,1))</f>
        <v>43101</v>
      </c>
      <c r="M345" s="911">
        <f ca="1">IFERROR(INDEX(Lists!$O$3:$Z$3, VALUE(SUBSTITUTE(TEXT(ADDRESS(SUMPRODUCT(MAX((COLUMN(AE345:AP345)*(AE345:AP345&gt;0)))),1),),"$A$",""))-30),DATE(2018,1,1))</f>
        <v>43101</v>
      </c>
      <c r="N345" s="508"/>
      <c r="O345" s="508"/>
      <c r="P345" s="508"/>
      <c r="Q345" s="508"/>
      <c r="R345" s="508" t="str">
        <f t="shared" ca="1" si="149"/>
        <v>Geophysics</v>
      </c>
      <c r="S345" s="508" t="str">
        <f t="shared" ca="1" si="150"/>
        <v>LAF Mag Infill (130 USD L/km)</v>
      </c>
      <c r="T345" s="508" t="str">
        <f t="shared" ca="1" si="151"/>
        <v>Contractor Crew</v>
      </c>
      <c r="U345" s="508" t="str">
        <f t="shared" ca="1" si="152"/>
        <v>687 / 51-11-3052</v>
      </c>
      <c r="V345" s="508">
        <f t="shared" ca="1" si="153"/>
        <v>0</v>
      </c>
      <c r="W345" s="508">
        <f t="shared" ca="1" si="154"/>
        <v>0</v>
      </c>
      <c r="X345" s="508">
        <f t="shared" ca="1" si="155"/>
        <v>0</v>
      </c>
      <c r="Y345" s="508">
        <f t="shared" ca="1" si="156"/>
        <v>0</v>
      </c>
      <c r="Z345" s="508">
        <f t="shared" ca="1" si="157"/>
        <v>0</v>
      </c>
      <c r="AA345" s="508">
        <f t="shared" ca="1" si="158"/>
        <v>0</v>
      </c>
      <c r="AB345" s="508">
        <f t="shared" ca="1" si="147"/>
        <v>1</v>
      </c>
      <c r="AC345" s="508">
        <f t="shared" ca="1" si="159"/>
        <v>0</v>
      </c>
      <c r="AD345" s="912">
        <f t="shared" ca="1" si="160"/>
        <v>0</v>
      </c>
      <c r="AE345" s="512">
        <f t="shared" ca="1" si="161"/>
        <v>0</v>
      </c>
      <c r="AF345" s="512">
        <f t="shared" ca="1" si="162"/>
        <v>0</v>
      </c>
      <c r="AG345" s="512">
        <f t="shared" ca="1" si="163"/>
        <v>0</v>
      </c>
      <c r="AH345" s="512">
        <f t="shared" ca="1" si="164"/>
        <v>0</v>
      </c>
      <c r="AI345" s="512">
        <f t="shared" ca="1" si="165"/>
        <v>0</v>
      </c>
      <c r="AJ345" s="512">
        <f t="shared" ca="1" si="166"/>
        <v>0</v>
      </c>
      <c r="AK345" s="512">
        <f t="shared" ca="1" si="167"/>
        <v>0</v>
      </c>
      <c r="AL345" s="512">
        <f t="shared" ca="1" si="168"/>
        <v>0</v>
      </c>
      <c r="AM345" s="512">
        <f t="shared" ca="1" si="169"/>
        <v>0</v>
      </c>
      <c r="AN345" s="512">
        <f t="shared" ca="1" si="170"/>
        <v>0</v>
      </c>
      <c r="AO345" s="512">
        <f t="shared" ca="1" si="171"/>
        <v>0</v>
      </c>
      <c r="AP345" s="512">
        <f t="shared" ca="1" si="172"/>
        <v>0</v>
      </c>
      <c r="AQ345" s="512" t="str">
        <f t="shared" si="173"/>
        <v/>
      </c>
      <c r="AR345" s="512"/>
      <c r="AS345" s="512" t="str">
        <f t="shared" si="174"/>
        <v/>
      </c>
      <c r="AT345" s="151">
        <f t="shared" si="175"/>
        <v>0</v>
      </c>
      <c r="AU345" s="151">
        <f>IFERROR(VLOOKUP(A345,'[7]TD CuentasBDG'!$N$5:$O$21,2,0),0)</f>
        <v>0</v>
      </c>
      <c r="AV345">
        <f t="shared" si="176"/>
        <v>0</v>
      </c>
    </row>
    <row r="346" spans="1:50" ht="45" x14ac:dyDescent="0.25">
      <c r="A346" s="508" t="s">
        <v>2187</v>
      </c>
      <c r="B346" s="508" t="s">
        <v>197</v>
      </c>
      <c r="C346" s="508" t="s">
        <v>146</v>
      </c>
      <c r="D346" s="508" t="s">
        <v>146</v>
      </c>
      <c r="E346" s="508"/>
      <c r="F346" s="508"/>
      <c r="G346" s="508" t="s">
        <v>1647</v>
      </c>
      <c r="H346" s="508" t="s">
        <v>560</v>
      </c>
      <c r="I346" s="508" t="s">
        <v>562</v>
      </c>
      <c r="J346" s="555" t="s">
        <v>1650</v>
      </c>
      <c r="K346" s="555" t="s">
        <v>1651</v>
      </c>
      <c r="L346" s="911">
        <f ca="1">IFERROR(INDEX(Lists!$O$2:$Z$2,MATCH(TRUE,INDEX((AE346:AP346&lt;&gt;0),0),0)),DATE(2018,1,1))</f>
        <v>43405</v>
      </c>
      <c r="M346" s="911">
        <f ca="1">IFERROR(INDEX(Lists!$O$3:$Z$3, VALUE(SUBSTITUTE(TEXT(ADDRESS(SUMPRODUCT(MAX((COLUMN(AE346:AP346)*(AE346:AP346&gt;0)))),1),),"$A$",""))-30),DATE(2018,1,1))</f>
        <v>43465</v>
      </c>
      <c r="N346" s="508" t="s">
        <v>1668</v>
      </c>
      <c r="O346" s="508" t="s">
        <v>1653</v>
      </c>
      <c r="P346" s="508" t="s">
        <v>1071</v>
      </c>
      <c r="Q346" s="508" t="s">
        <v>1676</v>
      </c>
      <c r="R346" s="508" t="str">
        <f t="shared" ca="1" si="149"/>
        <v>Geophysics</v>
      </c>
      <c r="S346" s="508" t="str">
        <f t="shared" ca="1" si="150"/>
        <v>LAF Aeromag Rad Survey BASE (64.6 USD L/km, Mob: 30k)</v>
      </c>
      <c r="T346" s="508" t="str">
        <f t="shared" ca="1" si="151"/>
        <v>Contractor Crew</v>
      </c>
      <c r="U346" s="508" t="str">
        <f t="shared" ca="1" si="152"/>
        <v>687 / 51-11-3052</v>
      </c>
      <c r="V346" s="508">
        <f t="shared" ca="1" si="153"/>
        <v>0</v>
      </c>
      <c r="W346" s="508">
        <f t="shared" ca="1" si="154"/>
        <v>0</v>
      </c>
      <c r="X346" s="508">
        <f t="shared" ca="1" si="155"/>
        <v>0</v>
      </c>
      <c r="Y346" s="508">
        <f t="shared" ca="1" si="156"/>
        <v>0</v>
      </c>
      <c r="Z346" s="508">
        <f t="shared" ca="1" si="157"/>
        <v>0</v>
      </c>
      <c r="AA346" s="508">
        <f t="shared" ca="1" si="158"/>
        <v>0</v>
      </c>
      <c r="AB346" s="508">
        <f t="shared" ca="1" si="147"/>
        <v>2</v>
      </c>
      <c r="AC346" s="508">
        <f t="shared" ca="1" si="159"/>
        <v>0</v>
      </c>
      <c r="AD346" s="912">
        <f t="shared" ca="1" si="160"/>
        <v>989309.99999999988</v>
      </c>
      <c r="AE346" s="512">
        <f t="shared" ca="1" si="161"/>
        <v>0</v>
      </c>
      <c r="AF346" s="512">
        <f t="shared" ca="1" si="162"/>
        <v>0</v>
      </c>
      <c r="AG346" s="512">
        <f t="shared" ca="1" si="163"/>
        <v>0</v>
      </c>
      <c r="AH346" s="512">
        <f t="shared" ca="1" si="164"/>
        <v>0</v>
      </c>
      <c r="AI346" s="512">
        <f t="shared" ca="1" si="165"/>
        <v>0</v>
      </c>
      <c r="AJ346" s="512">
        <f t="shared" ca="1" si="166"/>
        <v>0</v>
      </c>
      <c r="AK346" s="512">
        <f t="shared" ca="1" si="167"/>
        <v>0</v>
      </c>
      <c r="AL346" s="512">
        <f t="shared" ca="1" si="168"/>
        <v>0</v>
      </c>
      <c r="AM346" s="512">
        <f t="shared" ca="1" si="169"/>
        <v>0</v>
      </c>
      <c r="AN346" s="512">
        <f t="shared" ca="1" si="170"/>
        <v>0</v>
      </c>
      <c r="AO346" s="512">
        <f t="shared" ca="1" si="171"/>
        <v>494654.99999999994</v>
      </c>
      <c r="AP346" s="512">
        <f t="shared" ca="1" si="172"/>
        <v>494654.99999999994</v>
      </c>
      <c r="AQ346" s="512" t="str">
        <f t="shared" ca="1" si="173"/>
        <v>Contrato</v>
      </c>
      <c r="AR346" s="512"/>
      <c r="AS346" s="512" t="str">
        <f t="shared" ca="1" si="174"/>
        <v>No</v>
      </c>
      <c r="AT346" s="151">
        <f t="shared" ca="1" si="175"/>
        <v>989309.99999999988</v>
      </c>
      <c r="AU346" s="926">
        <f>IFERROR(VLOOKUP(A346,'[7]TD CuentasBDG'!$N$5:$O$21,2,0),0)</f>
        <v>0</v>
      </c>
      <c r="AV346" t="str">
        <f t="shared" ca="1" si="176"/>
        <v>Licitación</v>
      </c>
      <c r="AW346" s="928" t="s">
        <v>1897</v>
      </c>
      <c r="AX346" s="927" t="s">
        <v>1702</v>
      </c>
    </row>
    <row r="347" spans="1:50" ht="45" x14ac:dyDescent="0.25">
      <c r="A347" s="508" t="s">
        <v>2188</v>
      </c>
      <c r="B347" s="508" t="s">
        <v>197</v>
      </c>
      <c r="C347" s="508" t="s">
        <v>146</v>
      </c>
      <c r="D347" s="508" t="s">
        <v>146</v>
      </c>
      <c r="E347" s="508"/>
      <c r="F347" s="508"/>
      <c r="G347" s="508" t="s">
        <v>1665</v>
      </c>
      <c r="H347" s="508"/>
      <c r="I347" s="508"/>
      <c r="J347" s="555"/>
      <c r="K347" s="555"/>
      <c r="L347" s="911">
        <f ca="1">IFERROR(INDEX(Lists!$O$2:$Z$2,MATCH(TRUE,INDEX((AE347:AP347&lt;&gt;0),0),0)),DATE(2018,1,1))</f>
        <v>43101</v>
      </c>
      <c r="M347" s="911">
        <f ca="1">IFERROR(INDEX(Lists!$O$3:$Z$3, VALUE(SUBSTITUTE(TEXT(ADDRESS(SUMPRODUCT(MAX((COLUMN(AE347:AP347)*(AE347:AP347&gt;0)))),1),),"$A$",""))-30),DATE(2018,1,1))</f>
        <v>43101</v>
      </c>
      <c r="N347" s="508"/>
      <c r="O347" s="508"/>
      <c r="P347" s="508"/>
      <c r="Q347" s="508"/>
      <c r="R347" s="508" t="str">
        <f t="shared" ca="1" si="149"/>
        <v>Geophysics</v>
      </c>
      <c r="S347" s="508" t="str">
        <f t="shared" ca="1" si="150"/>
        <v>LAF Aeromag Rad Survey CORE (414,370 USD)</v>
      </c>
      <c r="T347" s="508" t="str">
        <f t="shared" ca="1" si="151"/>
        <v>Contractor Crew</v>
      </c>
      <c r="U347" s="508" t="str">
        <f t="shared" ca="1" si="152"/>
        <v>687 / 51-11-3052</v>
      </c>
      <c r="V347" s="508">
        <f t="shared" ca="1" si="153"/>
        <v>0</v>
      </c>
      <c r="W347" s="508">
        <f t="shared" ca="1" si="154"/>
        <v>0</v>
      </c>
      <c r="X347" s="508">
        <f t="shared" ca="1" si="155"/>
        <v>0</v>
      </c>
      <c r="Y347" s="508">
        <f t="shared" ca="1" si="156"/>
        <v>0</v>
      </c>
      <c r="Z347" s="508">
        <f t="shared" ca="1" si="157"/>
        <v>0</v>
      </c>
      <c r="AA347" s="508">
        <f t="shared" ca="1" si="158"/>
        <v>0</v>
      </c>
      <c r="AB347" s="508">
        <f t="shared" ca="1" si="147"/>
        <v>1</v>
      </c>
      <c r="AC347" s="508">
        <f t="shared" ca="1" si="159"/>
        <v>0</v>
      </c>
      <c r="AD347" s="912">
        <f t="shared" ca="1" si="160"/>
        <v>0</v>
      </c>
      <c r="AE347" s="512">
        <f t="shared" ca="1" si="161"/>
        <v>0</v>
      </c>
      <c r="AF347" s="512">
        <f t="shared" ca="1" si="162"/>
        <v>0</v>
      </c>
      <c r="AG347" s="512">
        <f t="shared" ca="1" si="163"/>
        <v>0</v>
      </c>
      <c r="AH347" s="512">
        <f t="shared" ca="1" si="164"/>
        <v>0</v>
      </c>
      <c r="AI347" s="512">
        <f t="shared" ca="1" si="165"/>
        <v>0</v>
      </c>
      <c r="AJ347" s="512">
        <f t="shared" ca="1" si="166"/>
        <v>0</v>
      </c>
      <c r="AK347" s="512">
        <f t="shared" ca="1" si="167"/>
        <v>0</v>
      </c>
      <c r="AL347" s="512">
        <f t="shared" ca="1" si="168"/>
        <v>0</v>
      </c>
      <c r="AM347" s="512">
        <f t="shared" ca="1" si="169"/>
        <v>0</v>
      </c>
      <c r="AN347" s="512">
        <f t="shared" ca="1" si="170"/>
        <v>0</v>
      </c>
      <c r="AO347" s="512">
        <f t="shared" ca="1" si="171"/>
        <v>0</v>
      </c>
      <c r="AP347" s="512">
        <f t="shared" ca="1" si="172"/>
        <v>0</v>
      </c>
      <c r="AQ347" s="512" t="str">
        <f t="shared" si="173"/>
        <v/>
      </c>
      <c r="AR347" s="512"/>
      <c r="AS347" s="512" t="str">
        <f t="shared" si="174"/>
        <v/>
      </c>
      <c r="AT347" s="151">
        <f t="shared" si="175"/>
        <v>0</v>
      </c>
      <c r="AU347" s="151">
        <f>IFERROR(VLOOKUP(A347,'[7]TD CuentasBDG'!$N$5:$O$21,2,0),0)</f>
        <v>0</v>
      </c>
      <c r="AV347">
        <f t="shared" si="176"/>
        <v>0</v>
      </c>
    </row>
    <row r="348" spans="1:50" ht="30" x14ac:dyDescent="0.25">
      <c r="A348" s="508" t="s">
        <v>2189</v>
      </c>
      <c r="B348" s="508" t="s">
        <v>197</v>
      </c>
      <c r="C348" s="508" t="s">
        <v>146</v>
      </c>
      <c r="D348" s="508" t="s">
        <v>146</v>
      </c>
      <c r="E348" s="508"/>
      <c r="F348" s="508"/>
      <c r="G348" s="508" t="s">
        <v>1752</v>
      </c>
      <c r="H348" s="508"/>
      <c r="I348" s="508"/>
      <c r="J348" s="555"/>
      <c r="K348" s="555"/>
      <c r="L348" s="911">
        <f ca="1">IFERROR(INDEX(Lists!$O$2:$Z$2,MATCH(TRUE,INDEX((AE348:AP348&lt;&gt;0),0),0)),DATE(2018,1,1))</f>
        <v>43102</v>
      </c>
      <c r="M348" s="911">
        <f ca="1">IFERROR(INDEX(Lists!$O$3:$Z$3, VALUE(SUBSTITUTE(TEXT(ADDRESS(SUMPRODUCT(MAX((COLUMN(AE348:AP348)*(AE348:AP348&gt;0)))),1),),"$A$",""))-30),DATE(2018,1,1))</f>
        <v>43465</v>
      </c>
      <c r="N348" s="508"/>
      <c r="O348" s="508"/>
      <c r="P348" s="508"/>
      <c r="Q348" s="508"/>
      <c r="R348" s="508" t="str">
        <f t="shared" ca="1" si="149"/>
        <v>Geophysics</v>
      </c>
      <c r="S348" s="508" t="str">
        <f t="shared" ca="1" si="150"/>
        <v>Geophysicist</v>
      </c>
      <c r="T348" s="508" t="str">
        <f t="shared" ca="1" si="151"/>
        <v>Geraldine Estay, Teck Santiago</v>
      </c>
      <c r="U348" s="508" t="str">
        <f t="shared" ca="1" si="152"/>
        <v>687 / 51-11-3052</v>
      </c>
      <c r="V348" s="508">
        <f t="shared" ca="1" si="153"/>
        <v>0</v>
      </c>
      <c r="W348" s="508">
        <f t="shared" ca="1" si="154"/>
        <v>0</v>
      </c>
      <c r="X348" s="508">
        <f t="shared" ca="1" si="155"/>
        <v>0</v>
      </c>
      <c r="Y348" s="508">
        <f t="shared" ca="1" si="156"/>
        <v>0</v>
      </c>
      <c r="Z348" s="508">
        <f t="shared" ca="1" si="157"/>
        <v>0</v>
      </c>
      <c r="AA348" s="508" t="str">
        <f t="shared" ca="1" si="158"/>
        <v>Ene</v>
      </c>
      <c r="AB348" s="508">
        <f t="shared" ca="1" si="147"/>
        <v>12</v>
      </c>
      <c r="AC348" s="508">
        <f t="shared" ca="1" si="159"/>
        <v>0</v>
      </c>
      <c r="AD348" s="912">
        <f t="shared" ca="1" si="160"/>
        <v>30200.000000000004</v>
      </c>
      <c r="AE348" s="512">
        <f t="shared" ca="1" si="161"/>
        <v>2516.6666666666665</v>
      </c>
      <c r="AF348" s="512">
        <f t="shared" ca="1" si="162"/>
        <v>2516.6666666666665</v>
      </c>
      <c r="AG348" s="512">
        <f t="shared" ca="1" si="163"/>
        <v>2516.6666666666665</v>
      </c>
      <c r="AH348" s="512">
        <f t="shared" ca="1" si="164"/>
        <v>2516.6666666666665</v>
      </c>
      <c r="AI348" s="512">
        <f t="shared" ca="1" si="165"/>
        <v>2516.6666666666665</v>
      </c>
      <c r="AJ348" s="512">
        <f t="shared" ca="1" si="166"/>
        <v>2516.6666666666665</v>
      </c>
      <c r="AK348" s="512">
        <f t="shared" ca="1" si="167"/>
        <v>2516.6666666666665</v>
      </c>
      <c r="AL348" s="512">
        <f t="shared" ca="1" si="168"/>
        <v>2516.6666666666665</v>
      </c>
      <c r="AM348" s="512">
        <f t="shared" ca="1" si="169"/>
        <v>2516.6666666666665</v>
      </c>
      <c r="AN348" s="512">
        <f t="shared" ca="1" si="170"/>
        <v>2516.6666666666665</v>
      </c>
      <c r="AO348" s="512">
        <f t="shared" ca="1" si="171"/>
        <v>2516.6666666666665</v>
      </c>
      <c r="AP348" s="512">
        <f t="shared" ca="1" si="172"/>
        <v>2516.6666666666665</v>
      </c>
      <c r="AQ348" s="512" t="str">
        <f t="shared" si="173"/>
        <v/>
      </c>
      <c r="AR348" s="512"/>
      <c r="AS348" s="512" t="str">
        <f t="shared" si="174"/>
        <v/>
      </c>
      <c r="AT348" s="151">
        <f t="shared" si="175"/>
        <v>0</v>
      </c>
      <c r="AU348" s="151">
        <f>IFERROR(VLOOKUP(A348,'[7]TD CuentasBDG'!$N$5:$O$21,2,0),0)</f>
        <v>0</v>
      </c>
      <c r="AV348">
        <f t="shared" si="176"/>
        <v>0</v>
      </c>
    </row>
    <row r="349" spans="1:50" ht="30" x14ac:dyDescent="0.25">
      <c r="A349" s="508" t="s">
        <v>2190</v>
      </c>
      <c r="B349" s="508" t="s">
        <v>197</v>
      </c>
      <c r="C349" s="508" t="s">
        <v>146</v>
      </c>
      <c r="D349" s="508" t="s">
        <v>146</v>
      </c>
      <c r="E349" s="508"/>
      <c r="F349" s="508"/>
      <c r="G349" s="508" t="s">
        <v>1665</v>
      </c>
      <c r="H349" s="508"/>
      <c r="I349" s="508"/>
      <c r="J349" s="555"/>
      <c r="K349" s="555"/>
      <c r="L349" s="911">
        <f ca="1">IFERROR(INDEX(Lists!$O$2:$Z$2,MATCH(TRUE,INDEX((AE349:AP349&lt;&gt;0),0),0)),DATE(2018,1,1))</f>
        <v>43252</v>
      </c>
      <c r="M349" s="911">
        <f ca="1">IFERROR(INDEX(Lists!$O$3:$Z$3, VALUE(SUBSTITUTE(TEXT(ADDRESS(SUMPRODUCT(MAX((COLUMN(AE349:AP349)*(AE349:AP349&gt;0)))),1),),"$A$",""))-30),DATE(2018,1,1))</f>
        <v>43281</v>
      </c>
      <c r="N349" s="508"/>
      <c r="O349" s="508"/>
      <c r="P349" s="508"/>
      <c r="Q349" s="508"/>
      <c r="R349" s="508" t="str">
        <f t="shared" ca="1" si="149"/>
        <v>Geochemistry</v>
      </c>
      <c r="S349" s="508" t="str">
        <f t="shared" ca="1" si="150"/>
        <v>Nauches (14 days, 80 USD @ day)</v>
      </c>
      <c r="T349" s="508" t="str">
        <f t="shared" ca="1" si="151"/>
        <v>Geology Staff (3)</v>
      </c>
      <c r="U349" s="508" t="str">
        <f t="shared" ca="1" si="152"/>
        <v>687 / 51-11-3052</v>
      </c>
      <c r="V349" s="508">
        <f t="shared" ca="1" si="153"/>
        <v>0</v>
      </c>
      <c r="W349" s="508">
        <f t="shared" ca="1" si="154"/>
        <v>0</v>
      </c>
      <c r="X349" s="508">
        <f t="shared" ca="1" si="155"/>
        <v>0</v>
      </c>
      <c r="Y349" s="508">
        <f t="shared" ca="1" si="156"/>
        <v>0</v>
      </c>
      <c r="Z349" s="508">
        <f t="shared" ca="1" si="157"/>
        <v>0</v>
      </c>
      <c r="AA349" s="508" t="str">
        <f t="shared" ca="1" si="158"/>
        <v>Jun</v>
      </c>
      <c r="AB349" s="508">
        <f t="shared" ca="1" si="147"/>
        <v>1</v>
      </c>
      <c r="AC349" s="508">
        <f t="shared" ca="1" si="159"/>
        <v>0</v>
      </c>
      <c r="AD349" s="912">
        <f t="shared" ca="1" si="160"/>
        <v>20625</v>
      </c>
      <c r="AE349" s="512">
        <f t="shared" ca="1" si="161"/>
        <v>0</v>
      </c>
      <c r="AF349" s="512">
        <f t="shared" ca="1" si="162"/>
        <v>0</v>
      </c>
      <c r="AG349" s="512">
        <f t="shared" ca="1" si="163"/>
        <v>0</v>
      </c>
      <c r="AH349" s="512">
        <f t="shared" ca="1" si="164"/>
        <v>0</v>
      </c>
      <c r="AI349" s="512">
        <f t="shared" ca="1" si="165"/>
        <v>0</v>
      </c>
      <c r="AJ349" s="512">
        <f t="shared" ca="1" si="166"/>
        <v>20625</v>
      </c>
      <c r="AK349" s="512">
        <f t="shared" ca="1" si="167"/>
        <v>0</v>
      </c>
      <c r="AL349" s="512">
        <f t="shared" ca="1" si="168"/>
        <v>0</v>
      </c>
      <c r="AM349" s="512">
        <f t="shared" ca="1" si="169"/>
        <v>0</v>
      </c>
      <c r="AN349" s="512">
        <f t="shared" ca="1" si="170"/>
        <v>0</v>
      </c>
      <c r="AO349" s="512">
        <f t="shared" ca="1" si="171"/>
        <v>0</v>
      </c>
      <c r="AP349" s="512">
        <f t="shared" ca="1" si="172"/>
        <v>0</v>
      </c>
      <c r="AQ349" s="512" t="str">
        <f t="shared" si="173"/>
        <v/>
      </c>
      <c r="AR349" s="512"/>
      <c r="AS349" s="512" t="str">
        <f t="shared" si="174"/>
        <v/>
      </c>
      <c r="AT349" s="151">
        <f t="shared" si="175"/>
        <v>0</v>
      </c>
      <c r="AU349" s="151">
        <f>IFERROR(VLOOKUP(A349,'[7]TD CuentasBDG'!$N$5:$O$21,2,0),0)</f>
        <v>0</v>
      </c>
      <c r="AV349">
        <f t="shared" si="176"/>
        <v>0</v>
      </c>
    </row>
    <row r="350" spans="1:50" ht="45" x14ac:dyDescent="0.25">
      <c r="A350" s="508" t="s">
        <v>2191</v>
      </c>
      <c r="B350" s="508" t="s">
        <v>197</v>
      </c>
      <c r="C350" s="508" t="s">
        <v>146</v>
      </c>
      <c r="D350" s="508" t="s">
        <v>146</v>
      </c>
      <c r="E350" s="508"/>
      <c r="F350" s="508"/>
      <c r="G350" s="508" t="s">
        <v>1665</v>
      </c>
      <c r="H350" s="508"/>
      <c r="I350" s="508"/>
      <c r="J350" s="555"/>
      <c r="K350" s="555"/>
      <c r="L350" s="911">
        <f ca="1">IFERROR(INDEX(Lists!$O$2:$Z$2,MATCH(TRUE,INDEX((AE350:AP350&lt;&gt;0),0),0)),DATE(2018,1,1))</f>
        <v>43132</v>
      </c>
      <c r="M350" s="911">
        <f ca="1">IFERROR(INDEX(Lists!$O$3:$Z$3, VALUE(SUBSTITUTE(TEXT(ADDRESS(SUMPRODUCT(MAX((COLUMN(AE350:AP350)*(AE350:AP350&gt;0)))),1),),"$A$",""))-30),DATE(2018,1,1))</f>
        <v>43220</v>
      </c>
      <c r="N350" s="508"/>
      <c r="O350" s="508"/>
      <c r="P350" s="508"/>
      <c r="Q350" s="508"/>
      <c r="R350" s="508" t="str">
        <f t="shared" ca="1" si="149"/>
        <v>Geochemistry</v>
      </c>
      <c r="S350" s="508" t="str">
        <f t="shared" ca="1" si="150"/>
        <v>Cerro Colorado (14 day, 375 samples, 55 USD)</v>
      </c>
      <c r="T350" s="508" t="str">
        <f t="shared" ca="1" si="151"/>
        <v>Geology Staff (3)</v>
      </c>
      <c r="U350" s="508" t="str">
        <f t="shared" ca="1" si="152"/>
        <v>687 / 51-11-3052</v>
      </c>
      <c r="V350" s="508">
        <f t="shared" ca="1" si="153"/>
        <v>0</v>
      </c>
      <c r="W350" s="508">
        <f t="shared" ca="1" si="154"/>
        <v>0</v>
      </c>
      <c r="X350" s="508">
        <f t="shared" ca="1" si="155"/>
        <v>0</v>
      </c>
      <c r="Y350" s="508">
        <f t="shared" ca="1" si="156"/>
        <v>0</v>
      </c>
      <c r="Z350" s="508">
        <f t="shared" ca="1" si="157"/>
        <v>0</v>
      </c>
      <c r="AA350" s="508" t="str">
        <f t="shared" ca="1" si="158"/>
        <v>Ene</v>
      </c>
      <c r="AB350" s="508">
        <f t="shared" ca="1" si="147"/>
        <v>3</v>
      </c>
      <c r="AC350" s="508">
        <f t="shared" ca="1" si="159"/>
        <v>0</v>
      </c>
      <c r="AD350" s="912">
        <f t="shared" ca="1" si="160"/>
        <v>20624.999999999985</v>
      </c>
      <c r="AE350" s="512">
        <f t="shared" ca="1" si="161"/>
        <v>0</v>
      </c>
      <c r="AF350" s="512">
        <f t="shared" ca="1" si="162"/>
        <v>6874.9999999999927</v>
      </c>
      <c r="AG350" s="512">
        <f t="shared" ca="1" si="163"/>
        <v>6874.9999999999927</v>
      </c>
      <c r="AH350" s="512">
        <f t="shared" ca="1" si="164"/>
        <v>6875</v>
      </c>
      <c r="AI350" s="512">
        <f t="shared" ca="1" si="165"/>
        <v>0</v>
      </c>
      <c r="AJ350" s="512">
        <f t="shared" ca="1" si="166"/>
        <v>0</v>
      </c>
      <c r="AK350" s="512">
        <f t="shared" ca="1" si="167"/>
        <v>0</v>
      </c>
      <c r="AL350" s="512">
        <f t="shared" ca="1" si="168"/>
        <v>0</v>
      </c>
      <c r="AM350" s="512">
        <f t="shared" ca="1" si="169"/>
        <v>0</v>
      </c>
      <c r="AN350" s="512">
        <f t="shared" ca="1" si="170"/>
        <v>0</v>
      </c>
      <c r="AO350" s="512">
        <f t="shared" ca="1" si="171"/>
        <v>0</v>
      </c>
      <c r="AP350" s="512">
        <f t="shared" ca="1" si="172"/>
        <v>0</v>
      </c>
      <c r="AQ350" s="512" t="str">
        <f t="shared" si="173"/>
        <v/>
      </c>
      <c r="AR350" s="512"/>
      <c r="AS350" s="512" t="str">
        <f t="shared" si="174"/>
        <v/>
      </c>
      <c r="AT350" s="151">
        <f t="shared" si="175"/>
        <v>0</v>
      </c>
      <c r="AU350" s="151">
        <f>IFERROR(VLOOKUP(A350,'[7]TD CuentasBDG'!$N$5:$O$21,2,0),0)</f>
        <v>0</v>
      </c>
      <c r="AV350">
        <f t="shared" si="176"/>
        <v>0</v>
      </c>
    </row>
    <row r="351" spans="1:50" ht="30" x14ac:dyDescent="0.25">
      <c r="A351" s="508" t="s">
        <v>2192</v>
      </c>
      <c r="B351" s="508" t="s">
        <v>197</v>
      </c>
      <c r="C351" s="508" t="s">
        <v>146</v>
      </c>
      <c r="D351" s="508" t="s">
        <v>146</v>
      </c>
      <c r="E351" s="508"/>
      <c r="F351" s="508"/>
      <c r="G351" s="508" t="s">
        <v>1665</v>
      </c>
      <c r="H351" s="508"/>
      <c r="I351" s="508"/>
      <c r="J351" s="555"/>
      <c r="K351" s="555"/>
      <c r="L351" s="911">
        <f ca="1">IFERROR(INDEX(Lists!$O$2:$Z$2,MATCH(TRUE,INDEX((AE351:AP351&lt;&gt;0),0),0)),DATE(2018,1,1))</f>
        <v>43132</v>
      </c>
      <c r="M351" s="911">
        <f ca="1">IFERROR(INDEX(Lists!$O$3:$Z$3, VALUE(SUBSTITUTE(TEXT(ADDRESS(SUMPRODUCT(MAX((COLUMN(AE351:AP351)*(AE351:AP351&gt;0)))),1),),"$A$",""))-30),DATE(2018,1,1))</f>
        <v>43220</v>
      </c>
      <c r="N351" s="508"/>
      <c r="O351" s="508"/>
      <c r="P351" s="508"/>
      <c r="Q351" s="508"/>
      <c r="R351" s="508" t="str">
        <f t="shared" ca="1" si="149"/>
        <v>Geochemistry</v>
      </c>
      <c r="S351" s="508" t="str">
        <f t="shared" ca="1" si="150"/>
        <v>Cantarito (14 days, 375 samples)</v>
      </c>
      <c r="T351" s="508" t="str">
        <f t="shared" ca="1" si="151"/>
        <v>Geology Staff (3)</v>
      </c>
      <c r="U351" s="508" t="str">
        <f t="shared" ca="1" si="152"/>
        <v>687 / 51-11-3052</v>
      </c>
      <c r="V351" s="508">
        <f t="shared" ca="1" si="153"/>
        <v>0</v>
      </c>
      <c r="W351" s="508">
        <f t="shared" ca="1" si="154"/>
        <v>0</v>
      </c>
      <c r="X351" s="508">
        <f t="shared" ca="1" si="155"/>
        <v>0</v>
      </c>
      <c r="Y351" s="508">
        <f t="shared" ca="1" si="156"/>
        <v>0</v>
      </c>
      <c r="Z351" s="508">
        <f t="shared" ca="1" si="157"/>
        <v>0</v>
      </c>
      <c r="AA351" s="508" t="str">
        <f t="shared" ca="1" si="158"/>
        <v>Ene</v>
      </c>
      <c r="AB351" s="508">
        <f t="shared" ca="1" si="147"/>
        <v>3</v>
      </c>
      <c r="AC351" s="914">
        <v>12</v>
      </c>
      <c r="AD351" s="912">
        <f t="shared" ca="1" si="160"/>
        <v>20624.999999999985</v>
      </c>
      <c r="AE351" s="512">
        <f t="shared" ca="1" si="161"/>
        <v>0</v>
      </c>
      <c r="AF351" s="512">
        <f t="shared" ca="1" si="162"/>
        <v>6874.9999999999927</v>
      </c>
      <c r="AG351" s="512">
        <f t="shared" ca="1" si="163"/>
        <v>6874.9999999999927</v>
      </c>
      <c r="AH351" s="512">
        <f t="shared" ca="1" si="164"/>
        <v>6875</v>
      </c>
      <c r="AI351" s="512">
        <f t="shared" ca="1" si="165"/>
        <v>0</v>
      </c>
      <c r="AJ351" s="512">
        <f t="shared" ca="1" si="166"/>
        <v>0</v>
      </c>
      <c r="AK351" s="512">
        <f t="shared" ca="1" si="167"/>
        <v>0</v>
      </c>
      <c r="AL351" s="512">
        <f t="shared" ca="1" si="168"/>
        <v>0</v>
      </c>
      <c r="AM351" s="512">
        <f t="shared" ca="1" si="169"/>
        <v>0</v>
      </c>
      <c r="AN351" s="512">
        <f t="shared" ca="1" si="170"/>
        <v>0</v>
      </c>
      <c r="AO351" s="512">
        <f t="shared" ca="1" si="171"/>
        <v>0</v>
      </c>
      <c r="AP351" s="512">
        <f t="shared" ca="1" si="172"/>
        <v>0</v>
      </c>
      <c r="AQ351" s="512" t="str">
        <f t="shared" si="173"/>
        <v/>
      </c>
      <c r="AR351" s="512"/>
      <c r="AS351" s="512" t="str">
        <f t="shared" si="174"/>
        <v/>
      </c>
      <c r="AT351" s="151">
        <f t="shared" si="175"/>
        <v>0</v>
      </c>
      <c r="AU351" s="151">
        <f>IFERROR(VLOOKUP(A351,'[7]TD CuentasBDG'!$N$5:$O$21,2,0),0)</f>
        <v>0</v>
      </c>
      <c r="AV351">
        <f t="shared" si="176"/>
        <v>0</v>
      </c>
    </row>
    <row r="352" spans="1:50" ht="30" x14ac:dyDescent="0.25">
      <c r="A352" s="508" t="s">
        <v>2193</v>
      </c>
      <c r="B352" s="508" t="s">
        <v>197</v>
      </c>
      <c r="C352" s="508" t="s">
        <v>146</v>
      </c>
      <c r="D352" s="508" t="s">
        <v>146</v>
      </c>
      <c r="E352" s="508"/>
      <c r="F352" s="508"/>
      <c r="G352" s="508" t="s">
        <v>1665</v>
      </c>
      <c r="H352" s="508"/>
      <c r="I352" s="508"/>
      <c r="J352" s="555"/>
      <c r="K352" s="555"/>
      <c r="L352" s="911">
        <f ca="1">IFERROR(INDEX(Lists!$O$2:$Z$2,MATCH(TRUE,INDEX((AE352:AP352&lt;&gt;0),0),0)),DATE(2018,1,1))</f>
        <v>43252</v>
      </c>
      <c r="M352" s="911">
        <f ca="1">IFERROR(INDEX(Lists!$O$3:$Z$3, VALUE(SUBSTITUTE(TEXT(ADDRESS(SUMPRODUCT(MAX((COLUMN(AE352:AP352)*(AE352:AP352&gt;0)))),1),),"$A$",""))-30),DATE(2018,1,1))</f>
        <v>43343</v>
      </c>
      <c r="N352" s="508"/>
      <c r="O352" s="508"/>
      <c r="P352" s="508"/>
      <c r="Q352" s="508"/>
      <c r="R352" s="508" t="str">
        <f t="shared" ca="1" si="149"/>
        <v>Geochemistry</v>
      </c>
      <c r="S352" s="508" t="str">
        <f t="shared" ca="1" si="150"/>
        <v>El Morro Compilation (14 day, 375 samples)</v>
      </c>
      <c r="T352" s="508" t="str">
        <f t="shared" ca="1" si="151"/>
        <v>Geology Staff (3)</v>
      </c>
      <c r="U352" s="508" t="str">
        <f t="shared" ca="1" si="152"/>
        <v>687 / 51-11-3052</v>
      </c>
      <c r="V352" s="508">
        <f t="shared" ca="1" si="153"/>
        <v>0</v>
      </c>
      <c r="W352" s="508">
        <f t="shared" ca="1" si="154"/>
        <v>0</v>
      </c>
      <c r="X352" s="508">
        <f t="shared" ca="1" si="155"/>
        <v>0</v>
      </c>
      <c r="Y352" s="508">
        <f t="shared" ca="1" si="156"/>
        <v>0</v>
      </c>
      <c r="Z352" s="508">
        <f t="shared" ca="1" si="157"/>
        <v>0</v>
      </c>
      <c r="AA352" s="508" t="str">
        <f t="shared" ca="1" si="158"/>
        <v>Ene</v>
      </c>
      <c r="AB352" s="508">
        <f t="shared" ca="1" si="147"/>
        <v>3</v>
      </c>
      <c r="AC352" s="508">
        <f t="shared" ca="1" si="159"/>
        <v>0</v>
      </c>
      <c r="AD352" s="912">
        <f t="shared" ca="1" si="160"/>
        <v>20624.999999999978</v>
      </c>
      <c r="AE352" s="512">
        <f t="shared" ca="1" si="161"/>
        <v>0</v>
      </c>
      <c r="AF352" s="512">
        <f t="shared" ca="1" si="162"/>
        <v>0</v>
      </c>
      <c r="AG352" s="512">
        <f t="shared" ca="1" si="163"/>
        <v>0</v>
      </c>
      <c r="AH352" s="512">
        <f t="shared" ca="1" si="164"/>
        <v>0</v>
      </c>
      <c r="AI352" s="512">
        <f t="shared" ca="1" si="165"/>
        <v>0</v>
      </c>
      <c r="AJ352" s="512">
        <f t="shared" ca="1" si="166"/>
        <v>6874.9999999999927</v>
      </c>
      <c r="AK352" s="512">
        <f t="shared" ca="1" si="167"/>
        <v>6874.9999999999927</v>
      </c>
      <c r="AL352" s="512">
        <f t="shared" ca="1" si="168"/>
        <v>6874.9999999999927</v>
      </c>
      <c r="AM352" s="512">
        <f t="shared" ca="1" si="169"/>
        <v>0</v>
      </c>
      <c r="AN352" s="512">
        <f t="shared" ca="1" si="170"/>
        <v>0</v>
      </c>
      <c r="AO352" s="512">
        <f t="shared" ca="1" si="171"/>
        <v>0</v>
      </c>
      <c r="AP352" s="512">
        <f t="shared" ca="1" si="172"/>
        <v>0</v>
      </c>
      <c r="AQ352" s="512" t="str">
        <f t="shared" si="173"/>
        <v/>
      </c>
      <c r="AR352" s="512"/>
      <c r="AS352" s="512" t="str">
        <f t="shared" si="174"/>
        <v/>
      </c>
      <c r="AT352" s="151">
        <f t="shared" si="175"/>
        <v>0</v>
      </c>
      <c r="AU352" s="151">
        <f>IFERROR(VLOOKUP(A352,'[7]TD CuentasBDG'!$N$5:$O$21,2,0),0)</f>
        <v>0</v>
      </c>
      <c r="AV352">
        <f t="shared" si="176"/>
        <v>0</v>
      </c>
    </row>
    <row r="353" spans="1:50" ht="45" x14ac:dyDescent="0.25">
      <c r="A353" s="508" t="s">
        <v>2194</v>
      </c>
      <c r="B353" s="508" t="s">
        <v>197</v>
      </c>
      <c r="C353" s="508" t="s">
        <v>146</v>
      </c>
      <c r="D353" s="508" t="s">
        <v>146</v>
      </c>
      <c r="E353" s="508"/>
      <c r="F353" s="508"/>
      <c r="G353" s="508" t="s">
        <v>1665</v>
      </c>
      <c r="H353" s="508"/>
      <c r="I353" s="508"/>
      <c r="J353" s="555"/>
      <c r="K353" s="555"/>
      <c r="L353" s="911">
        <f ca="1">IFERROR(INDEX(Lists!$O$2:$Z$2,MATCH(TRUE,INDEX((AE353:AP353&lt;&gt;0),0),0)),DATE(2018,1,1))</f>
        <v>43191</v>
      </c>
      <c r="M353" s="911">
        <f ca="1">IFERROR(INDEX(Lists!$O$3:$Z$3, VALUE(SUBSTITUTE(TEXT(ADDRESS(SUMPRODUCT(MAX((COLUMN(AE353:AP353)*(AE353:AP353&gt;0)))),1),),"$A$",""))-30),DATE(2018,1,1))</f>
        <v>43251</v>
      </c>
      <c r="N353" s="508"/>
      <c r="O353" s="508"/>
      <c r="P353" s="508"/>
      <c r="Q353" s="508"/>
      <c r="R353" s="508" t="str">
        <f t="shared" ca="1" si="149"/>
        <v>Geochemistry</v>
      </c>
      <c r="S353" s="508" t="str">
        <f t="shared" ca="1" si="150"/>
        <v>Geochemist Data Compilation and Review</v>
      </c>
      <c r="T353" s="508" t="str">
        <f t="shared" ca="1" si="151"/>
        <v>Geochemist, Teck Santiago or Vancouver</v>
      </c>
      <c r="U353" s="508" t="str">
        <f t="shared" ca="1" si="152"/>
        <v>687 / 51-11-3052</v>
      </c>
      <c r="V353" s="508">
        <f t="shared" ca="1" si="153"/>
        <v>0</v>
      </c>
      <c r="W353" s="508">
        <f t="shared" ca="1" si="154"/>
        <v>0</v>
      </c>
      <c r="X353" s="508">
        <f t="shared" ca="1" si="155"/>
        <v>0</v>
      </c>
      <c r="Y353" s="508">
        <f t="shared" ca="1" si="156"/>
        <v>0</v>
      </c>
      <c r="Z353" s="508">
        <f t="shared" ca="1" si="157"/>
        <v>0</v>
      </c>
      <c r="AA353" s="508" t="str">
        <f t="shared" ca="1" si="158"/>
        <v>Abr</v>
      </c>
      <c r="AB353" s="508">
        <f t="shared" ca="1" si="147"/>
        <v>2</v>
      </c>
      <c r="AC353" s="914">
        <v>12</v>
      </c>
      <c r="AD353" s="912">
        <f t="shared" ca="1" si="160"/>
        <v>16800</v>
      </c>
      <c r="AE353" s="512">
        <f t="shared" ca="1" si="161"/>
        <v>0</v>
      </c>
      <c r="AF353" s="512">
        <f t="shared" ca="1" si="162"/>
        <v>0</v>
      </c>
      <c r="AG353" s="512">
        <f t="shared" ca="1" si="163"/>
        <v>0</v>
      </c>
      <c r="AH353" s="512">
        <f t="shared" ca="1" si="164"/>
        <v>8400</v>
      </c>
      <c r="AI353" s="512">
        <f t="shared" ca="1" si="165"/>
        <v>8400</v>
      </c>
      <c r="AJ353" s="512">
        <f t="shared" ca="1" si="166"/>
        <v>0</v>
      </c>
      <c r="AK353" s="512">
        <f t="shared" ca="1" si="167"/>
        <v>0</v>
      </c>
      <c r="AL353" s="512">
        <f t="shared" ca="1" si="168"/>
        <v>0</v>
      </c>
      <c r="AM353" s="512">
        <f t="shared" ca="1" si="169"/>
        <v>0</v>
      </c>
      <c r="AN353" s="512">
        <f t="shared" ca="1" si="170"/>
        <v>0</v>
      </c>
      <c r="AO353" s="512">
        <f t="shared" ca="1" si="171"/>
        <v>0</v>
      </c>
      <c r="AP353" s="512">
        <f t="shared" ca="1" si="172"/>
        <v>0</v>
      </c>
      <c r="AQ353" s="512" t="str">
        <f t="shared" si="173"/>
        <v/>
      </c>
      <c r="AR353" s="512"/>
      <c r="AS353" s="512" t="str">
        <f t="shared" si="174"/>
        <v/>
      </c>
      <c r="AT353" s="151">
        <f t="shared" si="175"/>
        <v>0</v>
      </c>
      <c r="AU353" s="151">
        <f>IFERROR(VLOOKUP(A353,'[7]TD CuentasBDG'!$N$5:$O$21,2,0),0)</f>
        <v>0</v>
      </c>
      <c r="AV353">
        <f t="shared" si="176"/>
        <v>0</v>
      </c>
    </row>
    <row r="354" spans="1:50" ht="45" x14ac:dyDescent="0.25">
      <c r="A354" s="508" t="s">
        <v>2195</v>
      </c>
      <c r="B354" s="508" t="s">
        <v>197</v>
      </c>
      <c r="C354" s="508" t="s">
        <v>146</v>
      </c>
      <c r="D354" s="508" t="s">
        <v>146</v>
      </c>
      <c r="E354" s="508"/>
      <c r="F354" s="508"/>
      <c r="G354" s="508" t="s">
        <v>1665</v>
      </c>
      <c r="H354" s="508"/>
      <c r="I354" s="508"/>
      <c r="J354" s="555"/>
      <c r="K354" s="555"/>
      <c r="L354" s="911">
        <f ca="1">IFERROR(INDEX(Lists!$O$2:$Z$2,MATCH(TRUE,INDEX((AE354:AP354&lt;&gt;0),0),0)),DATE(2018,1,1))</f>
        <v>43132</v>
      </c>
      <c r="M354" s="911">
        <f ca="1">IFERROR(INDEX(Lists!$O$3:$Z$3, VALUE(SUBSTITUTE(TEXT(ADDRESS(SUMPRODUCT(MAX((COLUMN(AE354:AP354)*(AE354:AP354&gt;0)))),1),),"$A$",""))-30),DATE(2018,1,1))</f>
        <v>43434</v>
      </c>
      <c r="N354" s="508"/>
      <c r="O354" s="508"/>
      <c r="P354" s="508"/>
      <c r="Q354" s="508"/>
      <c r="R354" s="508" t="str">
        <f t="shared" ca="1" si="149"/>
        <v>District Target Review and Evaluations</v>
      </c>
      <c r="S354" s="508" t="str">
        <f t="shared" ca="1" si="150"/>
        <v>2 Submittals (Field Visit, incl sampling)</v>
      </c>
      <c r="T354" s="508" t="str">
        <f t="shared" ca="1" si="151"/>
        <v>Geology Staff (2)</v>
      </c>
      <c r="U354" s="508" t="str">
        <f t="shared" ca="1" si="152"/>
        <v>687 / 51-11-3052</v>
      </c>
      <c r="V354" s="508">
        <f t="shared" ca="1" si="153"/>
        <v>0</v>
      </c>
      <c r="W354" s="508">
        <f t="shared" ca="1" si="154"/>
        <v>0</v>
      </c>
      <c r="X354" s="508">
        <f t="shared" ca="1" si="155"/>
        <v>0</v>
      </c>
      <c r="Y354" s="508">
        <f t="shared" ca="1" si="156"/>
        <v>0</v>
      </c>
      <c r="Z354" s="508">
        <f t="shared" ca="1" si="157"/>
        <v>0</v>
      </c>
      <c r="AA354" s="508" t="str">
        <f t="shared" ca="1" si="158"/>
        <v>Feb</v>
      </c>
      <c r="AB354" s="508">
        <f t="shared" ca="1" si="147"/>
        <v>10</v>
      </c>
      <c r="AC354" s="508">
        <f t="shared" ca="1" si="159"/>
        <v>0</v>
      </c>
      <c r="AD354" s="912">
        <f t="shared" ca="1" si="160"/>
        <v>10000</v>
      </c>
      <c r="AE354" s="512">
        <f t="shared" ca="1" si="161"/>
        <v>0</v>
      </c>
      <c r="AF354" s="512">
        <f t="shared" ca="1" si="162"/>
        <v>1000</v>
      </c>
      <c r="AG354" s="512">
        <f t="shared" ca="1" si="163"/>
        <v>1000</v>
      </c>
      <c r="AH354" s="512">
        <f t="shared" ca="1" si="164"/>
        <v>1000</v>
      </c>
      <c r="AI354" s="512">
        <f t="shared" ca="1" si="165"/>
        <v>1000</v>
      </c>
      <c r="AJ354" s="512">
        <f t="shared" ca="1" si="166"/>
        <v>1000</v>
      </c>
      <c r="AK354" s="512">
        <f t="shared" ca="1" si="167"/>
        <v>1000</v>
      </c>
      <c r="AL354" s="512">
        <f t="shared" ca="1" si="168"/>
        <v>1000</v>
      </c>
      <c r="AM354" s="512">
        <f t="shared" ca="1" si="169"/>
        <v>1000</v>
      </c>
      <c r="AN354" s="512">
        <f t="shared" ca="1" si="170"/>
        <v>1000</v>
      </c>
      <c r="AO354" s="512">
        <f t="shared" ca="1" si="171"/>
        <v>1000</v>
      </c>
      <c r="AP354" s="512">
        <f t="shared" ca="1" si="172"/>
        <v>0</v>
      </c>
      <c r="AQ354" s="512" t="str">
        <f t="shared" si="173"/>
        <v/>
      </c>
      <c r="AR354" s="512"/>
      <c r="AS354" s="512" t="str">
        <f t="shared" si="174"/>
        <v/>
      </c>
      <c r="AT354" s="151">
        <f t="shared" si="175"/>
        <v>0</v>
      </c>
      <c r="AU354" s="151">
        <f>IFERROR(VLOOKUP(A354,'[7]TD CuentasBDG'!$N$5:$O$21,2,0),0)</f>
        <v>0</v>
      </c>
      <c r="AV354">
        <f t="shared" si="176"/>
        <v>0</v>
      </c>
    </row>
    <row r="355" spans="1:50" ht="45" x14ac:dyDescent="0.25">
      <c r="A355" s="508" t="s">
        <v>2196</v>
      </c>
      <c r="B355" s="508" t="s">
        <v>197</v>
      </c>
      <c r="C355" s="508" t="s">
        <v>146</v>
      </c>
      <c r="D355" s="508" t="s">
        <v>146</v>
      </c>
      <c r="E355" s="508"/>
      <c r="F355" s="508"/>
      <c r="G355" s="508" t="s">
        <v>1665</v>
      </c>
      <c r="H355" s="508"/>
      <c r="I355" s="508"/>
      <c r="J355" s="555"/>
      <c r="K355" s="555"/>
      <c r="L355" s="911">
        <f ca="1">IFERROR(INDEX(Lists!$O$2:$Z$2,MATCH(TRUE,INDEX((AE355:AP355&lt;&gt;0),0),0)),DATE(2018,1,1))</f>
        <v>43132</v>
      </c>
      <c r="M355" s="911">
        <f ca="1">IFERROR(INDEX(Lists!$O$3:$Z$3, VALUE(SUBSTITUTE(TEXT(ADDRESS(SUMPRODUCT(MAX((COLUMN(AE355:AP355)*(AE355:AP355&gt;0)))),1),),"$A$",""))-30),DATE(2018,1,1))</f>
        <v>43159</v>
      </c>
      <c r="N355" s="508"/>
      <c r="O355" s="508"/>
      <c r="P355" s="508"/>
      <c r="Q355" s="508"/>
      <c r="R355" s="508" t="str">
        <f t="shared" ca="1" si="149"/>
        <v>District Target Review and Evaluations</v>
      </c>
      <c r="S355" s="508" t="str">
        <f t="shared" ca="1" si="150"/>
        <v xml:space="preserve">Target Field Review </v>
      </c>
      <c r="T355" s="508" t="str">
        <f t="shared" ca="1" si="151"/>
        <v>Geology Staff (2)</v>
      </c>
      <c r="U355" s="508" t="str">
        <f t="shared" ca="1" si="152"/>
        <v>687 / 51-11-3052</v>
      </c>
      <c r="V355" s="508">
        <f t="shared" ca="1" si="153"/>
        <v>0</v>
      </c>
      <c r="W355" s="508">
        <f t="shared" ca="1" si="154"/>
        <v>0</v>
      </c>
      <c r="X355" s="508">
        <f t="shared" ca="1" si="155"/>
        <v>0</v>
      </c>
      <c r="Y355" s="508">
        <f t="shared" ca="1" si="156"/>
        <v>0</v>
      </c>
      <c r="Z355" s="508">
        <f t="shared" ca="1" si="157"/>
        <v>0</v>
      </c>
      <c r="AA355" s="508" t="str">
        <f t="shared" ca="1" si="158"/>
        <v>Feb</v>
      </c>
      <c r="AB355" s="508">
        <f t="shared" ca="1" si="147"/>
        <v>1</v>
      </c>
      <c r="AC355" s="508">
        <f t="shared" ca="1" si="159"/>
        <v>0</v>
      </c>
      <c r="AD355" s="912">
        <f t="shared" ca="1" si="160"/>
        <v>5000</v>
      </c>
      <c r="AE355" s="512">
        <f t="shared" ca="1" si="161"/>
        <v>0</v>
      </c>
      <c r="AF355" s="512">
        <f t="shared" ca="1" si="162"/>
        <v>5000</v>
      </c>
      <c r="AG355" s="512">
        <f t="shared" ca="1" si="163"/>
        <v>0</v>
      </c>
      <c r="AH355" s="512">
        <f t="shared" ca="1" si="164"/>
        <v>0</v>
      </c>
      <c r="AI355" s="512">
        <f t="shared" ca="1" si="165"/>
        <v>0</v>
      </c>
      <c r="AJ355" s="512">
        <f t="shared" ca="1" si="166"/>
        <v>0</v>
      </c>
      <c r="AK355" s="512">
        <f t="shared" ca="1" si="167"/>
        <v>0</v>
      </c>
      <c r="AL355" s="512">
        <f t="shared" ca="1" si="168"/>
        <v>0</v>
      </c>
      <c r="AM355" s="512">
        <f t="shared" ca="1" si="169"/>
        <v>0</v>
      </c>
      <c r="AN355" s="512">
        <f t="shared" ca="1" si="170"/>
        <v>0</v>
      </c>
      <c r="AO355" s="512">
        <f t="shared" ca="1" si="171"/>
        <v>0</v>
      </c>
      <c r="AP355" s="512">
        <f t="shared" ca="1" si="172"/>
        <v>0</v>
      </c>
      <c r="AQ355" s="512" t="str">
        <f t="shared" si="173"/>
        <v/>
      </c>
      <c r="AR355" s="512"/>
      <c r="AS355" s="512" t="str">
        <f t="shared" si="174"/>
        <v/>
      </c>
      <c r="AT355" s="151">
        <f t="shared" si="175"/>
        <v>0</v>
      </c>
      <c r="AU355" s="151">
        <f>IFERROR(VLOOKUP(A355,'[7]TD CuentasBDG'!$N$5:$O$21,2,0),0)</f>
        <v>0</v>
      </c>
      <c r="AV355">
        <f t="shared" si="176"/>
        <v>0</v>
      </c>
    </row>
    <row r="356" spans="1:50" ht="90" x14ac:dyDescent="0.25">
      <c r="A356" s="508" t="s">
        <v>2197</v>
      </c>
      <c r="B356" s="508" t="s">
        <v>197</v>
      </c>
      <c r="C356" s="508" t="s">
        <v>146</v>
      </c>
      <c r="D356" s="508" t="s">
        <v>146</v>
      </c>
      <c r="E356" s="508"/>
      <c r="F356" s="508"/>
      <c r="G356" s="508" t="s">
        <v>1647</v>
      </c>
      <c r="H356" s="508" t="s">
        <v>578</v>
      </c>
      <c r="I356" s="508" t="s">
        <v>2198</v>
      </c>
      <c r="J356" s="555" t="s">
        <v>1650</v>
      </c>
      <c r="K356" s="555" t="s">
        <v>1651</v>
      </c>
      <c r="L356" s="911">
        <f ca="1">IFERROR(INDEX(Lists!$O$2:$Z$2,MATCH(TRUE,INDEX((AE356:AP356&lt;&gt;0),0),0)),DATE(2018,1,1))</f>
        <v>43160</v>
      </c>
      <c r="M356" s="911">
        <f ca="1">IFERROR(INDEX(Lists!$O$3:$Z$3, VALUE(SUBSTITUTE(TEXT(ADDRESS(SUMPRODUCT(MAX((COLUMN(AE356:AP356)*(AE356:AP356&gt;0)))),1),),"$A$",""))-30),DATE(2018,1,1))</f>
        <v>43343</v>
      </c>
      <c r="N356" s="508" t="s">
        <v>1683</v>
      </c>
      <c r="O356" s="508" t="s">
        <v>1653</v>
      </c>
      <c r="P356" s="508" t="s">
        <v>1071</v>
      </c>
      <c r="Q356" s="508" t="s">
        <v>1676</v>
      </c>
      <c r="R356" s="508" t="str">
        <f t="shared" ca="1" si="149"/>
        <v>Hyperspectral Core Scanning</v>
      </c>
      <c r="S356" s="508" t="str">
        <f t="shared" ca="1" si="150"/>
        <v>CoreScan - Phase 1  - La Fortuna
20% of LAF, or 16,750m @ 28.50 USD per meter (150m per day)</v>
      </c>
      <c r="T356" s="508" t="str">
        <f t="shared" ca="1" si="151"/>
        <v>CoreScan,  Geology Staff &amp; Helper (4 people, 5 months)</v>
      </c>
      <c r="U356" s="508" t="str">
        <f t="shared" ca="1" si="152"/>
        <v>687 / 51-11-3052</v>
      </c>
      <c r="V356" s="508">
        <f t="shared" ca="1" si="153"/>
        <v>0</v>
      </c>
      <c r="W356" s="508">
        <f t="shared" ca="1" si="154"/>
        <v>0</v>
      </c>
      <c r="X356" s="508">
        <f t="shared" ca="1" si="155"/>
        <v>0</v>
      </c>
      <c r="Y356" s="508">
        <f t="shared" ca="1" si="156"/>
        <v>0</v>
      </c>
      <c r="Z356" s="508">
        <f t="shared" ca="1" si="157"/>
        <v>0</v>
      </c>
      <c r="AA356" s="508" t="str">
        <f t="shared" ca="1" si="158"/>
        <v>Ene</v>
      </c>
      <c r="AB356" s="508">
        <f t="shared" ca="1" si="147"/>
        <v>6</v>
      </c>
      <c r="AC356" s="914">
        <v>12</v>
      </c>
      <c r="AD356" s="912">
        <f t="shared" ca="1" si="160"/>
        <v>509376</v>
      </c>
      <c r="AE356" s="512">
        <f t="shared" ca="1" si="161"/>
        <v>0</v>
      </c>
      <c r="AF356" s="512">
        <f t="shared" ca="1" si="162"/>
        <v>0</v>
      </c>
      <c r="AG356" s="512">
        <f t="shared" ca="1" si="163"/>
        <v>84896</v>
      </c>
      <c r="AH356" s="512">
        <f t="shared" ca="1" si="164"/>
        <v>84896</v>
      </c>
      <c r="AI356" s="512">
        <f t="shared" ca="1" si="165"/>
        <v>84896</v>
      </c>
      <c r="AJ356" s="512">
        <f t="shared" ca="1" si="166"/>
        <v>84896</v>
      </c>
      <c r="AK356" s="512">
        <f t="shared" ca="1" si="167"/>
        <v>84896</v>
      </c>
      <c r="AL356" s="512">
        <f t="shared" ca="1" si="168"/>
        <v>84896</v>
      </c>
      <c r="AM356" s="512">
        <f t="shared" ca="1" si="169"/>
        <v>0</v>
      </c>
      <c r="AN356" s="512">
        <f t="shared" ca="1" si="170"/>
        <v>0</v>
      </c>
      <c r="AO356" s="512">
        <f t="shared" ca="1" si="171"/>
        <v>0</v>
      </c>
      <c r="AP356" s="512">
        <f t="shared" ca="1" si="172"/>
        <v>0</v>
      </c>
      <c r="AQ356" s="512" t="str">
        <f t="shared" ca="1" si="173"/>
        <v>Contrato</v>
      </c>
      <c r="AR356" s="512"/>
      <c r="AS356" s="512" t="str">
        <f t="shared" ca="1" si="174"/>
        <v>Si</v>
      </c>
      <c r="AT356" s="151">
        <f t="shared" ca="1" si="175"/>
        <v>509376</v>
      </c>
      <c r="AU356" s="926">
        <f>IFERROR(VLOOKUP(A356,'[7]TD CuentasBDG'!$N$5:$O$21,2,0),0)</f>
        <v>0</v>
      </c>
      <c r="AV356" t="str">
        <f t="shared" si="176"/>
        <v>Adjudicación Directa</v>
      </c>
      <c r="AW356" s="927" t="s">
        <v>1669</v>
      </c>
      <c r="AX356" s="927" t="s">
        <v>1702</v>
      </c>
    </row>
    <row r="357" spans="1:50" ht="45" x14ac:dyDescent="0.25">
      <c r="A357" s="508" t="s">
        <v>2199</v>
      </c>
      <c r="B357" s="508" t="s">
        <v>197</v>
      </c>
      <c r="C357" s="508" t="s">
        <v>146</v>
      </c>
      <c r="D357" s="508" t="s">
        <v>146</v>
      </c>
      <c r="E357" s="508"/>
      <c r="F357" s="508" t="s">
        <v>2200</v>
      </c>
      <c r="G357" s="508" t="s">
        <v>1647</v>
      </c>
      <c r="H357" s="508" t="s">
        <v>1294</v>
      </c>
      <c r="I357" s="508" t="s">
        <v>2201</v>
      </c>
      <c r="J357" s="555" t="s">
        <v>1650</v>
      </c>
      <c r="K357" s="555" t="s">
        <v>1651</v>
      </c>
      <c r="L357" s="911">
        <f ca="1">IFERROR(INDEX(Lists!$O$2:$Z$2,MATCH(TRUE,INDEX((AE357:AP357&lt;&gt;0),0),0)),DATE(2018,1,1))</f>
        <v>43160</v>
      </c>
      <c r="M357" s="911">
        <f ca="1">IFERROR(INDEX(Lists!$O$3:$Z$3, VALUE(SUBSTITUTE(TEXT(ADDRESS(SUMPRODUCT(MAX((COLUMN(AE357:AP357)*(AE357:AP357&gt;0)))),1),),"$A$",""))-30),DATE(2018,1,1))</f>
        <v>43343</v>
      </c>
      <c r="N357" s="508" t="s">
        <v>1683</v>
      </c>
      <c r="O357" s="508" t="s">
        <v>1653</v>
      </c>
      <c r="P357" s="508" t="s">
        <v>1071</v>
      </c>
      <c r="Q357" s="508" t="s">
        <v>1676</v>
      </c>
      <c r="R357" s="508" t="str">
        <f t="shared" ca="1" si="149"/>
        <v>Pulo-re-assay Porgram for S (Relincho)</v>
      </c>
      <c r="S357" s="508" t="str">
        <f t="shared" ca="1" si="150"/>
        <v>Improvement fo S model for NAG/PAG</v>
      </c>
      <c r="T357" s="508" t="str">
        <f t="shared" ca="1" si="151"/>
        <v>ALS labwork, helpers for sampling and dispatch</v>
      </c>
      <c r="U357" s="508" t="str">
        <f t="shared" ca="1" si="152"/>
        <v>687 / 51-11-3052</v>
      </c>
      <c r="V357" s="508">
        <f t="shared" ca="1" si="153"/>
        <v>0</v>
      </c>
      <c r="W357" s="508">
        <f t="shared" ca="1" si="154"/>
        <v>0</v>
      </c>
      <c r="X357" s="508">
        <f t="shared" ca="1" si="155"/>
        <v>0</v>
      </c>
      <c r="Y357" s="508">
        <f t="shared" ca="1" si="156"/>
        <v>0</v>
      </c>
      <c r="Z357" s="508">
        <f t="shared" ca="1" si="157"/>
        <v>0</v>
      </c>
      <c r="AA357" s="508" t="str">
        <f t="shared" ca="1" si="158"/>
        <v>Jun</v>
      </c>
      <c r="AB357" s="508">
        <f t="shared" ca="1" si="147"/>
        <v>6</v>
      </c>
      <c r="AC357" s="508">
        <f t="shared" ca="1" si="159"/>
        <v>0</v>
      </c>
      <c r="AD357" s="912">
        <f t="shared" ca="1" si="160"/>
        <v>656001</v>
      </c>
      <c r="AE357" s="512">
        <f t="shared" ca="1" si="161"/>
        <v>0</v>
      </c>
      <c r="AF357" s="512">
        <f t="shared" ca="1" si="162"/>
        <v>0</v>
      </c>
      <c r="AG357" s="512">
        <f t="shared" ca="1" si="163"/>
        <v>109333.5</v>
      </c>
      <c r="AH357" s="512">
        <f t="shared" ca="1" si="164"/>
        <v>109333.5</v>
      </c>
      <c r="AI357" s="512">
        <f t="shared" ca="1" si="165"/>
        <v>109333.5</v>
      </c>
      <c r="AJ357" s="512">
        <f t="shared" ca="1" si="166"/>
        <v>109333.5</v>
      </c>
      <c r="AK357" s="512">
        <f t="shared" ca="1" si="167"/>
        <v>109333.5</v>
      </c>
      <c r="AL357" s="512">
        <f t="shared" ca="1" si="168"/>
        <v>109333.5</v>
      </c>
      <c r="AM357" s="512">
        <f t="shared" ca="1" si="169"/>
        <v>0</v>
      </c>
      <c r="AN357" s="512">
        <f t="shared" ca="1" si="170"/>
        <v>0</v>
      </c>
      <c r="AO357" s="512">
        <f t="shared" ca="1" si="171"/>
        <v>0</v>
      </c>
      <c r="AP357" s="512">
        <f t="shared" ca="1" si="172"/>
        <v>0</v>
      </c>
      <c r="AQ357" s="512" t="str">
        <f t="shared" ca="1" si="173"/>
        <v>Contrato</v>
      </c>
      <c r="AR357" s="512"/>
      <c r="AS357" s="512" t="str">
        <f t="shared" ca="1" si="174"/>
        <v>Si</v>
      </c>
      <c r="AT357" s="151">
        <f t="shared" ca="1" si="175"/>
        <v>656001</v>
      </c>
      <c r="AU357" s="926">
        <f>IFERROR(VLOOKUP(A357,'[7]TD CuentasBDG'!$N$5:$O$21,2,0),0)</f>
        <v>0</v>
      </c>
      <c r="AV357" t="str">
        <f t="shared" si="176"/>
        <v>Adjudicación Directa</v>
      </c>
      <c r="AW357" s="927" t="s">
        <v>2100</v>
      </c>
      <c r="AX357" s="927" t="s">
        <v>2202</v>
      </c>
    </row>
    <row r="358" spans="1:50" ht="30" x14ac:dyDescent="0.25">
      <c r="A358" s="508" t="s">
        <v>2203</v>
      </c>
      <c r="B358" s="508" t="s">
        <v>197</v>
      </c>
      <c r="C358" s="508" t="s">
        <v>146</v>
      </c>
      <c r="D358" s="508" t="s">
        <v>146</v>
      </c>
      <c r="E358" s="508"/>
      <c r="F358" s="508"/>
      <c r="G358" s="508" t="s">
        <v>1665</v>
      </c>
      <c r="H358" s="508"/>
      <c r="I358" s="508"/>
      <c r="J358" s="555"/>
      <c r="K358" s="555"/>
      <c r="L358" s="911">
        <f ca="1">IFERROR(INDEX(Lists!$O$2:$Z$2,MATCH(TRUE,INDEX((AE358:AP358&lt;&gt;0),0),0)),DATE(2018,1,1))</f>
        <v>43101</v>
      </c>
      <c r="M358" s="911">
        <f ca="1">IFERROR(INDEX(Lists!$O$3:$Z$3, VALUE(SUBSTITUTE(TEXT(ADDRESS(SUMPRODUCT(MAX((COLUMN(AE358:AP358)*(AE358:AP358&gt;0)))),1),),"$A$",""))-30),DATE(2018,1,1))</f>
        <v>43101</v>
      </c>
      <c r="N358" s="508"/>
      <c r="O358" s="508"/>
      <c r="P358" s="508"/>
      <c r="Q358" s="508"/>
      <c r="R358" s="508" t="str">
        <f t="shared" ca="1" si="149"/>
        <v>La Fortuna Deep</v>
      </c>
      <c r="S358" s="508" t="str">
        <f t="shared" ca="1" si="150"/>
        <v>Blockcave Study Support (t.b.d.)</v>
      </c>
      <c r="T358" s="508" t="str">
        <f t="shared" ca="1" si="151"/>
        <v>Geology Staff</v>
      </c>
      <c r="U358" s="508" t="str">
        <f t="shared" ca="1" si="152"/>
        <v>687 / 51-11-3052</v>
      </c>
      <c r="V358" s="508">
        <f t="shared" ca="1" si="153"/>
        <v>0</v>
      </c>
      <c r="W358" s="508">
        <f t="shared" ca="1" si="154"/>
        <v>0</v>
      </c>
      <c r="X358" s="508">
        <f t="shared" ca="1" si="155"/>
        <v>0</v>
      </c>
      <c r="Y358" s="508">
        <f t="shared" ca="1" si="156"/>
        <v>0</v>
      </c>
      <c r="Z358" s="508">
        <f t="shared" ca="1" si="157"/>
        <v>0</v>
      </c>
      <c r="AA358" s="508">
        <f t="shared" ca="1" si="158"/>
        <v>0</v>
      </c>
      <c r="AB358" s="508">
        <f t="shared" ca="1" si="147"/>
        <v>1</v>
      </c>
      <c r="AC358" s="508">
        <f t="shared" ca="1" si="159"/>
        <v>0</v>
      </c>
      <c r="AD358" s="912">
        <f t="shared" ca="1" si="160"/>
        <v>0</v>
      </c>
      <c r="AE358" s="512">
        <f t="shared" ca="1" si="161"/>
        <v>0</v>
      </c>
      <c r="AF358" s="512">
        <f t="shared" ca="1" si="162"/>
        <v>0</v>
      </c>
      <c r="AG358" s="512">
        <f t="shared" ca="1" si="163"/>
        <v>0</v>
      </c>
      <c r="AH358" s="512">
        <f t="shared" ca="1" si="164"/>
        <v>0</v>
      </c>
      <c r="AI358" s="512">
        <f t="shared" ca="1" si="165"/>
        <v>0</v>
      </c>
      <c r="AJ358" s="512">
        <f t="shared" ca="1" si="166"/>
        <v>0</v>
      </c>
      <c r="AK358" s="512">
        <f t="shared" ca="1" si="167"/>
        <v>0</v>
      </c>
      <c r="AL358" s="512">
        <f t="shared" ca="1" si="168"/>
        <v>0</v>
      </c>
      <c r="AM358" s="512">
        <f t="shared" ca="1" si="169"/>
        <v>0</v>
      </c>
      <c r="AN358" s="512">
        <f t="shared" ca="1" si="170"/>
        <v>0</v>
      </c>
      <c r="AO358" s="512">
        <f t="shared" ca="1" si="171"/>
        <v>0</v>
      </c>
      <c r="AP358" s="512">
        <f t="shared" ca="1" si="172"/>
        <v>0</v>
      </c>
      <c r="AQ358" s="512" t="str">
        <f t="shared" si="173"/>
        <v/>
      </c>
      <c r="AR358" s="512"/>
      <c r="AS358" s="512" t="str">
        <f t="shared" si="174"/>
        <v/>
      </c>
      <c r="AT358" s="151">
        <f t="shared" si="175"/>
        <v>0</v>
      </c>
      <c r="AU358" s="151">
        <f>IFERROR(VLOOKUP(A358,'[7]TD CuentasBDG'!$N$5:$O$21,2,0),0)</f>
        <v>0</v>
      </c>
      <c r="AV358">
        <f t="shared" si="176"/>
        <v>0</v>
      </c>
    </row>
    <row r="359" spans="1:50" ht="30" x14ac:dyDescent="0.25">
      <c r="A359" s="508" t="s">
        <v>2204</v>
      </c>
      <c r="B359" s="508" t="s">
        <v>197</v>
      </c>
      <c r="C359" s="508" t="s">
        <v>146</v>
      </c>
      <c r="D359" s="508" t="s">
        <v>146</v>
      </c>
      <c r="E359" s="508"/>
      <c r="F359" s="508"/>
      <c r="G359" s="508" t="s">
        <v>1647</v>
      </c>
      <c r="H359" s="508" t="s">
        <v>583</v>
      </c>
      <c r="I359" s="508" t="s">
        <v>585</v>
      </c>
      <c r="J359" s="555" t="s">
        <v>1650</v>
      </c>
      <c r="K359" s="555" t="s">
        <v>1651</v>
      </c>
      <c r="L359" s="911">
        <f ca="1">IFERROR(INDEX(Lists!$O$2:$Z$2,MATCH(TRUE,INDEX((AE359:AP359&lt;&gt;0),0),0)),DATE(2018,1,1))</f>
        <v>43221</v>
      </c>
      <c r="M359" s="911">
        <f ca="1">IFERROR(INDEX(Lists!$O$3:$Z$3, VALUE(SUBSTITUTE(TEXT(ADDRESS(SUMPRODUCT(MAX((COLUMN(AE359:AP359)*(AE359:AP359&gt;0)))),1),),"$A$",""))-30),DATE(2018,1,1))</f>
        <v>43281</v>
      </c>
      <c r="N359" s="508" t="s">
        <v>1668</v>
      </c>
      <c r="O359" s="508" t="s">
        <v>1653</v>
      </c>
      <c r="P359" s="508" t="s">
        <v>1071</v>
      </c>
      <c r="Q359" s="508" t="s">
        <v>1676</v>
      </c>
      <c r="R359" s="508" t="str">
        <f t="shared" ca="1" si="149"/>
        <v>Road and Platform Preparation</v>
      </c>
      <c r="S359" s="508" t="str">
        <f t="shared" ca="1" si="150"/>
        <v>Bulldozer (230 USD per hour)</v>
      </c>
      <c r="T359" s="508" t="str">
        <f t="shared" ca="1" si="151"/>
        <v>Contractor - Serviterra</v>
      </c>
      <c r="U359" s="508" t="str">
        <f t="shared" ca="1" si="152"/>
        <v>687 / 51-11-3052</v>
      </c>
      <c r="V359" s="508">
        <f t="shared" ca="1" si="153"/>
        <v>0</v>
      </c>
      <c r="W359" s="508">
        <f t="shared" ca="1" si="154"/>
        <v>0</v>
      </c>
      <c r="X359" s="508">
        <f t="shared" ca="1" si="155"/>
        <v>0</v>
      </c>
      <c r="Y359" s="508">
        <f t="shared" ca="1" si="156"/>
        <v>0</v>
      </c>
      <c r="Z359" s="508">
        <f t="shared" ca="1" si="157"/>
        <v>0</v>
      </c>
      <c r="AA359" s="508" t="str">
        <f t="shared" ca="1" si="158"/>
        <v>May</v>
      </c>
      <c r="AB359" s="508">
        <f t="shared" ca="1" si="147"/>
        <v>2</v>
      </c>
      <c r="AC359" s="508">
        <f t="shared" ca="1" si="159"/>
        <v>0</v>
      </c>
      <c r="AD359" s="912">
        <f t="shared" ca="1" si="160"/>
        <v>57500</v>
      </c>
      <c r="AE359" s="512">
        <f t="shared" ca="1" si="161"/>
        <v>0</v>
      </c>
      <c r="AF359" s="512">
        <f t="shared" ca="1" si="162"/>
        <v>0</v>
      </c>
      <c r="AG359" s="512">
        <f t="shared" ca="1" si="163"/>
        <v>0</v>
      </c>
      <c r="AH359" s="512">
        <f t="shared" ca="1" si="164"/>
        <v>0</v>
      </c>
      <c r="AI359" s="512">
        <f t="shared" ca="1" si="165"/>
        <v>38333.333333333336</v>
      </c>
      <c r="AJ359" s="512">
        <f t="shared" ca="1" si="166"/>
        <v>19166.666666666668</v>
      </c>
      <c r="AK359" s="512">
        <f t="shared" ca="1" si="167"/>
        <v>0</v>
      </c>
      <c r="AL359" s="512">
        <f t="shared" ca="1" si="168"/>
        <v>0</v>
      </c>
      <c r="AM359" s="512">
        <f t="shared" ca="1" si="169"/>
        <v>0</v>
      </c>
      <c r="AN359" s="512">
        <f t="shared" ca="1" si="170"/>
        <v>0</v>
      </c>
      <c r="AO359" s="512">
        <f t="shared" ca="1" si="171"/>
        <v>0</v>
      </c>
      <c r="AP359" s="512">
        <f t="shared" ca="1" si="172"/>
        <v>0</v>
      </c>
      <c r="AQ359" s="512" t="str">
        <f t="shared" ca="1" si="173"/>
        <v>Contrato</v>
      </c>
      <c r="AR359" s="512"/>
      <c r="AS359" s="512" t="str">
        <f t="shared" ca="1" si="174"/>
        <v>No</v>
      </c>
      <c r="AT359" s="151">
        <f t="shared" ca="1" si="175"/>
        <v>57500</v>
      </c>
      <c r="AU359" s="926">
        <f>IFERROR(VLOOKUP(A359,'[7]TD CuentasBDG'!$N$5:$O$21,2,0),0)</f>
        <v>0</v>
      </c>
      <c r="AV359" t="str">
        <f t="shared" ca="1" si="176"/>
        <v>Licitación</v>
      </c>
      <c r="AW359" s="927" t="s">
        <v>1798</v>
      </c>
      <c r="AX359" s="927" t="s">
        <v>2202</v>
      </c>
    </row>
    <row r="360" spans="1:50" ht="45" x14ac:dyDescent="0.25">
      <c r="A360" s="508" t="s">
        <v>2205</v>
      </c>
      <c r="B360" s="508" t="s">
        <v>197</v>
      </c>
      <c r="C360" s="508" t="s">
        <v>146</v>
      </c>
      <c r="D360" s="508" t="s">
        <v>146</v>
      </c>
      <c r="E360" s="508"/>
      <c r="F360" s="508"/>
      <c r="G360" s="508" t="s">
        <v>1647</v>
      </c>
      <c r="H360" s="508" t="s">
        <v>583</v>
      </c>
      <c r="I360" s="508" t="s">
        <v>586</v>
      </c>
      <c r="J360" s="555" t="s">
        <v>1650</v>
      </c>
      <c r="K360" s="555" t="s">
        <v>1651</v>
      </c>
      <c r="L360" s="911">
        <f ca="1">IFERROR(INDEX(Lists!$O$2:$Z$2,MATCH(TRUE,INDEX((AE360:AP360&lt;&gt;0),0),0)),DATE(2018,1,1))</f>
        <v>43221</v>
      </c>
      <c r="M360" s="911">
        <f ca="1">IFERROR(INDEX(Lists!$O$3:$Z$3, VALUE(SUBSTITUTE(TEXT(ADDRESS(SUMPRODUCT(MAX((COLUMN(AE360:AP360)*(AE360:AP360&gt;0)))),1),),"$A$",""))-30),DATE(2018,1,1))</f>
        <v>43281</v>
      </c>
      <c r="N360" s="508" t="s">
        <v>1668</v>
      </c>
      <c r="O360" s="508" t="s">
        <v>1786</v>
      </c>
      <c r="P360" s="508" t="s">
        <v>1676</v>
      </c>
      <c r="Q360" s="508" t="s">
        <v>1676</v>
      </c>
      <c r="R360" s="508" t="str">
        <f t="shared" ca="1" si="149"/>
        <v>Road and Platform Preparation</v>
      </c>
      <c r="S360" s="508" t="str">
        <f t="shared" ca="1" si="150"/>
        <v>Excavator (72 USD per hour)</v>
      </c>
      <c r="T360" s="508" t="str">
        <f t="shared" ca="1" si="151"/>
        <v>Contractor - Serviterra</v>
      </c>
      <c r="U360" s="508" t="str">
        <f t="shared" ca="1" si="152"/>
        <v>687 / 51-11-3052</v>
      </c>
      <c r="V360" s="508">
        <f t="shared" ca="1" si="153"/>
        <v>0</v>
      </c>
      <c r="W360" s="508">
        <f t="shared" ca="1" si="154"/>
        <v>0</v>
      </c>
      <c r="X360" s="508">
        <f t="shared" ca="1" si="155"/>
        <v>0</v>
      </c>
      <c r="Y360" s="508">
        <f t="shared" ca="1" si="156"/>
        <v>0</v>
      </c>
      <c r="Z360" s="508">
        <f t="shared" ca="1" si="157"/>
        <v>0</v>
      </c>
      <c r="AA360" s="508" t="str">
        <f t="shared" ca="1" si="158"/>
        <v>May</v>
      </c>
      <c r="AB360" s="508">
        <f t="shared" ca="1" si="147"/>
        <v>2</v>
      </c>
      <c r="AC360" s="508">
        <f t="shared" ca="1" si="159"/>
        <v>0</v>
      </c>
      <c r="AD360" s="912">
        <f t="shared" ca="1" si="160"/>
        <v>18000</v>
      </c>
      <c r="AE360" s="512">
        <f t="shared" ca="1" si="161"/>
        <v>0</v>
      </c>
      <c r="AF360" s="512">
        <f t="shared" ca="1" si="162"/>
        <v>0</v>
      </c>
      <c r="AG360" s="512">
        <f t="shared" ca="1" si="163"/>
        <v>0</v>
      </c>
      <c r="AH360" s="512">
        <f t="shared" ca="1" si="164"/>
        <v>0</v>
      </c>
      <c r="AI360" s="512">
        <f t="shared" ca="1" si="165"/>
        <v>12000</v>
      </c>
      <c r="AJ360" s="512">
        <f t="shared" ca="1" si="166"/>
        <v>6000</v>
      </c>
      <c r="AK360" s="512">
        <f t="shared" ca="1" si="167"/>
        <v>0</v>
      </c>
      <c r="AL360" s="512">
        <f t="shared" ca="1" si="168"/>
        <v>0</v>
      </c>
      <c r="AM360" s="512">
        <f t="shared" ca="1" si="169"/>
        <v>0</v>
      </c>
      <c r="AN360" s="512">
        <f t="shared" ca="1" si="170"/>
        <v>0</v>
      </c>
      <c r="AO360" s="512">
        <f t="shared" ca="1" si="171"/>
        <v>0</v>
      </c>
      <c r="AP360" s="512">
        <f t="shared" ca="1" si="172"/>
        <v>0</v>
      </c>
      <c r="AQ360" s="512" t="str">
        <f t="shared" ca="1" si="173"/>
        <v>Orden de Servicio Con Terreno</v>
      </c>
      <c r="AR360" s="512"/>
      <c r="AS360" s="512" t="str">
        <f t="shared" ca="1" si="174"/>
        <v>No</v>
      </c>
      <c r="AT360" s="151">
        <f t="shared" ca="1" si="175"/>
        <v>18000</v>
      </c>
      <c r="AU360" s="926">
        <f>IFERROR(VLOOKUP(A360,'[7]TD CuentasBDG'!$N$5:$O$21,2,0),0)</f>
        <v>0</v>
      </c>
      <c r="AV360" t="str">
        <f t="shared" ca="1" si="176"/>
        <v>Licitación Corta</v>
      </c>
      <c r="AW360" s="927" t="s">
        <v>1798</v>
      </c>
      <c r="AX360" s="927" t="s">
        <v>2202</v>
      </c>
    </row>
    <row r="361" spans="1:50" ht="45" x14ac:dyDescent="0.25">
      <c r="A361" s="508" t="s">
        <v>2206</v>
      </c>
      <c r="B361" s="508" t="s">
        <v>197</v>
      </c>
      <c r="C361" s="508" t="s">
        <v>146</v>
      </c>
      <c r="D361" s="508" t="s">
        <v>146</v>
      </c>
      <c r="E361" s="508"/>
      <c r="F361" s="508"/>
      <c r="G361" s="508" t="s">
        <v>1647</v>
      </c>
      <c r="H361" s="508" t="s">
        <v>583</v>
      </c>
      <c r="I361" s="508" t="s">
        <v>587</v>
      </c>
      <c r="J361" s="555" t="s">
        <v>1650</v>
      </c>
      <c r="K361" s="555" t="s">
        <v>1651</v>
      </c>
      <c r="L361" s="911">
        <f ca="1">IFERROR(INDEX(Lists!$O$2:$Z$2,MATCH(TRUE,INDEX((AE361:AP361&lt;&gt;0),0),0)),DATE(2018,1,1))</f>
        <v>43221</v>
      </c>
      <c r="M361" s="911">
        <f ca="1">IFERROR(INDEX(Lists!$O$3:$Z$3, VALUE(SUBSTITUTE(TEXT(ADDRESS(SUMPRODUCT(MAX((COLUMN(AE361:AP361)*(AE361:AP361&gt;0)))),1),),"$A$",""))-30),DATE(2018,1,1))</f>
        <v>43251</v>
      </c>
      <c r="N361" s="508" t="s">
        <v>1668</v>
      </c>
      <c r="O361" s="508" t="s">
        <v>1786</v>
      </c>
      <c r="P361" s="508" t="s">
        <v>1676</v>
      </c>
      <c r="Q361" s="508" t="s">
        <v>1676</v>
      </c>
      <c r="R361" s="508" t="str">
        <f t="shared" ca="1" si="149"/>
        <v>Road and Platform Preparation</v>
      </c>
      <c r="S361" s="508" t="str">
        <f t="shared" ca="1" si="150"/>
        <v>Mob - Demob</v>
      </c>
      <c r="T361" s="508" t="str">
        <f t="shared" ca="1" si="151"/>
        <v>Contractor - Serviterra</v>
      </c>
      <c r="U361" s="508" t="str">
        <f t="shared" ca="1" si="152"/>
        <v>687 / 51-11-3052</v>
      </c>
      <c r="V361" s="508">
        <f t="shared" ca="1" si="153"/>
        <v>0</v>
      </c>
      <c r="W361" s="508">
        <f t="shared" ca="1" si="154"/>
        <v>0</v>
      </c>
      <c r="X361" s="508">
        <f t="shared" ca="1" si="155"/>
        <v>0</v>
      </c>
      <c r="Y361" s="508">
        <f t="shared" ca="1" si="156"/>
        <v>0</v>
      </c>
      <c r="Z361" s="508">
        <f t="shared" ca="1" si="157"/>
        <v>0</v>
      </c>
      <c r="AA361" s="508" t="str">
        <f t="shared" ca="1" si="158"/>
        <v>May</v>
      </c>
      <c r="AB361" s="508">
        <f t="shared" ca="1" si="147"/>
        <v>1</v>
      </c>
      <c r="AC361" s="508">
        <f t="shared" ca="1" si="159"/>
        <v>0</v>
      </c>
      <c r="AD361" s="912">
        <f t="shared" ca="1" si="160"/>
        <v>3100</v>
      </c>
      <c r="AE361" s="512">
        <f t="shared" ca="1" si="161"/>
        <v>0</v>
      </c>
      <c r="AF361" s="512">
        <f t="shared" ca="1" si="162"/>
        <v>0</v>
      </c>
      <c r="AG361" s="512">
        <f t="shared" ca="1" si="163"/>
        <v>0</v>
      </c>
      <c r="AH361" s="512">
        <f t="shared" ca="1" si="164"/>
        <v>0</v>
      </c>
      <c r="AI361" s="512">
        <f t="shared" ca="1" si="165"/>
        <v>3100</v>
      </c>
      <c r="AJ361" s="512">
        <f t="shared" ca="1" si="166"/>
        <v>0</v>
      </c>
      <c r="AK361" s="512">
        <f t="shared" ca="1" si="167"/>
        <v>0</v>
      </c>
      <c r="AL361" s="512">
        <f t="shared" ca="1" si="168"/>
        <v>0</v>
      </c>
      <c r="AM361" s="512">
        <f t="shared" ca="1" si="169"/>
        <v>0</v>
      </c>
      <c r="AN361" s="512">
        <f t="shared" ca="1" si="170"/>
        <v>0</v>
      </c>
      <c r="AO361" s="512">
        <f t="shared" ca="1" si="171"/>
        <v>0</v>
      </c>
      <c r="AP361" s="512">
        <f t="shared" ca="1" si="172"/>
        <v>0</v>
      </c>
      <c r="AQ361" s="512" t="str">
        <f t="shared" ca="1" si="173"/>
        <v>Orden de Servicio Con Terreno</v>
      </c>
      <c r="AR361" s="512"/>
      <c r="AS361" s="512" t="str">
        <f t="shared" ca="1" si="174"/>
        <v>No</v>
      </c>
      <c r="AT361" s="151">
        <f t="shared" ca="1" si="175"/>
        <v>3100</v>
      </c>
      <c r="AU361" s="926">
        <f>IFERROR(VLOOKUP(A361,'[7]TD CuentasBDG'!$N$5:$O$21,2,0),0)</f>
        <v>0</v>
      </c>
      <c r="AV361" t="str">
        <f t="shared" ca="1" si="176"/>
        <v>Licitación Corta</v>
      </c>
      <c r="AW361" s="927" t="s">
        <v>1798</v>
      </c>
      <c r="AX361" s="927" t="s">
        <v>2202</v>
      </c>
    </row>
    <row r="362" spans="1:50" ht="45" x14ac:dyDescent="0.25">
      <c r="A362" s="508" t="s">
        <v>2207</v>
      </c>
      <c r="B362" s="508" t="s">
        <v>197</v>
      </c>
      <c r="C362" s="508" t="s">
        <v>146</v>
      </c>
      <c r="D362" s="508" t="s">
        <v>146</v>
      </c>
      <c r="E362" s="508"/>
      <c r="F362" s="508"/>
      <c r="G362" s="508" t="s">
        <v>1665</v>
      </c>
      <c r="H362" s="508"/>
      <c r="I362" s="508"/>
      <c r="J362" s="555"/>
      <c r="K362" s="555"/>
      <c r="L362" s="911">
        <f ca="1">IFERROR(INDEX(Lists!$O$2:$Z$2,MATCH(TRUE,INDEX((AE362:AP362&lt;&gt;0),0),0)),DATE(2018,1,1))</f>
        <v>43101</v>
      </c>
      <c r="M362" s="911">
        <f ca="1">IFERROR(INDEX(Lists!$O$3:$Z$3, VALUE(SUBSTITUTE(TEXT(ADDRESS(SUMPRODUCT(MAX((COLUMN(AE362:AP362)*(AE362:AP362&gt;0)))),1),),"$A$",""))-30),DATE(2018,1,1))</f>
        <v>43101</v>
      </c>
      <c r="N362" s="508"/>
      <c r="O362" s="508"/>
      <c r="P362" s="508"/>
      <c r="Q362" s="508"/>
      <c r="R362" s="508" t="str">
        <f t="shared" ca="1" si="149"/>
        <v>Drilling (RE: $300@m, LAF: $320@m)</v>
      </c>
      <c r="S362" s="508" t="str">
        <f t="shared" ca="1" si="150"/>
        <v>Geotech Relincho (4,200m, HQ)</v>
      </c>
      <c r="T362" s="508" t="str">
        <f t="shared" ca="1" si="151"/>
        <v>Contractor - Drill Company</v>
      </c>
      <c r="U362" s="508" t="str">
        <f t="shared" ca="1" si="152"/>
        <v>687 / 51-11-3052</v>
      </c>
      <c r="V362" s="508">
        <f t="shared" ca="1" si="153"/>
        <v>0</v>
      </c>
      <c r="W362" s="508">
        <f t="shared" ca="1" si="154"/>
        <v>0</v>
      </c>
      <c r="X362" s="508">
        <f t="shared" ca="1" si="155"/>
        <v>0</v>
      </c>
      <c r="Y362" s="508">
        <f t="shared" ca="1" si="156"/>
        <v>0</v>
      </c>
      <c r="Z362" s="508">
        <f t="shared" ca="1" si="157"/>
        <v>0</v>
      </c>
      <c r="AA362" s="508">
        <f t="shared" ca="1" si="158"/>
        <v>0</v>
      </c>
      <c r="AB362" s="508">
        <f t="shared" ca="1" si="147"/>
        <v>1</v>
      </c>
      <c r="AC362" s="508">
        <f t="shared" ca="1" si="159"/>
        <v>0</v>
      </c>
      <c r="AD362" s="912">
        <f t="shared" ca="1" si="160"/>
        <v>0</v>
      </c>
      <c r="AE362" s="512">
        <f t="shared" ca="1" si="161"/>
        <v>0</v>
      </c>
      <c r="AF362" s="512">
        <f t="shared" ca="1" si="162"/>
        <v>0</v>
      </c>
      <c r="AG362" s="512">
        <f t="shared" ca="1" si="163"/>
        <v>0</v>
      </c>
      <c r="AH362" s="512">
        <f t="shared" ca="1" si="164"/>
        <v>0</v>
      </c>
      <c r="AI362" s="512">
        <f t="shared" ca="1" si="165"/>
        <v>0</v>
      </c>
      <c r="AJ362" s="512">
        <f t="shared" ca="1" si="166"/>
        <v>0</v>
      </c>
      <c r="AK362" s="512">
        <f t="shared" ca="1" si="167"/>
        <v>0</v>
      </c>
      <c r="AL362" s="512">
        <f t="shared" ca="1" si="168"/>
        <v>0</v>
      </c>
      <c r="AM362" s="512">
        <f t="shared" ca="1" si="169"/>
        <v>0</v>
      </c>
      <c r="AN362" s="512">
        <f t="shared" ca="1" si="170"/>
        <v>0</v>
      </c>
      <c r="AO362" s="512">
        <f t="shared" ca="1" si="171"/>
        <v>0</v>
      </c>
      <c r="AP362" s="512">
        <f t="shared" ca="1" si="172"/>
        <v>0</v>
      </c>
      <c r="AQ362" s="512" t="str">
        <f t="shared" si="173"/>
        <v/>
      </c>
      <c r="AR362" s="512"/>
      <c r="AS362" s="512" t="str">
        <f t="shared" si="174"/>
        <v/>
      </c>
      <c r="AT362" s="151">
        <f t="shared" si="175"/>
        <v>0</v>
      </c>
      <c r="AU362" s="151">
        <f>IFERROR(VLOOKUP(A362,'[7]TD CuentasBDG'!$N$5:$O$21,2,0),0)</f>
        <v>0</v>
      </c>
      <c r="AV362">
        <f t="shared" si="176"/>
        <v>0</v>
      </c>
    </row>
    <row r="363" spans="1:50" ht="60" x14ac:dyDescent="0.25">
      <c r="A363" s="508" t="s">
        <v>2208</v>
      </c>
      <c r="B363" s="508" t="s">
        <v>197</v>
      </c>
      <c r="C363" s="508" t="s">
        <v>146</v>
      </c>
      <c r="D363" s="508" t="s">
        <v>146</v>
      </c>
      <c r="E363" s="508"/>
      <c r="F363" s="508" t="s">
        <v>2052</v>
      </c>
      <c r="G363" s="508" t="s">
        <v>1647</v>
      </c>
      <c r="H363" s="508" t="s">
        <v>2209</v>
      </c>
      <c r="I363" s="508" t="s">
        <v>590</v>
      </c>
      <c r="J363" s="555" t="s">
        <v>1650</v>
      </c>
      <c r="K363" s="555" t="s">
        <v>1651</v>
      </c>
      <c r="L363" s="911">
        <f ca="1">IFERROR(INDEX(Lists!$O$2:$Z$2,MATCH(TRUE,INDEX((AE363:AP363&lt;&gt;0),0),0)),DATE(2018,1,1))</f>
        <v>43132</v>
      </c>
      <c r="M363" s="911">
        <f ca="1">IFERROR(INDEX(Lists!$O$3:$Z$3, VALUE(SUBSTITUTE(TEXT(ADDRESS(SUMPRODUCT(MAX((COLUMN(AE363:AP363)*(AE363:AP363&gt;0)))),1),),"$A$",""))-30),DATE(2018,1,1))</f>
        <v>43220</v>
      </c>
      <c r="N363" s="508" t="s">
        <v>1652</v>
      </c>
      <c r="O363" s="508" t="s">
        <v>1653</v>
      </c>
      <c r="P363" s="508" t="s">
        <v>1676</v>
      </c>
      <c r="Q363" s="508" t="s">
        <v>1676</v>
      </c>
      <c r="R363" s="508" t="str">
        <f t="shared" ca="1" si="149"/>
        <v>Drilling (RE: $300@m, LAF: $320@m)</v>
      </c>
      <c r="S363" s="508" t="str">
        <f t="shared" ca="1" si="150"/>
        <v>La Fortuna Deep, 3,875m (all steep GEOMET to 1,000m, +7 DDH)</v>
      </c>
      <c r="T363" s="508" t="str">
        <f t="shared" ca="1" si="151"/>
        <v>Contractor - Drill Company</v>
      </c>
      <c r="U363" s="508" t="str">
        <f t="shared" ca="1" si="152"/>
        <v>687 / 51-11-3052</v>
      </c>
      <c r="V363" s="508">
        <f t="shared" ca="1" si="153"/>
        <v>0</v>
      </c>
      <c r="W363" s="508">
        <f t="shared" ca="1" si="154"/>
        <v>0</v>
      </c>
      <c r="X363" s="508">
        <f t="shared" ca="1" si="155"/>
        <v>0</v>
      </c>
      <c r="Y363" s="508">
        <f t="shared" ca="1" si="156"/>
        <v>0</v>
      </c>
      <c r="Z363" s="508">
        <f t="shared" ca="1" si="157"/>
        <v>0</v>
      </c>
      <c r="AA363" s="508" t="str">
        <f t="shared" ca="1" si="158"/>
        <v>Ene</v>
      </c>
      <c r="AB363" s="508">
        <f t="shared" ca="1" si="147"/>
        <v>3</v>
      </c>
      <c r="AC363" s="508">
        <f t="shared" ca="1" si="159"/>
        <v>0</v>
      </c>
      <c r="AD363" s="912">
        <f t="shared" ca="1" si="160"/>
        <v>1860000</v>
      </c>
      <c r="AE363" s="512">
        <f t="shared" ca="1" si="161"/>
        <v>0</v>
      </c>
      <c r="AF363" s="512">
        <f t="shared" ca="1" si="162"/>
        <v>310000</v>
      </c>
      <c r="AG363" s="512">
        <f t="shared" ca="1" si="163"/>
        <v>620000</v>
      </c>
      <c r="AH363" s="512">
        <f t="shared" ca="1" si="164"/>
        <v>930000</v>
      </c>
      <c r="AI363" s="512">
        <f t="shared" ca="1" si="165"/>
        <v>0</v>
      </c>
      <c r="AJ363" s="512">
        <f t="shared" ca="1" si="166"/>
        <v>0</v>
      </c>
      <c r="AK363" s="512">
        <f t="shared" ca="1" si="167"/>
        <v>0</v>
      </c>
      <c r="AL363" s="512">
        <f t="shared" ca="1" si="168"/>
        <v>0</v>
      </c>
      <c r="AM363" s="512">
        <f t="shared" ca="1" si="169"/>
        <v>0</v>
      </c>
      <c r="AN363" s="512">
        <f t="shared" ca="1" si="170"/>
        <v>0</v>
      </c>
      <c r="AO363" s="512">
        <f t="shared" ca="1" si="171"/>
        <v>0</v>
      </c>
      <c r="AP363" s="512">
        <f t="shared" ca="1" si="172"/>
        <v>0</v>
      </c>
      <c r="AQ363" s="512" t="str">
        <f t="shared" ca="1" si="173"/>
        <v>Contrato</v>
      </c>
      <c r="AR363" s="512"/>
      <c r="AS363" s="512" t="str">
        <f t="shared" ca="1" si="174"/>
        <v>Si</v>
      </c>
      <c r="AT363" s="151">
        <f t="shared" ca="1" si="175"/>
        <v>1860000</v>
      </c>
      <c r="AU363" s="926">
        <f>IFERROR(VLOOKUP(A363,'[7]TD CuentasBDG'!$N$5:$O$21,2,0),0)</f>
        <v>0</v>
      </c>
      <c r="AV363" t="str">
        <f t="shared" si="176"/>
        <v>Renovación de Contrato</v>
      </c>
      <c r="AW363" s="927" t="s">
        <v>2060</v>
      </c>
      <c r="AX363" s="927" t="s">
        <v>1702</v>
      </c>
    </row>
    <row r="364" spans="1:50" ht="45" x14ac:dyDescent="0.25">
      <c r="A364" s="508" t="s">
        <v>2210</v>
      </c>
      <c r="B364" s="508" t="s">
        <v>197</v>
      </c>
      <c r="C364" s="508" t="s">
        <v>146</v>
      </c>
      <c r="D364" s="508" t="s">
        <v>146</v>
      </c>
      <c r="E364" s="508"/>
      <c r="F364" s="508"/>
      <c r="G364" s="508" t="s">
        <v>1647</v>
      </c>
      <c r="H364" s="508" t="s">
        <v>2211</v>
      </c>
      <c r="I364" s="508" t="s">
        <v>590</v>
      </c>
      <c r="J364" s="555" t="s">
        <v>1650</v>
      </c>
      <c r="K364" s="555" t="s">
        <v>1651</v>
      </c>
      <c r="L364" s="911">
        <f ca="1">IFERROR(INDEX(Lists!$O$2:$Z$2,MATCH(TRUE,INDEX((AE364:AP364&lt;&gt;0),0),0)),DATE(2018,1,1))</f>
        <v>43252</v>
      </c>
      <c r="M364" s="911">
        <f ca="1">IFERROR(INDEX(Lists!$O$3:$Z$3, VALUE(SUBSTITUTE(TEXT(ADDRESS(SUMPRODUCT(MAX((COLUMN(AE364:AP364)*(AE364:AP364&gt;0)))),1),),"$A$",""))-30),DATE(2018,1,1))</f>
        <v>43312</v>
      </c>
      <c r="N364" s="508" t="s">
        <v>1668</v>
      </c>
      <c r="O364" s="508" t="s">
        <v>1653</v>
      </c>
      <c r="P364" s="508" t="s">
        <v>1676</v>
      </c>
      <c r="Q364" s="508" t="s">
        <v>1676</v>
      </c>
      <c r="R364" s="508" t="str">
        <f t="shared" ca="1" si="149"/>
        <v>Drilling (RE: $300@m, LAF: $320@m)</v>
      </c>
      <c r="S364" s="508" t="str">
        <f t="shared" ca="1" si="150"/>
        <v>Los Andes Central (3,000m HQ)</v>
      </c>
      <c r="T364" s="508" t="str">
        <f t="shared" ca="1" si="151"/>
        <v>Contractor - Drill Company</v>
      </c>
      <c r="U364" s="508" t="str">
        <f t="shared" ca="1" si="152"/>
        <v>687 / 51-11-3052</v>
      </c>
      <c r="V364" s="508">
        <f t="shared" ca="1" si="153"/>
        <v>0</v>
      </c>
      <c r="W364" s="508">
        <f t="shared" ca="1" si="154"/>
        <v>0</v>
      </c>
      <c r="X364" s="508">
        <f t="shared" ca="1" si="155"/>
        <v>0</v>
      </c>
      <c r="Y364" s="508">
        <f t="shared" ca="1" si="156"/>
        <v>0</v>
      </c>
      <c r="Z364" s="508">
        <f t="shared" ca="1" si="157"/>
        <v>0</v>
      </c>
      <c r="AA364" s="508" t="str">
        <f t="shared" ca="1" si="158"/>
        <v>Jun</v>
      </c>
      <c r="AB364" s="508">
        <f t="shared" ca="1" si="147"/>
        <v>2</v>
      </c>
      <c r="AC364" s="508">
        <f t="shared" ca="1" si="159"/>
        <v>0</v>
      </c>
      <c r="AD364" s="912">
        <f t="shared" ca="1" si="160"/>
        <v>900000</v>
      </c>
      <c r="AE364" s="512">
        <f t="shared" ca="1" si="161"/>
        <v>0</v>
      </c>
      <c r="AF364" s="512">
        <f t="shared" ca="1" si="162"/>
        <v>0</v>
      </c>
      <c r="AG364" s="512">
        <f t="shared" ca="1" si="163"/>
        <v>0</v>
      </c>
      <c r="AH364" s="512">
        <f t="shared" ca="1" si="164"/>
        <v>0</v>
      </c>
      <c r="AI364" s="512">
        <f t="shared" ca="1" si="165"/>
        <v>0</v>
      </c>
      <c r="AJ364" s="512">
        <f t="shared" ca="1" si="166"/>
        <v>450000</v>
      </c>
      <c r="AK364" s="512">
        <f t="shared" ca="1" si="167"/>
        <v>450000</v>
      </c>
      <c r="AL364" s="512">
        <f t="shared" ca="1" si="168"/>
        <v>0</v>
      </c>
      <c r="AM364" s="512">
        <f t="shared" ca="1" si="169"/>
        <v>0</v>
      </c>
      <c r="AN364" s="512">
        <f t="shared" ca="1" si="170"/>
        <v>0</v>
      </c>
      <c r="AO364" s="512">
        <f t="shared" ca="1" si="171"/>
        <v>0</v>
      </c>
      <c r="AP364" s="512">
        <f t="shared" ca="1" si="172"/>
        <v>0</v>
      </c>
      <c r="AQ364" s="512" t="str">
        <f t="shared" ca="1" si="173"/>
        <v>Contrato</v>
      </c>
      <c r="AR364" s="512"/>
      <c r="AS364" s="512" t="str">
        <f t="shared" ca="1" si="174"/>
        <v>No</v>
      </c>
      <c r="AT364" s="151">
        <f t="shared" ca="1" si="175"/>
        <v>900000</v>
      </c>
      <c r="AU364" s="926">
        <f>IFERROR(VLOOKUP(A364,'[7]TD CuentasBDG'!$N$5:$O$21,2,0),0)</f>
        <v>0</v>
      </c>
      <c r="AV364" t="str">
        <f t="shared" ca="1" si="176"/>
        <v>Licitación</v>
      </c>
      <c r="AW364" s="927" t="s">
        <v>2060</v>
      </c>
      <c r="AX364" s="927" t="s">
        <v>2202</v>
      </c>
    </row>
    <row r="365" spans="1:50" ht="45" x14ac:dyDescent="0.25">
      <c r="A365" s="508" t="s">
        <v>2212</v>
      </c>
      <c r="B365" s="508" t="s">
        <v>197</v>
      </c>
      <c r="C365" s="508" t="s">
        <v>146</v>
      </c>
      <c r="D365" s="508" t="s">
        <v>146</v>
      </c>
      <c r="E365" s="508"/>
      <c r="F365" s="508"/>
      <c r="G365" s="508" t="s">
        <v>1647</v>
      </c>
      <c r="H365" s="508" t="s">
        <v>593</v>
      </c>
      <c r="I365" s="508" t="s">
        <v>594</v>
      </c>
      <c r="J365" s="555" t="s">
        <v>1650</v>
      </c>
      <c r="K365" s="555" t="s">
        <v>1651</v>
      </c>
      <c r="L365" s="911">
        <f ca="1">IFERROR(INDEX(Lists!$O$2:$Z$2,MATCH(TRUE,INDEX((AE365:AP365&lt;&gt;0),0),0)),DATE(2018,1,1))</f>
        <v>43252</v>
      </c>
      <c r="M365" s="911">
        <f ca="1">IFERROR(INDEX(Lists!$O$3:$Z$3, VALUE(SUBSTITUTE(TEXT(ADDRESS(SUMPRODUCT(MAX((COLUMN(AE365:AP365)*(AE365:AP365&gt;0)))),1),),"$A$",""))-30),DATE(2018,1,1))</f>
        <v>43312</v>
      </c>
      <c r="N365" s="508" t="s">
        <v>1668</v>
      </c>
      <c r="O365" s="508" t="s">
        <v>1653</v>
      </c>
      <c r="P365" s="508" t="s">
        <v>1071</v>
      </c>
      <c r="Q365" s="508" t="s">
        <v>1676</v>
      </c>
      <c r="R365" s="508" t="str">
        <f t="shared" ca="1" si="149"/>
        <v>Topography and Downhole Surveys per hole</v>
      </c>
      <c r="S365" s="508" t="str">
        <f t="shared" ca="1" si="150"/>
        <v>Topography (280 USD per hole)</v>
      </c>
      <c r="T365" s="508">
        <f t="shared" ca="1" si="151"/>
        <v>0</v>
      </c>
      <c r="U365" s="508" t="str">
        <f t="shared" ca="1" si="152"/>
        <v>687 / 51-11-3052</v>
      </c>
      <c r="V365" s="508">
        <f t="shared" ca="1" si="153"/>
        <v>0</v>
      </c>
      <c r="W365" s="508">
        <f t="shared" ca="1" si="154"/>
        <v>0</v>
      </c>
      <c r="X365" s="508">
        <f t="shared" ca="1" si="155"/>
        <v>0</v>
      </c>
      <c r="Y365" s="508">
        <f t="shared" ca="1" si="156"/>
        <v>0</v>
      </c>
      <c r="Z365" s="508">
        <f t="shared" ca="1" si="157"/>
        <v>0</v>
      </c>
      <c r="AA365" s="508" t="str">
        <f t="shared" ca="1" si="158"/>
        <v>Jun</v>
      </c>
      <c r="AB365" s="508">
        <f t="shared" ca="1" si="147"/>
        <v>2</v>
      </c>
      <c r="AC365" s="508">
        <f t="shared" ca="1" si="159"/>
        <v>0</v>
      </c>
      <c r="AD365" s="912">
        <f t="shared" ca="1" si="160"/>
        <v>1680</v>
      </c>
      <c r="AE365" s="512">
        <f t="shared" ca="1" si="161"/>
        <v>0</v>
      </c>
      <c r="AF365" s="512">
        <f t="shared" ca="1" si="162"/>
        <v>0</v>
      </c>
      <c r="AG365" s="512">
        <f t="shared" ca="1" si="163"/>
        <v>0</v>
      </c>
      <c r="AH365" s="512">
        <f t="shared" ca="1" si="164"/>
        <v>0</v>
      </c>
      <c r="AI365" s="512">
        <f t="shared" ca="1" si="165"/>
        <v>0</v>
      </c>
      <c r="AJ365" s="512">
        <f t="shared" ca="1" si="166"/>
        <v>840</v>
      </c>
      <c r="AK365" s="512">
        <f t="shared" ca="1" si="167"/>
        <v>840</v>
      </c>
      <c r="AL365" s="512">
        <f t="shared" ca="1" si="168"/>
        <v>0</v>
      </c>
      <c r="AM365" s="512">
        <f t="shared" ca="1" si="169"/>
        <v>0</v>
      </c>
      <c r="AN365" s="512">
        <f t="shared" ca="1" si="170"/>
        <v>0</v>
      </c>
      <c r="AO365" s="512">
        <f t="shared" ca="1" si="171"/>
        <v>0</v>
      </c>
      <c r="AP365" s="512">
        <f t="shared" ca="1" si="172"/>
        <v>0</v>
      </c>
      <c r="AQ365" s="512" t="str">
        <f t="shared" ca="1" si="173"/>
        <v>Orden de Servicio Con Terreno</v>
      </c>
      <c r="AR365" s="512"/>
      <c r="AS365" s="512" t="str">
        <f t="shared" ca="1" si="174"/>
        <v>No</v>
      </c>
      <c r="AT365" s="151">
        <f t="shared" ca="1" si="175"/>
        <v>1680</v>
      </c>
      <c r="AU365" s="926">
        <f>IFERROR(VLOOKUP(A365,'[7]TD CuentasBDG'!$N$5:$O$21,2,0),0)</f>
        <v>0</v>
      </c>
      <c r="AV365" t="str">
        <f t="shared" ca="1" si="176"/>
        <v>Licitación Corta</v>
      </c>
      <c r="AW365" s="927" t="s">
        <v>1669</v>
      </c>
      <c r="AX365" s="927" t="s">
        <v>2202</v>
      </c>
    </row>
    <row r="366" spans="1:50" ht="45" x14ac:dyDescent="0.25">
      <c r="A366" s="508" t="s">
        <v>2213</v>
      </c>
      <c r="B366" s="508" t="s">
        <v>197</v>
      </c>
      <c r="C366" s="508" t="s">
        <v>146</v>
      </c>
      <c r="D366" s="508" t="s">
        <v>146</v>
      </c>
      <c r="E366" s="508"/>
      <c r="F366" s="508"/>
      <c r="G366" s="508" t="s">
        <v>1665</v>
      </c>
      <c r="H366" s="508"/>
      <c r="I366" s="508"/>
      <c r="J366" s="555"/>
      <c r="K366" s="555"/>
      <c r="L366" s="911">
        <f ca="1">IFERROR(INDEX(Lists!$O$2:$Z$2,MATCH(TRUE,INDEX((AE366:AP366&lt;&gt;0),0),0)),DATE(2018,1,1))</f>
        <v>43101</v>
      </c>
      <c r="M366" s="911">
        <f ca="1">IFERROR(INDEX(Lists!$O$3:$Z$3, VALUE(SUBSTITUTE(TEXT(ADDRESS(SUMPRODUCT(MAX((COLUMN(AE366:AP366)*(AE366:AP366&gt;0)))),1),),"$A$",""))-30),DATE(2018,1,1))</f>
        <v>43101</v>
      </c>
      <c r="N366" s="508"/>
      <c r="O366" s="508"/>
      <c r="P366" s="508"/>
      <c r="Q366" s="508"/>
      <c r="R366" s="508" t="str">
        <f t="shared" ca="1" si="149"/>
        <v>Topography and Downhole Surveys per hole</v>
      </c>
      <c r="S366" s="508" t="str">
        <f t="shared" ca="1" si="150"/>
        <v>Topography - Geotech (1,900 USD per hole)</v>
      </c>
      <c r="T366" s="508">
        <f t="shared" ca="1" si="151"/>
        <v>0</v>
      </c>
      <c r="U366" s="508" t="str">
        <f t="shared" ca="1" si="152"/>
        <v>687 / 51-11-3052</v>
      </c>
      <c r="V366" s="508">
        <f t="shared" ca="1" si="153"/>
        <v>0</v>
      </c>
      <c r="W366" s="508">
        <f t="shared" ca="1" si="154"/>
        <v>0</v>
      </c>
      <c r="X366" s="508">
        <f t="shared" ca="1" si="155"/>
        <v>0</v>
      </c>
      <c r="Y366" s="508">
        <f t="shared" ca="1" si="156"/>
        <v>0</v>
      </c>
      <c r="Z366" s="508">
        <f t="shared" ca="1" si="157"/>
        <v>0</v>
      </c>
      <c r="AA366" s="508" t="str">
        <f t="shared" ca="1" si="158"/>
        <v>Jun</v>
      </c>
      <c r="AB366" s="508">
        <f t="shared" ca="1" si="147"/>
        <v>1</v>
      </c>
      <c r="AC366" s="508">
        <f t="shared" ca="1" si="159"/>
        <v>0</v>
      </c>
      <c r="AD366" s="912">
        <f t="shared" ca="1" si="160"/>
        <v>0</v>
      </c>
      <c r="AE366" s="512">
        <f t="shared" ca="1" si="161"/>
        <v>0</v>
      </c>
      <c r="AF366" s="512">
        <f t="shared" ca="1" si="162"/>
        <v>0</v>
      </c>
      <c r="AG366" s="512">
        <f t="shared" ca="1" si="163"/>
        <v>0</v>
      </c>
      <c r="AH366" s="512">
        <f t="shared" ca="1" si="164"/>
        <v>0</v>
      </c>
      <c r="AI366" s="512">
        <f t="shared" ca="1" si="165"/>
        <v>0</v>
      </c>
      <c r="AJ366" s="512">
        <f t="shared" ca="1" si="166"/>
        <v>0</v>
      </c>
      <c r="AK366" s="512">
        <f t="shared" ca="1" si="167"/>
        <v>0</v>
      </c>
      <c r="AL366" s="512">
        <f t="shared" ca="1" si="168"/>
        <v>0</v>
      </c>
      <c r="AM366" s="512">
        <f t="shared" ca="1" si="169"/>
        <v>0</v>
      </c>
      <c r="AN366" s="512">
        <f t="shared" ca="1" si="170"/>
        <v>0</v>
      </c>
      <c r="AO366" s="512">
        <f t="shared" ca="1" si="171"/>
        <v>0</v>
      </c>
      <c r="AP366" s="512">
        <f t="shared" ca="1" si="172"/>
        <v>0</v>
      </c>
      <c r="AQ366" s="512" t="str">
        <f t="shared" si="173"/>
        <v/>
      </c>
      <c r="AR366" s="512"/>
      <c r="AS366" s="512" t="str">
        <f t="shared" si="174"/>
        <v/>
      </c>
      <c r="AT366" s="151">
        <f t="shared" si="175"/>
        <v>0</v>
      </c>
      <c r="AU366" s="151">
        <f>IFERROR(VLOOKUP(A366,'[7]TD CuentasBDG'!$N$5:$O$21,2,0),0)</f>
        <v>0</v>
      </c>
      <c r="AV366">
        <f t="shared" si="176"/>
        <v>0</v>
      </c>
    </row>
    <row r="367" spans="1:50" ht="45" x14ac:dyDescent="0.25">
      <c r="A367" s="508" t="s">
        <v>2214</v>
      </c>
      <c r="B367" s="508" t="s">
        <v>197</v>
      </c>
      <c r="C367" s="508" t="s">
        <v>146</v>
      </c>
      <c r="D367" s="508" t="s">
        <v>146</v>
      </c>
      <c r="E367" s="508"/>
      <c r="F367" s="508"/>
      <c r="G367" s="508" t="s">
        <v>1647</v>
      </c>
      <c r="H367" s="508" t="s">
        <v>593</v>
      </c>
      <c r="I367" s="508" t="s">
        <v>2215</v>
      </c>
      <c r="J367" s="555" t="s">
        <v>1650</v>
      </c>
      <c r="K367" s="555" t="s">
        <v>1651</v>
      </c>
      <c r="L367" s="911">
        <f ca="1">IFERROR(INDEX(Lists!$O$2:$Z$2,MATCH(TRUE,INDEX((AE367:AP367&lt;&gt;0),0),0)),DATE(2018,1,1))</f>
        <v>43252</v>
      </c>
      <c r="M367" s="911">
        <f ca="1">IFERROR(INDEX(Lists!$O$3:$Z$3, VALUE(SUBSTITUTE(TEXT(ADDRESS(SUMPRODUCT(MAX((COLUMN(AE367:AP367)*(AE367:AP367&gt;0)))),1),),"$A$",""))-30),DATE(2018,1,1))</f>
        <v>43343</v>
      </c>
      <c r="N367" s="508" t="s">
        <v>1668</v>
      </c>
      <c r="O367" s="508" t="s">
        <v>1653</v>
      </c>
      <c r="P367" s="508" t="s">
        <v>1071</v>
      </c>
      <c r="Q367" s="508" t="s">
        <v>1676</v>
      </c>
      <c r="R367" s="508" t="str">
        <f t="shared" ca="1" si="149"/>
        <v>Topography and Downhole Surveys per hole</v>
      </c>
      <c r="S367" s="508" t="str">
        <f t="shared" ca="1" si="150"/>
        <v>Simple Gyroscope (10,800 USD per month, incl. 2,000m)</v>
      </c>
      <c r="T367" s="508">
        <f t="shared" ca="1" si="151"/>
        <v>0</v>
      </c>
      <c r="U367" s="508" t="str">
        <f t="shared" ca="1" si="152"/>
        <v>687 / 51-11-3052</v>
      </c>
      <c r="V367" s="508">
        <f t="shared" ca="1" si="153"/>
        <v>0</v>
      </c>
      <c r="W367" s="508">
        <f t="shared" ca="1" si="154"/>
        <v>0</v>
      </c>
      <c r="X367" s="508">
        <f t="shared" ca="1" si="155"/>
        <v>0</v>
      </c>
      <c r="Y367" s="508">
        <f t="shared" ca="1" si="156"/>
        <v>0</v>
      </c>
      <c r="Z367" s="508">
        <f t="shared" ca="1" si="157"/>
        <v>0</v>
      </c>
      <c r="AA367" s="508" t="str">
        <f t="shared" ca="1" si="158"/>
        <v>Jun</v>
      </c>
      <c r="AB367" s="508">
        <f t="shared" ca="1" si="147"/>
        <v>3</v>
      </c>
      <c r="AC367" s="508">
        <f t="shared" ca="1" si="159"/>
        <v>0</v>
      </c>
      <c r="AD367" s="912">
        <f t="shared" ca="1" si="160"/>
        <v>32400</v>
      </c>
      <c r="AE367" s="512">
        <f t="shared" ca="1" si="161"/>
        <v>0</v>
      </c>
      <c r="AF367" s="512">
        <f t="shared" ca="1" si="162"/>
        <v>0</v>
      </c>
      <c r="AG367" s="512">
        <f t="shared" ca="1" si="163"/>
        <v>0</v>
      </c>
      <c r="AH367" s="512">
        <f t="shared" ca="1" si="164"/>
        <v>0</v>
      </c>
      <c r="AI367" s="512">
        <f t="shared" ca="1" si="165"/>
        <v>0</v>
      </c>
      <c r="AJ367" s="512">
        <f t="shared" ca="1" si="166"/>
        <v>10800</v>
      </c>
      <c r="AK367" s="512">
        <f t="shared" ca="1" si="167"/>
        <v>10800</v>
      </c>
      <c r="AL367" s="512">
        <f t="shared" ca="1" si="168"/>
        <v>10800</v>
      </c>
      <c r="AM367" s="512">
        <f t="shared" ca="1" si="169"/>
        <v>0</v>
      </c>
      <c r="AN367" s="512">
        <f t="shared" ca="1" si="170"/>
        <v>0</v>
      </c>
      <c r="AO367" s="512">
        <f t="shared" ca="1" si="171"/>
        <v>0</v>
      </c>
      <c r="AP367" s="512">
        <f t="shared" ca="1" si="172"/>
        <v>0</v>
      </c>
      <c r="AQ367" s="512" t="str">
        <f t="shared" ca="1" si="173"/>
        <v>Orden de Servicio Con Terreno</v>
      </c>
      <c r="AR367" s="512"/>
      <c r="AS367" s="512" t="str">
        <f t="shared" ca="1" si="174"/>
        <v>No</v>
      </c>
      <c r="AT367" s="151">
        <f t="shared" ca="1" si="175"/>
        <v>32400</v>
      </c>
      <c r="AU367" s="926">
        <f>IFERROR(VLOOKUP(A367,'[7]TD CuentasBDG'!$N$5:$O$21,2,0),0)</f>
        <v>0</v>
      </c>
      <c r="AV367" t="str">
        <f t="shared" ca="1" si="176"/>
        <v>Licitación Corta</v>
      </c>
      <c r="AW367" s="927" t="s">
        <v>1669</v>
      </c>
      <c r="AX367" s="927" t="s">
        <v>2202</v>
      </c>
    </row>
    <row r="368" spans="1:50" ht="75" x14ac:dyDescent="0.25">
      <c r="A368" s="508" t="s">
        <v>2216</v>
      </c>
      <c r="B368" s="508" t="s">
        <v>197</v>
      </c>
      <c r="C368" s="508" t="s">
        <v>146</v>
      </c>
      <c r="D368" s="508" t="s">
        <v>146</v>
      </c>
      <c r="E368" s="508"/>
      <c r="F368" s="508"/>
      <c r="G368" s="508" t="s">
        <v>1665</v>
      </c>
      <c r="H368" s="508"/>
      <c r="I368" s="508"/>
      <c r="J368" s="555"/>
      <c r="K368" s="555"/>
      <c r="L368" s="911">
        <f ca="1">IFERROR(INDEX(Lists!$O$2:$Z$2,MATCH(TRUE,INDEX((AE368:AP368&lt;&gt;0),0),0)),DATE(2018,1,1))</f>
        <v>43101</v>
      </c>
      <c r="M368" s="911">
        <f ca="1">IFERROR(INDEX(Lists!$O$3:$Z$3, VALUE(SUBSTITUTE(TEXT(ADDRESS(SUMPRODUCT(MAX((COLUMN(AE368:AP368)*(AE368:AP368&gt;0)))),1),),"$A$",""))-30),DATE(2018,1,1))</f>
        <v>43101</v>
      </c>
      <c r="N368" s="508"/>
      <c r="O368" s="508"/>
      <c r="P368" s="508"/>
      <c r="Q368" s="508"/>
      <c r="R368" s="508" t="str">
        <f t="shared" ca="1" si="149"/>
        <v>Topography and Downhole Surveys per hole</v>
      </c>
      <c r="S368" s="508" t="str">
        <f t="shared" ca="1" si="150"/>
        <v>Gyroscope incl. ATV/OTV (36,700 USD per month, incl 2,700m Gyroscopio, 1250m ATV/OTV)</v>
      </c>
      <c r="T368" s="508">
        <f t="shared" ca="1" si="151"/>
        <v>0</v>
      </c>
      <c r="U368" s="508" t="str">
        <f t="shared" ca="1" si="152"/>
        <v>687 / 51-11-3052</v>
      </c>
      <c r="V368" s="508">
        <f t="shared" ca="1" si="153"/>
        <v>0</v>
      </c>
      <c r="W368" s="508">
        <f t="shared" ca="1" si="154"/>
        <v>0</v>
      </c>
      <c r="X368" s="508">
        <f t="shared" ca="1" si="155"/>
        <v>0</v>
      </c>
      <c r="Y368" s="508">
        <f t="shared" ca="1" si="156"/>
        <v>0</v>
      </c>
      <c r="Z368" s="508">
        <f t="shared" ca="1" si="157"/>
        <v>0</v>
      </c>
      <c r="AA368" s="508">
        <f t="shared" ca="1" si="158"/>
        <v>0</v>
      </c>
      <c r="AB368" s="508">
        <f t="shared" ca="1" si="147"/>
        <v>1</v>
      </c>
      <c r="AC368" s="508">
        <f t="shared" ca="1" si="159"/>
        <v>0</v>
      </c>
      <c r="AD368" s="912">
        <f t="shared" ca="1" si="160"/>
        <v>0</v>
      </c>
      <c r="AE368" s="512">
        <f t="shared" ca="1" si="161"/>
        <v>0</v>
      </c>
      <c r="AF368" s="512">
        <f t="shared" ca="1" si="162"/>
        <v>0</v>
      </c>
      <c r="AG368" s="512">
        <f t="shared" ca="1" si="163"/>
        <v>0</v>
      </c>
      <c r="AH368" s="512">
        <f t="shared" ca="1" si="164"/>
        <v>0</v>
      </c>
      <c r="AI368" s="512">
        <f t="shared" ca="1" si="165"/>
        <v>0</v>
      </c>
      <c r="AJ368" s="512">
        <f t="shared" ca="1" si="166"/>
        <v>0</v>
      </c>
      <c r="AK368" s="512">
        <f t="shared" ca="1" si="167"/>
        <v>0</v>
      </c>
      <c r="AL368" s="512">
        <f t="shared" ca="1" si="168"/>
        <v>0</v>
      </c>
      <c r="AM368" s="512">
        <f t="shared" ca="1" si="169"/>
        <v>0</v>
      </c>
      <c r="AN368" s="512">
        <f t="shared" ca="1" si="170"/>
        <v>0</v>
      </c>
      <c r="AO368" s="512">
        <f t="shared" ca="1" si="171"/>
        <v>0</v>
      </c>
      <c r="AP368" s="512">
        <f t="shared" ca="1" si="172"/>
        <v>0</v>
      </c>
      <c r="AQ368" s="512" t="str">
        <f t="shared" si="173"/>
        <v/>
      </c>
      <c r="AR368" s="512"/>
      <c r="AS368" s="512" t="str">
        <f t="shared" si="174"/>
        <v/>
      </c>
      <c r="AT368" s="151">
        <f t="shared" si="175"/>
        <v>0</v>
      </c>
      <c r="AU368" s="151">
        <f>IFERROR(VLOOKUP(A368,'[7]TD CuentasBDG'!$N$5:$O$21,2,0),0)</f>
        <v>0</v>
      </c>
      <c r="AV368">
        <f t="shared" si="176"/>
        <v>0</v>
      </c>
    </row>
    <row r="369" spans="1:50" ht="30" x14ac:dyDescent="0.25">
      <c r="A369" s="508" t="s">
        <v>2217</v>
      </c>
      <c r="B369" s="508" t="s">
        <v>197</v>
      </c>
      <c r="C369" s="508" t="s">
        <v>146</v>
      </c>
      <c r="D369" s="508" t="s">
        <v>146</v>
      </c>
      <c r="E369" s="508"/>
      <c r="F369" s="508"/>
      <c r="G369" s="508" t="s">
        <v>1647</v>
      </c>
      <c r="H369" s="508" t="s">
        <v>1462</v>
      </c>
      <c r="I369" s="508" t="s">
        <v>1463</v>
      </c>
      <c r="J369" s="555" t="s">
        <v>1650</v>
      </c>
      <c r="K369" s="555" t="s">
        <v>1651</v>
      </c>
      <c r="L369" s="911">
        <f ca="1">IFERROR(INDEX(Lists!$O$2:$Z$2,MATCH(TRUE,INDEX((AE369:AP369&lt;&gt;0),0),0)),DATE(2018,1,1))</f>
        <v>43191</v>
      </c>
      <c r="M369" s="911">
        <f ca="1">IFERROR(INDEX(Lists!$O$3:$Z$3, VALUE(SUBSTITUTE(TEXT(ADDRESS(SUMPRODUCT(MAX((COLUMN(AE369:AP369)*(AE369:AP369&gt;0)))),1),),"$A$",""))-30),DATE(2018,1,1))</f>
        <v>43220</v>
      </c>
      <c r="N369" s="914" t="s">
        <v>1683</v>
      </c>
      <c r="O369" s="508" t="s">
        <v>1653</v>
      </c>
      <c r="P369" s="508" t="s">
        <v>1071</v>
      </c>
      <c r="Q369" s="508" t="s">
        <v>1676</v>
      </c>
      <c r="R369" s="508" t="str">
        <f t="shared" ca="1" si="149"/>
        <v>Geotech La Fortuna Deep</v>
      </c>
      <c r="S369" s="508" t="str">
        <f t="shared" ca="1" si="150"/>
        <v>Geotech Logging (La Fortuna Deep)</v>
      </c>
      <c r="T369" s="508">
        <f t="shared" ca="1" si="151"/>
        <v>0</v>
      </c>
      <c r="U369" s="508" t="str">
        <f t="shared" ca="1" si="152"/>
        <v>687 / 51-11-3052</v>
      </c>
      <c r="V369" s="508">
        <f t="shared" ca="1" si="153"/>
        <v>0</v>
      </c>
      <c r="W369" s="508">
        <f t="shared" ca="1" si="154"/>
        <v>0</v>
      </c>
      <c r="X369" s="508">
        <f t="shared" ca="1" si="155"/>
        <v>0</v>
      </c>
      <c r="Y369" s="508">
        <f t="shared" ca="1" si="156"/>
        <v>0</v>
      </c>
      <c r="Z369" s="508">
        <f t="shared" ca="1" si="157"/>
        <v>0</v>
      </c>
      <c r="AA369" s="508">
        <f t="shared" ca="1" si="158"/>
        <v>0</v>
      </c>
      <c r="AB369" s="508">
        <f t="shared" ca="1" si="147"/>
        <v>1</v>
      </c>
      <c r="AC369" s="508">
        <f t="shared" ca="1" si="159"/>
        <v>0</v>
      </c>
      <c r="AD369" s="912">
        <f t="shared" ca="1" si="160"/>
        <v>144000</v>
      </c>
      <c r="AE369" s="512">
        <f t="shared" ca="1" si="161"/>
        <v>0</v>
      </c>
      <c r="AF369" s="512">
        <f t="shared" ca="1" si="162"/>
        <v>0</v>
      </c>
      <c r="AG369" s="512">
        <f t="shared" ca="1" si="163"/>
        <v>0</v>
      </c>
      <c r="AH369" s="512">
        <f t="shared" ca="1" si="164"/>
        <v>144000</v>
      </c>
      <c r="AI369" s="512">
        <f t="shared" ca="1" si="165"/>
        <v>0</v>
      </c>
      <c r="AJ369" s="512">
        <f t="shared" ca="1" si="166"/>
        <v>0</v>
      </c>
      <c r="AK369" s="512">
        <f t="shared" ca="1" si="167"/>
        <v>0</v>
      </c>
      <c r="AL369" s="512">
        <f t="shared" ca="1" si="168"/>
        <v>0</v>
      </c>
      <c r="AM369" s="512">
        <f t="shared" ca="1" si="169"/>
        <v>0</v>
      </c>
      <c r="AN369" s="512">
        <f t="shared" ca="1" si="170"/>
        <v>0</v>
      </c>
      <c r="AO369" s="512">
        <f t="shared" ca="1" si="171"/>
        <v>0</v>
      </c>
      <c r="AP369" s="512">
        <f t="shared" ca="1" si="172"/>
        <v>0</v>
      </c>
      <c r="AQ369" s="512" t="str">
        <f t="shared" ca="1" si="173"/>
        <v>Contrato</v>
      </c>
      <c r="AR369" s="512"/>
      <c r="AS369" s="512" t="str">
        <f t="shared" ca="1" si="174"/>
        <v>Si</v>
      </c>
      <c r="AT369" s="151">
        <f t="shared" ca="1" si="175"/>
        <v>144000</v>
      </c>
      <c r="AU369" s="926">
        <f>IFERROR(VLOOKUP(A369,'[7]TD CuentasBDG'!$N$5:$O$21,2,0),0)</f>
        <v>0</v>
      </c>
      <c r="AV369" t="str">
        <f t="shared" si="176"/>
        <v>Adjudicación Directa</v>
      </c>
      <c r="AW369" s="927" t="s">
        <v>1669</v>
      </c>
      <c r="AX369" s="927" t="s">
        <v>1702</v>
      </c>
    </row>
    <row r="370" spans="1:50" ht="45" x14ac:dyDescent="0.25">
      <c r="A370" s="508" t="s">
        <v>2218</v>
      </c>
      <c r="B370" s="508" t="s">
        <v>197</v>
      </c>
      <c r="C370" s="508" t="s">
        <v>146</v>
      </c>
      <c r="D370" s="508" t="s">
        <v>146</v>
      </c>
      <c r="E370" s="508"/>
      <c r="F370" s="508"/>
      <c r="G370" s="508" t="s">
        <v>1647</v>
      </c>
      <c r="H370" s="508" t="s">
        <v>1462</v>
      </c>
      <c r="I370" s="508" t="s">
        <v>1464</v>
      </c>
      <c r="J370" s="555" t="s">
        <v>1650</v>
      </c>
      <c r="K370" s="555" t="s">
        <v>1651</v>
      </c>
      <c r="L370" s="911">
        <f ca="1">IFERROR(INDEX(Lists!$O$2:$Z$2,MATCH(TRUE,INDEX((AE370:AP370&lt;&gt;0),0),0)),DATE(2018,1,1))</f>
        <v>43160</v>
      </c>
      <c r="M370" s="911">
        <f ca="1">IFERROR(INDEX(Lists!$O$3:$Z$3, VALUE(SUBSTITUTE(TEXT(ADDRESS(SUMPRODUCT(MAX((COLUMN(AE370:AP370)*(AE370:AP370&gt;0)))),1),),"$A$",""))-30),DATE(2018,1,1))</f>
        <v>43190</v>
      </c>
      <c r="N370" s="508" t="s">
        <v>1668</v>
      </c>
      <c r="O370" s="508" t="s">
        <v>1653</v>
      </c>
      <c r="P370" s="508" t="s">
        <v>1071</v>
      </c>
      <c r="Q370" s="508" t="s">
        <v>1676</v>
      </c>
      <c r="R370" s="508" t="str">
        <f t="shared" ca="1" si="149"/>
        <v>Geotech La Fortuna Deep</v>
      </c>
      <c r="S370" s="508" t="str">
        <f t="shared" ca="1" si="150"/>
        <v>Hydraulic Testing / Lab Testing</v>
      </c>
      <c r="T370" s="508">
        <f t="shared" ca="1" si="151"/>
        <v>0</v>
      </c>
      <c r="U370" s="508" t="str">
        <f t="shared" ca="1" si="152"/>
        <v>687 / 51-11-3052</v>
      </c>
      <c r="V370" s="508">
        <f t="shared" ca="1" si="153"/>
        <v>0</v>
      </c>
      <c r="W370" s="508">
        <f t="shared" ca="1" si="154"/>
        <v>0</v>
      </c>
      <c r="X370" s="508">
        <f t="shared" ca="1" si="155"/>
        <v>0</v>
      </c>
      <c r="Y370" s="508">
        <f t="shared" ca="1" si="156"/>
        <v>0</v>
      </c>
      <c r="Z370" s="508">
        <f t="shared" ca="1" si="157"/>
        <v>0</v>
      </c>
      <c r="AA370" s="508">
        <f t="shared" ca="1" si="158"/>
        <v>0</v>
      </c>
      <c r="AB370" s="508">
        <f t="shared" ca="1" si="147"/>
        <v>1</v>
      </c>
      <c r="AC370" s="508">
        <f t="shared" ca="1" si="159"/>
        <v>0</v>
      </c>
      <c r="AD370" s="912">
        <f t="shared" ca="1" si="160"/>
        <v>14000</v>
      </c>
      <c r="AE370" s="512">
        <f t="shared" ca="1" si="161"/>
        <v>0</v>
      </c>
      <c r="AF370" s="512">
        <f t="shared" ca="1" si="162"/>
        <v>0</v>
      </c>
      <c r="AG370" s="512">
        <f t="shared" ca="1" si="163"/>
        <v>14000</v>
      </c>
      <c r="AH370" s="512">
        <f t="shared" ca="1" si="164"/>
        <v>0</v>
      </c>
      <c r="AI370" s="512">
        <f t="shared" ca="1" si="165"/>
        <v>0</v>
      </c>
      <c r="AJ370" s="512">
        <f t="shared" ca="1" si="166"/>
        <v>0</v>
      </c>
      <c r="AK370" s="512">
        <f t="shared" ca="1" si="167"/>
        <v>0</v>
      </c>
      <c r="AL370" s="512">
        <f t="shared" ca="1" si="168"/>
        <v>0</v>
      </c>
      <c r="AM370" s="512">
        <f t="shared" ca="1" si="169"/>
        <v>0</v>
      </c>
      <c r="AN370" s="512">
        <f t="shared" ca="1" si="170"/>
        <v>0</v>
      </c>
      <c r="AO370" s="512">
        <f t="shared" ca="1" si="171"/>
        <v>0</v>
      </c>
      <c r="AP370" s="512">
        <f t="shared" ca="1" si="172"/>
        <v>0</v>
      </c>
      <c r="AQ370" s="512" t="str">
        <f t="shared" ca="1" si="173"/>
        <v>Orden de Servicio Con Terreno</v>
      </c>
      <c r="AR370" s="512"/>
      <c r="AS370" s="512" t="str">
        <f t="shared" ca="1" si="174"/>
        <v>No</v>
      </c>
      <c r="AT370" s="151">
        <f t="shared" ca="1" si="175"/>
        <v>14000</v>
      </c>
      <c r="AU370" s="926">
        <f>IFERROR(VLOOKUP(A370,'[7]TD CuentasBDG'!$N$5:$O$21,2,0),0)</f>
        <v>0</v>
      </c>
      <c r="AV370" t="str">
        <f t="shared" ca="1" si="176"/>
        <v>Licitación Corta</v>
      </c>
      <c r="AW370" s="927" t="s">
        <v>2100</v>
      </c>
      <c r="AX370" s="927" t="s">
        <v>1702</v>
      </c>
    </row>
    <row r="371" spans="1:50" ht="75" x14ac:dyDescent="0.25">
      <c r="A371" s="508" t="s">
        <v>2219</v>
      </c>
      <c r="B371" s="508" t="s">
        <v>197</v>
      </c>
      <c r="C371" s="508" t="s">
        <v>146</v>
      </c>
      <c r="D371" s="508" t="s">
        <v>146</v>
      </c>
      <c r="E371" s="508"/>
      <c r="F371" s="508"/>
      <c r="G371" s="508" t="s">
        <v>1647</v>
      </c>
      <c r="H371" s="508" t="s">
        <v>1462</v>
      </c>
      <c r="I371" s="508" t="s">
        <v>2220</v>
      </c>
      <c r="J371" s="555" t="s">
        <v>1650</v>
      </c>
      <c r="K371" s="555" t="s">
        <v>1651</v>
      </c>
      <c r="L371" s="911">
        <f ca="1">IFERROR(INDEX(Lists!$O$2:$Z$2,MATCH(TRUE,INDEX((AE371:AP371&lt;&gt;0),0),0)),DATE(2018,1,1))</f>
        <v>43132</v>
      </c>
      <c r="M371" s="911">
        <f ca="1">IFERROR(INDEX(Lists!$O$3:$Z$3, VALUE(SUBSTITUTE(TEXT(ADDRESS(SUMPRODUCT(MAX((COLUMN(AE371:AP371)*(AE371:AP371&gt;0)))),1),),"$A$",""))-30),DATE(2018,1,1))</f>
        <v>43220</v>
      </c>
      <c r="N371" s="914" t="s">
        <v>1683</v>
      </c>
      <c r="O371" s="508" t="s">
        <v>1653</v>
      </c>
      <c r="P371" s="508" t="s">
        <v>1071</v>
      </c>
      <c r="Q371" s="508" t="s">
        <v>1676</v>
      </c>
      <c r="R371" s="508" t="str">
        <f t="shared" ca="1" si="149"/>
        <v>Geotech La Fortuna Deep</v>
      </c>
      <c r="S371" s="508" t="str">
        <f t="shared" ca="1" si="150"/>
        <v>Gyroscope incl. ATV/OTV (36,700 USD per month, incl 2,700m Gyroscopio, 1250m ATV/OTV)</v>
      </c>
      <c r="T371" s="508">
        <f t="shared" ca="1" si="151"/>
        <v>0</v>
      </c>
      <c r="U371" s="508" t="str">
        <f t="shared" ca="1" si="152"/>
        <v>687 / 51-11-3052</v>
      </c>
      <c r="V371" s="508">
        <f t="shared" ca="1" si="153"/>
        <v>0</v>
      </c>
      <c r="W371" s="508">
        <f t="shared" ca="1" si="154"/>
        <v>0</v>
      </c>
      <c r="X371" s="508">
        <f t="shared" ca="1" si="155"/>
        <v>0</v>
      </c>
      <c r="Y371" s="508">
        <f t="shared" ca="1" si="156"/>
        <v>0</v>
      </c>
      <c r="Z371" s="508">
        <f t="shared" ca="1" si="157"/>
        <v>0</v>
      </c>
      <c r="AA371" s="508">
        <f t="shared" ca="1" si="158"/>
        <v>0</v>
      </c>
      <c r="AB371" s="508">
        <f t="shared" ca="1" si="147"/>
        <v>3</v>
      </c>
      <c r="AC371" s="508">
        <f t="shared" ca="1" si="159"/>
        <v>0</v>
      </c>
      <c r="AD371" s="912">
        <f t="shared" ca="1" si="160"/>
        <v>110100</v>
      </c>
      <c r="AE371" s="512">
        <f t="shared" ca="1" si="161"/>
        <v>0</v>
      </c>
      <c r="AF371" s="512">
        <f t="shared" ca="1" si="162"/>
        <v>36700</v>
      </c>
      <c r="AG371" s="512">
        <f t="shared" ca="1" si="163"/>
        <v>36700</v>
      </c>
      <c r="AH371" s="512">
        <f t="shared" ca="1" si="164"/>
        <v>36700</v>
      </c>
      <c r="AI371" s="512">
        <f t="shared" ca="1" si="165"/>
        <v>0</v>
      </c>
      <c r="AJ371" s="512">
        <f t="shared" ca="1" si="166"/>
        <v>0</v>
      </c>
      <c r="AK371" s="512">
        <f t="shared" ca="1" si="167"/>
        <v>0</v>
      </c>
      <c r="AL371" s="512">
        <f t="shared" ca="1" si="168"/>
        <v>0</v>
      </c>
      <c r="AM371" s="512">
        <f t="shared" ca="1" si="169"/>
        <v>0</v>
      </c>
      <c r="AN371" s="512">
        <f t="shared" ca="1" si="170"/>
        <v>0</v>
      </c>
      <c r="AO371" s="512">
        <f t="shared" ca="1" si="171"/>
        <v>0</v>
      </c>
      <c r="AP371" s="512">
        <f t="shared" ca="1" si="172"/>
        <v>0</v>
      </c>
      <c r="AQ371" s="512" t="str">
        <f t="shared" ca="1" si="173"/>
        <v>Contrato</v>
      </c>
      <c r="AR371" s="512"/>
      <c r="AS371" s="512" t="str">
        <f t="shared" ca="1" si="174"/>
        <v>Si</v>
      </c>
      <c r="AT371" s="151">
        <f t="shared" ca="1" si="175"/>
        <v>110100</v>
      </c>
      <c r="AU371" s="926">
        <f>IFERROR(VLOOKUP(A371,'[7]TD CuentasBDG'!$N$5:$O$21,2,0),0)</f>
        <v>0</v>
      </c>
      <c r="AV371" t="str">
        <f t="shared" si="176"/>
        <v>Adjudicación Directa</v>
      </c>
      <c r="AW371" s="927" t="s">
        <v>1669</v>
      </c>
      <c r="AX371" s="927" t="s">
        <v>1702</v>
      </c>
    </row>
    <row r="372" spans="1:50" ht="75" x14ac:dyDescent="0.25">
      <c r="A372" s="508" t="s">
        <v>2221</v>
      </c>
      <c r="B372" s="508" t="s">
        <v>197</v>
      </c>
      <c r="C372" s="508" t="s">
        <v>146</v>
      </c>
      <c r="D372" s="508" t="s">
        <v>146</v>
      </c>
      <c r="E372" s="508"/>
      <c r="F372" s="508"/>
      <c r="G372" s="508" t="s">
        <v>1647</v>
      </c>
      <c r="H372" s="508" t="s">
        <v>2222</v>
      </c>
      <c r="I372" s="508" t="s">
        <v>2222</v>
      </c>
      <c r="J372" s="555" t="s">
        <v>1650</v>
      </c>
      <c r="K372" s="555" t="s">
        <v>1651</v>
      </c>
      <c r="L372" s="911">
        <f ca="1">IFERROR(INDEX(Lists!$O$2:$Z$2,MATCH(TRUE,INDEX((AE372:AP372&lt;&gt;0),0),0)),DATE(2018,1,1))</f>
        <v>43132</v>
      </c>
      <c r="M372" s="911">
        <f ca="1">IFERROR(INDEX(Lists!$O$3:$Z$3, VALUE(SUBSTITUTE(TEXT(ADDRESS(SUMPRODUCT(MAX((COLUMN(AE372:AP372)*(AE372:AP372&gt;0)))),1),),"$A$",""))-30),DATE(2018,1,1))</f>
        <v>43343</v>
      </c>
      <c r="N372" s="508" t="s">
        <v>1652</v>
      </c>
      <c r="O372" s="508" t="s">
        <v>1653</v>
      </c>
      <c r="P372" s="508" t="s">
        <v>1071</v>
      </c>
      <c r="Q372" s="508" t="s">
        <v>1676</v>
      </c>
      <c r="R372" s="508" t="str">
        <f t="shared" ca="1" si="149"/>
        <v>Drill Control and Core Processing 12,275m, 8 holes, 20 USD por meter (+30%)</v>
      </c>
      <c r="S372" s="508" t="str">
        <f t="shared" ca="1" si="150"/>
        <v>Contractor, IMG</v>
      </c>
      <c r="T372" s="508">
        <f t="shared" ca="1" si="151"/>
        <v>0</v>
      </c>
      <c r="U372" s="508" t="str">
        <f t="shared" ca="1" si="152"/>
        <v>687 / 51-11-3052</v>
      </c>
      <c r="V372" s="508">
        <f t="shared" ca="1" si="153"/>
        <v>0</v>
      </c>
      <c r="W372" s="508">
        <f t="shared" ca="1" si="154"/>
        <v>0</v>
      </c>
      <c r="X372" s="508">
        <f t="shared" ca="1" si="155"/>
        <v>0</v>
      </c>
      <c r="Y372" s="508">
        <f t="shared" ca="1" si="156"/>
        <v>0</v>
      </c>
      <c r="Z372" s="508">
        <f t="shared" ca="1" si="157"/>
        <v>0</v>
      </c>
      <c r="AA372" s="508" t="str">
        <f t="shared" ca="1" si="158"/>
        <v>Ene</v>
      </c>
      <c r="AB372" s="508">
        <f t="shared" ca="1" si="147"/>
        <v>7</v>
      </c>
      <c r="AC372" s="508">
        <f t="shared" ca="1" si="159"/>
        <v>0</v>
      </c>
      <c r="AD372" s="912">
        <f t="shared" ca="1" si="160"/>
        <v>137500.14285714284</v>
      </c>
      <c r="AE372" s="512">
        <f t="shared" ca="1" si="161"/>
        <v>0</v>
      </c>
      <c r="AF372" s="512">
        <f t="shared" ca="1" si="162"/>
        <v>19642.857142857141</v>
      </c>
      <c r="AG372" s="512">
        <f t="shared" ca="1" si="163"/>
        <v>19642.857142857141</v>
      </c>
      <c r="AH372" s="512">
        <f t="shared" ca="1" si="164"/>
        <v>19643</v>
      </c>
      <c r="AI372" s="512">
        <f t="shared" ca="1" si="165"/>
        <v>19642.857142857141</v>
      </c>
      <c r="AJ372" s="512">
        <f t="shared" ca="1" si="166"/>
        <v>19642.857142857141</v>
      </c>
      <c r="AK372" s="512">
        <f t="shared" ca="1" si="167"/>
        <v>19642.857142857141</v>
      </c>
      <c r="AL372" s="512">
        <f t="shared" ca="1" si="168"/>
        <v>19642.857142857141</v>
      </c>
      <c r="AM372" s="512">
        <f t="shared" ca="1" si="169"/>
        <v>0</v>
      </c>
      <c r="AN372" s="512">
        <f t="shared" ca="1" si="170"/>
        <v>0</v>
      </c>
      <c r="AO372" s="512">
        <f t="shared" ca="1" si="171"/>
        <v>0</v>
      </c>
      <c r="AP372" s="512">
        <f t="shared" ca="1" si="172"/>
        <v>0</v>
      </c>
      <c r="AQ372" s="512" t="str">
        <f t="shared" ca="1" si="173"/>
        <v>Contrato</v>
      </c>
      <c r="AR372" s="512"/>
      <c r="AS372" s="512" t="str">
        <f t="shared" ca="1" si="174"/>
        <v>Si</v>
      </c>
      <c r="AT372" s="151">
        <f t="shared" ca="1" si="175"/>
        <v>137500.14285714284</v>
      </c>
      <c r="AU372" s="926">
        <f>IFERROR(VLOOKUP(A372,'[7]TD CuentasBDG'!$N$5:$O$21,2,0),0)</f>
        <v>0</v>
      </c>
      <c r="AV372" t="str">
        <f t="shared" si="176"/>
        <v>Renovación de Contrato</v>
      </c>
      <c r="AW372" s="927" t="s">
        <v>1669</v>
      </c>
      <c r="AX372" s="927" t="s">
        <v>1702</v>
      </c>
    </row>
    <row r="373" spans="1:50" ht="30" x14ac:dyDescent="0.25">
      <c r="A373" s="508" t="s">
        <v>2223</v>
      </c>
      <c r="B373" s="508" t="s">
        <v>197</v>
      </c>
      <c r="C373" s="508" t="s">
        <v>146</v>
      </c>
      <c r="D373" s="508" t="s">
        <v>146</v>
      </c>
      <c r="E373" s="508"/>
      <c r="F373" s="508"/>
      <c r="G373" s="508" t="s">
        <v>1647</v>
      </c>
      <c r="H373" s="508" t="s">
        <v>600</v>
      </c>
      <c r="I373" s="508" t="s">
        <v>600</v>
      </c>
      <c r="J373" s="555" t="s">
        <v>1650</v>
      </c>
      <c r="K373" s="555" t="s">
        <v>1651</v>
      </c>
      <c r="L373" s="911">
        <f ca="1">IFERROR(INDEX(Lists!$O$2:$Z$2,MATCH(TRUE,INDEX((AE373:AP373&lt;&gt;0),0),0)),DATE(2018,1,1))</f>
        <v>43252</v>
      </c>
      <c r="M373" s="911">
        <f ca="1">IFERROR(INDEX(Lists!$O$3:$Z$3, VALUE(SUBSTITUTE(TEXT(ADDRESS(SUMPRODUCT(MAX((COLUMN(AE373:AP373)*(AE373:AP373&gt;0)))),1),),"$A$",""))-30),DATE(2018,1,1))</f>
        <v>43343</v>
      </c>
      <c r="N373" s="508" t="s">
        <v>1652</v>
      </c>
      <c r="O373" s="508" t="s">
        <v>1653</v>
      </c>
      <c r="P373" s="508" t="s">
        <v>1071</v>
      </c>
      <c r="Q373" s="508" t="s">
        <v>1071</v>
      </c>
      <c r="R373" s="508" t="str">
        <f t="shared" ca="1" si="149"/>
        <v>Assays</v>
      </c>
      <c r="S373" s="508" t="str">
        <f t="shared" ca="1" si="150"/>
        <v xml:space="preserve">Relincho (32 USD per m, incl QAQC) </v>
      </c>
      <c r="T373" s="508" t="str">
        <f t="shared" ca="1" si="151"/>
        <v>Contractor, ALS</v>
      </c>
      <c r="U373" s="508" t="str">
        <f t="shared" ca="1" si="152"/>
        <v>687 / 51-11-3052</v>
      </c>
      <c r="V373" s="508">
        <f t="shared" ca="1" si="153"/>
        <v>0</v>
      </c>
      <c r="W373" s="508">
        <f t="shared" ca="1" si="154"/>
        <v>0</v>
      </c>
      <c r="X373" s="508">
        <f t="shared" ca="1" si="155"/>
        <v>0</v>
      </c>
      <c r="Y373" s="508">
        <f t="shared" ca="1" si="156"/>
        <v>0</v>
      </c>
      <c r="Z373" s="508">
        <f t="shared" ca="1" si="157"/>
        <v>0</v>
      </c>
      <c r="AA373" s="508" t="str">
        <f t="shared" ca="1" si="158"/>
        <v>May</v>
      </c>
      <c r="AB373" s="508">
        <f t="shared" ca="1" si="147"/>
        <v>3</v>
      </c>
      <c r="AC373" s="508">
        <f t="shared" ca="1" si="159"/>
        <v>0</v>
      </c>
      <c r="AD373" s="912">
        <f t="shared" ca="1" si="160"/>
        <v>111000</v>
      </c>
      <c r="AE373" s="512">
        <f t="shared" ca="1" si="161"/>
        <v>0</v>
      </c>
      <c r="AF373" s="512">
        <f t="shared" ca="1" si="162"/>
        <v>0</v>
      </c>
      <c r="AG373" s="512">
        <f t="shared" ca="1" si="163"/>
        <v>0</v>
      </c>
      <c r="AH373" s="512">
        <f t="shared" ca="1" si="164"/>
        <v>0</v>
      </c>
      <c r="AI373" s="512">
        <f t="shared" ca="1" si="165"/>
        <v>0</v>
      </c>
      <c r="AJ373" s="512">
        <f t="shared" ca="1" si="166"/>
        <v>37000</v>
      </c>
      <c r="AK373" s="512">
        <f t="shared" ca="1" si="167"/>
        <v>37000</v>
      </c>
      <c r="AL373" s="512">
        <f t="shared" ca="1" si="168"/>
        <v>37000</v>
      </c>
      <c r="AM373" s="512">
        <f t="shared" ca="1" si="169"/>
        <v>0</v>
      </c>
      <c r="AN373" s="512">
        <f t="shared" ca="1" si="170"/>
        <v>0</v>
      </c>
      <c r="AO373" s="512">
        <f t="shared" ca="1" si="171"/>
        <v>0</v>
      </c>
      <c r="AP373" s="512">
        <f t="shared" ca="1" si="172"/>
        <v>0</v>
      </c>
      <c r="AQ373" s="512" t="str">
        <f t="shared" ca="1" si="173"/>
        <v>Contrato</v>
      </c>
      <c r="AR373" s="512"/>
      <c r="AS373" s="512" t="str">
        <f t="shared" ca="1" si="174"/>
        <v>Si</v>
      </c>
      <c r="AT373" s="151">
        <f t="shared" ca="1" si="175"/>
        <v>111000</v>
      </c>
      <c r="AU373" s="926">
        <f>IFERROR(VLOOKUP(A373,'[7]TD CuentasBDG'!$N$5:$O$21,2,0),0)</f>
        <v>0</v>
      </c>
      <c r="AV373" t="str">
        <f t="shared" si="176"/>
        <v>Renovación de Contrato</v>
      </c>
      <c r="AW373" s="927" t="s">
        <v>2100</v>
      </c>
      <c r="AX373" s="927" t="s">
        <v>1655</v>
      </c>
    </row>
    <row r="374" spans="1:50" ht="30" x14ac:dyDescent="0.25">
      <c r="A374" s="508" t="s">
        <v>2224</v>
      </c>
      <c r="B374" s="508" t="s">
        <v>197</v>
      </c>
      <c r="C374" s="508" t="s">
        <v>146</v>
      </c>
      <c r="D374" s="508" t="s">
        <v>146</v>
      </c>
      <c r="E374" s="508" t="s">
        <v>2225</v>
      </c>
      <c r="F374" s="508" t="s">
        <v>1674</v>
      </c>
      <c r="G374" s="508" t="s">
        <v>1647</v>
      </c>
      <c r="H374" s="508" t="s">
        <v>600</v>
      </c>
      <c r="I374" s="508" t="s">
        <v>600</v>
      </c>
      <c r="J374" s="555" t="s">
        <v>1650</v>
      </c>
      <c r="K374" s="555" t="s">
        <v>1651</v>
      </c>
      <c r="L374" s="911">
        <f ca="1">IFERROR(INDEX(Lists!$O$2:$Z$2,MATCH(TRUE,INDEX((AE374:AP374&lt;&gt;0),0),0)),DATE(2018,1,1))</f>
        <v>43160</v>
      </c>
      <c r="M374" s="911">
        <f ca="1">IFERROR(INDEX(Lists!$O$3:$Z$3, VALUE(SUBSTITUTE(TEXT(ADDRESS(SUMPRODUCT(MAX((COLUMN(AE374:AP374)*(AE374:AP374&gt;0)))),1),),"$A$",""))-30),DATE(2018,1,1))</f>
        <v>43251</v>
      </c>
      <c r="N374" s="508" t="s">
        <v>1652</v>
      </c>
      <c r="O374" s="508" t="s">
        <v>1653</v>
      </c>
      <c r="P374" s="508" t="s">
        <v>1071</v>
      </c>
      <c r="Q374" s="508" t="s">
        <v>1071</v>
      </c>
      <c r="R374" s="508" t="str">
        <f t="shared" ca="1" si="149"/>
        <v>Assays</v>
      </c>
      <c r="S374" s="508" t="str">
        <f t="shared" ca="1" si="150"/>
        <v>La Fortuna (42 USD per m, incl. QAQC)</v>
      </c>
      <c r="T374" s="508">
        <f t="shared" ca="1" si="151"/>
        <v>0</v>
      </c>
      <c r="U374" s="508" t="str">
        <f t="shared" ca="1" si="152"/>
        <v>687 / 51-11-3052</v>
      </c>
      <c r="V374" s="508">
        <f t="shared" ca="1" si="153"/>
        <v>0</v>
      </c>
      <c r="W374" s="508">
        <f t="shared" ca="1" si="154"/>
        <v>0</v>
      </c>
      <c r="X374" s="508">
        <f t="shared" ca="1" si="155"/>
        <v>0</v>
      </c>
      <c r="Y374" s="508">
        <f t="shared" ca="1" si="156"/>
        <v>0</v>
      </c>
      <c r="Z374" s="508">
        <f t="shared" ca="1" si="157"/>
        <v>0</v>
      </c>
      <c r="AA374" s="508" t="str">
        <f t="shared" ca="1" si="158"/>
        <v>Ene</v>
      </c>
      <c r="AB374" s="508">
        <f t="shared" ca="1" si="147"/>
        <v>3</v>
      </c>
      <c r="AC374" s="508">
        <f t="shared" ca="1" si="159"/>
        <v>0</v>
      </c>
      <c r="AD374" s="912">
        <f t="shared" ca="1" si="160"/>
        <v>162750</v>
      </c>
      <c r="AE374" s="512">
        <f t="shared" ca="1" si="161"/>
        <v>0</v>
      </c>
      <c r="AF374" s="512">
        <f t="shared" ca="1" si="162"/>
        <v>0</v>
      </c>
      <c r="AG374" s="512">
        <f t="shared" ca="1" si="163"/>
        <v>54250</v>
      </c>
      <c r="AH374" s="512">
        <f t="shared" ca="1" si="164"/>
        <v>54250</v>
      </c>
      <c r="AI374" s="512">
        <f t="shared" ca="1" si="165"/>
        <v>54250</v>
      </c>
      <c r="AJ374" s="512">
        <f t="shared" ca="1" si="166"/>
        <v>0</v>
      </c>
      <c r="AK374" s="512">
        <f t="shared" ca="1" si="167"/>
        <v>0</v>
      </c>
      <c r="AL374" s="512">
        <f t="shared" ca="1" si="168"/>
        <v>0</v>
      </c>
      <c r="AM374" s="512">
        <f t="shared" ca="1" si="169"/>
        <v>0</v>
      </c>
      <c r="AN374" s="512">
        <f t="shared" ca="1" si="170"/>
        <v>0</v>
      </c>
      <c r="AO374" s="512">
        <f t="shared" ca="1" si="171"/>
        <v>0</v>
      </c>
      <c r="AP374" s="512">
        <f t="shared" ca="1" si="172"/>
        <v>0</v>
      </c>
      <c r="AQ374" s="512" t="str">
        <f t="shared" ca="1" si="173"/>
        <v>Contrato</v>
      </c>
      <c r="AR374" s="512"/>
      <c r="AS374" s="512" t="str">
        <f t="shared" ca="1" si="174"/>
        <v>Si</v>
      </c>
      <c r="AT374" s="151">
        <f t="shared" ca="1" si="175"/>
        <v>162750</v>
      </c>
      <c r="AU374" s="926">
        <f>IFERROR(VLOOKUP(A374,'[7]TD CuentasBDG'!$N$5:$O$21,2,0),0)</f>
        <v>92163</v>
      </c>
      <c r="AV374" t="str">
        <f t="shared" si="176"/>
        <v>Renovación de Contrato</v>
      </c>
      <c r="AW374" s="927" t="s">
        <v>2100</v>
      </c>
      <c r="AX374" s="927" t="s">
        <v>1655</v>
      </c>
    </row>
    <row r="375" spans="1:50" ht="135" x14ac:dyDescent="0.25">
      <c r="A375" s="508" t="s">
        <v>2226</v>
      </c>
      <c r="B375" s="508" t="s">
        <v>197</v>
      </c>
      <c r="C375" s="508" t="s">
        <v>146</v>
      </c>
      <c r="D375" s="508" t="s">
        <v>146</v>
      </c>
      <c r="E375" s="508"/>
      <c r="F375" s="508"/>
      <c r="G375" s="508" t="s">
        <v>1647</v>
      </c>
      <c r="H375" s="508" t="s">
        <v>2227</v>
      </c>
      <c r="I375" s="508" t="s">
        <v>2228</v>
      </c>
      <c r="J375" s="555" t="s">
        <v>1650</v>
      </c>
      <c r="K375" s="555" t="s">
        <v>1651</v>
      </c>
      <c r="L375" s="911">
        <f ca="1">IFERROR(INDEX(Lists!$O$2:$Z$2,MATCH(TRUE,INDEX((AE375:AP375&lt;&gt;0),0),0)),DATE(2018,1,1))</f>
        <v>43221</v>
      </c>
      <c r="M375" s="911">
        <f ca="1">IFERROR(INDEX(Lists!$O$3:$Z$3, VALUE(SUBSTITUTE(TEXT(ADDRESS(SUMPRODUCT(MAX((COLUMN(AE375:AP375)*(AE375:AP375&gt;0)))),1),),"$A$",""))-30),DATE(2018,1,1))</f>
        <v>43343</v>
      </c>
      <c r="N375" s="508" t="s">
        <v>1652</v>
      </c>
      <c r="O375" s="508" t="s">
        <v>1653</v>
      </c>
      <c r="P375" s="508" t="s">
        <v>1071</v>
      </c>
      <c r="Q375" s="508" t="s">
        <v>1676</v>
      </c>
      <c r="R375" s="508" t="str">
        <f t="shared" ca="1" si="149"/>
        <v>Drill Support Staff (6-month campaign assumed, incl. OOB)
(6-month campaign assumed, incl. OOB)</v>
      </c>
      <c r="S375" s="508" t="str">
        <f t="shared" ca="1" si="150"/>
        <v>Senior Geologist (120)</v>
      </c>
      <c r="T375" s="508">
        <f t="shared" ca="1" si="151"/>
        <v>0</v>
      </c>
      <c r="U375" s="508" t="str">
        <f t="shared" ca="1" si="152"/>
        <v>687 / 51-11-3052</v>
      </c>
      <c r="V375" s="508">
        <f t="shared" ca="1" si="153"/>
        <v>0</v>
      </c>
      <c r="W375" s="508">
        <f t="shared" ca="1" si="154"/>
        <v>0</v>
      </c>
      <c r="X375" s="508">
        <f t="shared" ca="1" si="155"/>
        <v>0</v>
      </c>
      <c r="Y375" s="508">
        <f t="shared" ca="1" si="156"/>
        <v>0</v>
      </c>
      <c r="Z375" s="508">
        <f t="shared" ca="1" si="157"/>
        <v>0</v>
      </c>
      <c r="AA375" s="508" t="str">
        <f t="shared" ca="1" si="158"/>
        <v>May</v>
      </c>
      <c r="AB375" s="508">
        <f t="shared" ca="1" si="147"/>
        <v>4</v>
      </c>
      <c r="AC375" s="914">
        <v>12</v>
      </c>
      <c r="AD375" s="912">
        <f t="shared" ca="1" si="160"/>
        <v>67200</v>
      </c>
      <c r="AE375" s="512">
        <f t="shared" ca="1" si="161"/>
        <v>0</v>
      </c>
      <c r="AF375" s="512">
        <f t="shared" ca="1" si="162"/>
        <v>0</v>
      </c>
      <c r="AG375" s="512">
        <f t="shared" ca="1" si="163"/>
        <v>0</v>
      </c>
      <c r="AH375" s="512">
        <f t="shared" ca="1" si="164"/>
        <v>0</v>
      </c>
      <c r="AI375" s="512">
        <f t="shared" ca="1" si="165"/>
        <v>16800</v>
      </c>
      <c r="AJ375" s="512">
        <f t="shared" ca="1" si="166"/>
        <v>16800</v>
      </c>
      <c r="AK375" s="512">
        <f t="shared" ca="1" si="167"/>
        <v>16800</v>
      </c>
      <c r="AL375" s="512">
        <f t="shared" ca="1" si="168"/>
        <v>16800</v>
      </c>
      <c r="AM375" s="512">
        <f t="shared" ca="1" si="169"/>
        <v>0</v>
      </c>
      <c r="AN375" s="512">
        <f t="shared" ca="1" si="170"/>
        <v>0</v>
      </c>
      <c r="AO375" s="512">
        <f t="shared" ca="1" si="171"/>
        <v>0</v>
      </c>
      <c r="AP375" s="512">
        <f t="shared" ca="1" si="172"/>
        <v>0</v>
      </c>
      <c r="AQ375" s="512" t="str">
        <f t="shared" ca="1" si="173"/>
        <v>Contrato</v>
      </c>
      <c r="AR375" s="512"/>
      <c r="AS375" s="512" t="str">
        <f t="shared" ca="1" si="174"/>
        <v>Si</v>
      </c>
      <c r="AT375" s="151">
        <f t="shared" ca="1" si="175"/>
        <v>67200</v>
      </c>
      <c r="AU375" s="926">
        <f>IFERROR(VLOOKUP(A375,'[7]TD CuentasBDG'!$N$5:$O$21,2,0),0)</f>
        <v>0</v>
      </c>
      <c r="AV375" t="str">
        <f t="shared" si="176"/>
        <v>Renovación de Contrato</v>
      </c>
      <c r="AW375" s="927" t="s">
        <v>2026</v>
      </c>
      <c r="AX375" s="927" t="s">
        <v>2202</v>
      </c>
    </row>
    <row r="376" spans="1:50" ht="135" x14ac:dyDescent="0.25">
      <c r="A376" s="508" t="s">
        <v>2229</v>
      </c>
      <c r="B376" s="508" t="s">
        <v>197</v>
      </c>
      <c r="C376" s="508" t="s">
        <v>146</v>
      </c>
      <c r="D376" s="508" t="s">
        <v>146</v>
      </c>
      <c r="E376" s="508"/>
      <c r="F376" s="508"/>
      <c r="G376" s="508" t="s">
        <v>1647</v>
      </c>
      <c r="H376" s="508" t="s">
        <v>2228</v>
      </c>
      <c r="I376" s="508" t="s">
        <v>2228</v>
      </c>
      <c r="J376" s="555" t="s">
        <v>1650</v>
      </c>
      <c r="K376" s="555" t="s">
        <v>1651</v>
      </c>
      <c r="L376" s="911">
        <f ca="1">IFERROR(INDEX(Lists!$O$2:$Z$2,MATCH(TRUE,INDEX((AE376:AP376&lt;&gt;0),0),0)),DATE(2018,1,1))</f>
        <v>43102</v>
      </c>
      <c r="M376" s="911">
        <f ca="1">IFERROR(INDEX(Lists!$O$3:$Z$3, VALUE(SUBSTITUTE(TEXT(ADDRESS(SUMPRODUCT(MAX((COLUMN(AE376:AP376)*(AE376:AP376&gt;0)))),1),),"$A$",""))-30),DATE(2018,1,1))</f>
        <v>43343</v>
      </c>
      <c r="N376" s="508" t="s">
        <v>1652</v>
      </c>
      <c r="O376" s="508" t="s">
        <v>1653</v>
      </c>
      <c r="P376" s="508" t="s">
        <v>1071</v>
      </c>
      <c r="Q376" s="508" t="s">
        <v>1676</v>
      </c>
      <c r="R376" s="508" t="str">
        <f t="shared" ca="1" si="149"/>
        <v>Drill Support Staff (6-month campaign assumed, incl. OOB)
(6-month campaign assumed, incl. OOB)</v>
      </c>
      <c r="S376" s="508" t="str">
        <f t="shared" ca="1" si="150"/>
        <v>Geologist 1 (140)</v>
      </c>
      <c r="T376" s="508">
        <f t="shared" ca="1" si="151"/>
        <v>0</v>
      </c>
      <c r="U376" s="508" t="str">
        <f t="shared" ca="1" si="152"/>
        <v>687 / 51-11-3052</v>
      </c>
      <c r="V376" s="508">
        <f t="shared" ca="1" si="153"/>
        <v>0</v>
      </c>
      <c r="W376" s="508">
        <f t="shared" ca="1" si="154"/>
        <v>0</v>
      </c>
      <c r="X376" s="508">
        <f t="shared" ca="1" si="155"/>
        <v>0</v>
      </c>
      <c r="Y376" s="508">
        <f t="shared" ca="1" si="156"/>
        <v>0</v>
      </c>
      <c r="Z376" s="508">
        <f t="shared" ca="1" si="157"/>
        <v>0</v>
      </c>
      <c r="AA376" s="508" t="str">
        <f t="shared" ca="1" si="158"/>
        <v>Ene</v>
      </c>
      <c r="AB376" s="508">
        <f t="shared" ca="1" si="147"/>
        <v>8</v>
      </c>
      <c r="AC376" s="914">
        <v>12</v>
      </c>
      <c r="AD376" s="912">
        <f t="shared" ca="1" si="160"/>
        <v>117600</v>
      </c>
      <c r="AE376" s="512">
        <f t="shared" ca="1" si="161"/>
        <v>8400</v>
      </c>
      <c r="AF376" s="512">
        <f t="shared" ca="1" si="162"/>
        <v>8400</v>
      </c>
      <c r="AG376" s="512">
        <f t="shared" ca="1" si="163"/>
        <v>16800</v>
      </c>
      <c r="AH376" s="512">
        <f t="shared" ca="1" si="164"/>
        <v>16800</v>
      </c>
      <c r="AI376" s="512">
        <f t="shared" ca="1" si="165"/>
        <v>16800</v>
      </c>
      <c r="AJ376" s="512">
        <f t="shared" ca="1" si="166"/>
        <v>16800</v>
      </c>
      <c r="AK376" s="512">
        <f t="shared" ca="1" si="167"/>
        <v>16800</v>
      </c>
      <c r="AL376" s="512">
        <f t="shared" ca="1" si="168"/>
        <v>16800</v>
      </c>
      <c r="AM376" s="512">
        <f t="shared" ca="1" si="169"/>
        <v>0</v>
      </c>
      <c r="AN376" s="512">
        <f t="shared" ca="1" si="170"/>
        <v>0</v>
      </c>
      <c r="AO376" s="512">
        <f t="shared" ca="1" si="171"/>
        <v>0</v>
      </c>
      <c r="AP376" s="512">
        <f t="shared" ca="1" si="172"/>
        <v>0</v>
      </c>
      <c r="AQ376" s="512" t="str">
        <f t="shared" ca="1" si="173"/>
        <v>Contrato</v>
      </c>
      <c r="AR376" s="512"/>
      <c r="AS376" s="512" t="str">
        <f t="shared" ca="1" si="174"/>
        <v>Si</v>
      </c>
      <c r="AT376" s="151">
        <f t="shared" ca="1" si="175"/>
        <v>117600</v>
      </c>
      <c r="AU376" s="926">
        <f>IFERROR(VLOOKUP(A376,'[7]TD CuentasBDG'!$N$5:$O$21,2,0),0)</f>
        <v>0</v>
      </c>
      <c r="AV376" t="str">
        <f t="shared" si="176"/>
        <v>Renovación de Contrato</v>
      </c>
      <c r="AW376" s="927" t="s">
        <v>2026</v>
      </c>
      <c r="AX376" s="927" t="s">
        <v>1702</v>
      </c>
    </row>
    <row r="377" spans="1:50" ht="135" x14ac:dyDescent="0.25">
      <c r="A377" s="508" t="s">
        <v>2230</v>
      </c>
      <c r="B377" s="508" t="s">
        <v>197</v>
      </c>
      <c r="C377" s="508" t="s">
        <v>146</v>
      </c>
      <c r="D377" s="508" t="s">
        <v>146</v>
      </c>
      <c r="E377" s="508"/>
      <c r="F377" s="508"/>
      <c r="G377" s="508" t="s">
        <v>1647</v>
      </c>
      <c r="H377" s="508" t="s">
        <v>2228</v>
      </c>
      <c r="I377" s="508" t="s">
        <v>2228</v>
      </c>
      <c r="J377" s="555" t="s">
        <v>1650</v>
      </c>
      <c r="K377" s="555" t="s">
        <v>1651</v>
      </c>
      <c r="L377" s="911">
        <f ca="1">IFERROR(INDEX(Lists!$O$2:$Z$2,MATCH(TRUE,INDEX((AE377:AP377&lt;&gt;0),0),0)),DATE(2018,1,1))</f>
        <v>43102</v>
      </c>
      <c r="M377" s="911">
        <f ca="1">IFERROR(INDEX(Lists!$O$3:$Z$3, VALUE(SUBSTITUTE(TEXT(ADDRESS(SUMPRODUCT(MAX((COLUMN(AE377:AP377)*(AE377:AP377&gt;0)))),1),),"$A$",""))-30),DATE(2018,1,1))</f>
        <v>43343</v>
      </c>
      <c r="N377" s="508" t="s">
        <v>1652</v>
      </c>
      <c r="O377" s="508" t="s">
        <v>1653</v>
      </c>
      <c r="P377" s="508" t="s">
        <v>1071</v>
      </c>
      <c r="Q377" s="508" t="s">
        <v>1676</v>
      </c>
      <c r="R377" s="508" t="str">
        <f t="shared" ca="1" si="149"/>
        <v>Drill Support Staff (6-month campaign assumed, incl. OOB)
(6-month campaign assumed, incl. OOB)</v>
      </c>
      <c r="S377" s="508" t="str">
        <f t="shared" ca="1" si="150"/>
        <v>Geologist 2 (140)</v>
      </c>
      <c r="T377" s="508">
        <f t="shared" ca="1" si="151"/>
        <v>0</v>
      </c>
      <c r="U377" s="508" t="str">
        <f t="shared" ca="1" si="152"/>
        <v>687 / 51-11-3052</v>
      </c>
      <c r="V377" s="508">
        <f t="shared" ca="1" si="153"/>
        <v>0</v>
      </c>
      <c r="W377" s="508">
        <f t="shared" ca="1" si="154"/>
        <v>0</v>
      </c>
      <c r="X377" s="508">
        <f t="shared" ca="1" si="155"/>
        <v>0</v>
      </c>
      <c r="Y377" s="508">
        <f t="shared" ca="1" si="156"/>
        <v>0</v>
      </c>
      <c r="Z377" s="508">
        <f t="shared" ca="1" si="157"/>
        <v>0</v>
      </c>
      <c r="AA377" s="508" t="str">
        <f t="shared" ca="1" si="158"/>
        <v>Ene</v>
      </c>
      <c r="AB377" s="508">
        <f t="shared" ca="1" si="147"/>
        <v>8</v>
      </c>
      <c r="AC377" s="914">
        <v>12</v>
      </c>
      <c r="AD377" s="912">
        <f t="shared" ca="1" si="160"/>
        <v>117600</v>
      </c>
      <c r="AE377" s="512">
        <f t="shared" ca="1" si="161"/>
        <v>8400</v>
      </c>
      <c r="AF377" s="512">
        <f t="shared" ca="1" si="162"/>
        <v>8400</v>
      </c>
      <c r="AG377" s="512">
        <f t="shared" ca="1" si="163"/>
        <v>16800</v>
      </c>
      <c r="AH377" s="512">
        <f t="shared" ca="1" si="164"/>
        <v>16800</v>
      </c>
      <c r="AI377" s="512">
        <f t="shared" ca="1" si="165"/>
        <v>16800</v>
      </c>
      <c r="AJ377" s="512">
        <f t="shared" ca="1" si="166"/>
        <v>16800</v>
      </c>
      <c r="AK377" s="512">
        <f t="shared" ca="1" si="167"/>
        <v>16800</v>
      </c>
      <c r="AL377" s="512">
        <f t="shared" ca="1" si="168"/>
        <v>16800</v>
      </c>
      <c r="AM377" s="512">
        <f t="shared" ca="1" si="169"/>
        <v>0</v>
      </c>
      <c r="AN377" s="512">
        <f t="shared" ca="1" si="170"/>
        <v>0</v>
      </c>
      <c r="AO377" s="512">
        <f t="shared" ca="1" si="171"/>
        <v>0</v>
      </c>
      <c r="AP377" s="512">
        <f t="shared" ca="1" si="172"/>
        <v>0</v>
      </c>
      <c r="AQ377" s="512" t="str">
        <f t="shared" ca="1" si="173"/>
        <v>Contrato</v>
      </c>
      <c r="AR377" s="512"/>
      <c r="AS377" s="512" t="str">
        <f t="shared" ca="1" si="174"/>
        <v>Si</v>
      </c>
      <c r="AT377" s="151">
        <f t="shared" ca="1" si="175"/>
        <v>117600</v>
      </c>
      <c r="AU377" s="926">
        <f>IFERROR(VLOOKUP(A377,'[7]TD CuentasBDG'!$N$5:$O$21,2,0),0)</f>
        <v>0</v>
      </c>
      <c r="AV377" t="str">
        <f t="shared" si="176"/>
        <v>Renovación de Contrato</v>
      </c>
      <c r="AW377" s="927" t="s">
        <v>2026</v>
      </c>
      <c r="AX377" s="927" t="s">
        <v>1702</v>
      </c>
    </row>
    <row r="378" spans="1:50" ht="135" x14ac:dyDescent="0.25">
      <c r="A378" s="508" t="s">
        <v>2231</v>
      </c>
      <c r="B378" s="508" t="s">
        <v>197</v>
      </c>
      <c r="C378" s="508" t="s">
        <v>146</v>
      </c>
      <c r="D378" s="508" t="s">
        <v>146</v>
      </c>
      <c r="E378" s="508"/>
      <c r="F378" s="508"/>
      <c r="G378" s="508" t="s">
        <v>1647</v>
      </c>
      <c r="H378" s="508" t="s">
        <v>2228</v>
      </c>
      <c r="I378" s="508" t="s">
        <v>2228</v>
      </c>
      <c r="J378" s="555" t="s">
        <v>1650</v>
      </c>
      <c r="K378" s="555" t="s">
        <v>1651</v>
      </c>
      <c r="L378" s="911">
        <f ca="1">IFERROR(INDEX(Lists!$O$2:$Z$2,MATCH(TRUE,INDEX((AE378:AP378&lt;&gt;0),0),0)),DATE(2018,1,1))</f>
        <v>43102</v>
      </c>
      <c r="M378" s="911">
        <f ca="1">IFERROR(INDEX(Lists!$O$3:$Z$3, VALUE(SUBSTITUTE(TEXT(ADDRESS(SUMPRODUCT(MAX((COLUMN(AE378:AP378)*(AE378:AP378&gt;0)))),1),),"$A$",""))-30),DATE(2018,1,1))</f>
        <v>43343</v>
      </c>
      <c r="N378" s="508" t="s">
        <v>1652</v>
      </c>
      <c r="O378" s="508" t="s">
        <v>1653</v>
      </c>
      <c r="P378" s="508" t="s">
        <v>1071</v>
      </c>
      <c r="Q378" s="508" t="s">
        <v>1676</v>
      </c>
      <c r="R378" s="508" t="str">
        <f t="shared" ca="1" si="149"/>
        <v>Drill Support Staff (6-month campaign assumed, incl. OOB)
(6-month campaign assumed, incl. OOB)</v>
      </c>
      <c r="S378" s="508" t="str">
        <f t="shared" ca="1" si="150"/>
        <v>Geologist 3 (140)</v>
      </c>
      <c r="T378" s="508">
        <f t="shared" ca="1" si="151"/>
        <v>0</v>
      </c>
      <c r="U378" s="508" t="str">
        <f t="shared" ca="1" si="152"/>
        <v>687 / 51-11-3052</v>
      </c>
      <c r="V378" s="508">
        <f t="shared" ca="1" si="153"/>
        <v>0</v>
      </c>
      <c r="W378" s="508">
        <f t="shared" ca="1" si="154"/>
        <v>0</v>
      </c>
      <c r="X378" s="508">
        <f t="shared" ca="1" si="155"/>
        <v>0</v>
      </c>
      <c r="Y378" s="508">
        <f t="shared" ca="1" si="156"/>
        <v>0</v>
      </c>
      <c r="Z378" s="508">
        <f t="shared" ca="1" si="157"/>
        <v>0</v>
      </c>
      <c r="AA378" s="508" t="str">
        <f t="shared" ca="1" si="158"/>
        <v>Ene</v>
      </c>
      <c r="AB378" s="508">
        <f t="shared" ca="1" si="147"/>
        <v>8</v>
      </c>
      <c r="AC378" s="914">
        <v>12</v>
      </c>
      <c r="AD378" s="912">
        <f t="shared" ca="1" si="160"/>
        <v>117600</v>
      </c>
      <c r="AE378" s="512">
        <f t="shared" ca="1" si="161"/>
        <v>8400</v>
      </c>
      <c r="AF378" s="512">
        <f t="shared" ca="1" si="162"/>
        <v>8400</v>
      </c>
      <c r="AG378" s="512">
        <f t="shared" ca="1" si="163"/>
        <v>16800</v>
      </c>
      <c r="AH378" s="512">
        <f t="shared" ca="1" si="164"/>
        <v>16800</v>
      </c>
      <c r="AI378" s="512">
        <f t="shared" ca="1" si="165"/>
        <v>16800</v>
      </c>
      <c r="AJ378" s="512">
        <f t="shared" ca="1" si="166"/>
        <v>16800</v>
      </c>
      <c r="AK378" s="512">
        <f t="shared" ca="1" si="167"/>
        <v>16800</v>
      </c>
      <c r="AL378" s="512">
        <f t="shared" ca="1" si="168"/>
        <v>16800</v>
      </c>
      <c r="AM378" s="512">
        <f t="shared" ca="1" si="169"/>
        <v>0</v>
      </c>
      <c r="AN378" s="512">
        <f t="shared" ca="1" si="170"/>
        <v>0</v>
      </c>
      <c r="AO378" s="512">
        <f t="shared" ca="1" si="171"/>
        <v>0</v>
      </c>
      <c r="AP378" s="512">
        <f t="shared" ca="1" si="172"/>
        <v>0</v>
      </c>
      <c r="AQ378" s="512" t="str">
        <f t="shared" ca="1" si="173"/>
        <v>Contrato</v>
      </c>
      <c r="AR378" s="512"/>
      <c r="AS378" s="512" t="str">
        <f t="shared" ca="1" si="174"/>
        <v>Si</v>
      </c>
      <c r="AT378" s="151">
        <f t="shared" ca="1" si="175"/>
        <v>117600</v>
      </c>
      <c r="AU378" s="926">
        <f>IFERROR(VLOOKUP(A378,'[7]TD CuentasBDG'!$N$5:$O$21,2,0),0)</f>
        <v>0</v>
      </c>
      <c r="AV378" t="str">
        <f t="shared" si="176"/>
        <v>Renovación de Contrato</v>
      </c>
      <c r="AW378" s="927" t="s">
        <v>2026</v>
      </c>
      <c r="AX378" s="927" t="s">
        <v>1702</v>
      </c>
    </row>
    <row r="379" spans="1:50" ht="135" x14ac:dyDescent="0.25">
      <c r="A379" s="508" t="s">
        <v>2232</v>
      </c>
      <c r="B379" s="508" t="s">
        <v>197</v>
      </c>
      <c r="C379" s="508" t="s">
        <v>146</v>
      </c>
      <c r="D379" s="508" t="s">
        <v>146</v>
      </c>
      <c r="E379" s="508"/>
      <c r="F379" s="508"/>
      <c r="G379" s="508" t="s">
        <v>1707</v>
      </c>
      <c r="H379" s="508"/>
      <c r="I379" s="508"/>
      <c r="J379" s="555"/>
      <c r="K379" s="555"/>
      <c r="L379" s="911">
        <f ca="1">IFERROR(INDEX(Lists!$O$2:$Z$2,MATCH(TRUE,INDEX((AE379:AP379&lt;&gt;0),0),0)),DATE(2018,1,1))</f>
        <v>43132</v>
      </c>
      <c r="M379" s="911">
        <f ca="1">IFERROR(INDEX(Lists!$O$3:$Z$3, VALUE(SUBSTITUTE(TEXT(ADDRESS(SUMPRODUCT(MAX((COLUMN(AE379:AP379)*(AE379:AP379&gt;0)))),1),),"$A$",""))-30),DATE(2018,1,1))</f>
        <v>43343</v>
      </c>
      <c r="N379" s="508"/>
      <c r="O379" s="508"/>
      <c r="P379" s="508"/>
      <c r="Q379" s="508"/>
      <c r="R379" s="508" t="str">
        <f t="shared" ca="1" si="149"/>
        <v>Drill Support Staff (6-month campaign assumed, incl. OOB)
(6-month campaign assumed, incl. OOB)</v>
      </c>
      <c r="S379" s="508" t="str">
        <f t="shared" ca="1" si="150"/>
        <v>Controller 1 (140)</v>
      </c>
      <c r="T379" s="508">
        <f t="shared" ca="1" si="151"/>
        <v>0</v>
      </c>
      <c r="U379" s="508" t="str">
        <f t="shared" ca="1" si="152"/>
        <v>687 / 51-11-3052</v>
      </c>
      <c r="V379" s="508">
        <f t="shared" ca="1" si="153"/>
        <v>0</v>
      </c>
      <c r="W379" s="508">
        <f t="shared" ca="1" si="154"/>
        <v>0</v>
      </c>
      <c r="X379" s="508">
        <f t="shared" ca="1" si="155"/>
        <v>0</v>
      </c>
      <c r="Y379" s="508">
        <f t="shared" ca="1" si="156"/>
        <v>0</v>
      </c>
      <c r="Z379" s="508">
        <f t="shared" ca="1" si="157"/>
        <v>0</v>
      </c>
      <c r="AA379" s="508" t="str">
        <f t="shared" ca="1" si="158"/>
        <v>Ene</v>
      </c>
      <c r="AB379" s="508">
        <f t="shared" ca="1" si="147"/>
        <v>7</v>
      </c>
      <c r="AC379" s="914">
        <v>12</v>
      </c>
      <c r="AD379" s="912">
        <f t="shared" ca="1" si="160"/>
        <v>17500</v>
      </c>
      <c r="AE379" s="512">
        <f t="shared" ca="1" si="161"/>
        <v>0</v>
      </c>
      <c r="AF379" s="512">
        <f t="shared" ca="1" si="162"/>
        <v>2500</v>
      </c>
      <c r="AG379" s="512">
        <f t="shared" ca="1" si="163"/>
        <v>2500</v>
      </c>
      <c r="AH379" s="512">
        <f t="shared" ca="1" si="164"/>
        <v>2500</v>
      </c>
      <c r="AI379" s="512">
        <f t="shared" ca="1" si="165"/>
        <v>2500</v>
      </c>
      <c r="AJ379" s="512">
        <f t="shared" ca="1" si="166"/>
        <v>2500</v>
      </c>
      <c r="AK379" s="512">
        <f t="shared" ca="1" si="167"/>
        <v>2500</v>
      </c>
      <c r="AL379" s="512">
        <f t="shared" ca="1" si="168"/>
        <v>2500</v>
      </c>
      <c r="AM379" s="512">
        <f t="shared" ca="1" si="169"/>
        <v>0</v>
      </c>
      <c r="AN379" s="512">
        <f t="shared" ca="1" si="170"/>
        <v>0</v>
      </c>
      <c r="AO379" s="512">
        <f t="shared" ca="1" si="171"/>
        <v>0</v>
      </c>
      <c r="AP379" s="512">
        <f t="shared" ca="1" si="172"/>
        <v>0</v>
      </c>
      <c r="AQ379" s="512" t="str">
        <f t="shared" si="173"/>
        <v/>
      </c>
      <c r="AR379" s="512"/>
      <c r="AS379" s="512" t="str">
        <f t="shared" si="174"/>
        <v/>
      </c>
      <c r="AT379" s="151">
        <f t="shared" si="175"/>
        <v>0</v>
      </c>
      <c r="AU379" s="151">
        <f>IFERROR(VLOOKUP(A379,'[7]TD CuentasBDG'!$N$5:$O$21,2,0),0)</f>
        <v>0</v>
      </c>
      <c r="AV379">
        <f t="shared" si="176"/>
        <v>0</v>
      </c>
    </row>
    <row r="380" spans="1:50" ht="135" x14ac:dyDescent="0.25">
      <c r="A380" s="508" t="s">
        <v>2233</v>
      </c>
      <c r="B380" s="508" t="s">
        <v>197</v>
      </c>
      <c r="C380" s="508" t="s">
        <v>146</v>
      </c>
      <c r="D380" s="508" t="s">
        <v>146</v>
      </c>
      <c r="E380" s="508"/>
      <c r="F380" s="508"/>
      <c r="G380" s="508" t="s">
        <v>1707</v>
      </c>
      <c r="H380" s="508"/>
      <c r="I380" s="508"/>
      <c r="J380" s="555"/>
      <c r="K380" s="555"/>
      <c r="L380" s="911">
        <f ca="1">IFERROR(INDEX(Lists!$O$2:$Z$2,MATCH(TRUE,INDEX((AE380:AP380&lt;&gt;0),0),0)),DATE(2018,1,1))</f>
        <v>43132</v>
      </c>
      <c r="M380" s="911">
        <f ca="1">IFERROR(INDEX(Lists!$O$3:$Z$3, VALUE(SUBSTITUTE(TEXT(ADDRESS(SUMPRODUCT(MAX((COLUMN(AE380:AP380)*(AE380:AP380&gt;0)))),1),),"$A$",""))-30),DATE(2018,1,1))</f>
        <v>43343</v>
      </c>
      <c r="N380" s="508"/>
      <c r="O380" s="508"/>
      <c r="P380" s="508"/>
      <c r="Q380" s="508"/>
      <c r="R380" s="508" t="str">
        <f t="shared" ca="1" si="149"/>
        <v>Drill Support Staff (6-month campaign assumed, incl. OOB)
(6-month campaign assumed, incl. OOB)</v>
      </c>
      <c r="S380" s="508" t="str">
        <f t="shared" ca="1" si="150"/>
        <v>Controller 2 (140)</v>
      </c>
      <c r="T380" s="508">
        <f t="shared" ca="1" si="151"/>
        <v>0</v>
      </c>
      <c r="U380" s="508" t="str">
        <f t="shared" ca="1" si="152"/>
        <v>687 / 51-11-3052</v>
      </c>
      <c r="V380" s="508">
        <f t="shared" ca="1" si="153"/>
        <v>0</v>
      </c>
      <c r="W380" s="508">
        <f t="shared" ca="1" si="154"/>
        <v>0</v>
      </c>
      <c r="X380" s="508">
        <f t="shared" ca="1" si="155"/>
        <v>0</v>
      </c>
      <c r="Y380" s="508">
        <f t="shared" ca="1" si="156"/>
        <v>0</v>
      </c>
      <c r="Z380" s="508">
        <f t="shared" ca="1" si="157"/>
        <v>0</v>
      </c>
      <c r="AA380" s="508" t="str">
        <f t="shared" ca="1" si="158"/>
        <v>Ene</v>
      </c>
      <c r="AB380" s="508">
        <f t="shared" ca="1" si="147"/>
        <v>7</v>
      </c>
      <c r="AC380" s="914">
        <v>12</v>
      </c>
      <c r="AD380" s="912">
        <f t="shared" ca="1" si="160"/>
        <v>17500</v>
      </c>
      <c r="AE380" s="512">
        <f t="shared" ca="1" si="161"/>
        <v>0</v>
      </c>
      <c r="AF380" s="512">
        <f t="shared" ca="1" si="162"/>
        <v>2500</v>
      </c>
      <c r="AG380" s="512">
        <f t="shared" ca="1" si="163"/>
        <v>2500</v>
      </c>
      <c r="AH380" s="512">
        <f t="shared" ca="1" si="164"/>
        <v>2500</v>
      </c>
      <c r="AI380" s="512">
        <f t="shared" ca="1" si="165"/>
        <v>2500</v>
      </c>
      <c r="AJ380" s="512">
        <f t="shared" ca="1" si="166"/>
        <v>2500</v>
      </c>
      <c r="AK380" s="512">
        <f t="shared" ca="1" si="167"/>
        <v>2500</v>
      </c>
      <c r="AL380" s="512">
        <f t="shared" ca="1" si="168"/>
        <v>2500</v>
      </c>
      <c r="AM380" s="512">
        <f t="shared" ca="1" si="169"/>
        <v>0</v>
      </c>
      <c r="AN380" s="512">
        <f t="shared" ca="1" si="170"/>
        <v>0</v>
      </c>
      <c r="AO380" s="512">
        <f t="shared" ca="1" si="171"/>
        <v>0</v>
      </c>
      <c r="AP380" s="512">
        <f t="shared" ca="1" si="172"/>
        <v>0</v>
      </c>
      <c r="AQ380" s="512" t="str">
        <f t="shared" si="173"/>
        <v/>
      </c>
      <c r="AR380" s="512"/>
      <c r="AS380" s="512" t="str">
        <f t="shared" si="174"/>
        <v/>
      </c>
      <c r="AT380" s="151">
        <f t="shared" si="175"/>
        <v>0</v>
      </c>
      <c r="AU380" s="151">
        <f>IFERROR(VLOOKUP(A380,'[7]TD CuentasBDG'!$N$5:$O$21,2,0),0)</f>
        <v>0</v>
      </c>
      <c r="AV380">
        <f t="shared" si="176"/>
        <v>0</v>
      </c>
    </row>
    <row r="381" spans="1:50" ht="135" x14ac:dyDescent="0.25">
      <c r="A381" s="508" t="s">
        <v>2234</v>
      </c>
      <c r="B381" s="508" t="s">
        <v>197</v>
      </c>
      <c r="C381" s="508" t="s">
        <v>146</v>
      </c>
      <c r="D381" s="508" t="s">
        <v>146</v>
      </c>
      <c r="E381" s="508"/>
      <c r="F381" s="508"/>
      <c r="G381" s="508" t="s">
        <v>1707</v>
      </c>
      <c r="H381" s="508"/>
      <c r="I381" s="508"/>
      <c r="J381" s="555"/>
      <c r="K381" s="555"/>
      <c r="L381" s="911">
        <f ca="1">IFERROR(INDEX(Lists!$O$2:$Z$2,MATCH(TRUE,INDEX((AE381:AP381&lt;&gt;0),0),0)),DATE(2018,1,1))</f>
        <v>43132</v>
      </c>
      <c r="M381" s="911">
        <f ca="1">IFERROR(INDEX(Lists!$O$3:$Z$3, VALUE(SUBSTITUTE(TEXT(ADDRESS(SUMPRODUCT(MAX((COLUMN(AE381:AP381)*(AE381:AP381&gt;0)))),1),),"$A$",""))-30),DATE(2018,1,1))</f>
        <v>43343</v>
      </c>
      <c r="N381" s="508"/>
      <c r="O381" s="508"/>
      <c r="P381" s="508"/>
      <c r="Q381" s="508"/>
      <c r="R381" s="508" t="str">
        <f t="shared" ca="1" si="149"/>
        <v>Drill Support Staff (6-month campaign assumed, incl. OOB)
(6-month campaign assumed, incl. OOB)</v>
      </c>
      <c r="S381" s="508" t="str">
        <f t="shared" ca="1" si="150"/>
        <v>Controller 3 (140)</v>
      </c>
      <c r="T381" s="508">
        <f t="shared" ca="1" si="151"/>
        <v>0</v>
      </c>
      <c r="U381" s="508" t="str">
        <f t="shared" ca="1" si="152"/>
        <v>687 / 51-11-3052</v>
      </c>
      <c r="V381" s="508">
        <f t="shared" ca="1" si="153"/>
        <v>0</v>
      </c>
      <c r="W381" s="508">
        <f t="shared" ca="1" si="154"/>
        <v>0</v>
      </c>
      <c r="X381" s="508">
        <f t="shared" ca="1" si="155"/>
        <v>0</v>
      </c>
      <c r="Y381" s="508">
        <f t="shared" ca="1" si="156"/>
        <v>0</v>
      </c>
      <c r="Z381" s="508">
        <f t="shared" ca="1" si="157"/>
        <v>0</v>
      </c>
      <c r="AA381" s="508" t="str">
        <f t="shared" ca="1" si="158"/>
        <v>Ene</v>
      </c>
      <c r="AB381" s="508">
        <f t="shared" ca="1" si="147"/>
        <v>7</v>
      </c>
      <c r="AC381" s="914">
        <v>12</v>
      </c>
      <c r="AD381" s="912">
        <f t="shared" ca="1" si="160"/>
        <v>17500</v>
      </c>
      <c r="AE381" s="512">
        <f t="shared" ca="1" si="161"/>
        <v>0</v>
      </c>
      <c r="AF381" s="512">
        <f t="shared" ca="1" si="162"/>
        <v>2500</v>
      </c>
      <c r="AG381" s="512">
        <f t="shared" ca="1" si="163"/>
        <v>2500</v>
      </c>
      <c r="AH381" s="512">
        <f t="shared" ca="1" si="164"/>
        <v>2500</v>
      </c>
      <c r="AI381" s="512">
        <f t="shared" ca="1" si="165"/>
        <v>2500</v>
      </c>
      <c r="AJ381" s="512">
        <f t="shared" ca="1" si="166"/>
        <v>2500</v>
      </c>
      <c r="AK381" s="512">
        <f t="shared" ca="1" si="167"/>
        <v>2500</v>
      </c>
      <c r="AL381" s="512">
        <f t="shared" ca="1" si="168"/>
        <v>2500</v>
      </c>
      <c r="AM381" s="512">
        <f t="shared" ca="1" si="169"/>
        <v>0</v>
      </c>
      <c r="AN381" s="512">
        <f t="shared" ca="1" si="170"/>
        <v>0</v>
      </c>
      <c r="AO381" s="512">
        <f t="shared" ca="1" si="171"/>
        <v>0</v>
      </c>
      <c r="AP381" s="512">
        <f t="shared" ca="1" si="172"/>
        <v>0</v>
      </c>
      <c r="AQ381" s="512" t="str">
        <f t="shared" si="173"/>
        <v/>
      </c>
      <c r="AR381" s="512"/>
      <c r="AS381" s="512" t="str">
        <f t="shared" si="174"/>
        <v/>
      </c>
      <c r="AT381" s="151">
        <f t="shared" si="175"/>
        <v>0</v>
      </c>
      <c r="AU381" s="151">
        <f>IFERROR(VLOOKUP(A381,'[7]TD CuentasBDG'!$N$5:$O$21,2,0),0)</f>
        <v>0</v>
      </c>
      <c r="AV381">
        <f t="shared" si="176"/>
        <v>0</v>
      </c>
    </row>
    <row r="382" spans="1:50" ht="135" x14ac:dyDescent="0.25">
      <c r="A382" s="508" t="s">
        <v>2235</v>
      </c>
      <c r="B382" s="508" t="s">
        <v>197</v>
      </c>
      <c r="C382" s="508" t="s">
        <v>146</v>
      </c>
      <c r="D382" s="508" t="s">
        <v>146</v>
      </c>
      <c r="E382" s="508"/>
      <c r="F382" s="508"/>
      <c r="G382" s="508" t="s">
        <v>1707</v>
      </c>
      <c r="H382" s="508"/>
      <c r="I382" s="508"/>
      <c r="J382" s="555"/>
      <c r="K382" s="555"/>
      <c r="L382" s="911">
        <f ca="1">IFERROR(INDEX(Lists!$O$2:$Z$2,MATCH(TRUE,INDEX((AE382:AP382&lt;&gt;0),0),0)),DATE(2018,1,1))</f>
        <v>43132</v>
      </c>
      <c r="M382" s="911">
        <f ca="1">IFERROR(INDEX(Lists!$O$3:$Z$3, VALUE(SUBSTITUTE(TEXT(ADDRESS(SUMPRODUCT(MAX((COLUMN(AE382:AP382)*(AE382:AP382&gt;0)))),1),),"$A$",""))-30),DATE(2018,1,1))</f>
        <v>43343</v>
      </c>
      <c r="N382" s="508"/>
      <c r="O382" s="508"/>
      <c r="P382" s="508"/>
      <c r="Q382" s="508"/>
      <c r="R382" s="508" t="str">
        <f t="shared" ca="1" si="149"/>
        <v>Drill Support Staff (6-month campaign assumed, incl. OOB)
(6-month campaign assumed, incl. OOB)</v>
      </c>
      <c r="S382" s="508" t="str">
        <f t="shared" ca="1" si="150"/>
        <v>Controller 4 (140)</v>
      </c>
      <c r="T382" s="508">
        <f t="shared" ca="1" si="151"/>
        <v>0</v>
      </c>
      <c r="U382" s="508" t="str">
        <f t="shared" ca="1" si="152"/>
        <v>687 / 51-11-3052</v>
      </c>
      <c r="V382" s="508">
        <f t="shared" ca="1" si="153"/>
        <v>0</v>
      </c>
      <c r="W382" s="508">
        <f t="shared" ca="1" si="154"/>
        <v>0</v>
      </c>
      <c r="X382" s="508">
        <f t="shared" ca="1" si="155"/>
        <v>0</v>
      </c>
      <c r="Y382" s="508">
        <f t="shared" ca="1" si="156"/>
        <v>0</v>
      </c>
      <c r="Z382" s="508">
        <f t="shared" ca="1" si="157"/>
        <v>0</v>
      </c>
      <c r="AA382" s="508" t="str">
        <f t="shared" ca="1" si="158"/>
        <v>Ene</v>
      </c>
      <c r="AB382" s="508">
        <f t="shared" ca="1" si="147"/>
        <v>7</v>
      </c>
      <c r="AC382" s="914">
        <v>12</v>
      </c>
      <c r="AD382" s="912">
        <f t="shared" ca="1" si="160"/>
        <v>17500</v>
      </c>
      <c r="AE382" s="512">
        <f t="shared" ca="1" si="161"/>
        <v>0</v>
      </c>
      <c r="AF382" s="512">
        <f t="shared" ca="1" si="162"/>
        <v>2500</v>
      </c>
      <c r="AG382" s="512">
        <f t="shared" ca="1" si="163"/>
        <v>2500</v>
      </c>
      <c r="AH382" s="512">
        <f t="shared" ca="1" si="164"/>
        <v>2500</v>
      </c>
      <c r="AI382" s="512">
        <f t="shared" ca="1" si="165"/>
        <v>2500</v>
      </c>
      <c r="AJ382" s="512">
        <f t="shared" ca="1" si="166"/>
        <v>2500</v>
      </c>
      <c r="AK382" s="512">
        <f t="shared" ca="1" si="167"/>
        <v>2500</v>
      </c>
      <c r="AL382" s="512">
        <f t="shared" ca="1" si="168"/>
        <v>2500</v>
      </c>
      <c r="AM382" s="512">
        <f t="shared" ca="1" si="169"/>
        <v>0</v>
      </c>
      <c r="AN382" s="512">
        <f t="shared" ca="1" si="170"/>
        <v>0</v>
      </c>
      <c r="AO382" s="512">
        <f t="shared" ca="1" si="171"/>
        <v>0</v>
      </c>
      <c r="AP382" s="512">
        <f t="shared" ca="1" si="172"/>
        <v>0</v>
      </c>
      <c r="AQ382" s="512" t="str">
        <f t="shared" si="173"/>
        <v/>
      </c>
      <c r="AR382" s="512"/>
      <c r="AS382" s="512" t="str">
        <f t="shared" si="174"/>
        <v/>
      </c>
      <c r="AT382" s="151">
        <f t="shared" si="175"/>
        <v>0</v>
      </c>
      <c r="AU382" s="151">
        <f>IFERROR(VLOOKUP(A382,'[7]TD CuentasBDG'!$N$5:$O$21,2,0),0)</f>
        <v>0</v>
      </c>
      <c r="AV382">
        <f t="shared" si="176"/>
        <v>0</v>
      </c>
    </row>
    <row r="383" spans="1:50" ht="135" x14ac:dyDescent="0.25">
      <c r="A383" s="508" t="s">
        <v>2236</v>
      </c>
      <c r="B383" s="508" t="s">
        <v>197</v>
      </c>
      <c r="C383" s="508" t="s">
        <v>146</v>
      </c>
      <c r="D383" s="508" t="s">
        <v>146</v>
      </c>
      <c r="E383" s="508"/>
      <c r="F383" s="508"/>
      <c r="G383" s="508" t="s">
        <v>1707</v>
      </c>
      <c r="H383" s="508"/>
      <c r="I383" s="508"/>
      <c r="J383" s="555"/>
      <c r="K383" s="555"/>
      <c r="L383" s="911">
        <f ca="1">IFERROR(INDEX(Lists!$O$2:$Z$2,MATCH(TRUE,INDEX((AE383:AP383&lt;&gt;0),0),0)),DATE(2018,1,1))</f>
        <v>43132</v>
      </c>
      <c r="M383" s="911">
        <f ca="1">IFERROR(INDEX(Lists!$O$3:$Z$3, VALUE(SUBSTITUTE(TEXT(ADDRESS(SUMPRODUCT(MAX((COLUMN(AE383:AP383)*(AE383:AP383&gt;0)))),1),),"$A$",""))-30),DATE(2018,1,1))</f>
        <v>43343</v>
      </c>
      <c r="N383" s="508"/>
      <c r="O383" s="508"/>
      <c r="P383" s="508"/>
      <c r="Q383" s="508"/>
      <c r="R383" s="508" t="str">
        <f t="shared" ca="1" si="149"/>
        <v>Drill Support Staff (6-month campaign assumed, incl. OOB)
(6-month campaign assumed, incl. OOB)</v>
      </c>
      <c r="S383" s="508" t="str">
        <f t="shared" ca="1" si="150"/>
        <v>Prevencionista 1 (140)</v>
      </c>
      <c r="T383" s="508">
        <f t="shared" ca="1" si="151"/>
        <v>0</v>
      </c>
      <c r="U383" s="508" t="str">
        <f t="shared" ca="1" si="152"/>
        <v>687 / 51-11-3052</v>
      </c>
      <c r="V383" s="508">
        <f t="shared" ca="1" si="153"/>
        <v>0</v>
      </c>
      <c r="W383" s="508">
        <f t="shared" ca="1" si="154"/>
        <v>0</v>
      </c>
      <c r="X383" s="508">
        <f t="shared" ca="1" si="155"/>
        <v>0</v>
      </c>
      <c r="Y383" s="508">
        <f t="shared" ca="1" si="156"/>
        <v>0</v>
      </c>
      <c r="Z383" s="508">
        <f t="shared" ca="1" si="157"/>
        <v>0</v>
      </c>
      <c r="AA383" s="508" t="str">
        <f t="shared" ca="1" si="158"/>
        <v>Ene</v>
      </c>
      <c r="AB383" s="508">
        <f t="shared" ca="1" si="147"/>
        <v>7</v>
      </c>
      <c r="AC383" s="914">
        <v>12</v>
      </c>
      <c r="AD383" s="912">
        <f t="shared" ca="1" si="160"/>
        <v>21000</v>
      </c>
      <c r="AE383" s="512">
        <f t="shared" ca="1" si="161"/>
        <v>0</v>
      </c>
      <c r="AF383" s="512">
        <f t="shared" ca="1" si="162"/>
        <v>3000</v>
      </c>
      <c r="AG383" s="512">
        <f t="shared" ca="1" si="163"/>
        <v>3000</v>
      </c>
      <c r="AH383" s="512">
        <f t="shared" ca="1" si="164"/>
        <v>3000</v>
      </c>
      <c r="AI383" s="512">
        <f t="shared" ca="1" si="165"/>
        <v>3000</v>
      </c>
      <c r="AJ383" s="512">
        <f t="shared" ca="1" si="166"/>
        <v>3000</v>
      </c>
      <c r="AK383" s="512">
        <f t="shared" ca="1" si="167"/>
        <v>3000</v>
      </c>
      <c r="AL383" s="512">
        <f t="shared" ca="1" si="168"/>
        <v>3000</v>
      </c>
      <c r="AM383" s="512">
        <f t="shared" ca="1" si="169"/>
        <v>0</v>
      </c>
      <c r="AN383" s="512">
        <f t="shared" ca="1" si="170"/>
        <v>0</v>
      </c>
      <c r="AO383" s="512">
        <f t="shared" ca="1" si="171"/>
        <v>0</v>
      </c>
      <c r="AP383" s="512">
        <f t="shared" ca="1" si="172"/>
        <v>0</v>
      </c>
      <c r="AQ383" s="512" t="str">
        <f t="shared" si="173"/>
        <v/>
      </c>
      <c r="AR383" s="512"/>
      <c r="AS383" s="512" t="str">
        <f t="shared" si="174"/>
        <v/>
      </c>
      <c r="AT383" s="151">
        <f t="shared" si="175"/>
        <v>0</v>
      </c>
      <c r="AU383" s="151">
        <f>IFERROR(VLOOKUP(A383,'[7]TD CuentasBDG'!$N$5:$O$21,2,0),0)</f>
        <v>0</v>
      </c>
      <c r="AV383">
        <f t="shared" si="176"/>
        <v>0</v>
      </c>
    </row>
    <row r="384" spans="1:50" ht="135" x14ac:dyDescent="0.25">
      <c r="A384" s="508" t="s">
        <v>2237</v>
      </c>
      <c r="B384" s="508" t="s">
        <v>197</v>
      </c>
      <c r="C384" s="508" t="s">
        <v>146</v>
      </c>
      <c r="D384" s="508" t="s">
        <v>146</v>
      </c>
      <c r="E384" s="508"/>
      <c r="F384" s="508"/>
      <c r="G384" s="508" t="s">
        <v>1707</v>
      </c>
      <c r="H384" s="508"/>
      <c r="I384" s="508"/>
      <c r="J384" s="555"/>
      <c r="K384" s="555"/>
      <c r="L384" s="911">
        <f ca="1">IFERROR(INDEX(Lists!$O$2:$Z$2,MATCH(TRUE,INDEX((AE384:AP384&lt;&gt;0),0),0)),DATE(2018,1,1))</f>
        <v>43132</v>
      </c>
      <c r="M384" s="911">
        <f ca="1">IFERROR(INDEX(Lists!$O$3:$Z$3, VALUE(SUBSTITUTE(TEXT(ADDRESS(SUMPRODUCT(MAX((COLUMN(AE384:AP384)*(AE384:AP384&gt;0)))),1),),"$A$",""))-30),DATE(2018,1,1))</f>
        <v>43343</v>
      </c>
      <c r="N384" s="508"/>
      <c r="O384" s="508"/>
      <c r="P384" s="508"/>
      <c r="Q384" s="508"/>
      <c r="R384" s="508" t="str">
        <f t="shared" ca="1" si="149"/>
        <v>Drill Support Staff (6-month campaign assumed, incl. OOB)
(6-month campaign assumed, incl. OOB)</v>
      </c>
      <c r="S384" s="508" t="str">
        <f t="shared" ca="1" si="150"/>
        <v>Prevencionista 2 (140)</v>
      </c>
      <c r="T384" s="508">
        <f t="shared" ca="1" si="151"/>
        <v>0</v>
      </c>
      <c r="U384" s="508" t="str">
        <f t="shared" ca="1" si="152"/>
        <v>687 / 51-11-3052</v>
      </c>
      <c r="V384" s="508">
        <f t="shared" ca="1" si="153"/>
        <v>0</v>
      </c>
      <c r="W384" s="508">
        <f t="shared" ca="1" si="154"/>
        <v>0</v>
      </c>
      <c r="X384" s="508">
        <f t="shared" ca="1" si="155"/>
        <v>0</v>
      </c>
      <c r="Y384" s="508">
        <f t="shared" ca="1" si="156"/>
        <v>0</v>
      </c>
      <c r="Z384" s="508">
        <f t="shared" ca="1" si="157"/>
        <v>0</v>
      </c>
      <c r="AA384" s="508" t="str">
        <f t="shared" ca="1" si="158"/>
        <v>Ene</v>
      </c>
      <c r="AB384" s="508">
        <f t="shared" ca="1" si="147"/>
        <v>7</v>
      </c>
      <c r="AC384" s="914">
        <v>12</v>
      </c>
      <c r="AD384" s="912">
        <f t="shared" ca="1" si="160"/>
        <v>21000</v>
      </c>
      <c r="AE384" s="512">
        <f t="shared" ca="1" si="161"/>
        <v>0</v>
      </c>
      <c r="AF384" s="512">
        <f t="shared" ca="1" si="162"/>
        <v>3000</v>
      </c>
      <c r="AG384" s="512">
        <f t="shared" ca="1" si="163"/>
        <v>3000</v>
      </c>
      <c r="AH384" s="512">
        <f t="shared" ca="1" si="164"/>
        <v>3000</v>
      </c>
      <c r="AI384" s="512">
        <f t="shared" ca="1" si="165"/>
        <v>3000</v>
      </c>
      <c r="AJ384" s="512">
        <f t="shared" ca="1" si="166"/>
        <v>3000</v>
      </c>
      <c r="AK384" s="512">
        <f t="shared" ca="1" si="167"/>
        <v>3000</v>
      </c>
      <c r="AL384" s="512">
        <f t="shared" ca="1" si="168"/>
        <v>3000</v>
      </c>
      <c r="AM384" s="512">
        <f t="shared" ca="1" si="169"/>
        <v>0</v>
      </c>
      <c r="AN384" s="512">
        <f t="shared" ca="1" si="170"/>
        <v>0</v>
      </c>
      <c r="AO384" s="512">
        <f t="shared" ca="1" si="171"/>
        <v>0</v>
      </c>
      <c r="AP384" s="512">
        <f t="shared" ca="1" si="172"/>
        <v>0</v>
      </c>
      <c r="AQ384" s="512" t="str">
        <f t="shared" si="173"/>
        <v/>
      </c>
      <c r="AR384" s="512"/>
      <c r="AS384" s="512" t="str">
        <f t="shared" si="174"/>
        <v/>
      </c>
      <c r="AT384" s="151">
        <f t="shared" si="175"/>
        <v>0</v>
      </c>
      <c r="AU384" s="151">
        <f>IFERROR(VLOOKUP(A384,'[7]TD CuentasBDG'!$N$5:$O$21,2,0),0)</f>
        <v>0</v>
      </c>
      <c r="AV384">
        <f t="shared" si="176"/>
        <v>0</v>
      </c>
    </row>
    <row r="385" spans="1:50" ht="135" x14ac:dyDescent="0.25">
      <c r="A385" s="508" t="s">
        <v>2238</v>
      </c>
      <c r="B385" s="508" t="s">
        <v>197</v>
      </c>
      <c r="C385" s="508" t="s">
        <v>146</v>
      </c>
      <c r="D385" s="508" t="s">
        <v>146</v>
      </c>
      <c r="E385" s="508"/>
      <c r="F385" s="508"/>
      <c r="G385" s="508" t="s">
        <v>1752</v>
      </c>
      <c r="H385" s="508"/>
      <c r="I385" s="508"/>
      <c r="J385" s="555"/>
      <c r="K385" s="555"/>
      <c r="L385" s="911">
        <f ca="1">IFERROR(INDEX(Lists!$O$2:$Z$2,MATCH(TRUE,INDEX((AE385:AP385&lt;&gt;0),0),0)),DATE(2018,1,1))</f>
        <v>43221</v>
      </c>
      <c r="M385" s="911">
        <f ca="1">IFERROR(INDEX(Lists!$O$3:$Z$3, VALUE(SUBSTITUTE(TEXT(ADDRESS(SUMPRODUCT(MAX((COLUMN(AE385:AP385)*(AE385:AP385&gt;0)))),1),),"$A$",""))-30),DATE(2018,1,1))</f>
        <v>43251</v>
      </c>
      <c r="N385" s="508"/>
      <c r="O385" s="508"/>
      <c r="P385" s="508"/>
      <c r="Q385" s="508"/>
      <c r="R385" s="508" t="str">
        <f t="shared" ca="1" si="149"/>
        <v>Drill Support Staff (6-month campaign assumed, incl. OOB)
(6-month campaign assumed, incl. OOB)</v>
      </c>
      <c r="S385" s="508" t="str">
        <f t="shared" ca="1" si="150"/>
        <v>acQuire Specialist (Oscar Gutierrez) (5)</v>
      </c>
      <c r="T385" s="508">
        <f t="shared" ca="1" si="151"/>
        <v>0</v>
      </c>
      <c r="U385" s="508" t="str">
        <f t="shared" ca="1" si="152"/>
        <v>687 / 51-11-3052</v>
      </c>
      <c r="V385" s="508">
        <f t="shared" ca="1" si="153"/>
        <v>0</v>
      </c>
      <c r="W385" s="508">
        <f t="shared" ca="1" si="154"/>
        <v>0</v>
      </c>
      <c r="X385" s="508">
        <f t="shared" ca="1" si="155"/>
        <v>0</v>
      </c>
      <c r="Y385" s="508">
        <f t="shared" ca="1" si="156"/>
        <v>0</v>
      </c>
      <c r="Z385" s="508">
        <f t="shared" ca="1" si="157"/>
        <v>0</v>
      </c>
      <c r="AA385" s="508" t="str">
        <f t="shared" ca="1" si="158"/>
        <v>May</v>
      </c>
      <c r="AB385" s="508">
        <f t="shared" ca="1" si="147"/>
        <v>1</v>
      </c>
      <c r="AC385" s="914">
        <v>12</v>
      </c>
      <c r="AD385" s="912">
        <f t="shared" ca="1" si="160"/>
        <v>4200</v>
      </c>
      <c r="AE385" s="512">
        <f t="shared" ca="1" si="161"/>
        <v>0</v>
      </c>
      <c r="AF385" s="512">
        <f t="shared" ca="1" si="162"/>
        <v>0</v>
      </c>
      <c r="AG385" s="512">
        <f t="shared" ca="1" si="163"/>
        <v>0</v>
      </c>
      <c r="AH385" s="512">
        <f t="shared" ca="1" si="164"/>
        <v>0</v>
      </c>
      <c r="AI385" s="512">
        <f t="shared" ca="1" si="165"/>
        <v>4200</v>
      </c>
      <c r="AJ385" s="512">
        <f t="shared" ca="1" si="166"/>
        <v>0</v>
      </c>
      <c r="AK385" s="512">
        <f t="shared" ca="1" si="167"/>
        <v>0</v>
      </c>
      <c r="AL385" s="512">
        <f t="shared" ca="1" si="168"/>
        <v>0</v>
      </c>
      <c r="AM385" s="512">
        <f t="shared" ca="1" si="169"/>
        <v>0</v>
      </c>
      <c r="AN385" s="512">
        <f t="shared" ca="1" si="170"/>
        <v>0</v>
      </c>
      <c r="AO385" s="512">
        <f t="shared" ca="1" si="171"/>
        <v>0</v>
      </c>
      <c r="AP385" s="512">
        <f t="shared" ca="1" si="172"/>
        <v>0</v>
      </c>
      <c r="AQ385" s="512" t="str">
        <f t="shared" si="173"/>
        <v/>
      </c>
      <c r="AR385" s="512"/>
      <c r="AS385" s="512" t="str">
        <f t="shared" si="174"/>
        <v/>
      </c>
      <c r="AT385" s="151">
        <f t="shared" si="175"/>
        <v>0</v>
      </c>
      <c r="AU385" s="151">
        <f>IFERROR(VLOOKUP(A385,'[7]TD CuentasBDG'!$N$5:$O$21,2,0),0)</f>
        <v>0</v>
      </c>
      <c r="AV385">
        <f t="shared" si="176"/>
        <v>0</v>
      </c>
    </row>
    <row r="386" spans="1:50" ht="135" x14ac:dyDescent="0.25">
      <c r="A386" s="508" t="s">
        <v>2239</v>
      </c>
      <c r="B386" s="508" t="s">
        <v>197</v>
      </c>
      <c r="C386" s="508" t="s">
        <v>146</v>
      </c>
      <c r="D386" s="508" t="s">
        <v>146</v>
      </c>
      <c r="E386" s="508"/>
      <c r="F386" s="508"/>
      <c r="G386" s="508" t="s">
        <v>1752</v>
      </c>
      <c r="H386" s="508"/>
      <c r="I386" s="508"/>
      <c r="J386" s="555"/>
      <c r="K386" s="555"/>
      <c r="L386" s="911">
        <f ca="1">IFERROR(INDEX(Lists!$O$2:$Z$2,MATCH(TRUE,INDEX((AE386:AP386&lt;&gt;0),0),0)),DATE(2018,1,1))</f>
        <v>43221</v>
      </c>
      <c r="M386" s="911">
        <f ca="1">IFERROR(INDEX(Lists!$O$3:$Z$3, VALUE(SUBSTITUTE(TEXT(ADDRESS(SUMPRODUCT(MAX((COLUMN(AE386:AP386)*(AE386:AP386&gt;0)))),1),),"$A$",""))-30),DATE(2018,1,1))</f>
        <v>43251</v>
      </c>
      <c r="N386" s="508"/>
      <c r="O386" s="508"/>
      <c r="P386" s="508"/>
      <c r="Q386" s="508"/>
      <c r="R386" s="508" t="str">
        <f t="shared" ca="1" si="149"/>
        <v>Drill Support Staff (6-month campaign assumed, incl. OOB)
(6-month campaign assumed, incl. OOB)</v>
      </c>
      <c r="S386" s="508" t="str">
        <f t="shared" ca="1" si="150"/>
        <v>Geochemist (Iain Dalrymple) (5)</v>
      </c>
      <c r="T386" s="508">
        <f t="shared" ca="1" si="151"/>
        <v>0</v>
      </c>
      <c r="U386" s="508" t="str">
        <f t="shared" ca="1" si="152"/>
        <v>687 / 51-11-3052</v>
      </c>
      <c r="V386" s="508">
        <f t="shared" ca="1" si="153"/>
        <v>0</v>
      </c>
      <c r="W386" s="508">
        <f t="shared" ca="1" si="154"/>
        <v>0</v>
      </c>
      <c r="X386" s="508">
        <f t="shared" ca="1" si="155"/>
        <v>0</v>
      </c>
      <c r="Y386" s="508">
        <f t="shared" ca="1" si="156"/>
        <v>0</v>
      </c>
      <c r="Z386" s="508">
        <f t="shared" ca="1" si="157"/>
        <v>0</v>
      </c>
      <c r="AA386" s="508" t="str">
        <f t="shared" ca="1" si="158"/>
        <v>May</v>
      </c>
      <c r="AB386" s="508">
        <f t="shared" ca="1" si="147"/>
        <v>1</v>
      </c>
      <c r="AC386" s="914">
        <v>12</v>
      </c>
      <c r="AD386" s="912">
        <f t="shared" ca="1" si="160"/>
        <v>4200</v>
      </c>
      <c r="AE386" s="512">
        <f t="shared" ca="1" si="161"/>
        <v>0</v>
      </c>
      <c r="AF386" s="512">
        <f t="shared" ca="1" si="162"/>
        <v>0</v>
      </c>
      <c r="AG386" s="512">
        <f t="shared" ca="1" si="163"/>
        <v>0</v>
      </c>
      <c r="AH386" s="512">
        <f t="shared" ca="1" si="164"/>
        <v>0</v>
      </c>
      <c r="AI386" s="512">
        <f t="shared" ca="1" si="165"/>
        <v>4200</v>
      </c>
      <c r="AJ386" s="512">
        <f t="shared" ca="1" si="166"/>
        <v>0</v>
      </c>
      <c r="AK386" s="512">
        <f t="shared" ca="1" si="167"/>
        <v>0</v>
      </c>
      <c r="AL386" s="512">
        <f t="shared" ca="1" si="168"/>
        <v>0</v>
      </c>
      <c r="AM386" s="512">
        <f t="shared" ca="1" si="169"/>
        <v>0</v>
      </c>
      <c r="AN386" s="512">
        <f t="shared" ca="1" si="170"/>
        <v>0</v>
      </c>
      <c r="AO386" s="512">
        <f t="shared" ca="1" si="171"/>
        <v>0</v>
      </c>
      <c r="AP386" s="512">
        <f t="shared" ca="1" si="172"/>
        <v>0</v>
      </c>
      <c r="AQ386" s="512" t="str">
        <f t="shared" si="173"/>
        <v/>
      </c>
      <c r="AR386" s="512"/>
      <c r="AS386" s="512" t="str">
        <f t="shared" si="174"/>
        <v/>
      </c>
      <c r="AT386" s="151">
        <f t="shared" si="175"/>
        <v>0</v>
      </c>
      <c r="AU386" s="151">
        <f>IFERROR(VLOOKUP(A386,'[7]TD CuentasBDG'!$N$5:$O$21,2,0),0)</f>
        <v>0</v>
      </c>
      <c r="AV386">
        <f t="shared" si="176"/>
        <v>0</v>
      </c>
    </row>
    <row r="387" spans="1:50" ht="135" x14ac:dyDescent="0.25">
      <c r="A387" s="508" t="s">
        <v>2240</v>
      </c>
      <c r="B387" s="508" t="s">
        <v>197</v>
      </c>
      <c r="C387" s="508" t="s">
        <v>146</v>
      </c>
      <c r="D387" s="508" t="s">
        <v>146</v>
      </c>
      <c r="E387" s="508"/>
      <c r="F387" s="508"/>
      <c r="G387" s="508" t="s">
        <v>1752</v>
      </c>
      <c r="H387" s="508"/>
      <c r="I387" s="508"/>
      <c r="J387" s="555"/>
      <c r="K387" s="555"/>
      <c r="L387" s="911">
        <f ca="1">IFERROR(INDEX(Lists!$O$2:$Z$2,MATCH(TRUE,INDEX((AE387:AP387&lt;&gt;0),0),0)),DATE(2018,1,1))</f>
        <v>43221</v>
      </c>
      <c r="M387" s="911">
        <f ca="1">IFERROR(INDEX(Lists!$O$3:$Z$3, VALUE(SUBSTITUTE(TEXT(ADDRESS(SUMPRODUCT(MAX((COLUMN(AE387:AP387)*(AE387:AP387&gt;0)))),1),),"$A$",""))-30),DATE(2018,1,1))</f>
        <v>43251</v>
      </c>
      <c r="N387" s="508"/>
      <c r="O387" s="508"/>
      <c r="P387" s="508"/>
      <c r="Q387" s="508"/>
      <c r="R387" s="508" t="str">
        <f t="shared" ca="1" si="149"/>
        <v>Drill Support Staff (6-month campaign assumed, incl. OOB)
(6-month campaign assumed, incl. OOB)</v>
      </c>
      <c r="S387" s="508" t="str">
        <f t="shared" ca="1" si="150"/>
        <v>HSEC Support (Jose Pasten)</v>
      </c>
      <c r="T387" s="508">
        <f t="shared" ca="1" si="151"/>
        <v>0</v>
      </c>
      <c r="U387" s="508" t="str">
        <f t="shared" ca="1" si="152"/>
        <v>687 / 51-11-3052</v>
      </c>
      <c r="V387" s="508">
        <f t="shared" ca="1" si="153"/>
        <v>0</v>
      </c>
      <c r="W387" s="508">
        <f t="shared" ca="1" si="154"/>
        <v>0</v>
      </c>
      <c r="X387" s="508">
        <f t="shared" ca="1" si="155"/>
        <v>0</v>
      </c>
      <c r="Y387" s="508">
        <f t="shared" ca="1" si="156"/>
        <v>0</v>
      </c>
      <c r="Z387" s="508">
        <f t="shared" ca="1" si="157"/>
        <v>0</v>
      </c>
      <c r="AA387" s="508" t="str">
        <f t="shared" ca="1" si="158"/>
        <v>May</v>
      </c>
      <c r="AB387" s="508">
        <f t="shared" ref="AB387:AB422" ca="1" si="177">MONTH(M387)-MONTH(L387)+1</f>
        <v>1</v>
      </c>
      <c r="AC387" s="914">
        <v>12</v>
      </c>
      <c r="AD387" s="912">
        <f t="shared" ca="1" si="160"/>
        <v>4200</v>
      </c>
      <c r="AE387" s="512">
        <f t="shared" ca="1" si="161"/>
        <v>0</v>
      </c>
      <c r="AF387" s="512">
        <f t="shared" ca="1" si="162"/>
        <v>0</v>
      </c>
      <c r="AG387" s="512">
        <f t="shared" ca="1" si="163"/>
        <v>0</v>
      </c>
      <c r="AH387" s="512">
        <f t="shared" ca="1" si="164"/>
        <v>0</v>
      </c>
      <c r="AI387" s="512">
        <f t="shared" ca="1" si="165"/>
        <v>4200</v>
      </c>
      <c r="AJ387" s="512">
        <f t="shared" ca="1" si="166"/>
        <v>0</v>
      </c>
      <c r="AK387" s="512">
        <f t="shared" ca="1" si="167"/>
        <v>0</v>
      </c>
      <c r="AL387" s="512">
        <f t="shared" ca="1" si="168"/>
        <v>0</v>
      </c>
      <c r="AM387" s="512">
        <f t="shared" ca="1" si="169"/>
        <v>0</v>
      </c>
      <c r="AN387" s="512">
        <f t="shared" ca="1" si="170"/>
        <v>0</v>
      </c>
      <c r="AO387" s="512">
        <f t="shared" ca="1" si="171"/>
        <v>0</v>
      </c>
      <c r="AP387" s="512">
        <f t="shared" ca="1" si="172"/>
        <v>0</v>
      </c>
      <c r="AQ387" s="512" t="str">
        <f t="shared" si="173"/>
        <v/>
      </c>
      <c r="AR387" s="512"/>
      <c r="AS387" s="512" t="str">
        <f t="shared" si="174"/>
        <v/>
      </c>
      <c r="AT387" s="151">
        <f t="shared" si="175"/>
        <v>0</v>
      </c>
      <c r="AU387" s="151">
        <f>IFERROR(VLOOKUP(A387,'[7]TD CuentasBDG'!$N$5:$O$21,2,0),0)</f>
        <v>0</v>
      </c>
      <c r="AV387">
        <f t="shared" si="176"/>
        <v>0</v>
      </c>
    </row>
    <row r="388" spans="1:50" ht="135" x14ac:dyDescent="0.25">
      <c r="A388" s="508" t="s">
        <v>2241</v>
      </c>
      <c r="B388" s="508" t="s">
        <v>197</v>
      </c>
      <c r="C388" s="508" t="s">
        <v>146</v>
      </c>
      <c r="D388" s="508" t="s">
        <v>146</v>
      </c>
      <c r="E388" s="508"/>
      <c r="F388" s="508"/>
      <c r="G388" s="508" t="s">
        <v>1752</v>
      </c>
      <c r="H388" s="508"/>
      <c r="I388" s="508"/>
      <c r="J388" s="555"/>
      <c r="K388" s="555"/>
      <c r="L388" s="911">
        <f ca="1">IFERROR(INDEX(Lists!$O$2:$Z$2,MATCH(TRUE,INDEX((AE388:AP388&lt;&gt;0),0),0)),DATE(2018,1,1))</f>
        <v>43221</v>
      </c>
      <c r="M388" s="911">
        <f ca="1">IFERROR(INDEX(Lists!$O$3:$Z$3, VALUE(SUBSTITUTE(TEXT(ADDRESS(SUMPRODUCT(MAX((COLUMN(AE388:AP388)*(AE388:AP388&gt;0)))),1),),"$A$",""))-30),DATE(2018,1,1))</f>
        <v>43251</v>
      </c>
      <c r="N388" s="508"/>
      <c r="O388" s="508"/>
      <c r="P388" s="508"/>
      <c r="Q388" s="508"/>
      <c r="R388" s="508" t="str">
        <f t="shared" ca="1" si="149"/>
        <v>Drill Support Staff (6-month campaign assumed, incl. OOB)
(6-month campaign assumed, incl. OOB)</v>
      </c>
      <c r="S388" s="508" t="str">
        <f t="shared" ca="1" si="150"/>
        <v>QA/QC  GIS Support (Rosy Navarro) (5)</v>
      </c>
      <c r="T388" s="508">
        <f t="shared" ca="1" si="151"/>
        <v>0</v>
      </c>
      <c r="U388" s="508" t="str">
        <f t="shared" ca="1" si="152"/>
        <v>687 / 51-11-3052</v>
      </c>
      <c r="V388" s="508">
        <f t="shared" ca="1" si="153"/>
        <v>0</v>
      </c>
      <c r="W388" s="508">
        <f t="shared" ca="1" si="154"/>
        <v>0</v>
      </c>
      <c r="X388" s="508">
        <f t="shared" ca="1" si="155"/>
        <v>0</v>
      </c>
      <c r="Y388" s="508">
        <f t="shared" ca="1" si="156"/>
        <v>0</v>
      </c>
      <c r="Z388" s="508">
        <f t="shared" ca="1" si="157"/>
        <v>0</v>
      </c>
      <c r="AA388" s="508" t="str">
        <f t="shared" ca="1" si="158"/>
        <v>May</v>
      </c>
      <c r="AB388" s="508">
        <f t="shared" ca="1" si="177"/>
        <v>1</v>
      </c>
      <c r="AC388" s="914">
        <v>12</v>
      </c>
      <c r="AD388" s="912">
        <f t="shared" ca="1" si="160"/>
        <v>4200</v>
      </c>
      <c r="AE388" s="512">
        <f t="shared" ca="1" si="161"/>
        <v>0</v>
      </c>
      <c r="AF388" s="512">
        <f t="shared" ca="1" si="162"/>
        <v>0</v>
      </c>
      <c r="AG388" s="512">
        <f t="shared" ca="1" si="163"/>
        <v>0</v>
      </c>
      <c r="AH388" s="512">
        <f t="shared" ca="1" si="164"/>
        <v>0</v>
      </c>
      <c r="AI388" s="512">
        <f t="shared" ca="1" si="165"/>
        <v>4200</v>
      </c>
      <c r="AJ388" s="512">
        <f t="shared" ca="1" si="166"/>
        <v>0</v>
      </c>
      <c r="AK388" s="512">
        <f t="shared" ca="1" si="167"/>
        <v>0</v>
      </c>
      <c r="AL388" s="512">
        <f t="shared" ca="1" si="168"/>
        <v>0</v>
      </c>
      <c r="AM388" s="512">
        <f t="shared" ca="1" si="169"/>
        <v>0</v>
      </c>
      <c r="AN388" s="512">
        <f t="shared" ca="1" si="170"/>
        <v>0</v>
      </c>
      <c r="AO388" s="512">
        <f t="shared" ca="1" si="171"/>
        <v>0</v>
      </c>
      <c r="AP388" s="512">
        <f t="shared" ca="1" si="172"/>
        <v>0</v>
      </c>
      <c r="AQ388" s="512" t="str">
        <f t="shared" si="173"/>
        <v/>
      </c>
      <c r="AR388" s="512"/>
      <c r="AS388" s="512" t="str">
        <f t="shared" si="174"/>
        <v/>
      </c>
      <c r="AT388" s="151">
        <f t="shared" si="175"/>
        <v>0</v>
      </c>
      <c r="AU388" s="151">
        <f>IFERROR(VLOOKUP(A388,'[7]TD CuentasBDG'!$N$5:$O$21,2,0),0)</f>
        <v>0</v>
      </c>
      <c r="AV388">
        <f t="shared" si="176"/>
        <v>0</v>
      </c>
    </row>
    <row r="389" spans="1:50" ht="45" x14ac:dyDescent="0.25">
      <c r="A389" s="508" t="s">
        <v>2242</v>
      </c>
      <c r="B389" s="508" t="s">
        <v>197</v>
      </c>
      <c r="C389" s="508" t="s">
        <v>146</v>
      </c>
      <c r="D389" s="508" t="s">
        <v>146</v>
      </c>
      <c r="E389" s="508"/>
      <c r="F389" s="508"/>
      <c r="G389" s="508" t="s">
        <v>1647</v>
      </c>
      <c r="H389" s="508" t="s">
        <v>140</v>
      </c>
      <c r="I389" s="508" t="s">
        <v>2243</v>
      </c>
      <c r="J389" s="555" t="s">
        <v>1650</v>
      </c>
      <c r="K389" s="555" t="s">
        <v>1651</v>
      </c>
      <c r="L389" s="911">
        <f ca="1">IFERROR(INDEX(Lists!$O$2:$Z$2,MATCH(TRUE,INDEX((AE389:AP389&lt;&gt;0),0),0)),DATE(2018,1,1))</f>
        <v>43221</v>
      </c>
      <c r="M389" s="911">
        <f ca="1">IFERROR(INDEX(Lists!$O$3:$Z$3, VALUE(SUBSTITUTE(TEXT(ADDRESS(SUMPRODUCT(MAX((COLUMN(AE389:AP389)*(AE389:AP389&gt;0)))),1),),"$A$",""))-30),DATE(2018,1,1))</f>
        <v>43312</v>
      </c>
      <c r="N389" s="508" t="s">
        <v>1652</v>
      </c>
      <c r="O389" s="508" t="s">
        <v>1653</v>
      </c>
      <c r="P389" s="508" t="s">
        <v>1676</v>
      </c>
      <c r="Q389" s="508" t="s">
        <v>1676</v>
      </c>
      <c r="R389" s="508" t="str">
        <f t="shared" ref="R389:R422" ca="1" si="178">VLOOKUP($A389,INDIRECT($D389&amp;"!$A$1:$Z$300"),2,FALSE)</f>
        <v>Camp</v>
      </c>
      <c r="S389" s="508" t="str">
        <f t="shared" ref="S389:S422" ca="1" si="179">VLOOKUP($A389,INDIRECT($D389&amp;"!$A$1:$Z$300"),3,FALSE)</f>
        <v>Relincho (costs per month, 2 rigs and crew - all in)</v>
      </c>
      <c r="T389" s="508">
        <f t="shared" ref="T389:T422" ca="1" si="180">VLOOKUP($A389,INDIRECT($D389&amp;"!$A$1:$Z$300"),4,FALSE)</f>
        <v>0</v>
      </c>
      <c r="U389" s="508" t="str">
        <f t="shared" ref="U389:U422" ca="1" si="181">VLOOKUP($A389,INDIRECT($D389&amp;"!$A$1:$Z$300"),5,FALSE)</f>
        <v>687 / 51-11-3052</v>
      </c>
      <c r="V389" s="508">
        <f t="shared" ref="V389:V422" ca="1" si="182">VLOOKUP($A389,INDIRECT($D389&amp;"!$A$1:$Z$300"),6,FALSE)</f>
        <v>0</v>
      </c>
      <c r="W389" s="508">
        <f t="shared" ref="W389:W422" ca="1" si="183">VLOOKUP($A389,INDIRECT($D389&amp;"!$A$1:$Z$300"),7,FALSE)</f>
        <v>0</v>
      </c>
      <c r="X389" s="508">
        <f t="shared" ref="X389:X422" ca="1" si="184">VLOOKUP($A389,INDIRECT($D389&amp;"!$A$1:$Z$300"),8,FALSE)</f>
        <v>0</v>
      </c>
      <c r="Y389" s="508">
        <f t="shared" ref="Y389:Y422" ca="1" si="185">VLOOKUP($A389,INDIRECT($D389&amp;"!$A$1:$Z$300"),9,FALSE)</f>
        <v>0</v>
      </c>
      <c r="Z389" s="508">
        <f t="shared" ref="Z389:Z422" ca="1" si="186">VLOOKUP($A389,INDIRECT($D389&amp;"!$A$1:$Z$300"),10,FALSE)</f>
        <v>0</v>
      </c>
      <c r="AA389" s="508" t="str">
        <f t="shared" ref="AA389:AA422" ca="1" si="187">VLOOKUP($A389,INDIRECT($D389&amp;"!$A$1:$Z$300"),11,FALSE)</f>
        <v>May</v>
      </c>
      <c r="AB389" s="508">
        <f t="shared" ca="1" si="177"/>
        <v>3</v>
      </c>
      <c r="AC389" s="508">
        <f t="shared" ref="AC389:AC422" ca="1" si="188">VLOOKUP($A389,INDIRECT($D389&amp;"!$A$1:$Z$300"),13,FALSE)</f>
        <v>0</v>
      </c>
      <c r="AD389" s="912">
        <f t="shared" ref="AD389:AD422" ca="1" si="189">VLOOKUP($A389,INDIRECT($D389&amp;"!$A$1:$Z$300"),14,FALSE)</f>
        <v>360000</v>
      </c>
      <c r="AE389" s="512">
        <f t="shared" ref="AE389:AE422" ca="1" si="190">VLOOKUP($A389,INDIRECT($D389&amp;"!$A$1:$Z$300"),15,FALSE)</f>
        <v>0</v>
      </c>
      <c r="AF389" s="512">
        <f t="shared" ref="AF389:AF422" ca="1" si="191">VLOOKUP($A389,INDIRECT($D389&amp;"!$A$1:$Z$300"),16,FALSE)</f>
        <v>0</v>
      </c>
      <c r="AG389" s="512">
        <f t="shared" ref="AG389:AG422" ca="1" si="192">VLOOKUP($A389,INDIRECT($D389&amp;"!$A$1:$Z$300"),17,FALSE)</f>
        <v>0</v>
      </c>
      <c r="AH389" s="512">
        <f t="shared" ref="AH389:AH422" ca="1" si="193">VLOOKUP($A389,INDIRECT($D389&amp;"!$A$1:$Z$300"),18,FALSE)</f>
        <v>0</v>
      </c>
      <c r="AI389" s="512">
        <f t="shared" ref="AI389:AI422" ca="1" si="194">VLOOKUP($A389,INDIRECT($D389&amp;"!$A$1:$Z$300"),19,FALSE)</f>
        <v>120000</v>
      </c>
      <c r="AJ389" s="512">
        <f t="shared" ref="AJ389:AJ422" ca="1" si="195">VLOOKUP($A389,INDIRECT($D389&amp;"!$A$1:$Z$300"),20,FALSE)</f>
        <v>120000</v>
      </c>
      <c r="AK389" s="512">
        <f t="shared" ref="AK389:AK422" ca="1" si="196">VLOOKUP($A389,INDIRECT($D389&amp;"!$A$1:$Z$300"),21,FALSE)</f>
        <v>120000</v>
      </c>
      <c r="AL389" s="512">
        <f t="shared" ref="AL389:AL422" ca="1" si="197">VLOOKUP($A389,INDIRECT($D389&amp;"!$A$1:$Z$300"),22,FALSE)</f>
        <v>0</v>
      </c>
      <c r="AM389" s="512">
        <f t="shared" ref="AM389:AM422" ca="1" si="198">VLOOKUP($A389,INDIRECT($D389&amp;"!$A$1:$Z$300"),23,FALSE)</f>
        <v>0</v>
      </c>
      <c r="AN389" s="512">
        <f t="shared" ref="AN389:AN422" ca="1" si="199">VLOOKUP($A389,INDIRECT($D389&amp;"!$A$1:$Z$300"),24,FALSE)</f>
        <v>0</v>
      </c>
      <c r="AO389" s="512">
        <f t="shared" ref="AO389:AO422" ca="1" si="200">VLOOKUP($A389,INDIRECT($D389&amp;"!$A$1:$Z$300"),25,FALSE)</f>
        <v>0</v>
      </c>
      <c r="AP389" s="512">
        <f t="shared" ref="AP389:AP422" ca="1" si="201">VLOOKUP($A389,INDIRECT($D389&amp;"!$A$1:$Z$300"),26,FALSE)</f>
        <v>0</v>
      </c>
      <c r="AQ389" s="512" t="str">
        <f t="shared" ref="AQ389:AQ422" ca="1" si="202">IF(G389="Contrato/Orden de Servicio",IF(AND(Q389&lt;&gt;"Si",AD389&lt;100000),"Orden de Servicio Sin Terreno",IF(AND(Q389="Si",AD389&lt;50000),IF(AB389&lt;=3,"Orden de Servicio Con Terreno","Contrato"),"Contrato")),"")</f>
        <v>Contrato</v>
      </c>
      <c r="AR389" s="512"/>
      <c r="AS389" s="512" t="str">
        <f t="shared" ref="AS389:AS422" ca="1" si="203">IF(G389="Contrato/Orden de Servicio",IF(AND(AD389&gt;50000,OR(N389="Renovación de Contrato",N389="Adjudicación Directa")),"Si","No"),"")</f>
        <v>Si</v>
      </c>
      <c r="AT389" s="151">
        <f t="shared" ref="AT389:AT422" ca="1" si="204">IF(G389="Contrato/Orden de Servicio",AD389,0)</f>
        <v>360000</v>
      </c>
      <c r="AU389" s="926">
        <f>IFERROR(VLOOKUP(A389,'[7]TD CuentasBDG'!$N$5:$O$21,2,0),0)</f>
        <v>0</v>
      </c>
      <c r="AV389" t="str">
        <f t="shared" ref="AV389:AV422" si="205">IF(N389="Licitación/Cotización",IF(AT389&lt;50000,"Licitación Corta","Licitación"),N389)</f>
        <v>Renovación de Contrato</v>
      </c>
      <c r="AW389" s="927" t="s">
        <v>2112</v>
      </c>
      <c r="AX389" s="927" t="s">
        <v>1702</v>
      </c>
    </row>
    <row r="390" spans="1:50" ht="45" x14ac:dyDescent="0.25">
      <c r="A390" s="508" t="s">
        <v>2244</v>
      </c>
      <c r="B390" s="508" t="s">
        <v>197</v>
      </c>
      <c r="C390" s="508" t="s">
        <v>146</v>
      </c>
      <c r="D390" s="508" t="s">
        <v>146</v>
      </c>
      <c r="E390" s="508"/>
      <c r="F390" s="508"/>
      <c r="G390" s="508" t="s">
        <v>1647</v>
      </c>
      <c r="H390" s="508" t="s">
        <v>140</v>
      </c>
      <c r="I390" s="508" t="s">
        <v>2245</v>
      </c>
      <c r="J390" s="555" t="s">
        <v>1650</v>
      </c>
      <c r="K390" s="555" t="s">
        <v>1651</v>
      </c>
      <c r="L390" s="911">
        <f ca="1">IFERROR(INDEX(Lists!$O$2:$Z$2,MATCH(TRUE,INDEX((AE390:AP390&lt;&gt;0),0),0)),DATE(2018,1,1))</f>
        <v>43132</v>
      </c>
      <c r="M390" s="911">
        <f ca="1">IFERROR(INDEX(Lists!$O$3:$Z$3, VALUE(SUBSTITUTE(TEXT(ADDRESS(SUMPRODUCT(MAX((COLUMN(AE390:AP390)*(AE390:AP390&gt;0)))),1),),"$A$",""))-30),DATE(2018,1,1))</f>
        <v>43220</v>
      </c>
      <c r="N390" s="508" t="s">
        <v>1652</v>
      </c>
      <c r="O390" s="508" t="s">
        <v>1653</v>
      </c>
      <c r="P390" s="508" t="s">
        <v>1676</v>
      </c>
      <c r="Q390" s="508" t="s">
        <v>1676</v>
      </c>
      <c r="R390" s="508" t="str">
        <f t="shared" ca="1" si="178"/>
        <v>Camp</v>
      </c>
      <c r="S390" s="508" t="str">
        <f t="shared" ca="1" si="179"/>
        <v>La Fortuna (cost per months, 3 rigs and crew - all in)</v>
      </c>
      <c r="T390" s="508">
        <f t="shared" ca="1" si="180"/>
        <v>0</v>
      </c>
      <c r="U390" s="508" t="str">
        <f t="shared" ca="1" si="181"/>
        <v>687 / 51-11-3052</v>
      </c>
      <c r="V390" s="508">
        <f t="shared" ca="1" si="182"/>
        <v>0</v>
      </c>
      <c r="W390" s="508">
        <f t="shared" ca="1" si="183"/>
        <v>0</v>
      </c>
      <c r="X390" s="508">
        <f t="shared" ca="1" si="184"/>
        <v>0</v>
      </c>
      <c r="Y390" s="508">
        <f t="shared" ca="1" si="185"/>
        <v>0</v>
      </c>
      <c r="Z390" s="508">
        <f t="shared" ca="1" si="186"/>
        <v>0</v>
      </c>
      <c r="AA390" s="508" t="str">
        <f t="shared" ca="1" si="187"/>
        <v>Ene</v>
      </c>
      <c r="AB390" s="508">
        <f t="shared" ca="1" si="177"/>
        <v>3</v>
      </c>
      <c r="AC390" s="508">
        <f t="shared" ca="1" si="188"/>
        <v>0</v>
      </c>
      <c r="AD390" s="912">
        <f t="shared" ca="1" si="189"/>
        <v>913380</v>
      </c>
      <c r="AE390" s="512">
        <f t="shared" ca="1" si="190"/>
        <v>0</v>
      </c>
      <c r="AF390" s="512">
        <f t="shared" ca="1" si="191"/>
        <v>152230</v>
      </c>
      <c r="AG390" s="512">
        <f t="shared" ca="1" si="192"/>
        <v>304460</v>
      </c>
      <c r="AH390" s="512">
        <f t="shared" ca="1" si="193"/>
        <v>456690</v>
      </c>
      <c r="AI390" s="512">
        <f t="shared" ca="1" si="194"/>
        <v>0</v>
      </c>
      <c r="AJ390" s="512">
        <f t="shared" ca="1" si="195"/>
        <v>0</v>
      </c>
      <c r="AK390" s="512">
        <f t="shared" ca="1" si="196"/>
        <v>0</v>
      </c>
      <c r="AL390" s="512">
        <f t="shared" ca="1" si="197"/>
        <v>0</v>
      </c>
      <c r="AM390" s="512">
        <f t="shared" ca="1" si="198"/>
        <v>0</v>
      </c>
      <c r="AN390" s="512">
        <f t="shared" ca="1" si="199"/>
        <v>0</v>
      </c>
      <c r="AO390" s="512">
        <f t="shared" ca="1" si="200"/>
        <v>0</v>
      </c>
      <c r="AP390" s="512">
        <f t="shared" ca="1" si="201"/>
        <v>0</v>
      </c>
      <c r="AQ390" s="512" t="str">
        <f t="shared" ca="1" si="202"/>
        <v>Contrato</v>
      </c>
      <c r="AR390" s="512"/>
      <c r="AS390" s="512" t="str">
        <f t="shared" ca="1" si="203"/>
        <v>Si</v>
      </c>
      <c r="AT390" s="151">
        <f t="shared" ca="1" si="204"/>
        <v>913380</v>
      </c>
      <c r="AU390" s="926">
        <f>IFERROR(VLOOKUP(A390,'[7]TD CuentasBDG'!$N$5:$O$21,2,0),0)</f>
        <v>0</v>
      </c>
      <c r="AV390" t="str">
        <f t="shared" si="205"/>
        <v>Renovación de Contrato</v>
      </c>
      <c r="AW390" s="927" t="s">
        <v>2112</v>
      </c>
      <c r="AX390" s="927" t="s">
        <v>2202</v>
      </c>
    </row>
    <row r="391" spans="1:50" ht="45" x14ac:dyDescent="0.25">
      <c r="A391" s="508" t="s">
        <v>2246</v>
      </c>
      <c r="B391" s="508" t="s">
        <v>197</v>
      </c>
      <c r="C391" s="508" t="s">
        <v>146</v>
      </c>
      <c r="D391" s="508" t="s">
        <v>146</v>
      </c>
      <c r="E391" s="508"/>
      <c r="F391" s="508"/>
      <c r="G391" s="508" t="s">
        <v>1752</v>
      </c>
      <c r="H391" s="508"/>
      <c r="I391" s="508"/>
      <c r="J391" s="555"/>
      <c r="K391" s="555"/>
      <c r="L391" s="911">
        <f ca="1">IFERROR(INDEX(Lists!$O$2:$Z$2,MATCH(TRUE,INDEX((AE391:AP391&lt;&gt;0),0),0)),DATE(2018,1,1))</f>
        <v>43132</v>
      </c>
      <c r="M391" s="911">
        <f ca="1">IFERROR(INDEX(Lists!$O$3:$Z$3, VALUE(SUBSTITUTE(TEXT(ADDRESS(SUMPRODUCT(MAX((COLUMN(AE391:AP391)*(AE391:AP391&gt;0)))),1),),"$A$",""))-30),DATE(2018,1,1))</f>
        <v>43220</v>
      </c>
      <c r="N391" s="508"/>
      <c r="O391" s="508"/>
      <c r="P391" s="508"/>
      <c r="Q391" s="508"/>
      <c r="R391" s="508" t="str">
        <f t="shared" ca="1" si="178"/>
        <v>LAF - 3D Model Update and Estimation</v>
      </c>
      <c r="S391" s="508" t="str">
        <f t="shared" ca="1" si="179"/>
        <v xml:space="preserve">Principal Geologist </v>
      </c>
      <c r="T391" s="508">
        <f t="shared" ca="1" si="180"/>
        <v>0</v>
      </c>
      <c r="U391" s="508" t="str">
        <f t="shared" ca="1" si="181"/>
        <v>687 / 51-11-3052</v>
      </c>
      <c r="V391" s="508">
        <f t="shared" ca="1" si="182"/>
        <v>0</v>
      </c>
      <c r="W391" s="508">
        <f t="shared" ca="1" si="183"/>
        <v>0</v>
      </c>
      <c r="X391" s="508">
        <f t="shared" ca="1" si="184"/>
        <v>0</v>
      </c>
      <c r="Y391" s="508">
        <f t="shared" ca="1" si="185"/>
        <v>0</v>
      </c>
      <c r="Z391" s="508">
        <f t="shared" ca="1" si="186"/>
        <v>0</v>
      </c>
      <c r="AA391" s="508" t="str">
        <f t="shared" ca="1" si="187"/>
        <v>Ene</v>
      </c>
      <c r="AB391" s="508">
        <f t="shared" ca="1" si="177"/>
        <v>3</v>
      </c>
      <c r="AC391" s="914">
        <v>12</v>
      </c>
      <c r="AD391" s="912">
        <f t="shared" ca="1" si="189"/>
        <v>60700</v>
      </c>
      <c r="AE391" s="512">
        <f t="shared" ca="1" si="190"/>
        <v>0</v>
      </c>
      <c r="AF391" s="512">
        <f t="shared" ca="1" si="191"/>
        <v>20233.333333333332</v>
      </c>
      <c r="AG391" s="512">
        <f t="shared" ca="1" si="192"/>
        <v>20233.333333333332</v>
      </c>
      <c r="AH391" s="512">
        <f t="shared" ca="1" si="193"/>
        <v>20233.333333333332</v>
      </c>
      <c r="AI391" s="512">
        <f t="shared" ca="1" si="194"/>
        <v>0</v>
      </c>
      <c r="AJ391" s="512">
        <f t="shared" ca="1" si="195"/>
        <v>0</v>
      </c>
      <c r="AK391" s="512">
        <f t="shared" ca="1" si="196"/>
        <v>0</v>
      </c>
      <c r="AL391" s="512">
        <f t="shared" ca="1" si="197"/>
        <v>0</v>
      </c>
      <c r="AM391" s="512">
        <f t="shared" ca="1" si="198"/>
        <v>0</v>
      </c>
      <c r="AN391" s="512">
        <f t="shared" ca="1" si="199"/>
        <v>0</v>
      </c>
      <c r="AO391" s="512">
        <f t="shared" ca="1" si="200"/>
        <v>0</v>
      </c>
      <c r="AP391" s="512">
        <f t="shared" ca="1" si="201"/>
        <v>0</v>
      </c>
      <c r="AQ391" s="512" t="str">
        <f t="shared" si="202"/>
        <v/>
      </c>
      <c r="AR391" s="512"/>
      <c r="AS391" s="512" t="str">
        <f t="shared" si="203"/>
        <v/>
      </c>
      <c r="AT391" s="151">
        <f t="shared" si="204"/>
        <v>0</v>
      </c>
      <c r="AU391" s="151">
        <f>IFERROR(VLOOKUP(A391,'[7]TD CuentasBDG'!$N$5:$O$21,2,0),0)</f>
        <v>0</v>
      </c>
      <c r="AV391">
        <f t="shared" si="205"/>
        <v>0</v>
      </c>
    </row>
    <row r="392" spans="1:50" ht="30" x14ac:dyDescent="0.25">
      <c r="A392" s="508" t="s">
        <v>2247</v>
      </c>
      <c r="B392" s="508" t="s">
        <v>197</v>
      </c>
      <c r="C392" s="508" t="s">
        <v>146</v>
      </c>
      <c r="D392" s="508" t="s">
        <v>146</v>
      </c>
      <c r="E392" s="508"/>
      <c r="F392" s="508"/>
      <c r="G392" s="508" t="s">
        <v>1752</v>
      </c>
      <c r="H392" s="508"/>
      <c r="I392" s="508"/>
      <c r="J392" s="555"/>
      <c r="K392" s="555"/>
      <c r="L392" s="911">
        <f ca="1">IFERROR(INDEX(Lists!$O$2:$Z$2,MATCH(TRUE,INDEX((AE392:AP392&lt;&gt;0),0),0)),DATE(2018,1,1))</f>
        <v>43132</v>
      </c>
      <c r="M392" s="911">
        <f ca="1">IFERROR(INDEX(Lists!$O$3:$Z$3, VALUE(SUBSTITUTE(TEXT(ADDRESS(SUMPRODUCT(MAX((COLUMN(AE392:AP392)*(AE392:AP392&gt;0)))),1),),"$A$",""))-30),DATE(2018,1,1))</f>
        <v>43220</v>
      </c>
      <c r="N392" s="508"/>
      <c r="O392" s="508"/>
      <c r="P392" s="508"/>
      <c r="Q392" s="508"/>
      <c r="R392" s="508" t="str">
        <f t="shared" ca="1" si="178"/>
        <v>New Alt Model, Blockcave, …</v>
      </c>
      <c r="S392" s="508" t="str">
        <f t="shared" ca="1" si="179"/>
        <v>Band 9 Geo (Resource Modeler)</v>
      </c>
      <c r="T392" s="508">
        <f t="shared" ca="1" si="180"/>
        <v>0</v>
      </c>
      <c r="U392" s="508" t="str">
        <f t="shared" ca="1" si="181"/>
        <v>687 / 51-11-3052</v>
      </c>
      <c r="V392" s="508">
        <f t="shared" ca="1" si="182"/>
        <v>0</v>
      </c>
      <c r="W392" s="508">
        <f t="shared" ca="1" si="183"/>
        <v>0</v>
      </c>
      <c r="X392" s="508">
        <f t="shared" ca="1" si="184"/>
        <v>0</v>
      </c>
      <c r="Y392" s="508">
        <f t="shared" ca="1" si="185"/>
        <v>0</v>
      </c>
      <c r="Z392" s="508">
        <f t="shared" ca="1" si="186"/>
        <v>0</v>
      </c>
      <c r="AA392" s="508" t="str">
        <f t="shared" ca="1" si="187"/>
        <v>Ene</v>
      </c>
      <c r="AB392" s="508">
        <f t="shared" ca="1" si="177"/>
        <v>3</v>
      </c>
      <c r="AC392" s="914">
        <v>12</v>
      </c>
      <c r="AD392" s="912">
        <f t="shared" ca="1" si="189"/>
        <v>60700</v>
      </c>
      <c r="AE392" s="512">
        <f t="shared" ca="1" si="190"/>
        <v>0</v>
      </c>
      <c r="AF392" s="512">
        <f t="shared" ca="1" si="191"/>
        <v>20233.333333333332</v>
      </c>
      <c r="AG392" s="512">
        <f t="shared" ca="1" si="192"/>
        <v>20233.333333333332</v>
      </c>
      <c r="AH392" s="512">
        <f t="shared" ca="1" si="193"/>
        <v>20233.333333333332</v>
      </c>
      <c r="AI392" s="512">
        <f t="shared" ca="1" si="194"/>
        <v>0</v>
      </c>
      <c r="AJ392" s="512">
        <f t="shared" ca="1" si="195"/>
        <v>0</v>
      </c>
      <c r="AK392" s="512">
        <f t="shared" ca="1" si="196"/>
        <v>0</v>
      </c>
      <c r="AL392" s="512">
        <f t="shared" ca="1" si="197"/>
        <v>0</v>
      </c>
      <c r="AM392" s="512">
        <f t="shared" ca="1" si="198"/>
        <v>0</v>
      </c>
      <c r="AN392" s="512">
        <f t="shared" ca="1" si="199"/>
        <v>0</v>
      </c>
      <c r="AO392" s="512">
        <f t="shared" ca="1" si="200"/>
        <v>0</v>
      </c>
      <c r="AP392" s="512">
        <f t="shared" ca="1" si="201"/>
        <v>0</v>
      </c>
      <c r="AQ392" s="512" t="str">
        <f t="shared" si="202"/>
        <v/>
      </c>
      <c r="AR392" s="512"/>
      <c r="AS392" s="512" t="str">
        <f t="shared" si="203"/>
        <v/>
      </c>
      <c r="AT392" s="151">
        <f t="shared" si="204"/>
        <v>0</v>
      </c>
      <c r="AU392" s="151">
        <f>IFERROR(VLOOKUP(A392,'[7]TD CuentasBDG'!$N$5:$O$21,2,0),0)</f>
        <v>0</v>
      </c>
      <c r="AV392">
        <f t="shared" si="205"/>
        <v>0</v>
      </c>
    </row>
    <row r="393" spans="1:50" ht="30" x14ac:dyDescent="0.25">
      <c r="A393" s="508" t="s">
        <v>2248</v>
      </c>
      <c r="B393" s="508" t="s">
        <v>197</v>
      </c>
      <c r="C393" s="508" t="s">
        <v>146</v>
      </c>
      <c r="D393" s="508" t="s">
        <v>146</v>
      </c>
      <c r="E393" s="508"/>
      <c r="F393" s="508"/>
      <c r="G393" s="508" t="s">
        <v>1752</v>
      </c>
      <c r="H393" s="508"/>
      <c r="I393" s="508"/>
      <c r="J393" s="555"/>
      <c r="K393" s="555"/>
      <c r="L393" s="911">
        <f ca="1">IFERROR(INDEX(Lists!$O$2:$Z$2,MATCH(TRUE,INDEX((AE393:AP393&lt;&gt;0),0),0)),DATE(2018,1,1))</f>
        <v>43132</v>
      </c>
      <c r="M393" s="911">
        <f ca="1">IFERROR(INDEX(Lists!$O$3:$Z$3, VALUE(SUBSTITUTE(TEXT(ADDRESS(SUMPRODUCT(MAX((COLUMN(AE393:AP393)*(AE393:AP393&gt;0)))),1),),"$A$",""))-30),DATE(2018,1,1))</f>
        <v>43281</v>
      </c>
      <c r="N393" s="508"/>
      <c r="O393" s="508"/>
      <c r="P393" s="508"/>
      <c r="Q393" s="508"/>
      <c r="R393" s="508" t="str">
        <f t="shared" ca="1" si="178"/>
        <v>LAF FS Model Update</v>
      </c>
      <c r="S393" s="508" t="str">
        <f t="shared" ca="1" si="179"/>
        <v>Principal Geologist</v>
      </c>
      <c r="T393" s="508">
        <f t="shared" ca="1" si="180"/>
        <v>0</v>
      </c>
      <c r="U393" s="508" t="str">
        <f t="shared" ca="1" si="181"/>
        <v>687 / 51-11-3052</v>
      </c>
      <c r="V393" s="508">
        <f t="shared" ca="1" si="182"/>
        <v>0</v>
      </c>
      <c r="W393" s="508">
        <f t="shared" ca="1" si="183"/>
        <v>0</v>
      </c>
      <c r="X393" s="508">
        <f t="shared" ca="1" si="184"/>
        <v>0</v>
      </c>
      <c r="Y393" s="508">
        <f t="shared" ca="1" si="185"/>
        <v>0</v>
      </c>
      <c r="Z393" s="508">
        <f t="shared" ca="1" si="186"/>
        <v>0</v>
      </c>
      <c r="AA393" s="508" t="str">
        <f t="shared" ca="1" si="187"/>
        <v>Ene</v>
      </c>
      <c r="AB393" s="508">
        <f t="shared" ca="1" si="177"/>
        <v>5</v>
      </c>
      <c r="AC393" s="914">
        <v>12</v>
      </c>
      <c r="AD393" s="912">
        <f t="shared" ca="1" si="189"/>
        <v>147500</v>
      </c>
      <c r="AE393" s="512">
        <f t="shared" ca="1" si="190"/>
        <v>0</v>
      </c>
      <c r="AF393" s="512">
        <f t="shared" ca="1" si="191"/>
        <v>29500</v>
      </c>
      <c r="AG393" s="512">
        <f t="shared" ca="1" si="192"/>
        <v>29500</v>
      </c>
      <c r="AH393" s="512">
        <f t="shared" ca="1" si="193"/>
        <v>29500</v>
      </c>
      <c r="AI393" s="512">
        <f t="shared" ca="1" si="194"/>
        <v>29500</v>
      </c>
      <c r="AJ393" s="512">
        <f t="shared" ca="1" si="195"/>
        <v>29500</v>
      </c>
      <c r="AK393" s="512">
        <f t="shared" ca="1" si="196"/>
        <v>0</v>
      </c>
      <c r="AL393" s="512">
        <f t="shared" ca="1" si="197"/>
        <v>0</v>
      </c>
      <c r="AM393" s="512">
        <f t="shared" ca="1" si="198"/>
        <v>0</v>
      </c>
      <c r="AN393" s="512">
        <f t="shared" ca="1" si="199"/>
        <v>0</v>
      </c>
      <c r="AO393" s="512">
        <f t="shared" ca="1" si="200"/>
        <v>0</v>
      </c>
      <c r="AP393" s="512">
        <f t="shared" ca="1" si="201"/>
        <v>0</v>
      </c>
      <c r="AQ393" s="512" t="str">
        <f t="shared" si="202"/>
        <v/>
      </c>
      <c r="AR393" s="512"/>
      <c r="AS393" s="512" t="str">
        <f t="shared" si="203"/>
        <v/>
      </c>
      <c r="AT393" s="151">
        <f t="shared" si="204"/>
        <v>0</v>
      </c>
      <c r="AU393" s="151">
        <f>IFERROR(VLOOKUP(A393,'[7]TD CuentasBDG'!$N$5:$O$21,2,0),0)</f>
        <v>0</v>
      </c>
      <c r="AV393">
        <f t="shared" si="205"/>
        <v>0</v>
      </c>
    </row>
    <row r="394" spans="1:50" ht="30" x14ac:dyDescent="0.25">
      <c r="A394" s="508" t="s">
        <v>2249</v>
      </c>
      <c r="B394" s="508" t="s">
        <v>197</v>
      </c>
      <c r="C394" s="508" t="s">
        <v>146</v>
      </c>
      <c r="D394" s="508" t="s">
        <v>146</v>
      </c>
      <c r="E394" s="508"/>
      <c r="F394" s="508"/>
      <c r="G394" s="508" t="s">
        <v>1752</v>
      </c>
      <c r="H394" s="508"/>
      <c r="I394" s="508"/>
      <c r="J394" s="555"/>
      <c r="K394" s="555"/>
      <c r="L394" s="911">
        <f ca="1">IFERROR(INDEX(Lists!$O$2:$Z$2,MATCH(TRUE,INDEX((AE394:AP394&lt;&gt;0),0),0)),DATE(2018,1,1))</f>
        <v>43191</v>
      </c>
      <c r="M394" s="911">
        <f ca="1">IFERROR(INDEX(Lists!$O$3:$Z$3, VALUE(SUBSTITUTE(TEXT(ADDRESS(SUMPRODUCT(MAX((COLUMN(AE394:AP394)*(AE394:AP394&gt;0)))),1),),"$A$",""))-30),DATE(2018,1,1))</f>
        <v>43281</v>
      </c>
      <c r="N394" s="508"/>
      <c r="O394" s="508"/>
      <c r="P394" s="508"/>
      <c r="Q394" s="508"/>
      <c r="R394" s="508" t="str">
        <f t="shared" ca="1" si="178"/>
        <v>Principal Geologist</v>
      </c>
      <c r="S394" s="508">
        <f t="shared" ca="1" si="179"/>
        <v>0</v>
      </c>
      <c r="T394" s="508">
        <f t="shared" ca="1" si="180"/>
        <v>0</v>
      </c>
      <c r="U394" s="508" t="str">
        <f t="shared" ca="1" si="181"/>
        <v>687 / 51-11-3052</v>
      </c>
      <c r="V394" s="508">
        <f t="shared" ca="1" si="182"/>
        <v>0</v>
      </c>
      <c r="W394" s="508">
        <f t="shared" ca="1" si="183"/>
        <v>0</v>
      </c>
      <c r="X394" s="508">
        <f t="shared" ca="1" si="184"/>
        <v>0</v>
      </c>
      <c r="Y394" s="508">
        <f t="shared" ca="1" si="185"/>
        <v>0</v>
      </c>
      <c r="Z394" s="508">
        <f t="shared" ca="1" si="186"/>
        <v>0</v>
      </c>
      <c r="AA394" s="508" t="str">
        <f t="shared" ca="1" si="187"/>
        <v>Abr</v>
      </c>
      <c r="AB394" s="508">
        <f t="shared" ca="1" si="177"/>
        <v>3</v>
      </c>
      <c r="AC394" s="914">
        <v>12</v>
      </c>
      <c r="AD394" s="912">
        <f t="shared" ca="1" si="189"/>
        <v>77500</v>
      </c>
      <c r="AE394" s="512">
        <f t="shared" ca="1" si="190"/>
        <v>0</v>
      </c>
      <c r="AF394" s="512">
        <f t="shared" ca="1" si="191"/>
        <v>0</v>
      </c>
      <c r="AG394" s="512">
        <f t="shared" ca="1" si="192"/>
        <v>0</v>
      </c>
      <c r="AH394" s="512">
        <f t="shared" ca="1" si="193"/>
        <v>25833.333333333332</v>
      </c>
      <c r="AI394" s="512">
        <f t="shared" ca="1" si="194"/>
        <v>25833.333333333332</v>
      </c>
      <c r="AJ394" s="512">
        <f t="shared" ca="1" si="195"/>
        <v>25833.333333333332</v>
      </c>
      <c r="AK394" s="512">
        <f t="shared" ca="1" si="196"/>
        <v>0</v>
      </c>
      <c r="AL394" s="512">
        <f t="shared" ca="1" si="197"/>
        <v>0</v>
      </c>
      <c r="AM394" s="512">
        <f t="shared" ca="1" si="198"/>
        <v>0</v>
      </c>
      <c r="AN394" s="512">
        <f t="shared" ca="1" si="199"/>
        <v>0</v>
      </c>
      <c r="AO394" s="512">
        <f t="shared" ca="1" si="200"/>
        <v>0</v>
      </c>
      <c r="AP394" s="512">
        <f t="shared" ca="1" si="201"/>
        <v>0</v>
      </c>
      <c r="AQ394" s="512" t="str">
        <f t="shared" si="202"/>
        <v/>
      </c>
      <c r="AR394" s="512"/>
      <c r="AS394" s="512" t="str">
        <f t="shared" si="203"/>
        <v/>
      </c>
      <c r="AT394" s="151">
        <f t="shared" si="204"/>
        <v>0</v>
      </c>
      <c r="AU394" s="151">
        <f>IFERROR(VLOOKUP(A394,'[7]TD CuentasBDG'!$N$5:$O$21,2,0),0)</f>
        <v>0</v>
      </c>
      <c r="AV394">
        <f t="shared" si="205"/>
        <v>0</v>
      </c>
    </row>
    <row r="395" spans="1:50" ht="30" x14ac:dyDescent="0.25">
      <c r="A395" s="508" t="s">
        <v>2250</v>
      </c>
      <c r="B395" s="508" t="s">
        <v>197</v>
      </c>
      <c r="C395" s="508" t="s">
        <v>146</v>
      </c>
      <c r="D395" s="508" t="s">
        <v>146</v>
      </c>
      <c r="E395" s="508"/>
      <c r="F395" s="508"/>
      <c r="G395" s="508" t="s">
        <v>1752</v>
      </c>
      <c r="H395" s="508"/>
      <c r="I395" s="508"/>
      <c r="J395" s="555"/>
      <c r="K395" s="555"/>
      <c r="L395" s="911">
        <f ca="1">IFERROR(INDEX(Lists!$O$2:$Z$2,MATCH(TRUE,INDEX((AE395:AP395&lt;&gt;0),0),0)),DATE(2018,1,1))</f>
        <v>43191</v>
      </c>
      <c r="M395" s="911">
        <f ca="1">IFERROR(INDEX(Lists!$O$3:$Z$3, VALUE(SUBSTITUTE(TEXT(ADDRESS(SUMPRODUCT(MAX((COLUMN(AE395:AP395)*(AE395:AP395&gt;0)))),1),),"$A$",""))-30),DATE(2018,1,1))</f>
        <v>43281</v>
      </c>
      <c r="N395" s="508"/>
      <c r="O395" s="508"/>
      <c r="P395" s="508"/>
      <c r="Q395" s="508"/>
      <c r="R395" s="508" t="str">
        <f t="shared" ca="1" si="178"/>
        <v>Consultant</v>
      </c>
      <c r="S395" s="508">
        <f t="shared" ca="1" si="179"/>
        <v>0</v>
      </c>
      <c r="T395" s="508">
        <f t="shared" ca="1" si="180"/>
        <v>0</v>
      </c>
      <c r="U395" s="508" t="str">
        <f t="shared" ca="1" si="181"/>
        <v>687 / 51-11-3052</v>
      </c>
      <c r="V395" s="508">
        <f t="shared" ca="1" si="182"/>
        <v>0</v>
      </c>
      <c r="W395" s="508">
        <f t="shared" ca="1" si="183"/>
        <v>0</v>
      </c>
      <c r="X395" s="508">
        <f t="shared" ca="1" si="184"/>
        <v>0</v>
      </c>
      <c r="Y395" s="508">
        <f t="shared" ca="1" si="185"/>
        <v>0</v>
      </c>
      <c r="Z395" s="508">
        <f t="shared" ca="1" si="186"/>
        <v>0</v>
      </c>
      <c r="AA395" s="508" t="str">
        <f t="shared" ca="1" si="187"/>
        <v>Abr</v>
      </c>
      <c r="AB395" s="508">
        <f t="shared" ca="1" si="177"/>
        <v>3</v>
      </c>
      <c r="AC395" s="914">
        <v>12</v>
      </c>
      <c r="AD395" s="912">
        <f t="shared" ca="1" si="189"/>
        <v>77500</v>
      </c>
      <c r="AE395" s="512">
        <f t="shared" ca="1" si="190"/>
        <v>0</v>
      </c>
      <c r="AF395" s="512">
        <f t="shared" ca="1" si="191"/>
        <v>0</v>
      </c>
      <c r="AG395" s="512">
        <f t="shared" ca="1" si="192"/>
        <v>0</v>
      </c>
      <c r="AH395" s="512">
        <f t="shared" ca="1" si="193"/>
        <v>25833.333333333332</v>
      </c>
      <c r="AI395" s="512">
        <f t="shared" ca="1" si="194"/>
        <v>25833.333333333332</v>
      </c>
      <c r="AJ395" s="512">
        <f t="shared" ca="1" si="195"/>
        <v>25833.333333333332</v>
      </c>
      <c r="AK395" s="512">
        <f t="shared" ca="1" si="196"/>
        <v>0</v>
      </c>
      <c r="AL395" s="512">
        <f t="shared" ca="1" si="197"/>
        <v>0</v>
      </c>
      <c r="AM395" s="512">
        <f t="shared" ca="1" si="198"/>
        <v>0</v>
      </c>
      <c r="AN395" s="512">
        <f t="shared" ca="1" si="199"/>
        <v>0</v>
      </c>
      <c r="AO395" s="512">
        <f t="shared" ca="1" si="200"/>
        <v>0</v>
      </c>
      <c r="AP395" s="512">
        <f t="shared" ca="1" si="201"/>
        <v>0</v>
      </c>
      <c r="AQ395" s="512" t="str">
        <f t="shared" si="202"/>
        <v/>
      </c>
      <c r="AR395" s="512"/>
      <c r="AS395" s="512" t="str">
        <f t="shared" si="203"/>
        <v/>
      </c>
      <c r="AT395" s="151">
        <f t="shared" si="204"/>
        <v>0</v>
      </c>
      <c r="AU395" s="151">
        <f>IFERROR(VLOOKUP(A395,'[7]TD CuentasBDG'!$N$5:$O$21,2,0),0)</f>
        <v>0</v>
      </c>
      <c r="AV395">
        <f t="shared" si="205"/>
        <v>0</v>
      </c>
    </row>
    <row r="396" spans="1:50" ht="30" x14ac:dyDescent="0.25">
      <c r="A396" s="508" t="s">
        <v>2251</v>
      </c>
      <c r="B396" s="508" t="s">
        <v>197</v>
      </c>
      <c r="C396" s="508" t="s">
        <v>146</v>
      </c>
      <c r="D396" s="508" t="s">
        <v>146</v>
      </c>
      <c r="E396" s="508"/>
      <c r="F396" s="508"/>
      <c r="G396" s="508" t="s">
        <v>1752</v>
      </c>
      <c r="H396" s="508"/>
      <c r="I396" s="508"/>
      <c r="J396" s="555"/>
      <c r="K396" s="555"/>
      <c r="L396" s="911">
        <f ca="1">IFERROR(INDEX(Lists!$O$2:$Z$2,MATCH(TRUE,INDEX((AE396:AP396&lt;&gt;0),0),0)),DATE(2018,1,1))</f>
        <v>43344</v>
      </c>
      <c r="M396" s="911">
        <f ca="1">IFERROR(INDEX(Lists!$O$3:$Z$3, VALUE(SUBSTITUTE(TEXT(ADDRESS(SUMPRODUCT(MAX((COLUMN(AE396:AP396)*(AE396:AP396&gt;0)))),1),),"$A$",""))-30),DATE(2018,1,1))</f>
        <v>43465</v>
      </c>
      <c r="N396" s="508"/>
      <c r="O396" s="508"/>
      <c r="P396" s="508"/>
      <c r="Q396" s="508"/>
      <c r="R396" s="508" t="str">
        <f t="shared" ca="1" si="178"/>
        <v>Principal Geologist (e.g. Ross Gordon)</v>
      </c>
      <c r="S396" s="508">
        <f t="shared" ca="1" si="179"/>
        <v>0</v>
      </c>
      <c r="T396" s="508">
        <f t="shared" ca="1" si="180"/>
        <v>0</v>
      </c>
      <c r="U396" s="508" t="str">
        <f t="shared" ca="1" si="181"/>
        <v>687 / 51-11-3052</v>
      </c>
      <c r="V396" s="508">
        <f t="shared" ca="1" si="182"/>
        <v>0</v>
      </c>
      <c r="W396" s="508">
        <f t="shared" ca="1" si="183"/>
        <v>0</v>
      </c>
      <c r="X396" s="508">
        <f t="shared" ca="1" si="184"/>
        <v>0</v>
      </c>
      <c r="Y396" s="508">
        <f t="shared" ca="1" si="185"/>
        <v>0</v>
      </c>
      <c r="Z396" s="508">
        <f t="shared" ca="1" si="186"/>
        <v>0</v>
      </c>
      <c r="AA396" s="508">
        <f t="shared" ca="1" si="187"/>
        <v>0</v>
      </c>
      <c r="AB396" s="508">
        <f t="shared" ca="1" si="177"/>
        <v>4</v>
      </c>
      <c r="AC396" s="914">
        <v>12</v>
      </c>
      <c r="AD396" s="912">
        <f t="shared" ca="1" si="189"/>
        <v>36400</v>
      </c>
      <c r="AE396" s="512">
        <f t="shared" ca="1" si="190"/>
        <v>0</v>
      </c>
      <c r="AF396" s="512">
        <f t="shared" ca="1" si="191"/>
        <v>0</v>
      </c>
      <c r="AG396" s="512">
        <f t="shared" ca="1" si="192"/>
        <v>0</v>
      </c>
      <c r="AH396" s="512">
        <f t="shared" ca="1" si="193"/>
        <v>0</v>
      </c>
      <c r="AI396" s="512">
        <f t="shared" ca="1" si="194"/>
        <v>0</v>
      </c>
      <c r="AJ396" s="512">
        <f t="shared" ca="1" si="195"/>
        <v>0</v>
      </c>
      <c r="AK396" s="512">
        <f t="shared" ca="1" si="196"/>
        <v>0</v>
      </c>
      <c r="AL396" s="512">
        <f t="shared" ca="1" si="197"/>
        <v>0</v>
      </c>
      <c r="AM396" s="512">
        <f t="shared" ca="1" si="198"/>
        <v>9100</v>
      </c>
      <c r="AN396" s="512">
        <f t="shared" ca="1" si="199"/>
        <v>9100</v>
      </c>
      <c r="AO396" s="512">
        <f t="shared" ca="1" si="200"/>
        <v>9100</v>
      </c>
      <c r="AP396" s="512">
        <f t="shared" ca="1" si="201"/>
        <v>9100</v>
      </c>
      <c r="AQ396" s="512" t="str">
        <f t="shared" si="202"/>
        <v/>
      </c>
      <c r="AR396" s="512"/>
      <c r="AS396" s="512" t="str">
        <f t="shared" si="203"/>
        <v/>
      </c>
      <c r="AT396" s="151">
        <f t="shared" si="204"/>
        <v>0</v>
      </c>
      <c r="AU396" s="151">
        <f>IFERROR(VLOOKUP(A396,'[7]TD CuentasBDG'!$N$5:$O$21,2,0),0)</f>
        <v>0</v>
      </c>
      <c r="AV396">
        <f t="shared" si="205"/>
        <v>0</v>
      </c>
    </row>
    <row r="397" spans="1:50" ht="30" x14ac:dyDescent="0.25">
      <c r="A397" s="508" t="s">
        <v>2252</v>
      </c>
      <c r="B397" s="508" t="s">
        <v>197</v>
      </c>
      <c r="C397" s="508" t="s">
        <v>146</v>
      </c>
      <c r="D397" s="508" t="s">
        <v>146</v>
      </c>
      <c r="E397" s="508"/>
      <c r="F397" s="508"/>
      <c r="G397" s="508" t="s">
        <v>1752</v>
      </c>
      <c r="H397" s="508"/>
      <c r="I397" s="508"/>
      <c r="J397" s="555"/>
      <c r="K397" s="555"/>
      <c r="L397" s="911">
        <f ca="1">IFERROR(INDEX(Lists!$O$2:$Z$2,MATCH(TRUE,INDEX((AE397:AP397&lt;&gt;0),0),0)),DATE(2018,1,1))</f>
        <v>43344</v>
      </c>
      <c r="M397" s="911">
        <f ca="1">IFERROR(INDEX(Lists!$O$3:$Z$3, VALUE(SUBSTITUTE(TEXT(ADDRESS(SUMPRODUCT(MAX((COLUMN(AE397:AP397)*(AE397:AP397&gt;0)))),1),),"$A$",""))-30),DATE(2018,1,1))</f>
        <v>43465</v>
      </c>
      <c r="N397" s="508"/>
      <c r="O397" s="508"/>
      <c r="P397" s="508"/>
      <c r="Q397" s="508"/>
      <c r="R397" s="508" t="str">
        <f t="shared" ca="1" si="178"/>
        <v>Band 9 Geo (DB Specialist)</v>
      </c>
      <c r="S397" s="508">
        <f t="shared" ca="1" si="179"/>
        <v>0</v>
      </c>
      <c r="T397" s="508">
        <f t="shared" ca="1" si="180"/>
        <v>0</v>
      </c>
      <c r="U397" s="508" t="str">
        <f t="shared" ca="1" si="181"/>
        <v>687 / 51-11-3052</v>
      </c>
      <c r="V397" s="508">
        <f t="shared" ca="1" si="182"/>
        <v>0</v>
      </c>
      <c r="W397" s="508">
        <f t="shared" ca="1" si="183"/>
        <v>0</v>
      </c>
      <c r="X397" s="508">
        <f t="shared" ca="1" si="184"/>
        <v>0</v>
      </c>
      <c r="Y397" s="508">
        <f t="shared" ca="1" si="185"/>
        <v>0</v>
      </c>
      <c r="Z397" s="508">
        <f t="shared" ca="1" si="186"/>
        <v>0</v>
      </c>
      <c r="AA397" s="508">
        <f t="shared" ca="1" si="187"/>
        <v>0</v>
      </c>
      <c r="AB397" s="508">
        <f t="shared" ca="1" si="177"/>
        <v>4</v>
      </c>
      <c r="AC397" s="914">
        <v>12</v>
      </c>
      <c r="AD397" s="912">
        <f t="shared" ca="1" si="189"/>
        <v>36400</v>
      </c>
      <c r="AE397" s="512">
        <f t="shared" ca="1" si="190"/>
        <v>0</v>
      </c>
      <c r="AF397" s="512">
        <f t="shared" ca="1" si="191"/>
        <v>0</v>
      </c>
      <c r="AG397" s="512">
        <f t="shared" ca="1" si="192"/>
        <v>0</v>
      </c>
      <c r="AH397" s="512">
        <f t="shared" ca="1" si="193"/>
        <v>0</v>
      </c>
      <c r="AI397" s="512">
        <f t="shared" ca="1" si="194"/>
        <v>0</v>
      </c>
      <c r="AJ397" s="512">
        <f t="shared" ca="1" si="195"/>
        <v>0</v>
      </c>
      <c r="AK397" s="512">
        <f t="shared" ca="1" si="196"/>
        <v>0</v>
      </c>
      <c r="AL397" s="512">
        <f t="shared" ca="1" si="197"/>
        <v>0</v>
      </c>
      <c r="AM397" s="512">
        <f t="shared" ca="1" si="198"/>
        <v>9100</v>
      </c>
      <c r="AN397" s="512">
        <f t="shared" ca="1" si="199"/>
        <v>9100</v>
      </c>
      <c r="AO397" s="512">
        <f t="shared" ca="1" si="200"/>
        <v>9100</v>
      </c>
      <c r="AP397" s="512">
        <f t="shared" ca="1" si="201"/>
        <v>9100</v>
      </c>
      <c r="AQ397" s="512" t="str">
        <f t="shared" si="202"/>
        <v/>
      </c>
      <c r="AR397" s="512"/>
      <c r="AS397" s="512" t="str">
        <f t="shared" si="203"/>
        <v/>
      </c>
      <c r="AT397" s="151">
        <f t="shared" si="204"/>
        <v>0</v>
      </c>
      <c r="AU397" s="151">
        <f>IFERROR(VLOOKUP(A397,'[7]TD CuentasBDG'!$N$5:$O$21,2,0),0)</f>
        <v>0</v>
      </c>
      <c r="AV397">
        <f t="shared" si="205"/>
        <v>0</v>
      </c>
    </row>
    <row r="398" spans="1:50" ht="30" x14ac:dyDescent="0.25">
      <c r="A398" s="508" t="s">
        <v>2253</v>
      </c>
      <c r="B398" s="508" t="s">
        <v>197</v>
      </c>
      <c r="C398" s="508" t="s">
        <v>146</v>
      </c>
      <c r="D398" s="508" t="s">
        <v>146</v>
      </c>
      <c r="E398" s="508"/>
      <c r="F398" s="508"/>
      <c r="G398" s="508" t="s">
        <v>1752</v>
      </c>
      <c r="H398" s="508"/>
      <c r="I398" s="508"/>
      <c r="J398" s="555"/>
      <c r="K398" s="555"/>
      <c r="L398" s="911">
        <f ca="1">IFERROR(INDEX(Lists!$O$2:$Z$2,MATCH(TRUE,INDEX((AE398:AP398&lt;&gt;0),0),0)),DATE(2018,1,1))</f>
        <v>43344</v>
      </c>
      <c r="M398" s="911">
        <f ca="1">IFERROR(INDEX(Lists!$O$3:$Z$3, VALUE(SUBSTITUTE(TEXT(ADDRESS(SUMPRODUCT(MAX((COLUMN(AE398:AP398)*(AE398:AP398&gt;0)))),1),),"$A$",""))-30),DATE(2018,1,1))</f>
        <v>43465</v>
      </c>
      <c r="N398" s="508"/>
      <c r="O398" s="508"/>
      <c r="P398" s="508"/>
      <c r="Q398" s="508"/>
      <c r="R398" s="508" t="str">
        <f t="shared" ca="1" si="178"/>
        <v xml:space="preserve">Band 10 Geo (Sen. Geochemist) </v>
      </c>
      <c r="S398" s="508">
        <f t="shared" ca="1" si="179"/>
        <v>0</v>
      </c>
      <c r="T398" s="508">
        <f t="shared" ca="1" si="180"/>
        <v>0</v>
      </c>
      <c r="U398" s="508" t="str">
        <f t="shared" ca="1" si="181"/>
        <v>687 / 51-11-3052</v>
      </c>
      <c r="V398" s="508">
        <f t="shared" ca="1" si="182"/>
        <v>0</v>
      </c>
      <c r="W398" s="508">
        <f t="shared" ca="1" si="183"/>
        <v>0</v>
      </c>
      <c r="X398" s="508">
        <f t="shared" ca="1" si="184"/>
        <v>0</v>
      </c>
      <c r="Y398" s="508">
        <f t="shared" ca="1" si="185"/>
        <v>0</v>
      </c>
      <c r="Z398" s="508">
        <f t="shared" ca="1" si="186"/>
        <v>0</v>
      </c>
      <c r="AA398" s="508">
        <f t="shared" ca="1" si="187"/>
        <v>0</v>
      </c>
      <c r="AB398" s="508">
        <f t="shared" ca="1" si="177"/>
        <v>4</v>
      </c>
      <c r="AC398" s="914">
        <v>12</v>
      </c>
      <c r="AD398" s="912">
        <f t="shared" ca="1" si="189"/>
        <v>36400</v>
      </c>
      <c r="AE398" s="512">
        <f t="shared" ca="1" si="190"/>
        <v>0</v>
      </c>
      <c r="AF398" s="512">
        <f t="shared" ca="1" si="191"/>
        <v>0</v>
      </c>
      <c r="AG398" s="512">
        <f t="shared" ca="1" si="192"/>
        <v>0</v>
      </c>
      <c r="AH398" s="512">
        <f t="shared" ca="1" si="193"/>
        <v>0</v>
      </c>
      <c r="AI398" s="512">
        <f t="shared" ca="1" si="194"/>
        <v>0</v>
      </c>
      <c r="AJ398" s="512">
        <f t="shared" ca="1" si="195"/>
        <v>0</v>
      </c>
      <c r="AK398" s="512">
        <f t="shared" ca="1" si="196"/>
        <v>0</v>
      </c>
      <c r="AL398" s="512">
        <f t="shared" ca="1" si="197"/>
        <v>0</v>
      </c>
      <c r="AM398" s="512">
        <f t="shared" ca="1" si="198"/>
        <v>9100</v>
      </c>
      <c r="AN398" s="512">
        <f t="shared" ca="1" si="199"/>
        <v>9100</v>
      </c>
      <c r="AO398" s="512">
        <f t="shared" ca="1" si="200"/>
        <v>9100</v>
      </c>
      <c r="AP398" s="512">
        <f t="shared" ca="1" si="201"/>
        <v>9100</v>
      </c>
      <c r="AQ398" s="512" t="str">
        <f t="shared" si="202"/>
        <v/>
      </c>
      <c r="AR398" s="512"/>
      <c r="AS398" s="512" t="str">
        <f t="shared" si="203"/>
        <v/>
      </c>
      <c r="AT398" s="151">
        <f t="shared" si="204"/>
        <v>0</v>
      </c>
      <c r="AU398" s="151">
        <f>IFERROR(VLOOKUP(A398,'[7]TD CuentasBDG'!$N$5:$O$21,2,0),0)</f>
        <v>0</v>
      </c>
      <c r="AV398">
        <f t="shared" si="205"/>
        <v>0</v>
      </c>
    </row>
    <row r="399" spans="1:50" ht="30" x14ac:dyDescent="0.25">
      <c r="A399" s="508" t="s">
        <v>2254</v>
      </c>
      <c r="B399" s="508" t="s">
        <v>197</v>
      </c>
      <c r="C399" s="508" t="s">
        <v>146</v>
      </c>
      <c r="D399" s="508" t="s">
        <v>146</v>
      </c>
      <c r="E399" s="508"/>
      <c r="F399" s="508"/>
      <c r="G399" s="915" t="s">
        <v>1752</v>
      </c>
      <c r="H399" s="508" t="s">
        <v>1615</v>
      </c>
      <c r="I399" s="508" t="s">
        <v>1615</v>
      </c>
      <c r="J399" s="555" t="s">
        <v>1650</v>
      </c>
      <c r="K399" s="555" t="s">
        <v>1651</v>
      </c>
      <c r="L399" s="911">
        <f ca="1">IFERROR(INDEX(Lists!$O$2:$Z$2,MATCH(TRUE,INDEX((AE399:AP399&lt;&gt;0),0),0)),DATE(2018,1,1))</f>
        <v>43132</v>
      </c>
      <c r="M399" s="911">
        <f ca="1">IFERROR(INDEX(Lists!$O$3:$Z$3, VALUE(SUBSTITUTE(TEXT(ADDRESS(SUMPRODUCT(MAX((COLUMN(AE399:AP399)*(AE399:AP399&gt;0)))),1),),"$A$",""))-30),DATE(2018,1,1))</f>
        <v>43465</v>
      </c>
      <c r="N399" s="508" t="s">
        <v>1683</v>
      </c>
      <c r="O399" s="508" t="s">
        <v>1653</v>
      </c>
      <c r="P399" s="508" t="s">
        <v>1071</v>
      </c>
      <c r="Q399" s="508" t="s">
        <v>1071</v>
      </c>
      <c r="R399" s="508" t="str">
        <f t="shared" ca="1" si="178"/>
        <v xml:space="preserve">Geology and Resource Model </v>
      </c>
      <c r="S399" s="508">
        <f t="shared" ca="1" si="179"/>
        <v>0</v>
      </c>
      <c r="T399" s="508">
        <f t="shared" ca="1" si="180"/>
        <v>0</v>
      </c>
      <c r="U399" s="508">
        <f t="shared" ca="1" si="181"/>
        <v>0</v>
      </c>
      <c r="V399" s="508">
        <f t="shared" ca="1" si="182"/>
        <v>0</v>
      </c>
      <c r="W399" s="508" t="str">
        <f t="shared" ca="1" si="183"/>
        <v>Javier Miranda (TECK)</v>
      </c>
      <c r="X399" s="508">
        <f t="shared" ca="1" si="184"/>
        <v>0</v>
      </c>
      <c r="Y399" s="508">
        <f t="shared" ca="1" si="185"/>
        <v>0</v>
      </c>
      <c r="Z399" s="508">
        <f t="shared" ca="1" si="186"/>
        <v>0</v>
      </c>
      <c r="AA399" s="508">
        <f t="shared" ca="1" si="187"/>
        <v>0</v>
      </c>
      <c r="AB399" s="508">
        <f t="shared" ca="1" si="177"/>
        <v>11</v>
      </c>
      <c r="AC399" s="508">
        <f t="shared" ca="1" si="188"/>
        <v>0</v>
      </c>
      <c r="AD399" s="912">
        <f t="shared" ca="1" si="189"/>
        <v>426000</v>
      </c>
      <c r="AE399" s="512">
        <f t="shared" ca="1" si="190"/>
        <v>0</v>
      </c>
      <c r="AF399" s="512">
        <f t="shared" ca="1" si="191"/>
        <v>71000</v>
      </c>
      <c r="AG399" s="512">
        <f t="shared" ca="1" si="192"/>
        <v>35500</v>
      </c>
      <c r="AH399" s="512">
        <f t="shared" ca="1" si="193"/>
        <v>35500</v>
      </c>
      <c r="AI399" s="512">
        <f t="shared" ca="1" si="194"/>
        <v>35500</v>
      </c>
      <c r="AJ399" s="512">
        <f t="shared" ca="1" si="195"/>
        <v>35500</v>
      </c>
      <c r="AK399" s="512">
        <f t="shared" ca="1" si="196"/>
        <v>35500</v>
      </c>
      <c r="AL399" s="512">
        <f t="shared" ca="1" si="197"/>
        <v>35500</v>
      </c>
      <c r="AM399" s="512">
        <f t="shared" ca="1" si="198"/>
        <v>35500</v>
      </c>
      <c r="AN399" s="512">
        <f t="shared" ca="1" si="199"/>
        <v>35500</v>
      </c>
      <c r="AO399" s="512">
        <f t="shared" ca="1" si="200"/>
        <v>35500</v>
      </c>
      <c r="AP399" s="512">
        <f t="shared" ca="1" si="201"/>
        <v>35500</v>
      </c>
      <c r="AQ399" s="512"/>
      <c r="AR399" s="512"/>
      <c r="AS399" s="512"/>
      <c r="AT399" s="151">
        <f t="shared" si="204"/>
        <v>0</v>
      </c>
      <c r="AU399" s="151">
        <f>IFERROR(VLOOKUP(A399,'[7]TD CuentasBDG'!$N$5:$O$21,2,0),0)</f>
        <v>0</v>
      </c>
      <c r="AV399" t="str">
        <f t="shared" si="205"/>
        <v>Adjudicación Directa</v>
      </c>
      <c r="AW399" t="s">
        <v>2053</v>
      </c>
      <c r="AX399" t="s">
        <v>1655</v>
      </c>
    </row>
    <row r="400" spans="1:50" ht="153" customHeight="1" x14ac:dyDescent="0.25">
      <c r="A400" s="508" t="s">
        <v>2255</v>
      </c>
      <c r="B400" s="508" t="s">
        <v>197</v>
      </c>
      <c r="C400" s="508" t="s">
        <v>149</v>
      </c>
      <c r="D400" s="508" t="s">
        <v>149</v>
      </c>
      <c r="E400" s="508" t="s">
        <v>2256</v>
      </c>
      <c r="F400" s="508" t="s">
        <v>1674</v>
      </c>
      <c r="G400" s="508" t="s">
        <v>1647</v>
      </c>
      <c r="H400" s="508" t="s">
        <v>625</v>
      </c>
      <c r="I400" s="508" t="s">
        <v>2257</v>
      </c>
      <c r="J400" s="555" t="s">
        <v>1650</v>
      </c>
      <c r="K400" s="555" t="s">
        <v>1651</v>
      </c>
      <c r="L400" s="911">
        <f ca="1">IFERROR(INDEX(Lists!$O$2:$Z$2,MATCH(TRUE,INDEX((AE400:AP400&lt;&gt;0),0),0)),DATE(2018,1,1))</f>
        <v>43102</v>
      </c>
      <c r="M400" s="911">
        <f ca="1">IFERROR(INDEX(Lists!$O$3:$Z$3, VALUE(SUBSTITUTE(TEXT(ADDRESS(SUMPRODUCT(MAX((COLUMN(AE400:AP400)*(AE400:AP400&gt;0)))),1),),"$A$",""))-30),DATE(2018,1,1))</f>
        <v>43251</v>
      </c>
      <c r="N400" s="914" t="s">
        <v>1928</v>
      </c>
      <c r="O400" s="508" t="s">
        <v>1653</v>
      </c>
      <c r="P400" s="508" t="s">
        <v>1071</v>
      </c>
      <c r="Q400" s="508" t="s">
        <v>1676</v>
      </c>
      <c r="R400" s="508" t="str">
        <f t="shared" ca="1" si="178"/>
        <v>Geotechnical Services</v>
      </c>
      <c r="S400" s="508" t="str">
        <f t="shared" ca="1" si="179"/>
        <v>Geotechnical Services</v>
      </c>
      <c r="T400" s="508" t="str">
        <f t="shared" ca="1" si="180"/>
        <v>Complete current contract for Piteau - Scope includes open pit and waste dumps, and water management.
Actual proposal and contract for 2017, delayed until 2018</v>
      </c>
      <c r="U400" s="508" t="str">
        <f t="shared" ca="1" si="181"/>
        <v>687 / 51-11-3363</v>
      </c>
      <c r="V400" s="508" t="str">
        <f t="shared" ca="1" si="182"/>
        <v>Active Ct</v>
      </c>
      <c r="W400" s="508" t="str">
        <f t="shared" ca="1" si="183"/>
        <v>Piteau</v>
      </c>
      <c r="X400" s="508" t="str">
        <f t="shared" ca="1" si="184"/>
        <v>Ene</v>
      </c>
      <c r="Y400" s="508" t="str">
        <f t="shared" ca="1" si="185"/>
        <v>Ene</v>
      </c>
      <c r="Z400" s="508" t="str">
        <f t="shared" ca="1" si="186"/>
        <v>Ene</v>
      </c>
      <c r="AA400" s="508" t="str">
        <f t="shared" ca="1" si="187"/>
        <v>Ene</v>
      </c>
      <c r="AB400" s="508">
        <f t="shared" ca="1" si="177"/>
        <v>5</v>
      </c>
      <c r="AC400" s="508">
        <f t="shared" ca="1" si="188"/>
        <v>0</v>
      </c>
      <c r="AD400" s="912">
        <f t="shared" ca="1" si="189"/>
        <v>448679</v>
      </c>
      <c r="AE400" s="512">
        <f t="shared" ca="1" si="190"/>
        <v>86457</v>
      </c>
      <c r="AF400" s="512">
        <f t="shared" ca="1" si="191"/>
        <v>86457</v>
      </c>
      <c r="AG400" s="512">
        <f t="shared" ca="1" si="192"/>
        <v>88232.5</v>
      </c>
      <c r="AH400" s="512">
        <f t="shared" ca="1" si="193"/>
        <v>88232.5</v>
      </c>
      <c r="AI400" s="512">
        <f t="shared" ca="1" si="194"/>
        <v>99300</v>
      </c>
      <c r="AJ400" s="512">
        <f t="shared" ca="1" si="195"/>
        <v>0</v>
      </c>
      <c r="AK400" s="512">
        <f t="shared" ca="1" si="196"/>
        <v>0</v>
      </c>
      <c r="AL400" s="512">
        <f t="shared" ca="1" si="197"/>
        <v>0</v>
      </c>
      <c r="AM400" s="512">
        <f t="shared" ca="1" si="198"/>
        <v>0</v>
      </c>
      <c r="AN400" s="512">
        <f t="shared" ca="1" si="199"/>
        <v>0</v>
      </c>
      <c r="AO400" s="512">
        <f t="shared" ca="1" si="200"/>
        <v>0</v>
      </c>
      <c r="AP400" s="512">
        <f t="shared" ca="1" si="201"/>
        <v>0</v>
      </c>
      <c r="AQ400" s="512" t="str">
        <f t="shared" ca="1" si="202"/>
        <v>Contrato</v>
      </c>
      <c r="AR400" s="512"/>
      <c r="AS400" s="512" t="str">
        <f t="shared" ca="1" si="203"/>
        <v>No</v>
      </c>
      <c r="AT400" s="151">
        <f t="shared" ca="1" si="204"/>
        <v>448679</v>
      </c>
      <c r="AU400" s="151">
        <f>IFERROR(VLOOKUP(A400,'[7]TD CuentasBDG'!$N$5:$O$21,2,0),0)</f>
        <v>300000</v>
      </c>
      <c r="AV400" t="str">
        <f t="shared" si="205"/>
        <v>Contrato Activo</v>
      </c>
      <c r="AW400" t="s">
        <v>2053</v>
      </c>
      <c r="AX400" s="929" t="s">
        <v>1655</v>
      </c>
    </row>
    <row r="401" spans="1:50" ht="120" x14ac:dyDescent="0.25">
      <c r="A401" s="508" t="s">
        <v>2258</v>
      </c>
      <c r="B401" s="508" t="s">
        <v>197</v>
      </c>
      <c r="C401" s="508" t="s">
        <v>149</v>
      </c>
      <c r="D401" s="508" t="s">
        <v>149</v>
      </c>
      <c r="E401" s="508"/>
      <c r="F401" s="508"/>
      <c r="G401" s="508" t="s">
        <v>1647</v>
      </c>
      <c r="H401" s="508" t="s">
        <v>628</v>
      </c>
      <c r="I401" s="508" t="s">
        <v>2259</v>
      </c>
      <c r="J401" s="555" t="s">
        <v>1650</v>
      </c>
      <c r="K401" s="555" t="s">
        <v>1651</v>
      </c>
      <c r="L401" s="911">
        <f ca="1">IFERROR(INDEX(Lists!$O$2:$Z$2,MATCH(TRUE,INDEX((AE401:AP401&lt;&gt;0),0),0)),DATE(2018,1,1))</f>
        <v>43101</v>
      </c>
      <c r="M401" s="911">
        <f ca="1">IFERROR(INDEX(Lists!$O$3:$Z$3, VALUE(SUBSTITUTE(TEXT(ADDRESS(SUMPRODUCT(MAX((COLUMN(AE401:AP401)*(AE401:AP401&gt;0)))),1),),"$A$",""))-30),DATE(2018,1,1))</f>
        <v>43101</v>
      </c>
      <c r="N401" s="508" t="s">
        <v>1652</v>
      </c>
      <c r="O401" s="508" t="s">
        <v>1653</v>
      </c>
      <c r="P401" s="508" t="s">
        <v>1676</v>
      </c>
      <c r="Q401" s="508" t="s">
        <v>1676</v>
      </c>
      <c r="R401" s="508" t="str">
        <f t="shared" ca="1" si="178"/>
        <v>Drilling</v>
      </c>
      <c r="S401" s="508" t="str">
        <f t="shared" ca="1" si="179"/>
        <v>Drilling Campaign @ Relincho</v>
      </c>
      <c r="T401" s="508" t="str">
        <f t="shared" ca="1" si="180"/>
        <v>Drilling 2018 open pit to fill in data gaps and respond to the GRP comments.
Assume 4200 m - or 6 holes at 700 m each.  Drilling to start in July.  One drill rig working at 30 m / day = 140 day.  Use current drill rates. $300/m (CHECK)</v>
      </c>
      <c r="U401" s="508" t="str">
        <f t="shared" ca="1" si="181"/>
        <v>687 / 51-11-3363</v>
      </c>
      <c r="V401" s="508">
        <f t="shared" ca="1" si="182"/>
        <v>0</v>
      </c>
      <c r="W401" s="508" t="str">
        <f t="shared" ca="1" si="183"/>
        <v>Griffith</v>
      </c>
      <c r="X401" s="508" t="str">
        <f t="shared" ca="1" si="184"/>
        <v>Feb</v>
      </c>
      <c r="Y401" s="508" t="str">
        <f t="shared" ca="1" si="185"/>
        <v>Feb</v>
      </c>
      <c r="Z401" s="508" t="str">
        <f t="shared" ca="1" si="186"/>
        <v>May</v>
      </c>
      <c r="AA401" s="508" t="str">
        <f t="shared" ca="1" si="187"/>
        <v>Jul</v>
      </c>
      <c r="AB401" s="508">
        <f t="shared" ca="1" si="177"/>
        <v>1</v>
      </c>
      <c r="AC401" s="508">
        <f t="shared" ca="1" si="188"/>
        <v>0</v>
      </c>
      <c r="AD401" s="912">
        <f t="shared" ca="1" si="189"/>
        <v>0</v>
      </c>
      <c r="AE401" s="512">
        <f t="shared" ca="1" si="190"/>
        <v>0</v>
      </c>
      <c r="AF401" s="512">
        <f t="shared" ca="1" si="191"/>
        <v>0</v>
      </c>
      <c r="AG401" s="512">
        <f t="shared" ca="1" si="192"/>
        <v>0</v>
      </c>
      <c r="AH401" s="512">
        <f t="shared" ca="1" si="193"/>
        <v>0</v>
      </c>
      <c r="AI401" s="512">
        <f t="shared" ca="1" si="194"/>
        <v>0</v>
      </c>
      <c r="AJ401" s="512">
        <f t="shared" ca="1" si="195"/>
        <v>0</v>
      </c>
      <c r="AK401" s="512">
        <f t="shared" ca="1" si="196"/>
        <v>0</v>
      </c>
      <c r="AL401" s="512">
        <f t="shared" ca="1" si="197"/>
        <v>0</v>
      </c>
      <c r="AM401" s="512">
        <f t="shared" ca="1" si="198"/>
        <v>0</v>
      </c>
      <c r="AN401" s="512">
        <f t="shared" ca="1" si="199"/>
        <v>0</v>
      </c>
      <c r="AO401" s="512">
        <f t="shared" ca="1" si="200"/>
        <v>0</v>
      </c>
      <c r="AP401" s="512">
        <f t="shared" ca="1" si="201"/>
        <v>0</v>
      </c>
      <c r="AQ401" s="512" t="str">
        <f t="shared" ca="1" si="202"/>
        <v>Orden de Servicio Con Terreno</v>
      </c>
      <c r="AR401" s="512"/>
      <c r="AS401" s="512" t="str">
        <f t="shared" ca="1" si="203"/>
        <v>No</v>
      </c>
      <c r="AT401" s="151">
        <f t="shared" ca="1" si="204"/>
        <v>0</v>
      </c>
      <c r="AU401" s="151">
        <f>IFERROR(VLOOKUP(A401,'[7]TD CuentasBDG'!$N$5:$O$21,2,0),0)</f>
        <v>0</v>
      </c>
      <c r="AV401" t="str">
        <f t="shared" si="205"/>
        <v>Renovación de Contrato</v>
      </c>
      <c r="AW401" t="s">
        <v>2060</v>
      </c>
      <c r="AX401" t="s">
        <v>2202</v>
      </c>
    </row>
    <row r="402" spans="1:50" ht="45" customHeight="1" x14ac:dyDescent="0.25">
      <c r="A402" s="508" t="s">
        <v>2260</v>
      </c>
      <c r="B402" s="508" t="s">
        <v>197</v>
      </c>
      <c r="C402" s="508" t="s">
        <v>149</v>
      </c>
      <c r="D402" s="508" t="s">
        <v>149</v>
      </c>
      <c r="E402" s="508"/>
      <c r="F402" s="508"/>
      <c r="G402" s="508" t="s">
        <v>1647</v>
      </c>
      <c r="H402" s="508" t="s">
        <v>625</v>
      </c>
      <c r="I402" s="508" t="s">
        <v>2261</v>
      </c>
      <c r="J402" s="555" t="s">
        <v>1650</v>
      </c>
      <c r="K402" s="555" t="s">
        <v>1651</v>
      </c>
      <c r="L402" s="911">
        <f ca="1">IFERROR(INDEX(Lists!$O$2:$Z$2,MATCH(TRUE,INDEX((AE402:AP402&lt;&gt;0),0),0)),DATE(2018,1,1))</f>
        <v>43101</v>
      </c>
      <c r="M402" s="911">
        <f ca="1">IFERROR(INDEX(Lists!$O$3:$Z$3, VALUE(SUBSTITUTE(TEXT(ADDRESS(SUMPRODUCT(MAX((COLUMN(AE402:AP402)*(AE402:AP402&gt;0)))),1),),"$A$",""))-30),DATE(2018,1,1))</f>
        <v>43101</v>
      </c>
      <c r="N402" s="508" t="s">
        <v>1683</v>
      </c>
      <c r="O402" s="508" t="s">
        <v>1653</v>
      </c>
      <c r="P402" s="508" t="s">
        <v>1071</v>
      </c>
      <c r="Q402" s="508" t="s">
        <v>1676</v>
      </c>
      <c r="R402" s="508" t="str">
        <f t="shared" ca="1" si="178"/>
        <v>Laboratory Testing</v>
      </c>
      <c r="S402" s="508" t="str">
        <f t="shared" ca="1" si="179"/>
        <v>Laboratory testing @ Relincho</v>
      </c>
      <c r="T402" s="508" t="str">
        <f t="shared" ca="1" si="180"/>
        <v>Laboratory testing of rock samples to respond to GRP comments.
Assume $60,000 for laboratory testing of rockfill samples</v>
      </c>
      <c r="U402" s="508" t="str">
        <f t="shared" ca="1" si="181"/>
        <v>687 / 51-11-3363</v>
      </c>
      <c r="V402" s="508">
        <f t="shared" ca="1" si="182"/>
        <v>0</v>
      </c>
      <c r="W402" s="508" t="str">
        <f t="shared" ca="1" si="183"/>
        <v>TBD</v>
      </c>
      <c r="X402" s="508" t="str">
        <f t="shared" ca="1" si="184"/>
        <v>Feb</v>
      </c>
      <c r="Y402" s="508" t="str">
        <f t="shared" ca="1" si="185"/>
        <v>Feb</v>
      </c>
      <c r="Z402" s="508" t="str">
        <f t="shared" ca="1" si="186"/>
        <v>May</v>
      </c>
      <c r="AA402" s="508" t="str">
        <f t="shared" ca="1" si="187"/>
        <v>Ago</v>
      </c>
      <c r="AB402" s="508">
        <f t="shared" ca="1" si="177"/>
        <v>1</v>
      </c>
      <c r="AC402" s="508">
        <f t="shared" ca="1" si="188"/>
        <v>0</v>
      </c>
      <c r="AD402" s="912">
        <f t="shared" ca="1" si="189"/>
        <v>0</v>
      </c>
      <c r="AE402" s="512">
        <f t="shared" ca="1" si="190"/>
        <v>0</v>
      </c>
      <c r="AF402" s="512">
        <f t="shared" ca="1" si="191"/>
        <v>0</v>
      </c>
      <c r="AG402" s="512">
        <f t="shared" ca="1" si="192"/>
        <v>0</v>
      </c>
      <c r="AH402" s="512">
        <f t="shared" ca="1" si="193"/>
        <v>0</v>
      </c>
      <c r="AI402" s="512">
        <f t="shared" ca="1" si="194"/>
        <v>0</v>
      </c>
      <c r="AJ402" s="512">
        <f t="shared" ca="1" si="195"/>
        <v>0</v>
      </c>
      <c r="AK402" s="512">
        <f t="shared" ca="1" si="196"/>
        <v>0</v>
      </c>
      <c r="AL402" s="512">
        <f t="shared" ca="1" si="197"/>
        <v>0</v>
      </c>
      <c r="AM402" s="512">
        <f t="shared" ca="1" si="198"/>
        <v>0</v>
      </c>
      <c r="AN402" s="512">
        <f t="shared" ca="1" si="199"/>
        <v>0</v>
      </c>
      <c r="AO402" s="512">
        <f t="shared" ca="1" si="200"/>
        <v>0</v>
      </c>
      <c r="AP402" s="512">
        <f t="shared" ca="1" si="201"/>
        <v>0</v>
      </c>
      <c r="AQ402" s="512" t="str">
        <f t="shared" ca="1" si="202"/>
        <v>Orden de Servicio Con Terreno</v>
      </c>
      <c r="AR402" s="512"/>
      <c r="AS402" s="512" t="str">
        <f t="shared" ca="1" si="203"/>
        <v>No</v>
      </c>
      <c r="AT402" s="151">
        <f t="shared" ca="1" si="204"/>
        <v>0</v>
      </c>
      <c r="AU402" s="151">
        <f>IFERROR(VLOOKUP(A402,'[7]TD CuentasBDG'!$N$5:$O$21,2,0),0)</f>
        <v>0</v>
      </c>
      <c r="AV402" t="str">
        <f t="shared" si="205"/>
        <v>Adjudicación Directa</v>
      </c>
      <c r="AW402" t="s">
        <v>2100</v>
      </c>
      <c r="AX402" t="s">
        <v>2202</v>
      </c>
    </row>
    <row r="403" spans="1:50" ht="180" x14ac:dyDescent="0.25">
      <c r="A403" s="508" t="s">
        <v>2262</v>
      </c>
      <c r="B403" s="508" t="s">
        <v>197</v>
      </c>
      <c r="C403" s="508" t="s">
        <v>149</v>
      </c>
      <c r="D403" s="508" t="s">
        <v>149</v>
      </c>
      <c r="E403" s="508"/>
      <c r="F403" s="508"/>
      <c r="G403" s="508" t="s">
        <v>1647</v>
      </c>
      <c r="H403" s="508" t="s">
        <v>634</v>
      </c>
      <c r="I403" s="508" t="s">
        <v>2261</v>
      </c>
      <c r="J403" s="555" t="s">
        <v>1650</v>
      </c>
      <c r="K403" s="555" t="s">
        <v>1651</v>
      </c>
      <c r="L403" s="911">
        <f ca="1">IFERROR(INDEX(Lists!$O$2:$Z$2,MATCH(TRUE,INDEX((AE403:AP403&lt;&gt;0),0),0)),DATE(2018,1,1))</f>
        <v>43132</v>
      </c>
      <c r="M403" s="911">
        <f ca="1">IFERROR(INDEX(Lists!$O$3:$Z$3, VALUE(SUBSTITUTE(TEXT(ADDRESS(SUMPRODUCT(MAX((COLUMN(AE403:AP403)*(AE403:AP403&gt;0)))),1),),"$A$",""))-30),DATE(2018,1,1))</f>
        <v>43434</v>
      </c>
      <c r="N403" s="508" t="s">
        <v>1668</v>
      </c>
      <c r="O403" s="508" t="s">
        <v>1653</v>
      </c>
      <c r="P403" s="508" t="s">
        <v>1071</v>
      </c>
      <c r="Q403" s="508" t="s">
        <v>1676</v>
      </c>
      <c r="R403" s="508" t="str">
        <f t="shared" ca="1" si="178"/>
        <v>Geotechnical Services</v>
      </c>
      <c r="S403" s="508" t="str">
        <f t="shared" ca="1" si="179"/>
        <v>Consulting services @ Rellincho</v>
      </c>
      <c r="T403" s="508" t="str">
        <f t="shared" ca="1" si="180"/>
        <v xml:space="preserve">Consulting services for Geotechnical Evaluation and hydrogeology - Looking to optimize the design of the oepn pit and steepen up pit walls.
Consulting services to optimize the geotechnical design for the open pit.  Will supervise the drilling and then work to update the geotechnical model.  Will extend into 2019. Drill supervision begins in </v>
      </c>
      <c r="U403" s="508" t="str">
        <f t="shared" ca="1" si="181"/>
        <v>687 / 51-11-3363</v>
      </c>
      <c r="V403" s="508">
        <f t="shared" ca="1" si="182"/>
        <v>0</v>
      </c>
      <c r="W403" s="508" t="str">
        <f t="shared" ca="1" si="183"/>
        <v>Piteau, SRK, Golder</v>
      </c>
      <c r="X403" s="508" t="str">
        <f t="shared" ca="1" si="184"/>
        <v>Ene</v>
      </c>
      <c r="Y403" s="508" t="str">
        <f t="shared" ca="1" si="185"/>
        <v>Ene</v>
      </c>
      <c r="Z403" s="508" t="str">
        <f t="shared" ca="1" si="186"/>
        <v>Abr</v>
      </c>
      <c r="AA403" s="508" t="str">
        <f t="shared" ca="1" si="187"/>
        <v>Jun</v>
      </c>
      <c r="AB403" s="508">
        <f t="shared" ca="1" si="177"/>
        <v>10</v>
      </c>
      <c r="AC403" s="508">
        <f t="shared" ca="1" si="188"/>
        <v>0</v>
      </c>
      <c r="AD403" s="912">
        <f t="shared" ca="1" si="189"/>
        <v>200000</v>
      </c>
      <c r="AE403" s="512">
        <f t="shared" ca="1" si="190"/>
        <v>0</v>
      </c>
      <c r="AF403" s="512">
        <f t="shared" ca="1" si="191"/>
        <v>20000</v>
      </c>
      <c r="AG403" s="512">
        <f t="shared" ca="1" si="192"/>
        <v>20000</v>
      </c>
      <c r="AH403" s="512">
        <f t="shared" ca="1" si="193"/>
        <v>20000</v>
      </c>
      <c r="AI403" s="512">
        <f t="shared" ca="1" si="194"/>
        <v>20000</v>
      </c>
      <c r="AJ403" s="512">
        <f t="shared" ca="1" si="195"/>
        <v>20000</v>
      </c>
      <c r="AK403" s="512">
        <f t="shared" ca="1" si="196"/>
        <v>20000</v>
      </c>
      <c r="AL403" s="512">
        <f t="shared" ca="1" si="197"/>
        <v>20000</v>
      </c>
      <c r="AM403" s="512">
        <f t="shared" ca="1" si="198"/>
        <v>20000</v>
      </c>
      <c r="AN403" s="512">
        <f t="shared" ca="1" si="199"/>
        <v>20000</v>
      </c>
      <c r="AO403" s="512">
        <f t="shared" ca="1" si="200"/>
        <v>20000</v>
      </c>
      <c r="AP403" s="512">
        <f t="shared" ca="1" si="201"/>
        <v>0</v>
      </c>
      <c r="AQ403" s="512" t="str">
        <f t="shared" ca="1" si="202"/>
        <v>Contrato</v>
      </c>
      <c r="AR403" s="512"/>
      <c r="AS403" s="512" t="str">
        <f t="shared" ca="1" si="203"/>
        <v>No</v>
      </c>
      <c r="AT403" s="151">
        <f t="shared" ca="1" si="204"/>
        <v>200000</v>
      </c>
      <c r="AU403" s="151">
        <f>IFERROR(VLOOKUP(A403,'[7]TD CuentasBDG'!$N$5:$O$21,2,0),0)</f>
        <v>0</v>
      </c>
      <c r="AV403" t="str">
        <f t="shared" ca="1" si="205"/>
        <v>Licitación</v>
      </c>
      <c r="AW403" t="s">
        <v>2053</v>
      </c>
      <c r="AX403" s="929" t="s">
        <v>1655</v>
      </c>
    </row>
    <row r="404" spans="1:50" ht="195" x14ac:dyDescent="0.25">
      <c r="A404" s="508" t="s">
        <v>2263</v>
      </c>
      <c r="B404" s="508" t="s">
        <v>197</v>
      </c>
      <c r="C404" s="508" t="s">
        <v>149</v>
      </c>
      <c r="D404" s="508" t="s">
        <v>149</v>
      </c>
      <c r="E404" s="508"/>
      <c r="F404" s="508"/>
      <c r="G404" s="508" t="s">
        <v>1665</v>
      </c>
      <c r="H404" s="508"/>
      <c r="I404" s="508"/>
      <c r="J404" s="555"/>
      <c r="K404" s="555"/>
      <c r="L404" s="911">
        <f ca="1">IFERROR(INDEX(Lists!$O$2:$Z$2,MATCH(TRUE,INDEX((AE404:AP404&lt;&gt;0),0),0)),DATE(2018,1,1))</f>
        <v>43101</v>
      </c>
      <c r="M404" s="911">
        <f ca="1">IFERROR(INDEX(Lists!$O$3:$Z$3, VALUE(SUBSTITUTE(TEXT(ADDRESS(SUMPRODUCT(MAX((COLUMN(AE404:AP404)*(AE404:AP404&gt;0)))),1),),"$A$",""))-30),DATE(2018,1,1))</f>
        <v>43101</v>
      </c>
      <c r="N404" s="508"/>
      <c r="O404" s="508"/>
      <c r="P404" s="508"/>
      <c r="Q404" s="508"/>
      <c r="R404" s="508" t="str">
        <f t="shared" ca="1" si="178"/>
        <v>Geological Modelling</v>
      </c>
      <c r="S404" s="508" t="str">
        <f t="shared" ca="1" si="179"/>
        <v>Structural Geological Model</v>
      </c>
      <c r="T404" s="508" t="str">
        <f t="shared" ca="1" si="180"/>
        <v>Consulting services for preparation of Structural Geological Model for Open Pit - Needs to done as part of the optimization work
Project needs to update the structural geotechnical model for the Relincho Pit.  Assumes this will be done by a consultant with NuevaUnion help, including mapping data, and old drill data, and new drill data. Assume $30,000/month for 6 months final product.</v>
      </c>
      <c r="U404" s="508" t="str">
        <f t="shared" ca="1" si="181"/>
        <v>687 / 51-11-3363</v>
      </c>
      <c r="V404" s="508">
        <f t="shared" ca="1" si="182"/>
        <v>0</v>
      </c>
      <c r="W404" s="508" t="str">
        <f t="shared" ca="1" si="183"/>
        <v>TBD</v>
      </c>
      <c r="X404" s="508" t="str">
        <f t="shared" ca="1" si="184"/>
        <v>Feb</v>
      </c>
      <c r="Y404" s="508" t="str">
        <f t="shared" ca="1" si="185"/>
        <v>Feb</v>
      </c>
      <c r="Z404" s="508" t="str">
        <f t="shared" ca="1" si="186"/>
        <v>May</v>
      </c>
      <c r="AA404" s="508" t="str">
        <f t="shared" ca="1" si="187"/>
        <v>Jul</v>
      </c>
      <c r="AB404" s="508">
        <f t="shared" ca="1" si="177"/>
        <v>1</v>
      </c>
      <c r="AC404" s="508">
        <f t="shared" ca="1" si="188"/>
        <v>0</v>
      </c>
      <c r="AD404" s="912">
        <f t="shared" ca="1" si="189"/>
        <v>0</v>
      </c>
      <c r="AE404" s="512">
        <f t="shared" ca="1" si="190"/>
        <v>0</v>
      </c>
      <c r="AF404" s="512">
        <f t="shared" ca="1" si="191"/>
        <v>0</v>
      </c>
      <c r="AG404" s="512">
        <f t="shared" ca="1" si="192"/>
        <v>0</v>
      </c>
      <c r="AH404" s="512">
        <f t="shared" ca="1" si="193"/>
        <v>0</v>
      </c>
      <c r="AI404" s="512">
        <f t="shared" ca="1" si="194"/>
        <v>0</v>
      </c>
      <c r="AJ404" s="512">
        <f t="shared" ca="1" si="195"/>
        <v>0</v>
      </c>
      <c r="AK404" s="512">
        <f t="shared" ca="1" si="196"/>
        <v>0</v>
      </c>
      <c r="AL404" s="512">
        <f t="shared" ca="1" si="197"/>
        <v>0</v>
      </c>
      <c r="AM404" s="512">
        <f t="shared" ca="1" si="198"/>
        <v>0</v>
      </c>
      <c r="AN404" s="512">
        <f t="shared" ca="1" si="199"/>
        <v>0</v>
      </c>
      <c r="AO404" s="512">
        <f t="shared" ca="1" si="200"/>
        <v>0</v>
      </c>
      <c r="AP404" s="512">
        <f t="shared" ca="1" si="201"/>
        <v>0</v>
      </c>
      <c r="AQ404" s="512" t="str">
        <f t="shared" si="202"/>
        <v/>
      </c>
      <c r="AR404" s="512"/>
      <c r="AS404" s="512" t="str">
        <f t="shared" si="203"/>
        <v/>
      </c>
      <c r="AT404" s="151">
        <f t="shared" si="204"/>
        <v>0</v>
      </c>
      <c r="AU404" s="151">
        <f>IFERROR(VLOOKUP(A404,'[7]TD CuentasBDG'!$N$5:$O$21,2,0),0)</f>
        <v>0</v>
      </c>
      <c r="AV404">
        <f t="shared" si="205"/>
        <v>0</v>
      </c>
    </row>
    <row r="405" spans="1:50" ht="105" x14ac:dyDescent="0.25">
      <c r="A405" s="508" t="s">
        <v>2264</v>
      </c>
      <c r="B405" s="508" t="s">
        <v>197</v>
      </c>
      <c r="C405" s="508" t="s">
        <v>149</v>
      </c>
      <c r="D405" s="508" t="s">
        <v>149</v>
      </c>
      <c r="E405" s="508"/>
      <c r="F405" s="508"/>
      <c r="G405" s="508" t="s">
        <v>1665</v>
      </c>
      <c r="H405" s="508"/>
      <c r="I405" s="508"/>
      <c r="J405" s="555"/>
      <c r="K405" s="555"/>
      <c r="L405" s="911">
        <f ca="1">IFERROR(INDEX(Lists!$O$2:$Z$2,MATCH(TRUE,INDEX((AE405:AP405&lt;&gt;0),0),0)),DATE(2018,1,1))</f>
        <v>43101</v>
      </c>
      <c r="M405" s="911">
        <f ca="1">IFERROR(INDEX(Lists!$O$3:$Z$3, VALUE(SUBSTITUTE(TEXT(ADDRESS(SUMPRODUCT(MAX((COLUMN(AE405:AP405)*(AE405:AP405&gt;0)))),1),),"$A$",""))-30),DATE(2018,1,1))</f>
        <v>43101</v>
      </c>
      <c r="N405" s="508"/>
      <c r="O405" s="508"/>
      <c r="P405" s="508"/>
      <c r="Q405" s="508"/>
      <c r="R405" s="508" t="str">
        <f t="shared" ca="1" si="178"/>
        <v>Camp</v>
      </c>
      <c r="S405" s="508" t="str">
        <f t="shared" ca="1" si="179"/>
        <v>Lodging for Drillers and Supervision</v>
      </c>
      <c r="T405" s="508" t="str">
        <f t="shared" ca="1" si="180"/>
        <v>Costs for camp all included during drilling for Drillers, Supervision, and ATV-OTV
Confirm daily costs for 14 people - Drill Crew of 10, 2 supervision, 2 ATV-OTV for 140 days.  Assume $25/day/person</v>
      </c>
      <c r="U405" s="508" t="str">
        <f t="shared" ca="1" si="181"/>
        <v>687 / 51-11-3363</v>
      </c>
      <c r="V405" s="508">
        <f t="shared" ca="1" si="182"/>
        <v>0</v>
      </c>
      <c r="W405" s="508" t="str">
        <f t="shared" ca="1" si="183"/>
        <v>Camp</v>
      </c>
      <c r="X405" s="508" t="str">
        <f t="shared" ca="1" si="184"/>
        <v>Feb</v>
      </c>
      <c r="Y405" s="508" t="str">
        <f t="shared" ca="1" si="185"/>
        <v>Feb</v>
      </c>
      <c r="Z405" s="508" t="str">
        <f t="shared" ca="1" si="186"/>
        <v>May</v>
      </c>
      <c r="AA405" s="508" t="str">
        <f t="shared" ca="1" si="187"/>
        <v>Jul</v>
      </c>
      <c r="AB405" s="508">
        <f t="shared" ca="1" si="177"/>
        <v>1</v>
      </c>
      <c r="AC405" s="508">
        <f t="shared" ca="1" si="188"/>
        <v>0</v>
      </c>
      <c r="AD405" s="912">
        <f t="shared" ca="1" si="189"/>
        <v>0</v>
      </c>
      <c r="AE405" s="512">
        <f t="shared" ca="1" si="190"/>
        <v>0</v>
      </c>
      <c r="AF405" s="512">
        <f t="shared" ca="1" si="191"/>
        <v>0</v>
      </c>
      <c r="AG405" s="512">
        <f t="shared" ca="1" si="192"/>
        <v>0</v>
      </c>
      <c r="AH405" s="512">
        <f t="shared" ca="1" si="193"/>
        <v>0</v>
      </c>
      <c r="AI405" s="512">
        <f t="shared" ca="1" si="194"/>
        <v>0</v>
      </c>
      <c r="AJ405" s="512">
        <f t="shared" ca="1" si="195"/>
        <v>0</v>
      </c>
      <c r="AK405" s="512">
        <f t="shared" ca="1" si="196"/>
        <v>0</v>
      </c>
      <c r="AL405" s="512">
        <f t="shared" ca="1" si="197"/>
        <v>0</v>
      </c>
      <c r="AM405" s="512">
        <f t="shared" ca="1" si="198"/>
        <v>0</v>
      </c>
      <c r="AN405" s="512">
        <f t="shared" ca="1" si="199"/>
        <v>0</v>
      </c>
      <c r="AO405" s="512">
        <f t="shared" ca="1" si="200"/>
        <v>0</v>
      </c>
      <c r="AP405" s="512">
        <f t="shared" ca="1" si="201"/>
        <v>0</v>
      </c>
      <c r="AQ405" s="512" t="str">
        <f t="shared" si="202"/>
        <v/>
      </c>
      <c r="AR405" s="512"/>
      <c r="AS405" s="512" t="str">
        <f t="shared" si="203"/>
        <v/>
      </c>
      <c r="AT405" s="151">
        <f t="shared" si="204"/>
        <v>0</v>
      </c>
      <c r="AU405" s="151">
        <f>IFERROR(VLOOKUP(A405,'[7]TD CuentasBDG'!$N$5:$O$21,2,0),0)</f>
        <v>0</v>
      </c>
      <c r="AV405">
        <f t="shared" si="205"/>
        <v>0</v>
      </c>
    </row>
    <row r="406" spans="1:50" ht="45" customHeight="1" x14ac:dyDescent="0.25">
      <c r="A406" s="508" t="s">
        <v>2265</v>
      </c>
      <c r="B406" s="508" t="s">
        <v>197</v>
      </c>
      <c r="C406" s="508" t="s">
        <v>149</v>
      </c>
      <c r="D406" s="508" t="s">
        <v>149</v>
      </c>
      <c r="E406" s="508"/>
      <c r="F406" s="508"/>
      <c r="G406" s="508" t="s">
        <v>1647</v>
      </c>
      <c r="H406" s="508" t="s">
        <v>645</v>
      </c>
      <c r="I406" s="508" t="s">
        <v>2266</v>
      </c>
      <c r="J406" s="555" t="s">
        <v>1650</v>
      </c>
      <c r="K406" s="555" t="s">
        <v>1651</v>
      </c>
      <c r="L406" s="911">
        <f ca="1">IFERROR(INDEX(Lists!$O$2:$Z$2,MATCH(TRUE,INDEX((AE406:AP406&lt;&gt;0),0),0)),DATE(2018,1,1))</f>
        <v>43101</v>
      </c>
      <c r="M406" s="911">
        <f ca="1">IFERROR(INDEX(Lists!$O$3:$Z$3, VALUE(SUBSTITUTE(TEXT(ADDRESS(SUMPRODUCT(MAX((COLUMN(AE406:AP406)*(AE406:AP406&gt;0)))),1),),"$A$",""))-30),DATE(2018,1,1))</f>
        <v>43101</v>
      </c>
      <c r="N406" s="508" t="s">
        <v>1652</v>
      </c>
      <c r="O406" s="508" t="s">
        <v>1653</v>
      </c>
      <c r="P406" s="508" t="s">
        <v>1071</v>
      </c>
      <c r="Q406" s="508" t="s">
        <v>1676</v>
      </c>
      <c r="R406" s="508" t="str">
        <f t="shared" ca="1" si="178"/>
        <v>Optical Televiewers</v>
      </c>
      <c r="S406" s="508" t="str">
        <f t="shared" ca="1" si="179"/>
        <v>Structural core orientation</v>
      </c>
      <c r="T406" s="508" t="str">
        <f t="shared" ca="1" si="180"/>
        <v>Consulting services for core orientations using ATV-OTV methods, caliper, other information during drilling
Use current rates per meter for La Fortuna project for 4200 m - $30/m all included</v>
      </c>
      <c r="U406" s="508" t="str">
        <f t="shared" ca="1" si="181"/>
        <v>687 / 51-11-3363</v>
      </c>
      <c r="V406" s="508">
        <f t="shared" ca="1" si="182"/>
        <v>0</v>
      </c>
      <c r="W406" s="508" t="str">
        <f t="shared" ca="1" si="183"/>
        <v>Comprobe</v>
      </c>
      <c r="X406" s="508" t="str">
        <f t="shared" ca="1" si="184"/>
        <v>Feb</v>
      </c>
      <c r="Y406" s="508" t="str">
        <f t="shared" ca="1" si="185"/>
        <v>Feb</v>
      </c>
      <c r="Z406" s="508" t="str">
        <f t="shared" ca="1" si="186"/>
        <v>Mar</v>
      </c>
      <c r="AA406" s="508" t="str">
        <f t="shared" ca="1" si="187"/>
        <v>Jul</v>
      </c>
      <c r="AB406" s="508">
        <f t="shared" ca="1" si="177"/>
        <v>1</v>
      </c>
      <c r="AC406" s="508">
        <f t="shared" ca="1" si="188"/>
        <v>0</v>
      </c>
      <c r="AD406" s="912">
        <f t="shared" ca="1" si="189"/>
        <v>0</v>
      </c>
      <c r="AE406" s="512">
        <f t="shared" ca="1" si="190"/>
        <v>0</v>
      </c>
      <c r="AF406" s="512">
        <f t="shared" ca="1" si="191"/>
        <v>0</v>
      </c>
      <c r="AG406" s="512">
        <f t="shared" ca="1" si="192"/>
        <v>0</v>
      </c>
      <c r="AH406" s="512">
        <f t="shared" ca="1" si="193"/>
        <v>0</v>
      </c>
      <c r="AI406" s="512">
        <f t="shared" ca="1" si="194"/>
        <v>0</v>
      </c>
      <c r="AJ406" s="512">
        <f t="shared" ca="1" si="195"/>
        <v>0</v>
      </c>
      <c r="AK406" s="512">
        <f t="shared" ca="1" si="196"/>
        <v>0</v>
      </c>
      <c r="AL406" s="512">
        <f t="shared" ca="1" si="197"/>
        <v>0</v>
      </c>
      <c r="AM406" s="512">
        <f t="shared" ca="1" si="198"/>
        <v>0</v>
      </c>
      <c r="AN406" s="512">
        <f t="shared" ca="1" si="199"/>
        <v>0</v>
      </c>
      <c r="AO406" s="512">
        <f t="shared" ca="1" si="200"/>
        <v>0</v>
      </c>
      <c r="AP406" s="512">
        <f t="shared" ca="1" si="201"/>
        <v>0</v>
      </c>
      <c r="AQ406" s="512" t="str">
        <f t="shared" ca="1" si="202"/>
        <v>Orden de Servicio Con Terreno</v>
      </c>
      <c r="AR406" s="512"/>
      <c r="AS406" s="512" t="str">
        <f t="shared" ca="1" si="203"/>
        <v>No</v>
      </c>
      <c r="AT406" s="151">
        <f t="shared" ca="1" si="204"/>
        <v>0</v>
      </c>
      <c r="AU406" s="151">
        <f>IFERROR(VLOOKUP(A406,'[7]TD CuentasBDG'!$N$5:$O$21,2,0),0)</f>
        <v>0</v>
      </c>
      <c r="AV406" t="str">
        <f t="shared" si="205"/>
        <v>Renovación de Contrato</v>
      </c>
      <c r="AW406" t="s">
        <v>1669</v>
      </c>
      <c r="AX406" t="s">
        <v>2202</v>
      </c>
    </row>
    <row r="407" spans="1:50" ht="75" x14ac:dyDescent="0.25">
      <c r="A407" s="508" t="s">
        <v>2267</v>
      </c>
      <c r="B407" s="508" t="s">
        <v>197</v>
      </c>
      <c r="C407" s="508" t="s">
        <v>149</v>
      </c>
      <c r="D407" s="508" t="s">
        <v>149</v>
      </c>
      <c r="E407" s="508" t="s">
        <v>2268</v>
      </c>
      <c r="F407" s="508" t="s">
        <v>1698</v>
      </c>
      <c r="G407" s="508" t="s">
        <v>1647</v>
      </c>
      <c r="H407" s="508" t="s">
        <v>625</v>
      </c>
      <c r="I407" s="508" t="s">
        <v>2266</v>
      </c>
      <c r="J407" s="555" t="s">
        <v>1773</v>
      </c>
      <c r="K407" s="555" t="s">
        <v>1774</v>
      </c>
      <c r="L407" s="911">
        <f ca="1">IFERROR(INDEX(Lists!$O$2:$Z$2,MATCH(TRUE,INDEX((AE407:AP407&lt;&gt;0),0),0)),DATE(2018,1,1))</f>
        <v>43132</v>
      </c>
      <c r="M407" s="911">
        <f ca="1">IFERROR(INDEX(Lists!$O$3:$Z$3, VALUE(SUBSTITUTE(TEXT(ADDRESS(SUMPRODUCT(MAX((COLUMN(AE407:AP407)*(AE407:AP407&gt;0)))),1),),"$A$",""))-30),DATE(2018,1,1))</f>
        <v>43434</v>
      </c>
      <c r="N407" s="508" t="s">
        <v>1928</v>
      </c>
      <c r="O407" s="508" t="s">
        <v>1984</v>
      </c>
      <c r="P407" s="508" t="s">
        <v>1071</v>
      </c>
      <c r="Q407" s="508" t="s">
        <v>1071</v>
      </c>
      <c r="R407" s="508" t="str">
        <f t="shared" ca="1" si="178"/>
        <v>Consulting Services</v>
      </c>
      <c r="S407" s="508" t="str">
        <f t="shared" ca="1" si="179"/>
        <v>Geotechnical Services</v>
      </c>
      <c r="T407" s="508" t="str">
        <f t="shared" ca="1" si="180"/>
        <v>Continuation of existing four contracts for Geotechnical Review Panel members (GRP)
Based on Actual proposal and Existing Contracts</v>
      </c>
      <c r="U407" s="508" t="str">
        <f t="shared" ca="1" si="181"/>
        <v>687 / 51-11-3363</v>
      </c>
      <c r="V407" s="508" t="str">
        <f t="shared" ca="1" si="182"/>
        <v>Active Ct</v>
      </c>
      <c r="W407" s="508" t="str">
        <f t="shared" ca="1" si="183"/>
        <v>DVZ,HmC,MR,GB</v>
      </c>
      <c r="X407" s="508" t="str">
        <f t="shared" ca="1" si="184"/>
        <v>Ene</v>
      </c>
      <c r="Y407" s="508" t="str">
        <f t="shared" ca="1" si="185"/>
        <v>Ene</v>
      </c>
      <c r="Z407" s="508">
        <f t="shared" ca="1" si="186"/>
        <v>0</v>
      </c>
      <c r="AA407" s="508" t="str">
        <f t="shared" ca="1" si="187"/>
        <v>Feb</v>
      </c>
      <c r="AB407" s="508">
        <f t="shared" ca="1" si="177"/>
        <v>10</v>
      </c>
      <c r="AC407" s="508">
        <f t="shared" ca="1" si="188"/>
        <v>0</v>
      </c>
      <c r="AD407" s="912">
        <f t="shared" ca="1" si="189"/>
        <v>297512.0290885733</v>
      </c>
      <c r="AE407" s="512">
        <f t="shared" ca="1" si="190"/>
        <v>0</v>
      </c>
      <c r="AF407" s="512">
        <f t="shared" ca="1" si="191"/>
        <v>148975.15037507741</v>
      </c>
      <c r="AG407" s="512">
        <f t="shared" ca="1" si="192"/>
        <v>0</v>
      </c>
      <c r="AH407" s="512">
        <f t="shared" ca="1" si="193"/>
        <v>18398.735365862984</v>
      </c>
      <c r="AI407" s="512">
        <f t="shared" ca="1" si="194"/>
        <v>0</v>
      </c>
      <c r="AJ407" s="512">
        <f t="shared" ca="1" si="195"/>
        <v>18398.735365862984</v>
      </c>
      <c r="AK407" s="512">
        <f t="shared" ca="1" si="196"/>
        <v>0</v>
      </c>
      <c r="AL407" s="512">
        <f t="shared" ca="1" si="197"/>
        <v>18398.735365862984</v>
      </c>
      <c r="AM407" s="512">
        <f t="shared" ca="1" si="198"/>
        <v>74941.937250043964</v>
      </c>
      <c r="AN407" s="512">
        <f t="shared" ca="1" si="199"/>
        <v>0</v>
      </c>
      <c r="AO407" s="512">
        <f t="shared" ca="1" si="200"/>
        <v>18398.735365862984</v>
      </c>
      <c r="AP407" s="512">
        <f t="shared" ca="1" si="201"/>
        <v>0</v>
      </c>
      <c r="AQ407" s="512" t="str">
        <f t="shared" ca="1" si="202"/>
        <v>Contrato</v>
      </c>
      <c r="AR407" s="512"/>
      <c r="AS407" s="512" t="str">
        <f t="shared" ca="1" si="203"/>
        <v>No</v>
      </c>
      <c r="AT407" s="151">
        <f t="shared" ca="1" si="204"/>
        <v>297512.0290885733</v>
      </c>
      <c r="AU407" s="151">
        <f>IFERROR(VLOOKUP(A407,'[7]TD CuentasBDG'!$N$5:$O$21,2,0),0)</f>
        <v>299788.15191176475</v>
      </c>
      <c r="AV407" t="str">
        <f t="shared" si="205"/>
        <v>Contrato Activo</v>
      </c>
      <c r="AW407" t="s">
        <v>1690</v>
      </c>
      <c r="AX407" s="929" t="s">
        <v>1655</v>
      </c>
    </row>
    <row r="408" spans="1:50" ht="75" x14ac:dyDescent="0.25">
      <c r="A408" s="508" t="s">
        <v>2269</v>
      </c>
      <c r="B408" s="508" t="s">
        <v>197</v>
      </c>
      <c r="C408" s="508" t="s">
        <v>149</v>
      </c>
      <c r="D408" s="508" t="s">
        <v>149</v>
      </c>
      <c r="E408" s="508"/>
      <c r="F408" s="508"/>
      <c r="G408" s="508" t="s">
        <v>1693</v>
      </c>
      <c r="H408" s="508"/>
      <c r="I408" s="508"/>
      <c r="J408" s="555"/>
      <c r="K408" s="555"/>
      <c r="L408" s="911">
        <f ca="1">IFERROR(INDEX(Lists!$O$2:$Z$2,MATCH(TRUE,INDEX((AE408:AP408&lt;&gt;0),0),0)),DATE(2018,1,1))</f>
        <v>43132</v>
      </c>
      <c r="M408" s="911">
        <f ca="1">IFERROR(INDEX(Lists!$O$3:$Z$3, VALUE(SUBSTITUTE(TEXT(ADDRESS(SUMPRODUCT(MAX((COLUMN(AE408:AP408)*(AE408:AP408&gt;0)))),1),),"$A$",""))-30),DATE(2018,1,1))</f>
        <v>43434</v>
      </c>
      <c r="N408" s="508"/>
      <c r="O408" s="508"/>
      <c r="P408" s="508"/>
      <c r="Q408" s="508"/>
      <c r="R408" s="508" t="str">
        <f t="shared" ca="1" si="178"/>
        <v>Airline Costs - Travel to Vallenar</v>
      </c>
      <c r="S408" s="508" t="str">
        <f t="shared" ca="1" si="179"/>
        <v>Transport</v>
      </c>
      <c r="T408" s="508" t="str">
        <f t="shared" ca="1" si="180"/>
        <v>Purchase of 8 Airline tickets for GRP and accompanying NU staff to visit the site once per year.
Estimate of costs for purcahse of 8 airline tickets there and back</v>
      </c>
      <c r="U408" s="508" t="str">
        <f t="shared" ca="1" si="181"/>
        <v>687 / 51-11-3363</v>
      </c>
      <c r="V408" s="508" t="str">
        <f t="shared" ca="1" si="182"/>
        <v>Active Ct</v>
      </c>
      <c r="W408" s="508" t="str">
        <f t="shared" ca="1" si="183"/>
        <v>LATAM</v>
      </c>
      <c r="X408" s="508" t="str">
        <f t="shared" ca="1" si="184"/>
        <v>Ene</v>
      </c>
      <c r="Y408" s="508" t="str">
        <f t="shared" ca="1" si="185"/>
        <v>Ene</v>
      </c>
      <c r="Z408" s="508">
        <f t="shared" ca="1" si="186"/>
        <v>0</v>
      </c>
      <c r="AA408" s="508" t="str">
        <f t="shared" ca="1" si="187"/>
        <v>Feb</v>
      </c>
      <c r="AB408" s="508">
        <f t="shared" ca="1" si="177"/>
        <v>10</v>
      </c>
      <c r="AC408" s="508">
        <f t="shared" ca="1" si="188"/>
        <v>0</v>
      </c>
      <c r="AD408" s="912">
        <f t="shared" ca="1" si="189"/>
        <v>3882.3529411764703</v>
      </c>
      <c r="AE408" s="512">
        <f t="shared" ca="1" si="190"/>
        <v>0</v>
      </c>
      <c r="AF408" s="512">
        <f t="shared" ca="1" si="191"/>
        <v>2000</v>
      </c>
      <c r="AG408" s="512">
        <f t="shared" ca="1" si="192"/>
        <v>0</v>
      </c>
      <c r="AH408" s="512">
        <f t="shared" ca="1" si="193"/>
        <v>0</v>
      </c>
      <c r="AI408" s="512">
        <f t="shared" ca="1" si="194"/>
        <v>0</v>
      </c>
      <c r="AJ408" s="512">
        <f t="shared" ca="1" si="195"/>
        <v>0</v>
      </c>
      <c r="AK408" s="512">
        <f t="shared" ca="1" si="196"/>
        <v>0</v>
      </c>
      <c r="AL408" s="512">
        <f t="shared" ca="1" si="197"/>
        <v>0</v>
      </c>
      <c r="AM408" s="512">
        <f t="shared" ca="1" si="198"/>
        <v>941.17647058823525</v>
      </c>
      <c r="AN408" s="512">
        <f t="shared" ca="1" si="199"/>
        <v>0</v>
      </c>
      <c r="AO408" s="512">
        <f t="shared" ca="1" si="200"/>
        <v>941.17647058823525</v>
      </c>
      <c r="AP408" s="512">
        <f t="shared" ca="1" si="201"/>
        <v>0</v>
      </c>
      <c r="AQ408" s="512" t="str">
        <f t="shared" si="202"/>
        <v/>
      </c>
      <c r="AR408" s="512"/>
      <c r="AS408" s="512" t="str">
        <f t="shared" si="203"/>
        <v/>
      </c>
      <c r="AT408" s="151">
        <f t="shared" si="204"/>
        <v>0</v>
      </c>
      <c r="AU408" s="151">
        <f>IFERROR(VLOOKUP(A408,'[7]TD CuentasBDG'!$N$5:$O$21,2,0),0)</f>
        <v>0</v>
      </c>
      <c r="AV408">
        <f t="shared" si="205"/>
        <v>0</v>
      </c>
    </row>
    <row r="409" spans="1:50" ht="90" x14ac:dyDescent="0.25">
      <c r="A409" s="508" t="s">
        <v>2270</v>
      </c>
      <c r="B409" s="508" t="s">
        <v>197</v>
      </c>
      <c r="C409" s="508" t="s">
        <v>149</v>
      </c>
      <c r="D409" s="508" t="s">
        <v>149</v>
      </c>
      <c r="E409" s="508"/>
      <c r="F409" s="508"/>
      <c r="G409" s="508" t="s">
        <v>1693</v>
      </c>
      <c r="H409" s="508"/>
      <c r="I409" s="508"/>
      <c r="J409" s="555"/>
      <c r="K409" s="555"/>
      <c r="L409" s="911">
        <f ca="1">IFERROR(INDEX(Lists!$O$2:$Z$2,MATCH(TRUE,INDEX((AE409:AP409&lt;&gt;0),0),0)),DATE(2018,1,1))</f>
        <v>43132</v>
      </c>
      <c r="M409" s="911">
        <f ca="1">IFERROR(INDEX(Lists!$O$3:$Z$3, VALUE(SUBSTITUTE(TEXT(ADDRESS(SUMPRODUCT(MAX((COLUMN(AE409:AP409)*(AE409:AP409&gt;0)))),1),),"$A$",""))-30),DATE(2018,1,1))</f>
        <v>43465</v>
      </c>
      <c r="N409" s="508"/>
      <c r="O409" s="508"/>
      <c r="P409" s="508"/>
      <c r="Q409" s="508"/>
      <c r="R409" s="508" t="str">
        <f t="shared" ca="1" si="178"/>
        <v>Hotel Costs</v>
      </c>
      <c r="S409" s="508" t="str">
        <f t="shared" ca="1" si="179"/>
        <v>Hotel</v>
      </c>
      <c r="T409" s="508" t="str">
        <f t="shared" ca="1" si="180"/>
        <v>Purchase of 8 hotel reservations for GRP and accompanying NU staff to visit the site once per year.
Estimate of costs for hotels for 3 days in Santiago, and 2 days in Vallenar</v>
      </c>
      <c r="U409" s="508" t="str">
        <f t="shared" ca="1" si="181"/>
        <v>687 / 51-11-3363</v>
      </c>
      <c r="V409" s="508" t="str">
        <f t="shared" ca="1" si="182"/>
        <v>Active Ct</v>
      </c>
      <c r="W409" s="508" t="str">
        <f t="shared" ca="1" si="183"/>
        <v>Hotel</v>
      </c>
      <c r="X409" s="508" t="str">
        <f t="shared" ca="1" si="184"/>
        <v>Ene</v>
      </c>
      <c r="Y409" s="508" t="str">
        <f t="shared" ca="1" si="185"/>
        <v>Ene</v>
      </c>
      <c r="Z409" s="508">
        <f t="shared" ca="1" si="186"/>
        <v>0</v>
      </c>
      <c r="AA409" s="508" t="str">
        <f t="shared" ca="1" si="187"/>
        <v>Feb</v>
      </c>
      <c r="AB409" s="508">
        <f t="shared" ca="1" si="177"/>
        <v>11</v>
      </c>
      <c r="AC409" s="508">
        <f t="shared" ca="1" si="188"/>
        <v>0</v>
      </c>
      <c r="AD409" s="912">
        <f t="shared" ca="1" si="189"/>
        <v>12961.284705882354</v>
      </c>
      <c r="AE409" s="512">
        <f t="shared" ca="1" si="190"/>
        <v>0</v>
      </c>
      <c r="AF409" s="512">
        <f t="shared" ca="1" si="191"/>
        <v>6800</v>
      </c>
      <c r="AG409" s="512">
        <f t="shared" ca="1" si="192"/>
        <v>0</v>
      </c>
      <c r="AH409" s="512">
        <f t="shared" ca="1" si="193"/>
        <v>0</v>
      </c>
      <c r="AI409" s="512">
        <f t="shared" ca="1" si="194"/>
        <v>0</v>
      </c>
      <c r="AJ409" s="512">
        <f t="shared" ca="1" si="195"/>
        <v>0</v>
      </c>
      <c r="AK409" s="512">
        <f t="shared" ca="1" si="196"/>
        <v>0</v>
      </c>
      <c r="AL409" s="512">
        <f t="shared" ca="1" si="197"/>
        <v>0</v>
      </c>
      <c r="AM409" s="512">
        <f t="shared" ca="1" si="198"/>
        <v>1540.3211764705882</v>
      </c>
      <c r="AN409" s="512">
        <f t="shared" ca="1" si="199"/>
        <v>1540.3211764705882</v>
      </c>
      <c r="AO409" s="512">
        <f t="shared" ca="1" si="200"/>
        <v>1540.3211764705882</v>
      </c>
      <c r="AP409" s="512">
        <f t="shared" ca="1" si="201"/>
        <v>1540.3211764705882</v>
      </c>
      <c r="AQ409" s="512" t="str">
        <f t="shared" si="202"/>
        <v/>
      </c>
      <c r="AR409" s="512"/>
      <c r="AS409" s="512" t="str">
        <f t="shared" si="203"/>
        <v/>
      </c>
      <c r="AT409" s="151">
        <f t="shared" si="204"/>
        <v>0</v>
      </c>
      <c r="AU409" s="151">
        <f>IFERROR(VLOOKUP(A409,'[7]TD CuentasBDG'!$N$5:$O$21,2,0),0)</f>
        <v>0</v>
      </c>
      <c r="AV409">
        <f t="shared" si="205"/>
        <v>0</v>
      </c>
    </row>
    <row r="410" spans="1:50" ht="30" x14ac:dyDescent="0.25">
      <c r="A410" s="508" t="s">
        <v>2271</v>
      </c>
      <c r="B410" s="508" t="s">
        <v>197</v>
      </c>
      <c r="C410" s="508" t="s">
        <v>149</v>
      </c>
      <c r="D410" s="508" t="s">
        <v>149</v>
      </c>
      <c r="E410" s="508"/>
      <c r="F410" s="508"/>
      <c r="G410" s="508" t="s">
        <v>1707</v>
      </c>
      <c r="H410" s="508"/>
      <c r="I410" s="508"/>
      <c r="J410" s="555"/>
      <c r="K410" s="555"/>
      <c r="L410" s="911">
        <f ca="1">IFERROR(INDEX(Lists!$O$2:$Z$2,MATCH(TRUE,INDEX((AE410:AP410&lt;&gt;0),0),0)),DATE(2018,1,1))</f>
        <v>43132</v>
      </c>
      <c r="M410" s="911">
        <f ca="1">IFERROR(INDEX(Lists!$O$3:$Z$3, VALUE(SUBSTITUTE(TEXT(ADDRESS(SUMPRODUCT(MAX((COLUMN(AE410:AP410)*(AE410:AP410&gt;0)))),1),),"$A$",""))-30),DATE(2018,1,1))</f>
        <v>43465</v>
      </c>
      <c r="N410" s="508"/>
      <c r="O410" s="508"/>
      <c r="P410" s="508"/>
      <c r="Q410" s="508"/>
      <c r="R410" s="508" t="str">
        <f t="shared" ca="1" si="178"/>
        <v>Taxi Costs</v>
      </c>
      <c r="S410" s="508" t="str">
        <f t="shared" ca="1" si="179"/>
        <v>Transport</v>
      </c>
      <c r="T410" s="508" t="str">
        <f t="shared" ca="1" si="180"/>
        <v>Taxi Costs for Site Visit. Estimate</v>
      </c>
      <c r="U410" s="508" t="str">
        <f t="shared" ca="1" si="181"/>
        <v>687 / 51-11-3363</v>
      </c>
      <c r="V410" s="508" t="str">
        <f t="shared" ca="1" si="182"/>
        <v>Active Ct</v>
      </c>
      <c r="W410" s="508" t="str">
        <f t="shared" ca="1" si="183"/>
        <v>Taxi Apoquindo</v>
      </c>
      <c r="X410" s="508" t="str">
        <f t="shared" ca="1" si="184"/>
        <v>Ene</v>
      </c>
      <c r="Y410" s="508" t="str">
        <f t="shared" ca="1" si="185"/>
        <v>Ene</v>
      </c>
      <c r="Z410" s="508">
        <f t="shared" ca="1" si="186"/>
        <v>0</v>
      </c>
      <c r="AA410" s="508" t="str">
        <f t="shared" ca="1" si="187"/>
        <v>Feb</v>
      </c>
      <c r="AB410" s="508">
        <f t="shared" ca="1" si="177"/>
        <v>11</v>
      </c>
      <c r="AC410" s="508">
        <f t="shared" ca="1" si="188"/>
        <v>0</v>
      </c>
      <c r="AD410" s="912">
        <f t="shared" ca="1" si="189"/>
        <v>4147.0588235294117</v>
      </c>
      <c r="AE410" s="512">
        <f t="shared" ca="1" si="190"/>
        <v>0</v>
      </c>
      <c r="AF410" s="512">
        <f t="shared" ca="1" si="191"/>
        <v>2000</v>
      </c>
      <c r="AG410" s="512">
        <f t="shared" ca="1" si="192"/>
        <v>0</v>
      </c>
      <c r="AH410" s="512">
        <f t="shared" ca="1" si="193"/>
        <v>0</v>
      </c>
      <c r="AI410" s="512">
        <f t="shared" ca="1" si="194"/>
        <v>0</v>
      </c>
      <c r="AJ410" s="512">
        <f t="shared" ca="1" si="195"/>
        <v>0</v>
      </c>
      <c r="AK410" s="512">
        <f t="shared" ca="1" si="196"/>
        <v>0</v>
      </c>
      <c r="AL410" s="512">
        <f t="shared" ca="1" si="197"/>
        <v>0</v>
      </c>
      <c r="AM410" s="512">
        <f t="shared" ca="1" si="198"/>
        <v>0</v>
      </c>
      <c r="AN410" s="512">
        <f t="shared" ca="1" si="199"/>
        <v>1073.5294117647059</v>
      </c>
      <c r="AO410" s="512">
        <f t="shared" ca="1" si="200"/>
        <v>0</v>
      </c>
      <c r="AP410" s="512">
        <f t="shared" ca="1" si="201"/>
        <v>1073.5294117647059</v>
      </c>
      <c r="AQ410" s="512" t="str">
        <f t="shared" si="202"/>
        <v/>
      </c>
      <c r="AR410" s="512"/>
      <c r="AS410" s="512" t="str">
        <f t="shared" si="203"/>
        <v/>
      </c>
      <c r="AT410" s="151">
        <f t="shared" si="204"/>
        <v>0</v>
      </c>
      <c r="AU410" s="151">
        <f>IFERROR(VLOOKUP(A410,'[7]TD CuentasBDG'!$N$5:$O$21,2,0),0)</f>
        <v>0</v>
      </c>
      <c r="AV410">
        <f t="shared" si="205"/>
        <v>0</v>
      </c>
    </row>
    <row r="411" spans="1:50" ht="45" x14ac:dyDescent="0.25">
      <c r="A411" s="508" t="s">
        <v>2272</v>
      </c>
      <c r="B411" s="508" t="s">
        <v>197</v>
      </c>
      <c r="C411" s="508" t="s">
        <v>149</v>
      </c>
      <c r="D411" s="508" t="s">
        <v>149</v>
      </c>
      <c r="E411" s="508"/>
      <c r="F411" s="508"/>
      <c r="G411" s="508" t="s">
        <v>1752</v>
      </c>
      <c r="H411" s="508"/>
      <c r="I411" s="508"/>
      <c r="J411" s="555"/>
      <c r="K411" s="555"/>
      <c r="L411" s="911">
        <f ca="1">IFERROR(INDEX(Lists!$O$2:$Z$2,MATCH(TRUE,INDEX((AE411:AP411&lt;&gt;0),0),0)),DATE(2018,1,1))</f>
        <v>43102</v>
      </c>
      <c r="M411" s="911">
        <f ca="1">IFERROR(INDEX(Lists!$O$3:$Z$3, VALUE(SUBSTITUTE(TEXT(ADDRESS(SUMPRODUCT(MAX((COLUMN(AE411:AP411)*(AE411:AP411&gt;0)))),1),),"$A$",""))-30),DATE(2018,1,1))</f>
        <v>43373</v>
      </c>
      <c r="N411" s="508"/>
      <c r="O411" s="508"/>
      <c r="P411" s="508"/>
      <c r="Q411" s="508"/>
      <c r="R411" s="508" t="str">
        <f t="shared" ca="1" si="178"/>
        <v>Miscellaneous Geotechnical Expenses</v>
      </c>
      <c r="S411" s="508" t="str">
        <f t="shared" ca="1" si="179"/>
        <v>NuevaUnion</v>
      </c>
      <c r="T411" s="508" t="str">
        <f t="shared" ca="1" si="180"/>
        <v>Operations and Technical Services</v>
      </c>
      <c r="U411" s="508" t="str">
        <f t="shared" ca="1" si="181"/>
        <v>687 / 51-11-3363</v>
      </c>
      <c r="V411" s="508">
        <f t="shared" ca="1" si="182"/>
        <v>0</v>
      </c>
      <c r="W411" s="508" t="str">
        <f t="shared" ca="1" si="183"/>
        <v>TBD</v>
      </c>
      <c r="X411" s="508" t="str">
        <f t="shared" ca="1" si="184"/>
        <v>Ene</v>
      </c>
      <c r="Y411" s="508" t="str">
        <f t="shared" ca="1" si="185"/>
        <v>Ene</v>
      </c>
      <c r="Z411" s="508">
        <f t="shared" ca="1" si="186"/>
        <v>0</v>
      </c>
      <c r="AA411" s="508" t="str">
        <f t="shared" ca="1" si="187"/>
        <v>Ene</v>
      </c>
      <c r="AB411" s="508">
        <f t="shared" ca="1" si="177"/>
        <v>9</v>
      </c>
      <c r="AC411" s="508">
        <f t="shared" ca="1" si="188"/>
        <v>0</v>
      </c>
      <c r="AD411" s="912">
        <f t="shared" ca="1" si="189"/>
        <v>3000</v>
      </c>
      <c r="AE411" s="512">
        <f t="shared" ca="1" si="190"/>
        <v>1000</v>
      </c>
      <c r="AF411" s="512">
        <f t="shared" ca="1" si="191"/>
        <v>0</v>
      </c>
      <c r="AG411" s="512">
        <f t="shared" ca="1" si="192"/>
        <v>0</v>
      </c>
      <c r="AH411" s="512">
        <f t="shared" ca="1" si="193"/>
        <v>0</v>
      </c>
      <c r="AI411" s="512">
        <f t="shared" ca="1" si="194"/>
        <v>1000</v>
      </c>
      <c r="AJ411" s="512">
        <f t="shared" ca="1" si="195"/>
        <v>0</v>
      </c>
      <c r="AK411" s="512">
        <f t="shared" ca="1" si="196"/>
        <v>0</v>
      </c>
      <c r="AL411" s="512">
        <f t="shared" ca="1" si="197"/>
        <v>0</v>
      </c>
      <c r="AM411" s="512">
        <f t="shared" ca="1" si="198"/>
        <v>1000</v>
      </c>
      <c r="AN411" s="512">
        <f t="shared" ca="1" si="199"/>
        <v>0</v>
      </c>
      <c r="AO411" s="512">
        <f t="shared" ca="1" si="200"/>
        <v>0</v>
      </c>
      <c r="AP411" s="512">
        <f t="shared" ca="1" si="201"/>
        <v>0</v>
      </c>
      <c r="AQ411" s="512" t="str">
        <f t="shared" si="202"/>
        <v/>
      </c>
      <c r="AR411" s="512"/>
      <c r="AS411" s="512" t="str">
        <f t="shared" si="203"/>
        <v/>
      </c>
      <c r="AT411" s="151">
        <f t="shared" si="204"/>
        <v>0</v>
      </c>
      <c r="AU411" s="151">
        <f>IFERROR(VLOOKUP(A411,'[7]TD CuentasBDG'!$N$5:$O$21,2,0),0)</f>
        <v>0</v>
      </c>
      <c r="AV411">
        <f t="shared" si="205"/>
        <v>0</v>
      </c>
    </row>
    <row r="412" spans="1:50" ht="30" x14ac:dyDescent="0.25">
      <c r="A412" s="508" t="s">
        <v>2273</v>
      </c>
      <c r="B412" s="508" t="s">
        <v>197</v>
      </c>
      <c r="C412" s="508" t="s">
        <v>149</v>
      </c>
      <c r="D412" s="508" t="s">
        <v>149</v>
      </c>
      <c r="E412" s="508"/>
      <c r="F412" s="508"/>
      <c r="G412" s="508" t="s">
        <v>1752</v>
      </c>
      <c r="H412" s="508"/>
      <c r="I412" s="508"/>
      <c r="J412" s="555"/>
      <c r="K412" s="555"/>
      <c r="L412" s="911">
        <f ca="1">IFERROR(INDEX(Lists!$O$2:$Z$2,MATCH(TRUE,INDEX((AE412:AP412&lt;&gt;0),0),0)),DATE(2018,1,1))</f>
        <v>43102</v>
      </c>
      <c r="M412" s="911">
        <f ca="1">IFERROR(INDEX(Lists!$O$3:$Z$3, VALUE(SUBSTITUTE(TEXT(ADDRESS(SUMPRODUCT(MAX((COLUMN(AE412:AP412)*(AE412:AP412&gt;0)))),1),),"$A$",""))-30),DATE(2018,1,1))</f>
        <v>43465</v>
      </c>
      <c r="N412" s="508"/>
      <c r="O412" s="508"/>
      <c r="P412" s="508"/>
      <c r="Q412" s="508"/>
      <c r="R412" s="508" t="str">
        <f t="shared" ca="1" si="178"/>
        <v>Principal Geotech (John Pottie)</v>
      </c>
      <c r="S412" s="508" t="str">
        <f t="shared" ca="1" si="179"/>
        <v>Teck Support</v>
      </c>
      <c r="T412" s="508" t="str">
        <f t="shared" ca="1" si="180"/>
        <v>Operations and Technical Services</v>
      </c>
      <c r="U412" s="508" t="str">
        <f t="shared" ca="1" si="181"/>
        <v>687 / 51-11-3363</v>
      </c>
      <c r="V412" s="508">
        <f t="shared" ca="1" si="182"/>
        <v>0</v>
      </c>
      <c r="W412" s="508">
        <f t="shared" ca="1" si="183"/>
        <v>0</v>
      </c>
      <c r="X412" s="508">
        <f t="shared" ca="1" si="184"/>
        <v>0</v>
      </c>
      <c r="Y412" s="508">
        <f t="shared" ca="1" si="185"/>
        <v>0</v>
      </c>
      <c r="Z412" s="508">
        <f t="shared" ca="1" si="186"/>
        <v>0</v>
      </c>
      <c r="AA412" s="508" t="str">
        <f t="shared" ca="1" si="187"/>
        <v>Ene</v>
      </c>
      <c r="AB412" s="508">
        <f t="shared" ca="1" si="177"/>
        <v>12</v>
      </c>
      <c r="AC412" s="508">
        <f t="shared" ca="1" si="188"/>
        <v>0</v>
      </c>
      <c r="AD412" s="912">
        <f t="shared" ca="1" si="189"/>
        <v>80000.000000000044</v>
      </c>
      <c r="AE412" s="512">
        <f t="shared" ca="1" si="190"/>
        <v>6666.6666666666697</v>
      </c>
      <c r="AF412" s="512">
        <f t="shared" ca="1" si="191"/>
        <v>6666.6666666666697</v>
      </c>
      <c r="AG412" s="512">
        <f t="shared" ca="1" si="192"/>
        <v>6666.6666666666697</v>
      </c>
      <c r="AH412" s="512">
        <f t="shared" ca="1" si="193"/>
        <v>6666.6666666666697</v>
      </c>
      <c r="AI412" s="512">
        <f t="shared" ca="1" si="194"/>
        <v>6666.6666666666697</v>
      </c>
      <c r="AJ412" s="512">
        <f t="shared" ca="1" si="195"/>
        <v>6666.6666666666697</v>
      </c>
      <c r="AK412" s="512">
        <f t="shared" ca="1" si="196"/>
        <v>6666.6666666666697</v>
      </c>
      <c r="AL412" s="512">
        <f t="shared" ca="1" si="197"/>
        <v>6666.6666666666697</v>
      </c>
      <c r="AM412" s="512">
        <f t="shared" ca="1" si="198"/>
        <v>6666.6666666666697</v>
      </c>
      <c r="AN412" s="512">
        <f t="shared" ca="1" si="199"/>
        <v>6666.6666666666697</v>
      </c>
      <c r="AO412" s="512">
        <f t="shared" ca="1" si="200"/>
        <v>6666.6666666666697</v>
      </c>
      <c r="AP412" s="512">
        <f t="shared" ca="1" si="201"/>
        <v>6666.6666666666697</v>
      </c>
      <c r="AQ412" s="512" t="str">
        <f t="shared" si="202"/>
        <v/>
      </c>
      <c r="AR412" s="512"/>
      <c r="AS412" s="512" t="str">
        <f t="shared" si="203"/>
        <v/>
      </c>
      <c r="AT412" s="151">
        <f t="shared" si="204"/>
        <v>0</v>
      </c>
      <c r="AU412" s="151">
        <f>IFERROR(VLOOKUP(A412,'[7]TD CuentasBDG'!$N$5:$O$21,2,0),0)</f>
        <v>0</v>
      </c>
      <c r="AV412">
        <f t="shared" si="205"/>
        <v>0</v>
      </c>
    </row>
    <row r="413" spans="1:50" ht="30" x14ac:dyDescent="0.25">
      <c r="A413" s="508" t="s">
        <v>2274</v>
      </c>
      <c r="B413" s="508" t="s">
        <v>197</v>
      </c>
      <c r="C413" s="508" t="s">
        <v>149</v>
      </c>
      <c r="D413" s="508" t="s">
        <v>149</v>
      </c>
      <c r="E413" s="508"/>
      <c r="F413" s="508"/>
      <c r="G413" s="508" t="s">
        <v>1752</v>
      </c>
      <c r="H413" s="508"/>
      <c r="I413" s="508"/>
      <c r="J413" s="555"/>
      <c r="K413" s="555"/>
      <c r="L413" s="911">
        <f ca="1">IFERROR(INDEX(Lists!$O$2:$Z$2,MATCH(TRUE,INDEX((AE413:AP413&lt;&gt;0),0),0)),DATE(2018,1,1))</f>
        <v>43102</v>
      </c>
      <c r="M413" s="911">
        <f ca="1">IFERROR(INDEX(Lists!$O$3:$Z$3, VALUE(SUBSTITUTE(TEXT(ADDRESS(SUMPRODUCT(MAX((COLUMN(AE413:AP413)*(AE413:AP413&gt;0)))),1),),"$A$",""))-30),DATE(2018,1,1))</f>
        <v>43465</v>
      </c>
      <c r="N413" s="508"/>
      <c r="O413" s="508"/>
      <c r="P413" s="508"/>
      <c r="Q413" s="508"/>
      <c r="R413" s="508" t="str">
        <f t="shared" ca="1" si="178"/>
        <v>Senior Geotech (TBD)</v>
      </c>
      <c r="S413" s="508" t="str">
        <f t="shared" ca="1" si="179"/>
        <v>Teck Support</v>
      </c>
      <c r="T413" s="508" t="str">
        <f t="shared" ca="1" si="180"/>
        <v>Operations and Technical Services</v>
      </c>
      <c r="U413" s="508" t="str">
        <f t="shared" ca="1" si="181"/>
        <v>687 / 51-11-3363</v>
      </c>
      <c r="V413" s="508">
        <f t="shared" ca="1" si="182"/>
        <v>0</v>
      </c>
      <c r="W413" s="508">
        <f t="shared" ca="1" si="183"/>
        <v>0</v>
      </c>
      <c r="X413" s="508">
        <f t="shared" ca="1" si="184"/>
        <v>0</v>
      </c>
      <c r="Y413" s="508">
        <f t="shared" ca="1" si="185"/>
        <v>0</v>
      </c>
      <c r="Z413" s="508">
        <f t="shared" ca="1" si="186"/>
        <v>0</v>
      </c>
      <c r="AA413" s="508" t="str">
        <f t="shared" ca="1" si="187"/>
        <v>Ene</v>
      </c>
      <c r="AB413" s="508">
        <f t="shared" ca="1" si="177"/>
        <v>12</v>
      </c>
      <c r="AC413" s="508">
        <f t="shared" ca="1" si="188"/>
        <v>0</v>
      </c>
      <c r="AD413" s="912">
        <f t="shared" ca="1" si="189"/>
        <v>96000</v>
      </c>
      <c r="AE413" s="512">
        <f t="shared" ca="1" si="190"/>
        <v>8000</v>
      </c>
      <c r="AF413" s="512">
        <f t="shared" ca="1" si="191"/>
        <v>8000</v>
      </c>
      <c r="AG413" s="512">
        <f t="shared" ca="1" si="192"/>
        <v>8000</v>
      </c>
      <c r="AH413" s="512">
        <f t="shared" ca="1" si="193"/>
        <v>8000</v>
      </c>
      <c r="AI413" s="512">
        <f t="shared" ca="1" si="194"/>
        <v>8000</v>
      </c>
      <c r="AJ413" s="512">
        <f t="shared" ca="1" si="195"/>
        <v>8000</v>
      </c>
      <c r="AK413" s="512">
        <f t="shared" ca="1" si="196"/>
        <v>8000</v>
      </c>
      <c r="AL413" s="512">
        <f t="shared" ca="1" si="197"/>
        <v>8000</v>
      </c>
      <c r="AM413" s="512">
        <f t="shared" ca="1" si="198"/>
        <v>8000</v>
      </c>
      <c r="AN413" s="512">
        <f t="shared" ca="1" si="199"/>
        <v>8000</v>
      </c>
      <c r="AO413" s="512">
        <f t="shared" ca="1" si="200"/>
        <v>8000</v>
      </c>
      <c r="AP413" s="512">
        <f t="shared" ca="1" si="201"/>
        <v>8000</v>
      </c>
      <c r="AQ413" s="512" t="str">
        <f t="shared" si="202"/>
        <v/>
      </c>
      <c r="AR413" s="512"/>
      <c r="AS413" s="512" t="str">
        <f t="shared" si="203"/>
        <v/>
      </c>
      <c r="AT413" s="151">
        <f t="shared" si="204"/>
        <v>0</v>
      </c>
      <c r="AU413" s="151">
        <f>IFERROR(VLOOKUP(A413,'[7]TD CuentasBDG'!$N$5:$O$21,2,0),0)</f>
        <v>0</v>
      </c>
      <c r="AV413">
        <f t="shared" si="205"/>
        <v>0</v>
      </c>
    </row>
    <row r="414" spans="1:50" ht="30" x14ac:dyDescent="0.25">
      <c r="A414" s="508" t="s">
        <v>2275</v>
      </c>
      <c r="B414" s="508" t="s">
        <v>172</v>
      </c>
      <c r="C414" s="508" t="s">
        <v>152</v>
      </c>
      <c r="D414" s="508" t="s">
        <v>2276</v>
      </c>
      <c r="E414" s="508"/>
      <c r="F414" s="508"/>
      <c r="G414" s="508" t="s">
        <v>1665</v>
      </c>
      <c r="H414" s="508"/>
      <c r="I414" s="508"/>
      <c r="J414" s="555"/>
      <c r="K414" s="555"/>
      <c r="L414" s="911">
        <f ca="1">IFERROR(INDEX(Lists!$O$2:$Z$2,MATCH(TRUE,INDEX((AE414:AP414&lt;&gt;0),0),0)),DATE(2018,1,1))</f>
        <v>43102</v>
      </c>
      <c r="M414" s="911">
        <f ca="1">IFERROR(INDEX(Lists!$O$3:$Z$3, VALUE(SUBSTITUTE(TEXT(ADDRESS(SUMPRODUCT(MAX((COLUMN(AE414:AP414)*(AE414:AP414&gt;0)))),1),),"$A$",""))-30),DATE(2018,1,1))</f>
        <v>43465</v>
      </c>
      <c r="N414" s="508"/>
      <c r="O414" s="508"/>
      <c r="P414" s="508"/>
      <c r="Q414" s="508"/>
      <c r="R414" s="508" t="str">
        <f t="shared" ca="1" si="178"/>
        <v>Objective 1</v>
      </c>
      <c r="S414" s="508" t="str">
        <f t="shared" ca="1" si="179"/>
        <v>Lunch meetings</v>
      </c>
      <c r="T414" s="508" t="str">
        <f t="shared" ca="1" si="180"/>
        <v xml:space="preserve">Posible OCA </v>
      </c>
      <c r="U414" s="508" t="str">
        <f t="shared" ca="1" si="181"/>
        <v>688 / 51-11-3352</v>
      </c>
      <c r="V414" s="508" t="str">
        <f t="shared" ca="1" si="182"/>
        <v>Open PO/Orden de Compra Abierta</v>
      </c>
      <c r="W414" s="508" t="str">
        <f t="shared" ca="1" si="183"/>
        <v>Tavelli</v>
      </c>
      <c r="X414" s="508" t="str">
        <f t="shared" ca="1" si="184"/>
        <v>N/A</v>
      </c>
      <c r="Y414" s="508" t="str">
        <f t="shared" ca="1" si="185"/>
        <v>N/A</v>
      </c>
      <c r="Z414" s="508" t="str">
        <f t="shared" ca="1" si="186"/>
        <v>N/A</v>
      </c>
      <c r="AA414" s="508" t="str">
        <f t="shared" ca="1" si="187"/>
        <v>Ene</v>
      </c>
      <c r="AB414" s="508">
        <f t="shared" ca="1" si="177"/>
        <v>12</v>
      </c>
      <c r="AC414" s="508">
        <f t="shared" ca="1" si="188"/>
        <v>12</v>
      </c>
      <c r="AD414" s="912">
        <f t="shared" ca="1" si="189"/>
        <v>18000</v>
      </c>
      <c r="AE414" s="512">
        <f t="shared" ca="1" si="190"/>
        <v>1500</v>
      </c>
      <c r="AF414" s="512">
        <f t="shared" ca="1" si="191"/>
        <v>1500</v>
      </c>
      <c r="AG414" s="512">
        <f t="shared" ca="1" si="192"/>
        <v>1500</v>
      </c>
      <c r="AH414" s="512">
        <f t="shared" ca="1" si="193"/>
        <v>1500</v>
      </c>
      <c r="AI414" s="512">
        <f t="shared" ca="1" si="194"/>
        <v>1500</v>
      </c>
      <c r="AJ414" s="512">
        <f t="shared" ca="1" si="195"/>
        <v>1500</v>
      </c>
      <c r="AK414" s="512">
        <f t="shared" ca="1" si="196"/>
        <v>1500</v>
      </c>
      <c r="AL414" s="512">
        <f t="shared" ca="1" si="197"/>
        <v>1500</v>
      </c>
      <c r="AM414" s="512">
        <f t="shared" ca="1" si="198"/>
        <v>1500</v>
      </c>
      <c r="AN414" s="512">
        <f t="shared" ca="1" si="199"/>
        <v>1500</v>
      </c>
      <c r="AO414" s="512">
        <f t="shared" ca="1" si="200"/>
        <v>1500</v>
      </c>
      <c r="AP414" s="512">
        <f t="shared" ca="1" si="201"/>
        <v>1500</v>
      </c>
      <c r="AQ414" s="512" t="str">
        <f t="shared" si="202"/>
        <v/>
      </c>
      <c r="AR414" s="512"/>
      <c r="AS414" s="512" t="str">
        <f t="shared" si="203"/>
        <v/>
      </c>
      <c r="AT414" s="151">
        <f t="shared" si="204"/>
        <v>0</v>
      </c>
      <c r="AU414" s="151">
        <f>IFERROR(VLOOKUP(A414,'[7]TD CuentasBDG'!$N$5:$O$21,2,0),0)</f>
        <v>0</v>
      </c>
      <c r="AV414">
        <f t="shared" si="205"/>
        <v>0</v>
      </c>
    </row>
    <row r="415" spans="1:50" ht="75" x14ac:dyDescent="0.25">
      <c r="A415" s="508" t="s">
        <v>2277</v>
      </c>
      <c r="B415" s="508" t="s">
        <v>172</v>
      </c>
      <c r="C415" s="508" t="s">
        <v>2278</v>
      </c>
      <c r="D415" s="508" t="s">
        <v>2279</v>
      </c>
      <c r="E415" s="508"/>
      <c r="F415" s="508"/>
      <c r="G415" s="508" t="s">
        <v>1647</v>
      </c>
      <c r="H415" s="508" t="s">
        <v>1369</v>
      </c>
      <c r="I415" s="508" t="s">
        <v>1356</v>
      </c>
      <c r="J415" s="555" t="s">
        <v>1650</v>
      </c>
      <c r="K415" s="555" t="s">
        <v>1651</v>
      </c>
      <c r="L415" s="911">
        <f ca="1">IFERROR(INDEX(Lists!$O$2:$Z$2,MATCH(TRUE,INDEX((AE415:AP415&lt;&gt;0),0),0)),DATE(2018,1,1))</f>
        <v>43102</v>
      </c>
      <c r="M415" s="911">
        <f ca="1">IFERROR(INDEX(Lists!$O$3:$Z$3, VALUE(SUBSTITUTE(TEXT(ADDRESS(SUMPRODUCT(MAX((COLUMN(AE415:AP415)*(AE415:AP415&gt;0)))),1),),"$A$",""))-30),DATE(2018,1,1))</f>
        <v>43190</v>
      </c>
      <c r="N415" s="508" t="s">
        <v>1683</v>
      </c>
      <c r="O415" s="508" t="s">
        <v>1653</v>
      </c>
      <c r="P415" s="508" t="s">
        <v>1071</v>
      </c>
      <c r="Q415" s="508" t="s">
        <v>1071</v>
      </c>
      <c r="R415" s="508">
        <f t="shared" ca="1" si="178"/>
        <v>1</v>
      </c>
      <c r="S415" s="508" t="str">
        <f t="shared" ca="1" si="179"/>
        <v>Servicio de Desarrollo Base Datos Proveedores</v>
      </c>
      <c r="T415" s="508" t="str">
        <f t="shared" ca="1" si="180"/>
        <v>Creación de Base de Datos y Sistema de autoingreso de información para Proveedores que permita la clasificación de proveedores</v>
      </c>
      <c r="U415" s="508" t="str">
        <f t="shared" ca="1" si="181"/>
        <v>688 / 51-11-3353</v>
      </c>
      <c r="V415" s="508" t="str">
        <f t="shared" ca="1" si="182"/>
        <v>Current Contract/Contrato Activo</v>
      </c>
      <c r="W415" s="508">
        <f t="shared" ca="1" si="183"/>
        <v>0</v>
      </c>
      <c r="X415" s="508">
        <f t="shared" ca="1" si="184"/>
        <v>0</v>
      </c>
      <c r="Y415" s="508">
        <f t="shared" ca="1" si="185"/>
        <v>0</v>
      </c>
      <c r="Z415" s="508">
        <f t="shared" ca="1" si="186"/>
        <v>0</v>
      </c>
      <c r="AA415" s="508">
        <f t="shared" ca="1" si="187"/>
        <v>0</v>
      </c>
      <c r="AB415" s="508">
        <f t="shared" ca="1" si="177"/>
        <v>3</v>
      </c>
      <c r="AC415" s="508">
        <f t="shared" ca="1" si="188"/>
        <v>1620</v>
      </c>
      <c r="AD415" s="912">
        <f t="shared" ca="1" si="189"/>
        <v>45000</v>
      </c>
      <c r="AE415" s="512">
        <f t="shared" ca="1" si="190"/>
        <v>15000</v>
      </c>
      <c r="AF415" s="512">
        <f t="shared" ca="1" si="191"/>
        <v>15000</v>
      </c>
      <c r="AG415" s="512">
        <f t="shared" ca="1" si="192"/>
        <v>15000</v>
      </c>
      <c r="AH415" s="512">
        <f t="shared" ca="1" si="193"/>
        <v>0</v>
      </c>
      <c r="AI415" s="512">
        <f t="shared" ca="1" si="194"/>
        <v>0</v>
      </c>
      <c r="AJ415" s="512">
        <f t="shared" ca="1" si="195"/>
        <v>0</v>
      </c>
      <c r="AK415" s="512">
        <f t="shared" ca="1" si="196"/>
        <v>0</v>
      </c>
      <c r="AL415" s="512">
        <f t="shared" ca="1" si="197"/>
        <v>0</v>
      </c>
      <c r="AM415" s="512">
        <f t="shared" ca="1" si="198"/>
        <v>0</v>
      </c>
      <c r="AN415" s="512">
        <f t="shared" ca="1" si="199"/>
        <v>0</v>
      </c>
      <c r="AO415" s="512">
        <f t="shared" ca="1" si="200"/>
        <v>0</v>
      </c>
      <c r="AP415" s="512">
        <f t="shared" ca="1" si="201"/>
        <v>0</v>
      </c>
      <c r="AQ415" s="512" t="str">
        <f t="shared" ca="1" si="202"/>
        <v>Orden de Servicio Sin Terreno</v>
      </c>
      <c r="AR415" s="512"/>
      <c r="AS415" s="512" t="str">
        <f t="shared" ca="1" si="203"/>
        <v>No</v>
      </c>
      <c r="AT415" s="151">
        <f t="shared" ca="1" si="204"/>
        <v>45000</v>
      </c>
      <c r="AU415" s="151">
        <f>IFERROR(VLOOKUP(A415,'[7]TD CuentasBDG'!$N$5:$O$21,2,0),0)</f>
        <v>0</v>
      </c>
      <c r="AV415" t="str">
        <f t="shared" si="205"/>
        <v>Adjudicación Directa</v>
      </c>
      <c r="AW415" t="s">
        <v>1669</v>
      </c>
      <c r="AX415" t="s">
        <v>1655</v>
      </c>
    </row>
    <row r="416" spans="1:50" ht="60" x14ac:dyDescent="0.25">
      <c r="A416" s="508" t="s">
        <v>2280</v>
      </c>
      <c r="B416" s="508" t="s">
        <v>172</v>
      </c>
      <c r="C416" s="508" t="s">
        <v>2278</v>
      </c>
      <c r="D416" s="508" t="s">
        <v>2279</v>
      </c>
      <c r="E416" s="508"/>
      <c r="F416" s="508"/>
      <c r="G416" s="508" t="s">
        <v>1647</v>
      </c>
      <c r="H416" s="508" t="s">
        <v>1370</v>
      </c>
      <c r="I416" s="508" t="s">
        <v>1358</v>
      </c>
      <c r="J416" s="555" t="s">
        <v>1650</v>
      </c>
      <c r="K416" s="555" t="s">
        <v>1651</v>
      </c>
      <c r="L416" s="911">
        <f ca="1">IFERROR(INDEX(Lists!$O$2:$Z$2,MATCH(TRUE,INDEX((AE416:AP416&lt;&gt;0),0),0)),DATE(2018,1,1))</f>
        <v>43191</v>
      </c>
      <c r="M416" s="911">
        <f ca="1">IFERROR(INDEX(Lists!$O$3:$Z$3, VALUE(SUBSTITUTE(TEXT(ADDRESS(SUMPRODUCT(MAX((COLUMN(AE416:AP416)*(AE416:AP416&gt;0)))),1),),"$A$",""))-30),DATE(2018,1,1))</f>
        <v>43343</v>
      </c>
      <c r="N416" s="508" t="s">
        <v>1668</v>
      </c>
      <c r="O416" s="508" t="s">
        <v>1653</v>
      </c>
      <c r="P416" s="508" t="s">
        <v>1071</v>
      </c>
      <c r="Q416" s="508" t="s">
        <v>1071</v>
      </c>
      <c r="R416" s="508">
        <f t="shared" ca="1" si="178"/>
        <v>2</v>
      </c>
      <c r="S416" s="508" t="str">
        <f t="shared" ca="1" si="179"/>
        <v>Servicio de Desarrollo  de Procedimientos Cttos</v>
      </c>
      <c r="T416" s="508" t="str">
        <f t="shared" ca="1" si="180"/>
        <v>Desarrollo de los Procedimientos de Administración de Contratos y configuración de Herramientas en línea para su aplicación</v>
      </c>
      <c r="U416" s="508" t="str">
        <f t="shared" ca="1" si="181"/>
        <v>688 / 51-11-3353</v>
      </c>
      <c r="V416" s="508" t="str">
        <f t="shared" ca="1" si="182"/>
        <v>Bidding/Licitación</v>
      </c>
      <c r="W416" s="508" t="str">
        <f t="shared" ca="1" si="183"/>
        <v>TBD</v>
      </c>
      <c r="X416" s="508">
        <f t="shared" ca="1" si="184"/>
        <v>0</v>
      </c>
      <c r="Y416" s="508" t="str">
        <f t="shared" ca="1" si="185"/>
        <v>01/2/208</v>
      </c>
      <c r="Z416" s="508">
        <f t="shared" ca="1" si="186"/>
        <v>43174</v>
      </c>
      <c r="AA416" s="508">
        <f t="shared" ca="1" si="187"/>
        <v>43191</v>
      </c>
      <c r="AB416" s="508">
        <f t="shared" ca="1" si="177"/>
        <v>5</v>
      </c>
      <c r="AC416" s="508">
        <f t="shared" ca="1" si="188"/>
        <v>2250</v>
      </c>
      <c r="AD416" s="912">
        <f t="shared" ca="1" si="189"/>
        <v>100000</v>
      </c>
      <c r="AE416" s="512">
        <f t="shared" ca="1" si="190"/>
        <v>0</v>
      </c>
      <c r="AF416" s="512">
        <f t="shared" ca="1" si="191"/>
        <v>0</v>
      </c>
      <c r="AG416" s="512">
        <f t="shared" ca="1" si="192"/>
        <v>0</v>
      </c>
      <c r="AH416" s="512">
        <f t="shared" ca="1" si="193"/>
        <v>20000</v>
      </c>
      <c r="AI416" s="512">
        <f t="shared" ca="1" si="194"/>
        <v>20000</v>
      </c>
      <c r="AJ416" s="512">
        <f t="shared" ca="1" si="195"/>
        <v>20000</v>
      </c>
      <c r="AK416" s="512">
        <f t="shared" ca="1" si="196"/>
        <v>20000</v>
      </c>
      <c r="AL416" s="512">
        <f t="shared" ca="1" si="197"/>
        <v>20000</v>
      </c>
      <c r="AM416" s="512">
        <f t="shared" ca="1" si="198"/>
        <v>0</v>
      </c>
      <c r="AN416" s="512">
        <f t="shared" ca="1" si="199"/>
        <v>0</v>
      </c>
      <c r="AO416" s="512">
        <f t="shared" ca="1" si="200"/>
        <v>0</v>
      </c>
      <c r="AP416" s="512">
        <f t="shared" ca="1" si="201"/>
        <v>0</v>
      </c>
      <c r="AQ416" s="512" t="str">
        <f t="shared" ca="1" si="202"/>
        <v>Contrato</v>
      </c>
      <c r="AR416" s="512"/>
      <c r="AS416" s="512" t="str">
        <f t="shared" ca="1" si="203"/>
        <v>No</v>
      </c>
      <c r="AT416" s="151">
        <f t="shared" ca="1" si="204"/>
        <v>100000</v>
      </c>
      <c r="AU416" s="151">
        <f>IFERROR(VLOOKUP(A416,'[7]TD CuentasBDG'!$N$5:$O$21,2,0),0)</f>
        <v>0</v>
      </c>
      <c r="AV416" t="str">
        <f t="shared" ca="1" si="205"/>
        <v>Licitación</v>
      </c>
      <c r="AW416" t="s">
        <v>1669</v>
      </c>
      <c r="AX416" t="s">
        <v>1655</v>
      </c>
    </row>
    <row r="417" spans="1:50" ht="45" x14ac:dyDescent="0.25">
      <c r="A417" s="508" t="s">
        <v>2281</v>
      </c>
      <c r="B417" s="508" t="s">
        <v>172</v>
      </c>
      <c r="C417" s="508" t="s">
        <v>2278</v>
      </c>
      <c r="D417" s="508" t="s">
        <v>2279</v>
      </c>
      <c r="E417" s="508"/>
      <c r="F417" s="508"/>
      <c r="G417" s="508" t="s">
        <v>1647</v>
      </c>
      <c r="H417" s="508" t="s">
        <v>1372</v>
      </c>
      <c r="I417" s="508" t="s">
        <v>1360</v>
      </c>
      <c r="J417" s="555" t="s">
        <v>1650</v>
      </c>
      <c r="K417" s="555" t="s">
        <v>1651</v>
      </c>
      <c r="L417" s="911">
        <f ca="1">IFERROR(INDEX(Lists!$O$2:$Z$2,MATCH(TRUE,INDEX((AE417:AP417&lt;&gt;0),0),0)),DATE(2018,1,1))</f>
        <v>43132</v>
      </c>
      <c r="M417" s="911">
        <f ca="1">IFERROR(INDEX(Lists!$O$3:$Z$3, VALUE(SUBSTITUTE(TEXT(ADDRESS(SUMPRODUCT(MAX((COLUMN(AE417:AP417)*(AE417:AP417&gt;0)))),1),),"$A$",""))-30),DATE(2018,1,1))</f>
        <v>43465</v>
      </c>
      <c r="N417" s="508" t="s">
        <v>1683</v>
      </c>
      <c r="O417" s="508" t="s">
        <v>1653</v>
      </c>
      <c r="P417" s="508" t="s">
        <v>1071</v>
      </c>
      <c r="Q417" s="508" t="s">
        <v>1071</v>
      </c>
      <c r="R417" s="508">
        <f t="shared" ca="1" si="178"/>
        <v>3</v>
      </c>
      <c r="S417" s="508" t="str">
        <f t="shared" ca="1" si="179"/>
        <v>Servicio de Auditorías (contratistas e interna)</v>
      </c>
      <c r="T417" s="508" t="str">
        <f t="shared" ca="1" si="180"/>
        <v>Auditorías y Medición de desempeño a Contratistas y Auditorías internas.</v>
      </c>
      <c r="U417" s="508" t="str">
        <f t="shared" ca="1" si="181"/>
        <v>688 / 51-11-3353</v>
      </c>
      <c r="V417" s="508" t="str">
        <f t="shared" ca="1" si="182"/>
        <v>Bidding/Licitación</v>
      </c>
      <c r="W417" s="508">
        <f t="shared" ca="1" si="183"/>
        <v>0</v>
      </c>
      <c r="X417" s="508">
        <f t="shared" ca="1" si="184"/>
        <v>0</v>
      </c>
      <c r="Y417" s="508">
        <f t="shared" ca="1" si="185"/>
        <v>43101</v>
      </c>
      <c r="Z417" s="508">
        <f t="shared" ca="1" si="186"/>
        <v>43120</v>
      </c>
      <c r="AA417" s="508">
        <f t="shared" ca="1" si="187"/>
        <v>43141</v>
      </c>
      <c r="AB417" s="508">
        <f t="shared" ca="1" si="177"/>
        <v>11</v>
      </c>
      <c r="AC417" s="508">
        <f t="shared" ca="1" si="188"/>
        <v>600</v>
      </c>
      <c r="AD417" s="912">
        <f t="shared" ca="1" si="189"/>
        <v>44000</v>
      </c>
      <c r="AE417" s="512">
        <f t="shared" ca="1" si="190"/>
        <v>0</v>
      </c>
      <c r="AF417" s="512">
        <f t="shared" ca="1" si="191"/>
        <v>4000</v>
      </c>
      <c r="AG417" s="512">
        <f t="shared" ca="1" si="192"/>
        <v>4000</v>
      </c>
      <c r="AH417" s="512">
        <f t="shared" ca="1" si="193"/>
        <v>4000</v>
      </c>
      <c r="AI417" s="512">
        <f t="shared" ca="1" si="194"/>
        <v>4000</v>
      </c>
      <c r="AJ417" s="512">
        <f t="shared" ca="1" si="195"/>
        <v>4000</v>
      </c>
      <c r="AK417" s="512">
        <f t="shared" ca="1" si="196"/>
        <v>4000</v>
      </c>
      <c r="AL417" s="512">
        <f t="shared" ca="1" si="197"/>
        <v>4000</v>
      </c>
      <c r="AM417" s="512">
        <f t="shared" ca="1" si="198"/>
        <v>4000</v>
      </c>
      <c r="AN417" s="512">
        <f t="shared" ca="1" si="199"/>
        <v>4000</v>
      </c>
      <c r="AO417" s="512">
        <f t="shared" ca="1" si="200"/>
        <v>4000</v>
      </c>
      <c r="AP417" s="512">
        <f t="shared" ca="1" si="201"/>
        <v>4000</v>
      </c>
      <c r="AQ417" s="512" t="str">
        <f t="shared" ca="1" si="202"/>
        <v>Orden de Servicio Sin Terreno</v>
      </c>
      <c r="AR417" s="512"/>
      <c r="AS417" s="512" t="str">
        <f t="shared" ca="1" si="203"/>
        <v>No</v>
      </c>
      <c r="AT417" s="151">
        <f t="shared" ca="1" si="204"/>
        <v>44000</v>
      </c>
      <c r="AU417" s="151">
        <f>IFERROR(VLOOKUP(A417,'[7]TD CuentasBDG'!$N$5:$O$21,2,0),0)</f>
        <v>0</v>
      </c>
      <c r="AV417" t="str">
        <f t="shared" si="205"/>
        <v>Adjudicación Directa</v>
      </c>
      <c r="AW417" t="s">
        <v>1669</v>
      </c>
      <c r="AX417" t="s">
        <v>1655</v>
      </c>
    </row>
    <row r="418" spans="1:50" ht="45" x14ac:dyDescent="0.25">
      <c r="A418" s="508" t="s">
        <v>2282</v>
      </c>
      <c r="B418" s="508" t="s">
        <v>172</v>
      </c>
      <c r="C418" s="508" t="s">
        <v>2278</v>
      </c>
      <c r="D418" s="508" t="s">
        <v>2279</v>
      </c>
      <c r="E418" s="508"/>
      <c r="F418" s="508"/>
      <c r="G418" s="508" t="s">
        <v>1647</v>
      </c>
      <c r="H418" s="508" t="s">
        <v>1373</v>
      </c>
      <c r="I418" s="508" t="s">
        <v>1362</v>
      </c>
      <c r="J418" s="555" t="s">
        <v>1650</v>
      </c>
      <c r="K418" s="555" t="s">
        <v>1651</v>
      </c>
      <c r="L418" s="911">
        <f ca="1">IFERROR(INDEX(Lists!$O$2:$Z$2,MATCH(TRUE,INDEX((AE418:AP418&lt;&gt;0),0),0)),DATE(2018,1,1))</f>
        <v>43252</v>
      </c>
      <c r="M418" s="911">
        <f ca="1">IFERROR(INDEX(Lists!$O$3:$Z$3, VALUE(SUBSTITUTE(TEXT(ADDRESS(SUMPRODUCT(MAX((COLUMN(AE418:AP418)*(AE418:AP418&gt;0)))),1),),"$A$",""))-30),DATE(2018,1,1))</f>
        <v>43373</v>
      </c>
      <c r="N418" s="508" t="s">
        <v>1668</v>
      </c>
      <c r="O418" s="508" t="s">
        <v>1653</v>
      </c>
      <c r="P418" s="508" t="s">
        <v>1071</v>
      </c>
      <c r="Q418" s="508" t="s">
        <v>1071</v>
      </c>
      <c r="R418" s="508">
        <f t="shared" ca="1" si="178"/>
        <v>4</v>
      </c>
      <c r="S418" s="508" t="str">
        <f t="shared" ca="1" si="179"/>
        <v>Servicio Apoyo desarrollo Contrato EPCM</v>
      </c>
      <c r="T418" s="508" t="str">
        <f t="shared" ca="1" si="180"/>
        <v>Formación de Contrato para EPCM</v>
      </c>
      <c r="U418" s="508" t="str">
        <f t="shared" ca="1" si="181"/>
        <v>688 / 51-11-3353</v>
      </c>
      <c r="V418" s="508" t="str">
        <f t="shared" ca="1" si="182"/>
        <v>Bidding/Licitación</v>
      </c>
      <c r="W418" s="508">
        <f t="shared" ca="1" si="183"/>
        <v>0</v>
      </c>
      <c r="X418" s="508">
        <f t="shared" ca="1" si="184"/>
        <v>0</v>
      </c>
      <c r="Y418" s="508">
        <f t="shared" ca="1" si="185"/>
        <v>43160</v>
      </c>
      <c r="Z418" s="508">
        <f t="shared" ca="1" si="186"/>
        <v>43235</v>
      </c>
      <c r="AA418" s="508">
        <f t="shared" ca="1" si="187"/>
        <v>43252</v>
      </c>
      <c r="AB418" s="508">
        <f t="shared" ca="1" si="177"/>
        <v>4</v>
      </c>
      <c r="AC418" s="508">
        <f t="shared" ca="1" si="188"/>
        <v>2160</v>
      </c>
      <c r="AD418" s="912">
        <f t="shared" ca="1" si="189"/>
        <v>115000</v>
      </c>
      <c r="AE418" s="512">
        <f t="shared" ca="1" si="190"/>
        <v>0</v>
      </c>
      <c r="AF418" s="512">
        <f t="shared" ca="1" si="191"/>
        <v>0</v>
      </c>
      <c r="AG418" s="512">
        <f t="shared" ca="1" si="192"/>
        <v>0</v>
      </c>
      <c r="AH418" s="512">
        <f t="shared" ca="1" si="193"/>
        <v>0</v>
      </c>
      <c r="AI418" s="512">
        <f t="shared" ca="1" si="194"/>
        <v>0</v>
      </c>
      <c r="AJ418" s="512">
        <f t="shared" ca="1" si="195"/>
        <v>35000</v>
      </c>
      <c r="AK418" s="512">
        <f t="shared" ca="1" si="196"/>
        <v>35000</v>
      </c>
      <c r="AL418" s="512">
        <f t="shared" ca="1" si="197"/>
        <v>35000</v>
      </c>
      <c r="AM418" s="512">
        <f t="shared" ca="1" si="198"/>
        <v>10000</v>
      </c>
      <c r="AN418" s="512">
        <f t="shared" ca="1" si="199"/>
        <v>0</v>
      </c>
      <c r="AO418" s="512">
        <f t="shared" ca="1" si="200"/>
        <v>0</v>
      </c>
      <c r="AP418" s="512">
        <f t="shared" ca="1" si="201"/>
        <v>0</v>
      </c>
      <c r="AQ418" s="512" t="str">
        <f t="shared" ca="1" si="202"/>
        <v>Contrato</v>
      </c>
      <c r="AR418" s="512"/>
      <c r="AS418" s="512" t="str">
        <f t="shared" ca="1" si="203"/>
        <v>No</v>
      </c>
      <c r="AT418" s="151">
        <f t="shared" ca="1" si="204"/>
        <v>115000</v>
      </c>
      <c r="AU418" s="151">
        <f>IFERROR(VLOOKUP(A418,'[7]TD CuentasBDG'!$N$5:$O$21,2,0),0)</f>
        <v>0</v>
      </c>
      <c r="AV418" t="str">
        <f t="shared" ca="1" si="205"/>
        <v>Licitación</v>
      </c>
      <c r="AW418" t="s">
        <v>1669</v>
      </c>
      <c r="AX418" t="s">
        <v>1655</v>
      </c>
    </row>
    <row r="419" spans="1:50" ht="75" x14ac:dyDescent="0.25">
      <c r="A419" s="508" t="s">
        <v>2283</v>
      </c>
      <c r="B419" s="508" t="s">
        <v>172</v>
      </c>
      <c r="C419" s="508" t="s">
        <v>2278</v>
      </c>
      <c r="D419" s="508" t="s">
        <v>2279</v>
      </c>
      <c r="E419" s="508"/>
      <c r="F419" s="508"/>
      <c r="G419" s="508" t="s">
        <v>1647</v>
      </c>
      <c r="H419" s="508" t="s">
        <v>1374</v>
      </c>
      <c r="I419" s="508" t="s">
        <v>2284</v>
      </c>
      <c r="J419" s="555" t="s">
        <v>1650</v>
      </c>
      <c r="K419" s="555" t="s">
        <v>1651</v>
      </c>
      <c r="L419" s="911">
        <f ca="1">IFERROR(INDEX(Lists!$O$2:$Z$2,MATCH(TRUE,INDEX((AE419:AP419&lt;&gt;0),0),0)),DATE(2018,1,1))</f>
        <v>43221</v>
      </c>
      <c r="M419" s="911">
        <f ca="1">IFERROR(INDEX(Lists!$O$3:$Z$3, VALUE(SUBSTITUTE(TEXT(ADDRESS(SUMPRODUCT(MAX((COLUMN(AE419:AP419)*(AE419:AP419&gt;0)))),1),),"$A$",""))-30),DATE(2018,1,1))</f>
        <v>43343</v>
      </c>
      <c r="N419" s="508" t="s">
        <v>1652</v>
      </c>
      <c r="O419" s="508" t="s">
        <v>1653</v>
      </c>
      <c r="P419" s="508" t="s">
        <v>1071</v>
      </c>
      <c r="Q419" s="508" t="s">
        <v>1071</v>
      </c>
      <c r="R419" s="508">
        <f t="shared" ca="1" si="178"/>
        <v>5</v>
      </c>
      <c r="S419" s="508" t="str">
        <f t="shared" ca="1" si="179"/>
        <v>Servicio de desarrollo web</v>
      </c>
      <c r="T419" s="508" t="str">
        <f t="shared" ca="1" si="180"/>
        <v>Creación de Portal de Proveedores que permita realizar procesos en línea, Gestión de Aprobación de Estados de Pago, Procesos de cotización y licitación.</v>
      </c>
      <c r="U419" s="508" t="str">
        <f t="shared" ca="1" si="181"/>
        <v>688 / 51-11-3353</v>
      </c>
      <c r="V419" s="508" t="str">
        <f t="shared" ca="1" si="182"/>
        <v>Current Contract/Contrato Activo</v>
      </c>
      <c r="W419" s="508" t="str">
        <f t="shared" ca="1" si="183"/>
        <v>Visualmente</v>
      </c>
      <c r="X419" s="508">
        <f t="shared" ca="1" si="184"/>
        <v>0</v>
      </c>
      <c r="Y419" s="508">
        <f t="shared" ca="1" si="185"/>
        <v>0</v>
      </c>
      <c r="Z419" s="508">
        <f t="shared" ca="1" si="186"/>
        <v>0</v>
      </c>
      <c r="AA419" s="508">
        <f t="shared" ca="1" si="187"/>
        <v>0</v>
      </c>
      <c r="AB419" s="508">
        <f t="shared" ca="1" si="177"/>
        <v>4</v>
      </c>
      <c r="AC419" s="508">
        <f t="shared" ca="1" si="188"/>
        <v>2880</v>
      </c>
      <c r="AD419" s="912">
        <f t="shared" ca="1" si="189"/>
        <v>60000</v>
      </c>
      <c r="AE419" s="512">
        <f t="shared" ca="1" si="190"/>
        <v>0</v>
      </c>
      <c r="AF419" s="512">
        <f t="shared" ca="1" si="191"/>
        <v>0</v>
      </c>
      <c r="AG419" s="512">
        <f t="shared" ca="1" si="192"/>
        <v>0</v>
      </c>
      <c r="AH419" s="512">
        <f t="shared" ca="1" si="193"/>
        <v>0</v>
      </c>
      <c r="AI419" s="512">
        <f t="shared" ca="1" si="194"/>
        <v>15000</v>
      </c>
      <c r="AJ419" s="512">
        <f t="shared" ca="1" si="195"/>
        <v>15000</v>
      </c>
      <c r="AK419" s="512">
        <f t="shared" ca="1" si="196"/>
        <v>15000</v>
      </c>
      <c r="AL419" s="512">
        <f t="shared" ca="1" si="197"/>
        <v>15000</v>
      </c>
      <c r="AM419" s="512">
        <f t="shared" ca="1" si="198"/>
        <v>0</v>
      </c>
      <c r="AN419" s="512">
        <f t="shared" ca="1" si="199"/>
        <v>0</v>
      </c>
      <c r="AO419" s="512">
        <f t="shared" ca="1" si="200"/>
        <v>0</v>
      </c>
      <c r="AP419" s="512">
        <f t="shared" ca="1" si="201"/>
        <v>0</v>
      </c>
      <c r="AQ419" s="512" t="str">
        <f t="shared" ca="1" si="202"/>
        <v>Orden de Servicio Sin Terreno</v>
      </c>
      <c r="AR419" s="512"/>
      <c r="AS419" s="512" t="str">
        <f t="shared" ca="1" si="203"/>
        <v>Si</v>
      </c>
      <c r="AT419" s="151">
        <f t="shared" ca="1" si="204"/>
        <v>60000</v>
      </c>
      <c r="AU419" s="151">
        <f>IFERROR(VLOOKUP(A419,'[7]TD CuentasBDG'!$N$5:$O$21,2,0),0)</f>
        <v>0</v>
      </c>
      <c r="AV419" t="str">
        <f t="shared" si="205"/>
        <v>Renovación de Contrato</v>
      </c>
      <c r="AW419" t="s">
        <v>1669</v>
      </c>
      <c r="AX419" t="s">
        <v>1655</v>
      </c>
    </row>
    <row r="420" spans="1:50" ht="60" x14ac:dyDescent="0.25">
      <c r="A420" s="508" t="s">
        <v>2285</v>
      </c>
      <c r="B420" s="508" t="s">
        <v>172</v>
      </c>
      <c r="C420" s="508" t="s">
        <v>2278</v>
      </c>
      <c r="D420" s="508" t="s">
        <v>2279</v>
      </c>
      <c r="E420" s="508"/>
      <c r="F420" s="508"/>
      <c r="G420" s="508" t="s">
        <v>1647</v>
      </c>
      <c r="H420" s="508" t="s">
        <v>1374</v>
      </c>
      <c r="I420" s="508" t="s">
        <v>2286</v>
      </c>
      <c r="J420" s="555" t="s">
        <v>1650</v>
      </c>
      <c r="K420" s="555" t="s">
        <v>1651</v>
      </c>
      <c r="L420" s="911">
        <f ca="1">IFERROR(INDEX(Lists!$O$2:$Z$2,MATCH(TRUE,INDEX((AE420:AP420&lt;&gt;0),0),0)),DATE(2018,1,1))</f>
        <v>43102</v>
      </c>
      <c r="M420" s="911">
        <f ca="1">IFERROR(INDEX(Lists!$O$3:$Z$3, VALUE(SUBSTITUTE(TEXT(ADDRESS(SUMPRODUCT(MAX((COLUMN(AE420:AP420)*(AE420:AP420&gt;0)))),1),),"$A$",""))-30),DATE(2018,1,1))</f>
        <v>43220</v>
      </c>
      <c r="N420" s="508" t="s">
        <v>1683</v>
      </c>
      <c r="O420" s="508" t="s">
        <v>1653</v>
      </c>
      <c r="P420" s="508" t="s">
        <v>1071</v>
      </c>
      <c r="Q420" s="508" t="s">
        <v>1071</v>
      </c>
      <c r="R420" s="508">
        <f t="shared" ca="1" si="178"/>
        <v>6</v>
      </c>
      <c r="S420" s="508" t="str">
        <f t="shared" ca="1" si="179"/>
        <v>Servicio de desarrollo web</v>
      </c>
      <c r="T420" s="508" t="str">
        <f t="shared" ca="1" si="180"/>
        <v>Creación de Reportabilidad en línea sobre estatus de Contratos y medición de desempeños, ( Power BI)</v>
      </c>
      <c r="U420" s="508" t="str">
        <f t="shared" ca="1" si="181"/>
        <v>688 / 51-11-3353</v>
      </c>
      <c r="V420" s="508" t="str">
        <f t="shared" ca="1" si="182"/>
        <v>Sole Source/Adjudicación Directa</v>
      </c>
      <c r="W420" s="508" t="str">
        <f t="shared" ca="1" si="183"/>
        <v>Metrics Arts</v>
      </c>
      <c r="X420" s="508">
        <f t="shared" ca="1" si="184"/>
        <v>0</v>
      </c>
      <c r="Y420" s="508">
        <f t="shared" ca="1" si="185"/>
        <v>0</v>
      </c>
      <c r="Z420" s="508">
        <f t="shared" ca="1" si="186"/>
        <v>0</v>
      </c>
      <c r="AA420" s="508">
        <f t="shared" ca="1" si="187"/>
        <v>0</v>
      </c>
      <c r="AB420" s="508">
        <f t="shared" ca="1" si="177"/>
        <v>4</v>
      </c>
      <c r="AC420" s="508">
        <f t="shared" ca="1" si="188"/>
        <v>1440</v>
      </c>
      <c r="AD420" s="912">
        <f t="shared" ca="1" si="189"/>
        <v>40000</v>
      </c>
      <c r="AE420" s="512">
        <f t="shared" ca="1" si="190"/>
        <v>10000</v>
      </c>
      <c r="AF420" s="512">
        <f t="shared" ca="1" si="191"/>
        <v>10000</v>
      </c>
      <c r="AG420" s="512">
        <f t="shared" ca="1" si="192"/>
        <v>10000</v>
      </c>
      <c r="AH420" s="512">
        <f t="shared" ca="1" si="193"/>
        <v>10000</v>
      </c>
      <c r="AI420" s="512">
        <f t="shared" ca="1" si="194"/>
        <v>0</v>
      </c>
      <c r="AJ420" s="512">
        <f t="shared" ca="1" si="195"/>
        <v>0</v>
      </c>
      <c r="AK420" s="512">
        <f t="shared" ca="1" si="196"/>
        <v>0</v>
      </c>
      <c r="AL420" s="512">
        <f t="shared" ca="1" si="197"/>
        <v>0</v>
      </c>
      <c r="AM420" s="512">
        <f t="shared" ca="1" si="198"/>
        <v>0</v>
      </c>
      <c r="AN420" s="512">
        <f t="shared" ca="1" si="199"/>
        <v>0</v>
      </c>
      <c r="AO420" s="512">
        <f t="shared" ca="1" si="200"/>
        <v>0</v>
      </c>
      <c r="AP420" s="512">
        <f t="shared" ca="1" si="201"/>
        <v>0</v>
      </c>
      <c r="AQ420" s="512" t="str">
        <f t="shared" ca="1" si="202"/>
        <v>Orden de Servicio Sin Terreno</v>
      </c>
      <c r="AR420" s="512"/>
      <c r="AS420" s="512" t="str">
        <f t="shared" ca="1" si="203"/>
        <v>No</v>
      </c>
      <c r="AT420" s="151">
        <f t="shared" ca="1" si="204"/>
        <v>40000</v>
      </c>
      <c r="AU420" s="151">
        <f>IFERROR(VLOOKUP(A420,'[7]TD CuentasBDG'!$N$5:$O$21,2,0),0)</f>
        <v>0</v>
      </c>
      <c r="AV420" t="str">
        <f t="shared" si="205"/>
        <v>Adjudicación Directa</v>
      </c>
      <c r="AW420" t="s">
        <v>1669</v>
      </c>
      <c r="AX420" t="s">
        <v>1655</v>
      </c>
    </row>
    <row r="421" spans="1:50" ht="60" x14ac:dyDescent="0.25">
      <c r="A421" s="508" t="s">
        <v>2287</v>
      </c>
      <c r="B421" s="508" t="s">
        <v>172</v>
      </c>
      <c r="C421" s="508" t="s">
        <v>2278</v>
      </c>
      <c r="D421" s="508" t="s">
        <v>2279</v>
      </c>
      <c r="E421" s="508"/>
      <c r="F421" s="508"/>
      <c r="G421" s="508" t="s">
        <v>1647</v>
      </c>
      <c r="H421" s="508" t="s">
        <v>1377</v>
      </c>
      <c r="I421" s="508" t="s">
        <v>1368</v>
      </c>
      <c r="J421" s="555" t="s">
        <v>1650</v>
      </c>
      <c r="K421" s="555" t="s">
        <v>1651</v>
      </c>
      <c r="L421" s="911">
        <f ca="1">IFERROR(INDEX(Lists!$O$2:$Z$2,MATCH(TRUE,INDEX((AE421:AP421&lt;&gt;0),0),0)),DATE(2018,1,1))</f>
        <v>43221</v>
      </c>
      <c r="M421" s="911">
        <f ca="1">IFERROR(INDEX(Lists!$O$3:$Z$3, VALUE(SUBSTITUTE(TEXT(ADDRESS(SUMPRODUCT(MAX((COLUMN(AE421:AP421)*(AE421:AP421&gt;0)))),1),),"$A$",""))-30),DATE(2018,1,1))</f>
        <v>43465</v>
      </c>
      <c r="N421" s="508" t="s">
        <v>1668</v>
      </c>
      <c r="O421" s="508" t="s">
        <v>1653</v>
      </c>
      <c r="P421" s="508" t="s">
        <v>1071</v>
      </c>
      <c r="Q421" s="508" t="s">
        <v>1071</v>
      </c>
      <c r="R421" s="508">
        <f t="shared" ca="1" si="178"/>
        <v>7</v>
      </c>
      <c r="S421" s="508" t="str">
        <f t="shared" ca="1" si="179"/>
        <v>Servicio de Capacitación</v>
      </c>
      <c r="T421" s="508" t="str">
        <f t="shared" ca="1" si="180"/>
        <v>Capacitación de Proveedores locales en temas Administrativos-Comerciales por medio de desarrollo de talleres y cursos</v>
      </c>
      <c r="U421" s="508" t="str">
        <f t="shared" ca="1" si="181"/>
        <v>688 / 51-11-3353</v>
      </c>
      <c r="V421" s="508" t="str">
        <f t="shared" ca="1" si="182"/>
        <v>Bidding/Licitación</v>
      </c>
      <c r="W421" s="508">
        <f t="shared" ca="1" si="183"/>
        <v>0</v>
      </c>
      <c r="X421" s="508">
        <f t="shared" ca="1" si="184"/>
        <v>0</v>
      </c>
      <c r="Y421" s="508">
        <f t="shared" ca="1" si="185"/>
        <v>43132</v>
      </c>
      <c r="Z421" s="508">
        <f t="shared" ca="1" si="186"/>
        <v>43205</v>
      </c>
      <c r="AA421" s="508">
        <f t="shared" ca="1" si="187"/>
        <v>43221</v>
      </c>
      <c r="AB421" s="508">
        <f t="shared" ca="1" si="177"/>
        <v>8</v>
      </c>
      <c r="AC421" s="508">
        <f t="shared" ca="1" si="188"/>
        <v>7200</v>
      </c>
      <c r="AD421" s="912">
        <f t="shared" ca="1" si="189"/>
        <v>64000</v>
      </c>
      <c r="AE421" s="512">
        <f t="shared" ca="1" si="190"/>
        <v>0</v>
      </c>
      <c r="AF421" s="512">
        <f t="shared" ca="1" si="191"/>
        <v>0</v>
      </c>
      <c r="AG421" s="512">
        <f t="shared" ca="1" si="192"/>
        <v>0</v>
      </c>
      <c r="AH421" s="512">
        <f t="shared" ca="1" si="193"/>
        <v>0</v>
      </c>
      <c r="AI421" s="512">
        <f t="shared" ca="1" si="194"/>
        <v>8000</v>
      </c>
      <c r="AJ421" s="512">
        <f t="shared" ca="1" si="195"/>
        <v>8000</v>
      </c>
      <c r="AK421" s="512">
        <f t="shared" ca="1" si="196"/>
        <v>8000</v>
      </c>
      <c r="AL421" s="512">
        <f t="shared" ca="1" si="197"/>
        <v>8000</v>
      </c>
      <c r="AM421" s="512">
        <f t="shared" ca="1" si="198"/>
        <v>8000</v>
      </c>
      <c r="AN421" s="512">
        <f t="shared" ca="1" si="199"/>
        <v>8000</v>
      </c>
      <c r="AO421" s="512">
        <f t="shared" ca="1" si="200"/>
        <v>8000</v>
      </c>
      <c r="AP421" s="512">
        <f t="shared" ca="1" si="201"/>
        <v>8000</v>
      </c>
      <c r="AQ421" s="512" t="str">
        <f t="shared" ca="1" si="202"/>
        <v>Orden de Servicio Sin Terreno</v>
      </c>
      <c r="AR421" s="512"/>
      <c r="AS421" s="512" t="str">
        <f t="shared" ca="1" si="203"/>
        <v>No</v>
      </c>
      <c r="AT421" s="151">
        <f t="shared" ca="1" si="204"/>
        <v>64000</v>
      </c>
      <c r="AU421" s="151">
        <f>IFERROR(VLOOKUP(A421,'[7]TD CuentasBDG'!$N$5:$O$21,2,0),0)</f>
        <v>0</v>
      </c>
      <c r="AV421" t="str">
        <f t="shared" ca="1" si="205"/>
        <v>Licitación</v>
      </c>
      <c r="AW421" t="s">
        <v>1669</v>
      </c>
      <c r="AX421" t="s">
        <v>1655</v>
      </c>
    </row>
    <row r="422" spans="1:50" ht="30" x14ac:dyDescent="0.25">
      <c r="A422" s="508" t="s">
        <v>2288</v>
      </c>
      <c r="B422" s="508" t="s">
        <v>172</v>
      </c>
      <c r="C422" s="508" t="s">
        <v>2278</v>
      </c>
      <c r="D422" s="508" t="s">
        <v>2279</v>
      </c>
      <c r="E422" s="508"/>
      <c r="F422" s="508"/>
      <c r="G422" s="508" t="s">
        <v>1665</v>
      </c>
      <c r="H422" s="508"/>
      <c r="I422" s="508"/>
      <c r="J422" s="555"/>
      <c r="K422" s="555"/>
      <c r="L422" s="911">
        <f ca="1">IFERROR(INDEX(Lists!$O$2:$Z$2,MATCH(TRUE,INDEX((AE422:AP422&lt;&gt;0),0),0)),DATE(2018,1,1))</f>
        <v>43101</v>
      </c>
      <c r="M422" s="911">
        <f ca="1">IFERROR(INDEX(Lists!$O$3:$Z$3, VALUE(SUBSTITUTE(TEXT(ADDRESS(SUMPRODUCT(MAX((COLUMN(AE422:AP422)*(AE422:AP422&gt;0)))),1),),"$A$",""))-30),DATE(2018,1,1))</f>
        <v>43101</v>
      </c>
      <c r="N422" s="508"/>
      <c r="O422" s="508"/>
      <c r="P422" s="508"/>
      <c r="Q422" s="508"/>
      <c r="R422" s="508">
        <f t="shared" ca="1" si="178"/>
        <v>8</v>
      </c>
      <c r="S422" s="508">
        <f t="shared" ca="1" si="179"/>
        <v>0</v>
      </c>
      <c r="T422" s="508" t="str">
        <f t="shared" ca="1" si="180"/>
        <v>Otras Actividades Servicios</v>
      </c>
      <c r="U422" s="508">
        <f t="shared" ca="1" si="181"/>
        <v>0</v>
      </c>
      <c r="V422" s="508">
        <f t="shared" ca="1" si="182"/>
        <v>0</v>
      </c>
      <c r="W422" s="508">
        <f t="shared" ca="1" si="183"/>
        <v>0</v>
      </c>
      <c r="X422" s="508">
        <f t="shared" ca="1" si="184"/>
        <v>0</v>
      </c>
      <c r="Y422" s="508">
        <f t="shared" ca="1" si="185"/>
        <v>0</v>
      </c>
      <c r="Z422" s="508">
        <f t="shared" ca="1" si="186"/>
        <v>0</v>
      </c>
      <c r="AA422" s="508">
        <f t="shared" ca="1" si="187"/>
        <v>0</v>
      </c>
      <c r="AB422" s="508">
        <f t="shared" ca="1" si="177"/>
        <v>1</v>
      </c>
      <c r="AC422" s="508">
        <f t="shared" ca="1" si="188"/>
        <v>0</v>
      </c>
      <c r="AD422" s="912">
        <f t="shared" ca="1" si="189"/>
        <v>532000</v>
      </c>
      <c r="AE422" s="512">
        <f t="shared" ca="1" si="190"/>
        <v>0</v>
      </c>
      <c r="AF422" s="512">
        <f t="shared" ca="1" si="191"/>
        <v>0</v>
      </c>
      <c r="AG422" s="512">
        <f t="shared" ca="1" si="192"/>
        <v>0</v>
      </c>
      <c r="AH422" s="512">
        <f t="shared" ca="1" si="193"/>
        <v>0</v>
      </c>
      <c r="AI422" s="512">
        <f t="shared" ca="1" si="194"/>
        <v>0</v>
      </c>
      <c r="AJ422" s="512">
        <f t="shared" ca="1" si="195"/>
        <v>0</v>
      </c>
      <c r="AK422" s="512">
        <f t="shared" ca="1" si="196"/>
        <v>0</v>
      </c>
      <c r="AL422" s="512">
        <f t="shared" ca="1" si="197"/>
        <v>0</v>
      </c>
      <c r="AM422" s="512">
        <f t="shared" ca="1" si="198"/>
        <v>0</v>
      </c>
      <c r="AN422" s="512">
        <f t="shared" ca="1" si="199"/>
        <v>0</v>
      </c>
      <c r="AO422" s="512">
        <f t="shared" ca="1" si="200"/>
        <v>0</v>
      </c>
      <c r="AP422" s="512">
        <f t="shared" ca="1" si="201"/>
        <v>0</v>
      </c>
      <c r="AQ422" s="512" t="str">
        <f t="shared" si="202"/>
        <v/>
      </c>
      <c r="AR422" s="512"/>
      <c r="AS422" s="512" t="str">
        <f t="shared" si="203"/>
        <v/>
      </c>
      <c r="AT422" s="151">
        <f t="shared" si="204"/>
        <v>0</v>
      </c>
      <c r="AU422" s="151">
        <f>IFERROR(VLOOKUP(A422,'[7]TD CuentasBDG'!$N$5:$O$21,2,0),0)</f>
        <v>0</v>
      </c>
      <c r="AV422">
        <f t="shared" si="205"/>
        <v>0</v>
      </c>
    </row>
  </sheetData>
  <autoFilter ref="A1:AZ423"/>
  <pageMargins left="0.7" right="0.7" top="0.75" bottom="0.75" header="0.3" footer="0.3"/>
  <pageSetup paperSize="17" scale="20"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A1:H92"/>
  <sheetViews>
    <sheetView showGridLines="0" view="pageLayout" zoomScale="80" zoomScaleNormal="70" zoomScaleSheetLayoutView="80" zoomScalePageLayoutView="80" workbookViewId="0">
      <selection activeCell="G19" sqref="G19"/>
    </sheetView>
  </sheetViews>
  <sheetFormatPr baseColWidth="10" defaultColWidth="11.42578125" defaultRowHeight="14.25" outlineLevelRow="1" x14ac:dyDescent="0.25"/>
  <cols>
    <col min="1" max="1" width="32" style="9" customWidth="1"/>
    <col min="2" max="2" width="25.5703125" style="9" customWidth="1"/>
    <col min="3" max="3" width="39.28515625" style="9" customWidth="1"/>
    <col min="4" max="4" width="17.5703125" style="9" customWidth="1"/>
    <col min="5" max="6" width="17.7109375" style="9" customWidth="1"/>
    <col min="7" max="7" width="15.7109375" style="9" customWidth="1"/>
    <col min="8" max="16384" width="11.42578125" style="9"/>
  </cols>
  <sheetData>
    <row r="1" spans="1:8" s="1" customFormat="1" ht="36.6" customHeight="1" x14ac:dyDescent="0.25">
      <c r="A1" s="416"/>
      <c r="B1" s="416"/>
      <c r="C1" s="416"/>
      <c r="D1" s="416"/>
      <c r="E1" s="416"/>
      <c r="F1" s="416"/>
      <c r="G1" s="416"/>
    </row>
    <row r="2" spans="1:8" ht="24.75" customHeight="1" x14ac:dyDescent="0.25">
      <c r="A2" s="400"/>
      <c r="B2" s="400"/>
      <c r="C2" s="400"/>
      <c r="D2" s="400"/>
      <c r="E2" s="400"/>
      <c r="F2" s="400"/>
      <c r="G2" s="400"/>
    </row>
    <row r="3" spans="1:8" ht="36.6" customHeight="1" x14ac:dyDescent="0.25">
      <c r="A3" s="997" t="s">
        <v>1432</v>
      </c>
      <c r="B3" s="998"/>
      <c r="C3" s="998"/>
      <c r="D3" s="998"/>
      <c r="E3" s="998"/>
      <c r="F3" s="998"/>
      <c r="G3" s="998"/>
      <c r="H3" s="600"/>
    </row>
    <row r="4" spans="1:8" ht="15" x14ac:dyDescent="0.25">
      <c r="A4" s="420" t="s">
        <v>6</v>
      </c>
      <c r="B4" s="420"/>
      <c r="C4" s="420"/>
      <c r="D4" s="420"/>
      <c r="E4" s="420"/>
      <c r="F4" s="420"/>
      <c r="G4" s="421"/>
    </row>
    <row r="5" spans="1:8" ht="15" x14ac:dyDescent="0.25">
      <c r="A5" s="423" t="str">
        <f>+Administration!B8</f>
        <v>Administration</v>
      </c>
      <c r="B5" s="424"/>
      <c r="C5" s="424"/>
      <c r="D5" s="425"/>
      <c r="E5" s="425"/>
      <c r="F5" s="425"/>
      <c r="G5" s="426" t="s">
        <v>7</v>
      </c>
    </row>
    <row r="6" spans="1:8" ht="15" x14ac:dyDescent="0.25">
      <c r="A6" s="428" t="s">
        <v>1431</v>
      </c>
      <c r="B6" s="425"/>
      <c r="C6" s="428" t="s">
        <v>8</v>
      </c>
      <c r="D6" s="428"/>
      <c r="E6" s="428"/>
      <c r="F6" s="428"/>
      <c r="G6" s="429">
        <v>43102</v>
      </c>
    </row>
    <row r="7" spans="1:8" ht="15" x14ac:dyDescent="0.25">
      <c r="A7" s="432" t="str">
        <f>+Administration!B10</f>
        <v xml:space="preserve">681 Project Team </v>
      </c>
      <c r="B7" s="433"/>
      <c r="C7" s="423" t="str">
        <f>+Administration!D10</f>
        <v>Julio Retamal</v>
      </c>
      <c r="D7" s="425"/>
      <c r="E7" s="425"/>
      <c r="F7" s="425"/>
      <c r="G7" s="427"/>
    </row>
    <row r="8" spans="1:8" ht="15" x14ac:dyDescent="0.25">
      <c r="A8" s="434" t="s">
        <v>10</v>
      </c>
      <c r="B8" s="433"/>
      <c r="C8" s="434"/>
      <c r="D8" s="434"/>
      <c r="E8" s="434"/>
      <c r="F8" s="434"/>
      <c r="G8" s="435" t="s">
        <v>11</v>
      </c>
    </row>
    <row r="9" spans="1:8" ht="15" x14ac:dyDescent="0.25">
      <c r="A9" s="436">
        <f>+Administration!B12</f>
        <v>43313</v>
      </c>
      <c r="B9" s="433"/>
      <c r="C9" s="434"/>
      <c r="D9" s="425"/>
      <c r="E9" s="425"/>
      <c r="F9" s="425"/>
      <c r="G9" s="429">
        <v>43465</v>
      </c>
    </row>
    <row r="10" spans="1:8" ht="15" x14ac:dyDescent="0.25">
      <c r="A10" s="438"/>
      <c r="B10" s="439"/>
      <c r="C10" s="439"/>
      <c r="D10" s="439"/>
      <c r="E10" s="439"/>
      <c r="F10" s="439"/>
      <c r="G10" s="440"/>
    </row>
    <row r="11" spans="1:8" ht="6.75" customHeight="1" x14ac:dyDescent="0.25">
      <c r="A11" s="400"/>
      <c r="B11" s="400"/>
      <c r="C11" s="400"/>
      <c r="D11" s="400"/>
      <c r="E11" s="400"/>
      <c r="F11" s="400"/>
      <c r="G11" s="400"/>
    </row>
    <row r="12" spans="1:8" ht="15" x14ac:dyDescent="0.25">
      <c r="A12" s="997" t="s">
        <v>12</v>
      </c>
      <c r="B12" s="998"/>
      <c r="C12" s="998"/>
      <c r="D12" s="998"/>
      <c r="E12" s="998"/>
      <c r="F12" s="998"/>
      <c r="G12" s="998"/>
    </row>
    <row r="13" spans="1:8" ht="15" outlineLevel="1" x14ac:dyDescent="0.25">
      <c r="A13" s="442" t="s">
        <v>13</v>
      </c>
      <c r="B13" s="442" t="s">
        <v>14</v>
      </c>
      <c r="C13" s="403" t="s">
        <v>15</v>
      </c>
      <c r="D13" s="404" t="s">
        <v>16</v>
      </c>
      <c r="E13" s="404" t="s">
        <v>17</v>
      </c>
      <c r="F13" s="404" t="s">
        <v>18</v>
      </c>
      <c r="G13" s="404" t="s">
        <v>825</v>
      </c>
    </row>
    <row r="14" spans="1:8" ht="15" outlineLevel="1" x14ac:dyDescent="0.25">
      <c r="A14" s="444" t="str">
        <f>+Administration!B17</f>
        <v>Objective 1</v>
      </c>
      <c r="B14" s="444" t="str">
        <f>+Administration!C17</f>
        <v>Santiago Office</v>
      </c>
      <c r="C14" s="405" t="str">
        <f>+Administration!D17</f>
        <v>Santiago Office</v>
      </c>
      <c r="D14" s="406" t="str">
        <f>+Administration!E17</f>
        <v>682 / 51-11-3306</v>
      </c>
      <c r="E14" s="406">
        <f>+Administration!L17</f>
        <v>0</v>
      </c>
      <c r="F14" s="407">
        <f>+Administration!M17</f>
        <v>60</v>
      </c>
      <c r="G14" s="406">
        <f>+Administration!N17</f>
        <v>634400</v>
      </c>
    </row>
    <row r="15" spans="1:8" ht="15" outlineLevel="1" x14ac:dyDescent="0.25">
      <c r="A15" s="444" t="str">
        <f>+Administration!B18</f>
        <v>Objective 2</v>
      </c>
      <c r="B15" s="444" t="str">
        <f>+Administration!C18</f>
        <v>Labor Relations</v>
      </c>
      <c r="C15" s="405" t="str">
        <f>+Administration!D18</f>
        <v>Labor Relations</v>
      </c>
      <c r="D15" s="406" t="str">
        <f>+Administration!E18</f>
        <v>682 / 51-11-3302</v>
      </c>
      <c r="E15" s="406">
        <f>+Administration!L18</f>
        <v>0</v>
      </c>
      <c r="F15" s="407">
        <f>+Administration!M18</f>
        <v>12</v>
      </c>
      <c r="G15" s="406">
        <f>+Administration!N18</f>
        <v>1096900</v>
      </c>
    </row>
    <row r="16" spans="1:8" ht="15" outlineLevel="1" x14ac:dyDescent="0.25">
      <c r="A16" s="444" t="str">
        <f>+Administration!B19</f>
        <v>Objective 3</v>
      </c>
      <c r="B16" s="444" t="str">
        <f>+Administration!C19</f>
        <v>Travel International</v>
      </c>
      <c r="C16" s="405" t="str">
        <f>+Administration!D19</f>
        <v>Travel International</v>
      </c>
      <c r="D16" s="406" t="str">
        <f>+Administration!E19</f>
        <v>682 / 51-11-3303</v>
      </c>
      <c r="E16" s="406">
        <f>+Administration!L19</f>
        <v>0</v>
      </c>
      <c r="F16" s="407">
        <f>+Administration!M19</f>
        <v>12</v>
      </c>
      <c r="G16" s="406">
        <f>+Administration!N19</f>
        <v>1500000</v>
      </c>
    </row>
    <row r="17" spans="1:7" ht="15" outlineLevel="1" x14ac:dyDescent="0.25">
      <c r="A17" s="444" t="str">
        <f>+Administration!B20</f>
        <v>Objective 4</v>
      </c>
      <c r="B17" s="444" t="str">
        <f>+Administration!C20</f>
        <v xml:space="preserve">Travel Domestic </v>
      </c>
      <c r="C17" s="405" t="str">
        <f>IF(Administration!D20="","",Administration!D20)</f>
        <v xml:space="preserve">Travel Domestic </v>
      </c>
      <c r="D17" s="406" t="str">
        <f>IF(Administration!E20="","",Administration!E20)</f>
        <v>682 / 51-11-3304</v>
      </c>
      <c r="E17" s="406">
        <f>+Administration!L20</f>
        <v>0</v>
      </c>
      <c r="F17" s="407">
        <f>+Administration!M20</f>
        <v>0</v>
      </c>
      <c r="G17" s="406">
        <f>IF(Administration!N20="","",Administration!N20)</f>
        <v>414784.61538461549</v>
      </c>
    </row>
    <row r="18" spans="1:7" ht="15" outlineLevel="1" x14ac:dyDescent="0.25">
      <c r="A18" s="444"/>
      <c r="B18" s="444"/>
      <c r="C18" s="405" t="str">
        <f>IF(Administration!D26="","",Administration!D26)</f>
        <v/>
      </c>
      <c r="D18" s="406" t="str">
        <f>IF(Administration!E26="","",Administration!E26)</f>
        <v/>
      </c>
      <c r="E18" s="406" t="str">
        <f>IF(Administration!L26="","",Administration!L26)</f>
        <v/>
      </c>
      <c r="F18" s="410" t="str">
        <f>IF(Administration!M26="","",Administration!M26)</f>
        <v/>
      </c>
      <c r="G18" s="411" t="str">
        <f>IF(Administration!N26="","",Administration!N26)</f>
        <v/>
      </c>
    </row>
    <row r="19" spans="1:7" ht="15" outlineLevel="1" x14ac:dyDescent="0.25">
      <c r="A19" s="413"/>
      <c r="B19" s="413"/>
      <c r="C19" s="414"/>
      <c r="D19" s="415"/>
      <c r="E19" s="404">
        <f>+Administration!L27</f>
        <v>12</v>
      </c>
      <c r="F19" s="404">
        <f>SUM(F1:F18)</f>
        <v>84</v>
      </c>
      <c r="G19" s="404">
        <f t="shared" ref="G19" si="0">SUM(G13:G18)</f>
        <v>3646084.6153846155</v>
      </c>
    </row>
    <row r="20" spans="1:7" ht="6.75" customHeight="1" x14ac:dyDescent="0.25">
      <c r="A20" s="414"/>
      <c r="B20" s="414"/>
      <c r="C20" s="414"/>
      <c r="D20" s="414"/>
      <c r="E20" s="400"/>
      <c r="F20" s="400"/>
      <c r="G20" s="400"/>
    </row>
    <row r="21" spans="1:7" ht="15" x14ac:dyDescent="0.25">
      <c r="A21" s="400"/>
      <c r="B21" s="400"/>
      <c r="C21" s="400"/>
      <c r="D21" s="400"/>
      <c r="E21" s="400"/>
      <c r="F21" s="400"/>
      <c r="G21" s="400"/>
    </row>
    <row r="22" spans="1:7" ht="24.75" customHeight="1" x14ac:dyDescent="0.25">
      <c r="A22" s="445" t="s">
        <v>21</v>
      </c>
      <c r="B22" s="446">
        <v>43102</v>
      </c>
      <c r="C22" s="400"/>
      <c r="D22" s="400"/>
      <c r="E22" s="445" t="s">
        <v>22</v>
      </c>
      <c r="F22" s="447"/>
      <c r="G22" s="448"/>
    </row>
    <row r="23" spans="1:7" ht="24.75" customHeight="1" x14ac:dyDescent="0.25">
      <c r="A23" s="445" t="s">
        <v>23</v>
      </c>
      <c r="B23" s="446">
        <v>42917</v>
      </c>
      <c r="C23" s="400"/>
      <c r="D23" s="400"/>
      <c r="E23" s="445" t="s">
        <v>24</v>
      </c>
      <c r="F23" s="447"/>
      <c r="G23" s="448"/>
    </row>
    <row r="24" spans="1:7" ht="15" x14ac:dyDescent="0.25">
      <c r="A24" s="400"/>
      <c r="B24" s="400"/>
      <c r="C24" s="400"/>
      <c r="D24" s="400"/>
      <c r="E24" s="400"/>
      <c r="F24" s="400"/>
      <c r="G24" s="400"/>
    </row>
    <row r="25" spans="1:7" ht="15" x14ac:dyDescent="0.25">
      <c r="A25" s="400"/>
      <c r="B25" s="400"/>
      <c r="C25" s="400"/>
      <c r="D25" s="400"/>
      <c r="E25" s="400"/>
      <c r="F25" s="400"/>
      <c r="G25" s="400"/>
    </row>
    <row r="26" spans="1:7" ht="15" x14ac:dyDescent="0.25">
      <c r="A26" s="400"/>
      <c r="B26" s="400"/>
      <c r="C26" s="400"/>
      <c r="D26" s="400"/>
      <c r="E26" s="400"/>
      <c r="F26" s="400"/>
      <c r="G26" s="400"/>
    </row>
    <row r="27" spans="1:7" ht="15" x14ac:dyDescent="0.25">
      <c r="A27" s="400"/>
      <c r="B27" s="400"/>
      <c r="C27" s="400"/>
      <c r="D27" s="400"/>
      <c r="E27" s="400"/>
      <c r="F27" s="400"/>
      <c r="G27" s="400"/>
    </row>
    <row r="28" spans="1:7" ht="15" x14ac:dyDescent="0.25">
      <c r="A28" s="400"/>
      <c r="B28" s="400"/>
      <c r="C28" s="400"/>
      <c r="D28" s="400"/>
      <c r="E28" s="400"/>
      <c r="F28" s="400"/>
      <c r="G28" s="400"/>
    </row>
    <row r="29" spans="1:7" ht="15" x14ac:dyDescent="0.25">
      <c r="A29" s="400"/>
      <c r="B29" s="400"/>
      <c r="C29" s="400"/>
      <c r="D29" s="400"/>
      <c r="E29" s="400"/>
      <c r="F29" s="400"/>
      <c r="G29" s="400"/>
    </row>
    <row r="30" spans="1:7" ht="15" x14ac:dyDescent="0.25">
      <c r="A30" s="400"/>
      <c r="B30" s="400"/>
      <c r="C30" s="400"/>
      <c r="D30" s="400"/>
      <c r="E30" s="400"/>
      <c r="F30" s="400"/>
      <c r="G30" s="400"/>
    </row>
    <row r="31" spans="1:7" ht="15" x14ac:dyDescent="0.25">
      <c r="A31" s="400"/>
      <c r="B31" s="400"/>
      <c r="C31" s="400"/>
      <c r="D31" s="400"/>
      <c r="E31" s="400"/>
      <c r="F31" s="400"/>
      <c r="G31" s="400"/>
    </row>
    <row r="32" spans="1:7" ht="15" x14ac:dyDescent="0.25">
      <c r="A32" s="400"/>
      <c r="B32" s="400"/>
      <c r="C32" s="400"/>
      <c r="D32" s="400"/>
      <c r="E32" s="400"/>
      <c r="F32" s="400"/>
      <c r="G32" s="400"/>
    </row>
    <row r="33" spans="1:7" ht="15" x14ac:dyDescent="0.25">
      <c r="A33" s="400"/>
      <c r="B33" s="400"/>
      <c r="C33" s="400"/>
      <c r="D33" s="400"/>
      <c r="E33" s="400"/>
      <c r="F33" s="400"/>
      <c r="G33" s="400"/>
    </row>
    <row r="34" spans="1:7" ht="15" x14ac:dyDescent="0.25">
      <c r="A34" s="400"/>
      <c r="B34" s="400"/>
      <c r="C34" s="400"/>
      <c r="D34" s="400"/>
      <c r="E34" s="400"/>
      <c r="F34" s="400"/>
      <c r="G34" s="400"/>
    </row>
    <row r="35" spans="1:7" ht="15" x14ac:dyDescent="0.25">
      <c r="A35" s="400"/>
      <c r="B35" s="400"/>
      <c r="C35" s="400"/>
      <c r="D35" s="400"/>
      <c r="E35" s="400"/>
      <c r="F35" s="400"/>
      <c r="G35" s="400"/>
    </row>
    <row r="36" spans="1:7" ht="15" x14ac:dyDescent="0.25">
      <c r="A36" s="400"/>
      <c r="B36" s="400"/>
      <c r="C36" s="400"/>
      <c r="D36" s="400"/>
      <c r="E36" s="400"/>
      <c r="F36" s="400"/>
      <c r="G36" s="400"/>
    </row>
    <row r="37" spans="1:7" ht="15" x14ac:dyDescent="0.25">
      <c r="A37" s="400"/>
      <c r="B37" s="400"/>
      <c r="C37" s="400"/>
      <c r="D37" s="400"/>
      <c r="E37" s="400"/>
      <c r="F37" s="400"/>
      <c r="G37" s="400"/>
    </row>
    <row r="38" spans="1:7" ht="15" x14ac:dyDescent="0.25">
      <c r="A38" s="400"/>
      <c r="B38" s="400"/>
      <c r="C38" s="400"/>
      <c r="D38" s="400"/>
      <c r="E38" s="400"/>
      <c r="F38" s="400"/>
      <c r="G38" s="400"/>
    </row>
    <row r="39" spans="1:7" ht="15" x14ac:dyDescent="0.25">
      <c r="A39" s="400"/>
      <c r="B39" s="400"/>
      <c r="C39" s="400"/>
      <c r="D39" s="400"/>
      <c r="E39" s="400"/>
      <c r="F39" s="400"/>
      <c r="G39" s="400"/>
    </row>
    <row r="40" spans="1:7" ht="15" x14ac:dyDescent="0.25">
      <c r="A40" s="400"/>
      <c r="B40" s="400"/>
      <c r="C40" s="400"/>
      <c r="D40" s="400"/>
      <c r="E40" s="400"/>
      <c r="F40" s="400"/>
      <c r="G40" s="400"/>
    </row>
    <row r="41" spans="1:7" ht="15" x14ac:dyDescent="0.25">
      <c r="A41" s="400"/>
      <c r="B41" s="400"/>
      <c r="C41" s="400"/>
      <c r="D41" s="400"/>
      <c r="E41" s="400"/>
      <c r="F41" s="400"/>
      <c r="G41" s="400"/>
    </row>
    <row r="42" spans="1:7" ht="15" x14ac:dyDescent="0.25">
      <c r="A42" s="400"/>
      <c r="B42" s="400"/>
      <c r="C42" s="400"/>
      <c r="D42" s="400"/>
      <c r="E42" s="400"/>
      <c r="F42" s="400"/>
      <c r="G42" s="400"/>
    </row>
    <row r="43" spans="1:7" ht="15" x14ac:dyDescent="0.25">
      <c r="A43" s="400"/>
      <c r="B43" s="400"/>
      <c r="C43" s="400"/>
      <c r="D43" s="400"/>
      <c r="E43" s="400"/>
      <c r="F43" s="400"/>
      <c r="G43" s="400"/>
    </row>
    <row r="44" spans="1:7" ht="15" x14ac:dyDescent="0.25">
      <c r="A44" s="400"/>
      <c r="B44" s="400"/>
      <c r="C44" s="400"/>
      <c r="D44" s="400"/>
      <c r="E44" s="400"/>
      <c r="F44" s="400"/>
      <c r="G44" s="400"/>
    </row>
    <row r="45" spans="1:7" ht="15" x14ac:dyDescent="0.25">
      <c r="A45" s="400"/>
      <c r="B45" s="400"/>
      <c r="C45" s="400"/>
      <c r="D45" s="400"/>
      <c r="E45" s="400"/>
      <c r="F45" s="400"/>
      <c r="G45" s="400"/>
    </row>
    <row r="46" spans="1:7" ht="15" x14ac:dyDescent="0.25">
      <c r="A46" s="400"/>
      <c r="B46" s="400"/>
      <c r="C46" s="400"/>
      <c r="D46" s="400"/>
      <c r="E46" s="400"/>
      <c r="F46" s="400"/>
      <c r="G46" s="400"/>
    </row>
    <row r="47" spans="1:7" ht="15" x14ac:dyDescent="0.25">
      <c r="A47" s="400"/>
      <c r="B47" s="400"/>
      <c r="C47" s="400"/>
      <c r="D47" s="400"/>
      <c r="E47" s="400"/>
      <c r="F47" s="400"/>
      <c r="G47" s="400"/>
    </row>
    <row r="48" spans="1:7" ht="15" x14ac:dyDescent="0.25">
      <c r="A48" s="400"/>
      <c r="B48" s="400"/>
      <c r="C48" s="400"/>
      <c r="D48" s="400"/>
      <c r="E48" s="400"/>
      <c r="F48" s="400"/>
      <c r="G48" s="400"/>
    </row>
    <row r="49" spans="1:7" ht="15" x14ac:dyDescent="0.25">
      <c r="A49" s="400"/>
      <c r="B49" s="400"/>
      <c r="C49" s="400"/>
      <c r="D49" s="400"/>
      <c r="E49" s="400"/>
      <c r="F49" s="400"/>
      <c r="G49" s="400"/>
    </row>
    <row r="50" spans="1:7" ht="15" x14ac:dyDescent="0.25">
      <c r="A50" s="400"/>
      <c r="B50" s="400"/>
      <c r="C50" s="400"/>
      <c r="D50" s="400"/>
      <c r="E50" s="400"/>
      <c r="F50" s="400"/>
      <c r="G50" s="400"/>
    </row>
    <row r="51" spans="1:7" ht="15" x14ac:dyDescent="0.25">
      <c r="A51" s="400"/>
      <c r="B51" s="400"/>
      <c r="C51" s="400"/>
      <c r="D51" s="400"/>
      <c r="E51" s="400"/>
      <c r="F51" s="400"/>
      <c r="G51" s="400"/>
    </row>
    <row r="52" spans="1:7" ht="15" x14ac:dyDescent="0.25">
      <c r="A52" s="400"/>
      <c r="B52" s="400"/>
      <c r="C52" s="400"/>
      <c r="D52" s="400"/>
      <c r="E52" s="400"/>
      <c r="F52" s="400"/>
      <c r="G52" s="400"/>
    </row>
    <row r="53" spans="1:7" ht="15" x14ac:dyDescent="0.25">
      <c r="A53" s="400"/>
      <c r="B53" s="400"/>
      <c r="C53" s="400"/>
      <c r="D53" s="400"/>
      <c r="E53" s="400"/>
      <c r="F53" s="400"/>
      <c r="G53" s="400"/>
    </row>
    <row r="54" spans="1:7" ht="15" x14ac:dyDescent="0.25">
      <c r="A54" s="400"/>
      <c r="B54" s="400"/>
      <c r="C54" s="400"/>
      <c r="D54" s="400"/>
      <c r="E54" s="400"/>
      <c r="F54" s="400"/>
      <c r="G54" s="400"/>
    </row>
    <row r="55" spans="1:7" ht="15" x14ac:dyDescent="0.25">
      <c r="A55" s="400"/>
      <c r="B55" s="400"/>
      <c r="C55" s="400"/>
      <c r="D55" s="400"/>
      <c r="E55" s="400"/>
      <c r="F55" s="400"/>
      <c r="G55" s="400"/>
    </row>
    <row r="56" spans="1:7" ht="15" x14ac:dyDescent="0.25">
      <c r="A56" s="400"/>
      <c r="B56" s="400"/>
      <c r="C56" s="400"/>
      <c r="D56" s="400"/>
      <c r="E56" s="400"/>
      <c r="F56" s="400"/>
      <c r="G56" s="400"/>
    </row>
    <row r="57" spans="1:7" ht="15" x14ac:dyDescent="0.25">
      <c r="A57" s="400"/>
      <c r="B57" s="400"/>
      <c r="C57" s="400"/>
      <c r="D57" s="400"/>
      <c r="E57" s="400"/>
      <c r="F57" s="400"/>
      <c r="G57" s="400"/>
    </row>
    <row r="58" spans="1:7" ht="15" x14ac:dyDescent="0.25">
      <c r="A58" s="400"/>
      <c r="B58" s="400"/>
      <c r="C58" s="400"/>
      <c r="D58" s="400"/>
      <c r="E58" s="400"/>
      <c r="F58" s="400"/>
      <c r="G58" s="400"/>
    </row>
    <row r="59" spans="1:7" ht="15" x14ac:dyDescent="0.25">
      <c r="A59" s="400"/>
      <c r="B59" s="400"/>
      <c r="C59" s="400"/>
      <c r="D59" s="400"/>
      <c r="E59" s="400"/>
      <c r="F59" s="400"/>
      <c r="G59" s="400"/>
    </row>
    <row r="60" spans="1:7" ht="15" x14ac:dyDescent="0.25">
      <c r="A60" s="400"/>
      <c r="B60" s="400"/>
      <c r="C60" s="400"/>
      <c r="D60" s="400"/>
      <c r="E60" s="400"/>
      <c r="F60" s="400"/>
      <c r="G60" s="400"/>
    </row>
    <row r="61" spans="1:7" ht="15" x14ac:dyDescent="0.25">
      <c r="A61" s="400"/>
      <c r="B61" s="400"/>
      <c r="C61" s="400"/>
      <c r="D61" s="400"/>
      <c r="E61" s="400"/>
      <c r="F61" s="400"/>
      <c r="G61" s="400"/>
    </row>
    <row r="62" spans="1:7" ht="15" x14ac:dyDescent="0.25">
      <c r="A62" s="400"/>
      <c r="B62" s="400"/>
      <c r="C62" s="400"/>
      <c r="D62" s="400"/>
      <c r="E62" s="400"/>
      <c r="F62" s="400"/>
      <c r="G62" s="400"/>
    </row>
    <row r="63" spans="1:7" ht="15" x14ac:dyDescent="0.25">
      <c r="A63" s="400"/>
      <c r="B63" s="400"/>
      <c r="C63" s="400"/>
      <c r="D63" s="400"/>
      <c r="E63" s="400"/>
      <c r="F63" s="400"/>
      <c r="G63" s="400"/>
    </row>
    <row r="64" spans="1:7" ht="15" x14ac:dyDescent="0.25">
      <c r="A64" s="400"/>
      <c r="B64" s="400"/>
      <c r="C64" s="400"/>
      <c r="D64" s="400"/>
      <c r="E64" s="400"/>
      <c r="F64" s="400"/>
      <c r="G64" s="400"/>
    </row>
    <row r="65" spans="1:7" ht="15" x14ac:dyDescent="0.25">
      <c r="A65" s="400"/>
      <c r="B65" s="400"/>
      <c r="C65" s="400"/>
      <c r="D65" s="400"/>
      <c r="E65" s="400"/>
      <c r="F65" s="400"/>
      <c r="G65" s="400"/>
    </row>
    <row r="66" spans="1:7" ht="15" x14ac:dyDescent="0.25">
      <c r="A66" s="400"/>
      <c r="B66" s="400"/>
      <c r="C66" s="400"/>
      <c r="D66" s="400"/>
      <c r="E66" s="400"/>
      <c r="F66" s="400"/>
      <c r="G66" s="400"/>
    </row>
    <row r="67" spans="1:7" ht="15" x14ac:dyDescent="0.25">
      <c r="A67" s="400"/>
      <c r="B67" s="400"/>
      <c r="C67" s="400"/>
      <c r="D67" s="400"/>
      <c r="E67" s="400"/>
      <c r="F67" s="400"/>
      <c r="G67" s="400"/>
    </row>
    <row r="68" spans="1:7" ht="15" x14ac:dyDescent="0.25">
      <c r="A68" s="400"/>
      <c r="B68" s="400"/>
      <c r="C68" s="400"/>
      <c r="D68" s="400"/>
      <c r="E68" s="400"/>
      <c r="F68" s="400"/>
      <c r="G68" s="400"/>
    </row>
    <row r="69" spans="1:7" ht="15" x14ac:dyDescent="0.25">
      <c r="A69" s="400"/>
      <c r="B69" s="400"/>
      <c r="C69" s="400"/>
      <c r="D69" s="400"/>
      <c r="E69" s="400"/>
      <c r="F69" s="400"/>
      <c r="G69" s="400"/>
    </row>
    <row r="70" spans="1:7" ht="15" x14ac:dyDescent="0.25">
      <c r="A70" s="400"/>
      <c r="B70" s="400"/>
      <c r="C70" s="400"/>
      <c r="D70" s="400"/>
      <c r="E70" s="400"/>
      <c r="F70" s="400"/>
      <c r="G70" s="400"/>
    </row>
    <row r="71" spans="1:7" ht="15" x14ac:dyDescent="0.25">
      <c r="A71" s="400"/>
      <c r="B71" s="400"/>
      <c r="C71" s="400"/>
      <c r="D71" s="400"/>
      <c r="E71" s="400"/>
      <c r="F71" s="400"/>
      <c r="G71" s="400"/>
    </row>
    <row r="72" spans="1:7" ht="15" x14ac:dyDescent="0.25">
      <c r="A72" s="400"/>
      <c r="B72" s="400"/>
      <c r="C72" s="400"/>
      <c r="D72" s="400"/>
      <c r="E72" s="400"/>
      <c r="F72" s="400"/>
      <c r="G72" s="400"/>
    </row>
    <row r="73" spans="1:7" ht="15" x14ac:dyDescent="0.25">
      <c r="A73" s="400"/>
      <c r="B73" s="400"/>
      <c r="C73" s="400"/>
      <c r="D73" s="400"/>
      <c r="E73" s="400"/>
      <c r="F73" s="400"/>
      <c r="G73" s="400"/>
    </row>
    <row r="74" spans="1:7" ht="15" x14ac:dyDescent="0.25">
      <c r="A74" s="400"/>
      <c r="B74" s="400"/>
      <c r="C74" s="400"/>
      <c r="D74" s="400"/>
      <c r="E74" s="400"/>
      <c r="F74" s="400"/>
      <c r="G74" s="400"/>
    </row>
    <row r="75" spans="1:7" ht="15" x14ac:dyDescent="0.25">
      <c r="A75" s="400"/>
      <c r="B75" s="400"/>
      <c r="C75" s="400"/>
      <c r="D75" s="400"/>
      <c r="E75" s="400"/>
      <c r="F75" s="400"/>
      <c r="G75" s="400"/>
    </row>
    <row r="76" spans="1:7" ht="15" x14ac:dyDescent="0.25">
      <c r="A76" s="400"/>
      <c r="B76" s="400"/>
      <c r="C76" s="400"/>
      <c r="D76" s="400"/>
      <c r="E76" s="400"/>
      <c r="F76" s="400"/>
      <c r="G76" s="400"/>
    </row>
    <row r="77" spans="1:7" ht="15" x14ac:dyDescent="0.25">
      <c r="A77" s="400"/>
      <c r="B77" s="400"/>
      <c r="C77" s="400"/>
      <c r="D77" s="400"/>
      <c r="E77" s="400"/>
      <c r="F77" s="400"/>
      <c r="G77" s="400"/>
    </row>
    <row r="78" spans="1:7" ht="15" x14ac:dyDescent="0.25">
      <c r="A78" s="400"/>
      <c r="B78" s="400"/>
      <c r="C78" s="400"/>
      <c r="D78" s="400"/>
      <c r="E78" s="400"/>
      <c r="F78" s="400"/>
      <c r="G78" s="400"/>
    </row>
    <row r="79" spans="1:7" ht="15" x14ac:dyDescent="0.25">
      <c r="A79" s="400"/>
      <c r="B79" s="400"/>
      <c r="C79" s="400"/>
      <c r="D79" s="400"/>
      <c r="E79" s="400"/>
      <c r="F79" s="400"/>
      <c r="G79" s="400"/>
    </row>
    <row r="80" spans="1:7" ht="15" x14ac:dyDescent="0.25">
      <c r="A80" s="400"/>
      <c r="B80" s="400"/>
      <c r="C80" s="400"/>
      <c r="D80" s="400"/>
      <c r="E80" s="400"/>
      <c r="F80" s="400"/>
      <c r="G80" s="400"/>
    </row>
    <row r="81" spans="1:7" ht="15" x14ac:dyDescent="0.25">
      <c r="A81" s="400"/>
      <c r="B81" s="400"/>
      <c r="C81" s="400"/>
      <c r="D81" s="400"/>
      <c r="E81" s="400"/>
      <c r="F81" s="400"/>
      <c r="G81" s="400"/>
    </row>
    <row r="82" spans="1:7" ht="15" x14ac:dyDescent="0.25">
      <c r="A82" s="400"/>
      <c r="B82" s="400"/>
      <c r="C82" s="400"/>
      <c r="D82" s="400"/>
      <c r="E82" s="400"/>
      <c r="F82" s="400"/>
      <c r="G82" s="400"/>
    </row>
    <row r="83" spans="1:7" ht="15" x14ac:dyDescent="0.25">
      <c r="A83" s="400"/>
      <c r="B83" s="400"/>
      <c r="C83" s="400"/>
      <c r="D83" s="400"/>
      <c r="E83" s="400"/>
      <c r="F83" s="400"/>
      <c r="G83" s="400"/>
    </row>
    <row r="84" spans="1:7" ht="15" x14ac:dyDescent="0.25">
      <c r="A84" s="400"/>
      <c r="B84" s="400"/>
      <c r="C84" s="400"/>
      <c r="D84" s="400"/>
      <c r="E84" s="400"/>
      <c r="F84" s="400"/>
      <c r="G84" s="400"/>
    </row>
    <row r="85" spans="1:7" ht="15" x14ac:dyDescent="0.25">
      <c r="A85" s="400"/>
      <c r="B85" s="400"/>
      <c r="C85" s="400"/>
      <c r="D85" s="400"/>
      <c r="E85" s="400"/>
      <c r="F85" s="400"/>
      <c r="G85" s="400"/>
    </row>
    <row r="86" spans="1:7" ht="15" x14ac:dyDescent="0.25">
      <c r="A86" s="400"/>
      <c r="B86" s="400"/>
      <c r="C86" s="400"/>
      <c r="D86" s="400"/>
      <c r="E86" s="400"/>
      <c r="F86" s="400"/>
      <c r="G86" s="400"/>
    </row>
    <row r="87" spans="1:7" ht="15" x14ac:dyDescent="0.25">
      <c r="A87" s="400"/>
      <c r="B87" s="400"/>
      <c r="C87" s="400"/>
      <c r="D87" s="400"/>
      <c r="E87" s="400"/>
      <c r="F87" s="400"/>
      <c r="G87" s="400"/>
    </row>
    <row r="88" spans="1:7" ht="15" x14ac:dyDescent="0.25">
      <c r="A88" s="400"/>
      <c r="B88" s="400"/>
      <c r="C88" s="400"/>
      <c r="D88" s="400"/>
      <c r="E88" s="400"/>
      <c r="F88" s="400"/>
      <c r="G88" s="400"/>
    </row>
    <row r="89" spans="1:7" ht="15" x14ac:dyDescent="0.25">
      <c r="A89" s="400"/>
      <c r="B89" s="400"/>
      <c r="C89" s="400"/>
      <c r="D89" s="400"/>
      <c r="E89" s="400"/>
      <c r="F89" s="400"/>
      <c r="G89" s="400"/>
    </row>
    <row r="90" spans="1:7" ht="15" x14ac:dyDescent="0.25">
      <c r="A90" s="400"/>
      <c r="B90" s="400"/>
      <c r="C90" s="400"/>
      <c r="D90" s="400"/>
      <c r="E90" s="400"/>
      <c r="F90" s="400"/>
      <c r="G90" s="400"/>
    </row>
    <row r="91" spans="1:7" ht="15" x14ac:dyDescent="0.25">
      <c r="A91" s="400"/>
      <c r="B91" s="400"/>
      <c r="C91" s="400"/>
      <c r="D91" s="400"/>
      <c r="E91" s="400"/>
      <c r="F91" s="400"/>
      <c r="G91" s="400"/>
    </row>
    <row r="92" spans="1:7" ht="15" x14ac:dyDescent="0.25">
      <c r="A92" s="400"/>
      <c r="B92" s="400"/>
      <c r="C92" s="400"/>
      <c r="D92" s="400"/>
      <c r="E92" s="400"/>
      <c r="F92" s="400"/>
      <c r="G92" s="400"/>
    </row>
  </sheetData>
  <mergeCells count="2">
    <mergeCell ref="A3:G3"/>
    <mergeCell ref="A12:G12"/>
  </mergeCells>
  <printOptions horizontalCentered="1"/>
  <pageMargins left="0.31496062992125984" right="0.31496062992125984" top="1.1811023622047245" bottom="1.1811023622047245" header="0.31496062992125984" footer="0.31496062992125984"/>
  <pageSetup paperSize="17" orientation="landscape" r:id="rId1"/>
  <headerFoot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'https://nuevaunionspa-my.sharepoint.com/personal/gineva_alcota_nuevaunion_cl/Documents/40300 Cost Control/40303 Presupuestos/2018/ADM/[Copia de Administración.xlsx]Lists'!#REF!</xm:f>
          </x14:formula1>
          <xm:sqref>E19 A5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pageSetUpPr fitToPage="1"/>
  </sheetPr>
  <dimension ref="A1:Z201"/>
  <sheetViews>
    <sheetView showGridLines="0" zoomScale="60" zoomScaleNormal="60" zoomScalePageLayoutView="60" workbookViewId="0">
      <selection activeCell="A96" sqref="A96"/>
    </sheetView>
  </sheetViews>
  <sheetFormatPr baseColWidth="10" defaultColWidth="11.42578125" defaultRowHeight="15" outlineLevelRow="1" outlineLevelCol="1" x14ac:dyDescent="0.25"/>
  <cols>
    <col min="1" max="1" width="24.85546875" style="449" customWidth="1"/>
    <col min="2" max="2" width="32" style="449" customWidth="1"/>
    <col min="3" max="3" width="43.7109375" style="449" customWidth="1"/>
    <col min="4" max="4" width="79.42578125" style="449" customWidth="1"/>
    <col min="5" max="5" width="17.5703125" style="449" customWidth="1"/>
    <col min="6" max="6" width="23" style="449" hidden="1" customWidth="1"/>
    <col min="7" max="8" width="17.5703125" style="449" hidden="1" customWidth="1"/>
    <col min="9" max="10" width="11.5703125" style="449" hidden="1" customWidth="1"/>
    <col min="11" max="11" width="17.5703125" style="449" hidden="1" customWidth="1"/>
    <col min="12" max="12" width="17.7109375" style="449" hidden="1" customWidth="1"/>
    <col min="13" max="13" width="17.7109375" style="449"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customHeight="1" x14ac:dyDescent="0.25"/>
    <row r="2" spans="1:26" s="416" customFormat="1" ht="24.75" customHeight="1" x14ac:dyDescent="0.25">
      <c r="B2" s="533"/>
    </row>
    <row r="3" spans="1:26" s="416" customFormat="1" ht="24.75" customHeight="1" x14ac:dyDescent="0.25">
      <c r="B3" s="534"/>
    </row>
    <row r="4" spans="1:26" s="416" customFormat="1" ht="36.6" customHeight="1" x14ac:dyDescent="0.25"/>
    <row r="5" spans="1:26" ht="24.75" customHeight="1" x14ac:dyDescent="0.25"/>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335</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VLOOKUP(B8,Lists!E1:I41,3,FALSE)</f>
        <v xml:space="preserve">681 Project Team </v>
      </c>
      <c r="C10" s="433"/>
      <c r="D10" s="423" t="str">
        <f>VLOOKUP(B8,Lists!E1:I41,2,FALSE)</f>
        <v>Julio Retamal</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x14ac:dyDescent="0.25">
      <c r="A16" s="442" t="s">
        <v>261</v>
      </c>
      <c r="B16" s="442" t="s">
        <v>13</v>
      </c>
      <c r="C16" s="442" t="s">
        <v>14</v>
      </c>
      <c r="D16" s="403" t="s">
        <v>15</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x14ac:dyDescent="0.25">
      <c r="A17" s="508" t="s">
        <v>154</v>
      </c>
      <c r="B17" s="508" t="s">
        <v>27</v>
      </c>
      <c r="C17" s="495" t="s">
        <v>73</v>
      </c>
      <c r="D17" s="495" t="s">
        <v>73</v>
      </c>
      <c r="E17" s="496" t="s">
        <v>191</v>
      </c>
      <c r="F17" s="410"/>
      <c r="G17" s="410"/>
      <c r="H17" s="410"/>
      <c r="I17" s="410"/>
      <c r="J17" s="410"/>
      <c r="K17" s="410"/>
      <c r="L17" s="496"/>
      <c r="M17" s="497">
        <f>+M103</f>
        <v>60</v>
      </c>
      <c r="N17" s="496">
        <f>SUM(O17:Z17)</f>
        <v>634400</v>
      </c>
      <c r="O17" s="498">
        <f t="shared" ref="O17:Z17" si="0">+O103</f>
        <v>61200</v>
      </c>
      <c r="P17" s="498">
        <f t="shared" si="0"/>
        <v>61200</v>
      </c>
      <c r="Q17" s="498">
        <f t="shared" si="0"/>
        <v>61200</v>
      </c>
      <c r="R17" s="498">
        <f t="shared" si="0"/>
        <v>61200</v>
      </c>
      <c r="S17" s="498">
        <f t="shared" si="0"/>
        <v>48700</v>
      </c>
      <c r="T17" s="498">
        <f t="shared" si="0"/>
        <v>48700</v>
      </c>
      <c r="U17" s="498">
        <f t="shared" si="0"/>
        <v>48700</v>
      </c>
      <c r="V17" s="498">
        <f t="shared" si="0"/>
        <v>48700</v>
      </c>
      <c r="W17" s="498">
        <f t="shared" si="0"/>
        <v>48700</v>
      </c>
      <c r="X17" s="498">
        <f t="shared" si="0"/>
        <v>48700</v>
      </c>
      <c r="Y17" s="498">
        <f t="shared" si="0"/>
        <v>48700</v>
      </c>
      <c r="Z17" s="498">
        <f t="shared" si="0"/>
        <v>48700</v>
      </c>
    </row>
    <row r="18" spans="1:26" x14ac:dyDescent="0.25">
      <c r="A18" s="508" t="s">
        <v>157</v>
      </c>
      <c r="B18" s="508" t="s">
        <v>29</v>
      </c>
      <c r="C18" s="495" t="s">
        <v>1180</v>
      </c>
      <c r="D18" s="495" t="s">
        <v>1180</v>
      </c>
      <c r="E18" s="496" t="s">
        <v>182</v>
      </c>
      <c r="F18" s="410"/>
      <c r="G18" s="410"/>
      <c r="H18" s="410"/>
      <c r="I18" s="410"/>
      <c r="J18" s="410"/>
      <c r="K18" s="410"/>
      <c r="L18" s="496"/>
      <c r="M18" s="497">
        <f>+M118</f>
        <v>12</v>
      </c>
      <c r="N18" s="496">
        <f t="shared" ref="N18:N20" si="1">SUM(O18:Z18)</f>
        <v>1096900</v>
      </c>
      <c r="O18" s="498">
        <f t="shared" ref="O18:Z18" si="2">+O118</f>
        <v>77100</v>
      </c>
      <c r="P18" s="498">
        <f t="shared" si="2"/>
        <v>77100</v>
      </c>
      <c r="Q18" s="498">
        <f t="shared" si="2"/>
        <v>149100</v>
      </c>
      <c r="R18" s="498">
        <f t="shared" si="2"/>
        <v>65400</v>
      </c>
      <c r="S18" s="498">
        <f t="shared" si="2"/>
        <v>65400</v>
      </c>
      <c r="T18" s="498">
        <f t="shared" si="2"/>
        <v>65400</v>
      </c>
      <c r="U18" s="498">
        <f t="shared" si="2"/>
        <v>65400</v>
      </c>
      <c r="V18" s="498">
        <f t="shared" si="2"/>
        <v>141400</v>
      </c>
      <c r="W18" s="498">
        <f t="shared" si="2"/>
        <v>85400</v>
      </c>
      <c r="X18" s="498">
        <f t="shared" si="2"/>
        <v>78400</v>
      </c>
      <c r="Y18" s="498">
        <f t="shared" si="2"/>
        <v>105400</v>
      </c>
      <c r="Z18" s="498">
        <f t="shared" si="2"/>
        <v>121400</v>
      </c>
    </row>
    <row r="19" spans="1:26" x14ac:dyDescent="0.25">
      <c r="A19" s="508" t="s">
        <v>158</v>
      </c>
      <c r="B19" s="508" t="s">
        <v>30</v>
      </c>
      <c r="C19" s="495" t="s">
        <v>67</v>
      </c>
      <c r="D19" s="495" t="s">
        <v>67</v>
      </c>
      <c r="E19" s="496" t="s">
        <v>185</v>
      </c>
      <c r="F19" s="410"/>
      <c r="G19" s="410"/>
      <c r="H19" s="410"/>
      <c r="I19" s="410"/>
      <c r="J19" s="410"/>
      <c r="K19" s="410"/>
      <c r="L19" s="496"/>
      <c r="M19" s="497">
        <f>+M124</f>
        <v>12</v>
      </c>
      <c r="N19" s="496">
        <f t="shared" si="1"/>
        <v>1500000</v>
      </c>
      <c r="O19" s="498">
        <f t="shared" ref="O19:Z19" si="3">+O124</f>
        <v>91121.495327102806</v>
      </c>
      <c r="P19" s="498">
        <f t="shared" si="3"/>
        <v>119158.87850467289</v>
      </c>
      <c r="Q19" s="498">
        <f t="shared" si="3"/>
        <v>161214.95327102803</v>
      </c>
      <c r="R19" s="498">
        <f t="shared" si="3"/>
        <v>119158.87850467289</v>
      </c>
      <c r="S19" s="498">
        <f t="shared" si="3"/>
        <v>133177.57009345794</v>
      </c>
      <c r="T19" s="498">
        <f t="shared" si="3"/>
        <v>84112.149532710275</v>
      </c>
      <c r="U19" s="498">
        <f t="shared" si="3"/>
        <v>175233.6448598131</v>
      </c>
      <c r="V19" s="498">
        <f t="shared" si="3"/>
        <v>112149.53271028037</v>
      </c>
      <c r="W19" s="498">
        <f t="shared" si="3"/>
        <v>168224.29906542055</v>
      </c>
      <c r="X19" s="498">
        <f t="shared" si="3"/>
        <v>105140.18691588784</v>
      </c>
      <c r="Y19" s="498">
        <f t="shared" si="3"/>
        <v>154205.60747663552</v>
      </c>
      <c r="Z19" s="498">
        <f t="shared" si="3"/>
        <v>77102.803738317758</v>
      </c>
    </row>
    <row r="20" spans="1:26" x14ac:dyDescent="0.25">
      <c r="A20" s="508" t="s">
        <v>159</v>
      </c>
      <c r="B20" s="508" t="s">
        <v>31</v>
      </c>
      <c r="C20" s="495" t="s">
        <v>1181</v>
      </c>
      <c r="D20" s="495" t="s">
        <v>1181</v>
      </c>
      <c r="E20" s="496" t="s">
        <v>188</v>
      </c>
      <c r="F20" s="410"/>
      <c r="G20" s="410"/>
      <c r="H20" s="410"/>
      <c r="I20" s="410"/>
      <c r="J20" s="410"/>
      <c r="K20" s="410"/>
      <c r="L20" s="496"/>
      <c r="M20" s="497"/>
      <c r="N20" s="496">
        <f t="shared" si="1"/>
        <v>414784.61538461549</v>
      </c>
      <c r="O20" s="498">
        <f>+O128</f>
        <v>33076.923076923085</v>
      </c>
      <c r="P20" s="498">
        <f t="shared" ref="P20:Z20" si="4">+P128</f>
        <v>32415.384615384617</v>
      </c>
      <c r="Q20" s="498">
        <f t="shared" si="4"/>
        <v>38369.23076923078</v>
      </c>
      <c r="R20" s="498">
        <f t="shared" si="4"/>
        <v>31092.307692307699</v>
      </c>
      <c r="S20" s="498">
        <f t="shared" si="4"/>
        <v>37046.153846153858</v>
      </c>
      <c r="T20" s="498">
        <f t="shared" si="4"/>
        <v>31092.307692307691</v>
      </c>
      <c r="U20" s="498">
        <f t="shared" si="4"/>
        <v>38369.23076923078</v>
      </c>
      <c r="V20" s="498">
        <f t="shared" si="4"/>
        <v>28446.153846153848</v>
      </c>
      <c r="W20" s="498">
        <f t="shared" si="4"/>
        <v>34400.000000000007</v>
      </c>
      <c r="X20" s="498">
        <f t="shared" si="4"/>
        <v>35061.538461538476</v>
      </c>
      <c r="Y20" s="498">
        <f t="shared" si="4"/>
        <v>35723.076923076922</v>
      </c>
      <c r="Z20" s="498">
        <f t="shared" si="4"/>
        <v>39692.307692307717</v>
      </c>
    </row>
    <row r="21" spans="1:26" x14ac:dyDescent="0.25">
      <c r="A21" s="508"/>
      <c r="B21" s="508"/>
      <c r="C21" s="508"/>
      <c r="D21" s="495"/>
      <c r="E21" s="496"/>
      <c r="F21" s="410"/>
      <c r="G21" s="410"/>
      <c r="H21" s="410"/>
      <c r="I21" s="410"/>
      <c r="J21" s="410"/>
      <c r="K21" s="410"/>
      <c r="L21" s="496"/>
      <c r="M21" s="410"/>
      <c r="N21" s="409"/>
      <c r="O21" s="409"/>
      <c r="P21" s="409"/>
      <c r="Q21" s="409"/>
      <c r="R21" s="409"/>
      <c r="S21" s="409"/>
      <c r="T21" s="409"/>
      <c r="U21" s="409"/>
      <c r="V21" s="409"/>
      <c r="W21" s="409"/>
      <c r="X21" s="409"/>
      <c r="Y21" s="409"/>
      <c r="Z21" s="409"/>
    </row>
    <row r="22" spans="1:26" x14ac:dyDescent="0.25">
      <c r="A22" s="508"/>
      <c r="B22" s="508"/>
      <c r="C22" s="508"/>
      <c r="D22" s="495"/>
      <c r="E22" s="496"/>
      <c r="F22" s="410"/>
      <c r="G22" s="410"/>
      <c r="H22" s="410"/>
      <c r="I22" s="410"/>
      <c r="J22" s="410"/>
      <c r="K22" s="410"/>
      <c r="L22" s="496"/>
      <c r="M22" s="410"/>
      <c r="N22" s="409"/>
      <c r="O22" s="409"/>
      <c r="P22" s="409"/>
      <c r="Q22" s="409"/>
      <c r="R22" s="409"/>
      <c r="S22" s="409"/>
      <c r="T22" s="409"/>
      <c r="U22" s="409"/>
      <c r="V22" s="409"/>
      <c r="W22" s="409"/>
      <c r="X22" s="409"/>
      <c r="Y22" s="409"/>
      <c r="Z22" s="409"/>
    </row>
    <row r="23" spans="1:26" hidden="1" x14ac:dyDescent="0.25">
      <c r="A23" s="508"/>
      <c r="B23" s="508"/>
      <c r="C23" s="508"/>
      <c r="D23" s="495"/>
      <c r="E23" s="496"/>
      <c r="F23" s="410"/>
      <c r="G23" s="410"/>
      <c r="H23" s="410"/>
      <c r="I23" s="410"/>
      <c r="J23" s="410"/>
      <c r="K23" s="410"/>
      <c r="L23" s="496"/>
      <c r="M23" s="410"/>
      <c r="N23" s="409"/>
      <c r="O23" s="409"/>
      <c r="P23" s="409"/>
      <c r="Q23" s="409"/>
      <c r="R23" s="409"/>
      <c r="S23" s="409"/>
      <c r="T23" s="409"/>
      <c r="U23" s="409"/>
      <c r="V23" s="409"/>
      <c r="W23" s="409"/>
      <c r="X23" s="409"/>
      <c r="Y23" s="409"/>
      <c r="Z23" s="409"/>
    </row>
    <row r="24" spans="1:26" hidden="1" x14ac:dyDescent="0.25">
      <c r="A24" s="508"/>
      <c r="B24" s="508"/>
      <c r="C24" s="508"/>
      <c r="D24" s="495"/>
      <c r="E24" s="496"/>
      <c r="F24" s="410"/>
      <c r="G24" s="410"/>
      <c r="H24" s="410"/>
      <c r="I24" s="410"/>
      <c r="J24" s="410"/>
      <c r="K24" s="410"/>
      <c r="L24" s="496"/>
      <c r="M24" s="410"/>
      <c r="N24" s="409"/>
      <c r="O24" s="409"/>
      <c r="P24" s="409"/>
      <c r="Q24" s="409"/>
      <c r="R24" s="409"/>
      <c r="S24" s="409"/>
      <c r="T24" s="409"/>
      <c r="U24" s="409"/>
      <c r="V24" s="409"/>
      <c r="W24" s="409"/>
      <c r="X24" s="409"/>
      <c r="Y24" s="409"/>
      <c r="Z24" s="409"/>
    </row>
    <row r="25" spans="1:26" hidden="1" x14ac:dyDescent="0.25">
      <c r="A25" s="508"/>
      <c r="B25" s="508"/>
      <c r="C25" s="508"/>
      <c r="D25" s="495"/>
      <c r="E25" s="496"/>
      <c r="F25" s="410"/>
      <c r="G25" s="410"/>
      <c r="H25" s="410"/>
      <c r="I25" s="410"/>
      <c r="J25" s="410"/>
      <c r="K25" s="410"/>
      <c r="L25" s="496"/>
      <c r="M25" s="410"/>
      <c r="N25" s="409"/>
      <c r="O25" s="409"/>
      <c r="P25" s="409"/>
      <c r="Q25" s="409"/>
      <c r="R25" s="409"/>
      <c r="S25" s="409"/>
      <c r="T25" s="409"/>
      <c r="U25" s="409"/>
      <c r="V25" s="409"/>
      <c r="W25" s="409"/>
      <c r="X25" s="409"/>
      <c r="Y25" s="409"/>
      <c r="Z25" s="409"/>
    </row>
    <row r="26" spans="1:26" hidden="1" x14ac:dyDescent="0.25">
      <c r="A26" s="508"/>
      <c r="B26" s="508"/>
      <c r="C26" s="508"/>
      <c r="D26" s="495"/>
      <c r="E26" s="496"/>
      <c r="F26" s="410"/>
      <c r="G26" s="410"/>
      <c r="H26" s="410"/>
      <c r="I26" s="410"/>
      <c r="J26" s="410"/>
      <c r="K26" s="410"/>
      <c r="L26" s="496"/>
      <c r="M26" s="410"/>
      <c r="N26" s="409"/>
      <c r="O26" s="409" t="s">
        <v>5</v>
      </c>
      <c r="P26" s="409"/>
      <c r="Q26" s="409"/>
      <c r="R26" s="409"/>
      <c r="S26" s="409"/>
      <c r="T26" s="409"/>
      <c r="U26" s="409"/>
      <c r="V26" s="409"/>
      <c r="W26" s="409"/>
      <c r="X26" s="409"/>
      <c r="Y26" s="409"/>
      <c r="Z26" s="409"/>
    </row>
    <row r="27" spans="1:26" x14ac:dyDescent="0.25">
      <c r="A27" s="499"/>
      <c r="B27" s="500"/>
      <c r="C27" s="500"/>
      <c r="D27" s="501"/>
      <c r="E27" s="415"/>
      <c r="F27" s="415"/>
      <c r="G27" s="415"/>
      <c r="H27" s="415"/>
      <c r="I27" s="415"/>
      <c r="J27" s="502" t="s">
        <v>20</v>
      </c>
      <c r="K27" s="503"/>
      <c r="L27" s="404">
        <v>12</v>
      </c>
      <c r="M27" s="404">
        <f>SUM(M2:M26)</f>
        <v>84</v>
      </c>
      <c r="N27" s="404">
        <f>SUM(N16:N26)</f>
        <v>3646084.6153846155</v>
      </c>
      <c r="O27" s="404">
        <f t="shared" ref="O27:Z27" si="5">SUM(O16:O26)</f>
        <v>305599.4184040259</v>
      </c>
      <c r="P27" s="404">
        <f t="shared" si="5"/>
        <v>333006.26312005753</v>
      </c>
      <c r="Q27" s="404">
        <f t="shared" si="5"/>
        <v>453044.18404025875</v>
      </c>
      <c r="R27" s="404">
        <f t="shared" si="5"/>
        <v>320042.18619698059</v>
      </c>
      <c r="S27" s="404">
        <f t="shared" si="5"/>
        <v>327544.72393961181</v>
      </c>
      <c r="T27" s="404">
        <f t="shared" si="5"/>
        <v>272556.45722501795</v>
      </c>
      <c r="U27" s="404">
        <f t="shared" si="5"/>
        <v>370984.87562904391</v>
      </c>
      <c r="V27" s="404">
        <f t="shared" si="5"/>
        <v>374008.68655643426</v>
      </c>
      <c r="W27" s="404">
        <f t="shared" si="5"/>
        <v>380068.29906542052</v>
      </c>
      <c r="X27" s="404">
        <f t="shared" si="5"/>
        <v>310675.72537742637</v>
      </c>
      <c r="Y27" s="404">
        <f t="shared" si="5"/>
        <v>387433.68439971242</v>
      </c>
      <c r="Z27" s="404">
        <f t="shared" si="5"/>
        <v>330330.11143062543</v>
      </c>
    </row>
    <row r="28" spans="1:26" ht="6.75" customHeight="1" x14ac:dyDescent="0.25">
      <c r="A28" s="501"/>
      <c r="B28" s="501"/>
      <c r="C28" s="501"/>
      <c r="D28" s="501"/>
      <c r="E28" s="501"/>
      <c r="F28" s="501"/>
      <c r="G28" s="501"/>
      <c r="H28" s="501"/>
      <c r="I28" s="501"/>
      <c r="J28" s="501"/>
      <c r="K28" s="501"/>
    </row>
    <row r="29" spans="1:26" x14ac:dyDescent="0.25">
      <c r="A29" s="441" t="s">
        <v>33</v>
      </c>
      <c r="B29" s="441"/>
      <c r="C29" s="402"/>
      <c r="D29" s="402"/>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x14ac:dyDescent="0.25">
      <c r="A30" s="442" t="s">
        <v>261</v>
      </c>
      <c r="B30" s="442" t="s">
        <v>13</v>
      </c>
      <c r="C30" s="442" t="s">
        <v>14</v>
      </c>
      <c r="D30" s="403" t="s">
        <v>15</v>
      </c>
      <c r="E30" s="410" t="s">
        <v>5</v>
      </c>
      <c r="F30" s="410" t="s">
        <v>5</v>
      </c>
      <c r="G30" s="410" t="s">
        <v>5</v>
      </c>
      <c r="H30" s="410"/>
      <c r="I30" s="410"/>
      <c r="J30" s="410"/>
      <c r="K30" s="410" t="s">
        <v>5</v>
      </c>
      <c r="L30" s="504" t="s">
        <v>287</v>
      </c>
      <c r="M30" s="410"/>
      <c r="N30" s="409"/>
      <c r="O30" s="409" t="s">
        <v>5</v>
      </c>
      <c r="P30" s="409"/>
      <c r="Q30" s="409"/>
      <c r="R30" s="409"/>
      <c r="S30" s="409"/>
      <c r="T30" s="409"/>
      <c r="U30" s="409"/>
      <c r="V30" s="409"/>
      <c r="W30" s="409"/>
      <c r="X30" s="409"/>
      <c r="Y30" s="409"/>
      <c r="Z30" s="409"/>
    </row>
    <row r="31" spans="1:26" x14ac:dyDescent="0.25">
      <c r="A31" s="535" t="str">
        <f>CONCATENATE(B17," ",C17)</f>
        <v>Objective 1 Santiago Office</v>
      </c>
      <c r="B31" s="535"/>
      <c r="C31" s="536"/>
      <c r="D31" s="53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t="30" x14ac:dyDescent="0.25">
      <c r="A32" s="508" t="s">
        <v>250</v>
      </c>
      <c r="B32" s="508" t="s">
        <v>34</v>
      </c>
      <c r="C32" s="508" t="s">
        <v>251</v>
      </c>
      <c r="D32" s="495" t="s">
        <v>252</v>
      </c>
      <c r="E32" s="999"/>
      <c r="F32" s="999"/>
      <c r="G32" s="999"/>
      <c r="H32" s="999"/>
      <c r="I32" s="999"/>
      <c r="J32" s="999"/>
      <c r="K32" s="1000"/>
      <c r="L32" s="496" t="s">
        <v>60</v>
      </c>
      <c r="M32" s="410"/>
      <c r="N32" s="409"/>
      <c r="O32" s="409" t="s">
        <v>5</v>
      </c>
      <c r="P32" s="409"/>
      <c r="Q32" s="409"/>
      <c r="R32" s="409"/>
      <c r="S32" s="409"/>
      <c r="T32" s="409"/>
      <c r="U32" s="409"/>
      <c r="V32" s="409"/>
      <c r="W32" s="409"/>
      <c r="X32" s="409"/>
      <c r="Y32" s="409"/>
      <c r="Z32" s="409"/>
    </row>
    <row r="33" spans="1:26" x14ac:dyDescent="0.25">
      <c r="A33" s="508" t="s">
        <v>263</v>
      </c>
      <c r="B33" s="508"/>
      <c r="C33" s="508"/>
      <c r="D33" s="495"/>
      <c r="E33" s="999"/>
      <c r="F33" s="999"/>
      <c r="G33" s="999"/>
      <c r="H33" s="999"/>
      <c r="I33" s="999"/>
      <c r="J33" s="999"/>
      <c r="K33" s="1000"/>
      <c r="L33" s="496"/>
      <c r="M33" s="410"/>
      <c r="N33" s="409"/>
      <c r="O33" s="409" t="s">
        <v>5</v>
      </c>
      <c r="P33" s="409"/>
      <c r="Q33" s="409"/>
      <c r="R33" s="409"/>
      <c r="S33" s="409"/>
      <c r="T33" s="409"/>
      <c r="U33" s="409"/>
      <c r="V33" s="409"/>
      <c r="W33" s="409"/>
      <c r="X33" s="409"/>
      <c r="Y33" s="409"/>
      <c r="Z33" s="409"/>
    </row>
    <row r="34" spans="1:26" x14ac:dyDescent="0.25">
      <c r="A34" s="508"/>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x14ac:dyDescent="0.25">
      <c r="A35" s="508"/>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x14ac:dyDescent="0.25">
      <c r="A36" s="508"/>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x14ac:dyDescent="0.25">
      <c r="A37" s="535" t="str">
        <f>CONCATENATE(B18," ",C18)</f>
        <v>Objective 2 Labor Relations</v>
      </c>
      <c r="B37" s="535"/>
      <c r="C37" s="536"/>
      <c r="D37" s="53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t="30" x14ac:dyDescent="0.25">
      <c r="A38" s="508" t="s">
        <v>264</v>
      </c>
      <c r="B38" s="508" t="s">
        <v>36</v>
      </c>
      <c r="C38" s="508" t="s">
        <v>254</v>
      </c>
      <c r="D38" s="495" t="s">
        <v>255</v>
      </c>
      <c r="E38" s="999"/>
      <c r="F38" s="999"/>
      <c r="G38" s="999"/>
      <c r="H38" s="999"/>
      <c r="I38" s="999"/>
      <c r="J38" s="999"/>
      <c r="K38" s="1000"/>
      <c r="L38" s="496" t="s">
        <v>60</v>
      </c>
      <c r="M38" s="410"/>
      <c r="N38" s="409"/>
      <c r="O38" s="409" t="s">
        <v>5</v>
      </c>
      <c r="P38" s="409"/>
      <c r="Q38" s="409"/>
      <c r="R38" s="409"/>
      <c r="S38" s="409"/>
      <c r="T38" s="409"/>
      <c r="U38" s="409"/>
      <c r="V38" s="409"/>
      <c r="W38" s="409"/>
      <c r="X38" s="409"/>
      <c r="Y38" s="409"/>
      <c r="Z38" s="409"/>
    </row>
    <row r="39" spans="1:26" x14ac:dyDescent="0.25">
      <c r="A39" s="508" t="s">
        <v>253</v>
      </c>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idden="1" x14ac:dyDescent="0.25">
      <c r="A40" s="508"/>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idden="1" x14ac:dyDescent="0.25">
      <c r="A41" s="508"/>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idden="1" x14ac:dyDescent="0.25">
      <c r="A42" s="508"/>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idden="1" x14ac:dyDescent="0.25">
      <c r="A43" s="535" t="str">
        <f>CONCATENATE(B19," ",C19)</f>
        <v>Objective 3 Travel International</v>
      </c>
      <c r="B43" s="535"/>
      <c r="C43" s="536"/>
      <c r="D43" s="53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idden="1" x14ac:dyDescent="0.25">
      <c r="A44" s="508" t="s">
        <v>265</v>
      </c>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idden="1" x14ac:dyDescent="0.25">
      <c r="A45" s="508" t="s">
        <v>266</v>
      </c>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idden="1" x14ac:dyDescent="0.25">
      <c r="A46" s="508"/>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idden="1" x14ac:dyDescent="0.25">
      <c r="A47" s="508"/>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idden="1" x14ac:dyDescent="0.25">
      <c r="A48" s="508"/>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idden="1" outlineLevel="1" x14ac:dyDescent="0.25">
      <c r="A49" s="535" t="str">
        <f>CONCATENATE(B20," ",C20)</f>
        <v xml:space="preserve">Objective 4 Travel Domestic </v>
      </c>
      <c r="B49" s="535"/>
      <c r="C49" s="536"/>
      <c r="D49" s="53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idden="1" outlineLevel="1" x14ac:dyDescent="0.25">
      <c r="A50" s="508" t="s">
        <v>267</v>
      </c>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idden="1" outlineLevel="1" x14ac:dyDescent="0.25">
      <c r="A51" s="508" t="s">
        <v>268</v>
      </c>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idden="1" outlineLevel="1" x14ac:dyDescent="0.25">
      <c r="A52" s="508"/>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idden="1" outlineLevel="1" x14ac:dyDescent="0.25">
      <c r="A53" s="508"/>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idden="1" outlineLevel="1" x14ac:dyDescent="0.25">
      <c r="A54" s="508"/>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idden="1" outlineLevel="1" x14ac:dyDescent="0.25">
      <c r="A55" s="535" t="str">
        <f>CONCATENATE(B21," ",C21)</f>
        <v xml:space="preserve"> </v>
      </c>
      <c r="B55" s="535"/>
      <c r="C55" s="536"/>
      <c r="D55" s="53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idden="1" outlineLevel="1" x14ac:dyDescent="0.25">
      <c r="A56" s="508" t="s">
        <v>269</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idden="1" outlineLevel="1" x14ac:dyDescent="0.25">
      <c r="A57" s="508" t="s">
        <v>270</v>
      </c>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idden="1" outlineLevel="1" x14ac:dyDescent="0.25">
      <c r="A58" s="508"/>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idden="1" outlineLevel="1" x14ac:dyDescent="0.25">
      <c r="A59" s="508"/>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idden="1" outlineLevel="1" x14ac:dyDescent="0.25">
      <c r="A60" s="508"/>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idden="1" outlineLevel="1" x14ac:dyDescent="0.25">
      <c r="A61" s="535" t="str">
        <f>CONCATENATE(B22," ",C22)</f>
        <v xml:space="preserve"> </v>
      </c>
      <c r="B61" s="535"/>
      <c r="C61" s="536"/>
      <c r="D61" s="53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idden="1" outlineLevel="1" x14ac:dyDescent="0.25">
      <c r="A62" s="508" t="s">
        <v>271</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idden="1" outlineLevel="1" x14ac:dyDescent="0.25">
      <c r="A63" s="508" t="s">
        <v>272</v>
      </c>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idden="1" outlineLevel="1" x14ac:dyDescent="0.25">
      <c r="A64" s="508"/>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idden="1" outlineLevel="1" x14ac:dyDescent="0.25">
      <c r="A65" s="508"/>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idden="1" outlineLevel="1" x14ac:dyDescent="0.25">
      <c r="A66" s="508"/>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idden="1" outlineLevel="1" x14ac:dyDescent="0.25">
      <c r="A67" s="535" t="str">
        <f>CONCATENATE(B23," ",C23)</f>
        <v xml:space="preserve"> </v>
      </c>
      <c r="B67" s="535"/>
      <c r="C67" s="536"/>
      <c r="D67" s="53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idden="1" outlineLevel="1" x14ac:dyDescent="0.25">
      <c r="A68" s="508" t="s">
        <v>273</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idden="1" outlineLevel="1" x14ac:dyDescent="0.25">
      <c r="A69" s="508" t="s">
        <v>274</v>
      </c>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idden="1" outlineLevel="1" x14ac:dyDescent="0.25">
      <c r="A70" s="508"/>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idden="1" outlineLevel="1" x14ac:dyDescent="0.25">
      <c r="A71" s="508"/>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idden="1" outlineLevel="1" x14ac:dyDescent="0.25">
      <c r="A72" s="508"/>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idden="1" outlineLevel="1" x14ac:dyDescent="0.25">
      <c r="A73" s="535" t="str">
        <f>CONCATENATE(B24," ",C24)</f>
        <v xml:space="preserve"> </v>
      </c>
      <c r="B73" s="535"/>
      <c r="C73" s="536"/>
      <c r="D73" s="53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idden="1" outlineLevel="1" x14ac:dyDescent="0.25">
      <c r="A74" s="508" t="s">
        <v>275</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idden="1" outlineLevel="1" x14ac:dyDescent="0.25">
      <c r="A75" s="508" t="s">
        <v>276</v>
      </c>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idden="1" outlineLevel="1" x14ac:dyDescent="0.25">
      <c r="A76" s="508"/>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idden="1" outlineLevel="1" x14ac:dyDescent="0.25">
      <c r="A77" s="508"/>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idden="1" outlineLevel="1" x14ac:dyDescent="0.25">
      <c r="A78" s="508"/>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79" spans="1:26" hidden="1" outlineLevel="1" x14ac:dyDescent="0.25">
      <c r="A79" s="535" t="str">
        <f>CONCATENATE(B25," ",C25)</f>
        <v xml:space="preserve"> </v>
      </c>
      <c r="B79" s="535"/>
      <c r="C79" s="536"/>
      <c r="D79" s="536"/>
      <c r="E79" s="507"/>
      <c r="F79" s="507"/>
      <c r="G79" s="507"/>
      <c r="H79" s="507"/>
      <c r="I79" s="507"/>
      <c r="J79" s="507"/>
      <c r="K79" s="507"/>
      <c r="L79" s="507"/>
      <c r="M79" s="507"/>
      <c r="N79" s="507"/>
      <c r="O79" s="507" t="s">
        <v>5</v>
      </c>
      <c r="P79" s="507"/>
      <c r="Q79" s="507"/>
      <c r="R79" s="507"/>
      <c r="S79" s="507"/>
      <c r="T79" s="507"/>
      <c r="U79" s="507"/>
      <c r="V79" s="507"/>
      <c r="W79" s="507"/>
      <c r="X79" s="507"/>
      <c r="Y79" s="507"/>
      <c r="Z79" s="507"/>
    </row>
    <row r="80" spans="1:26" hidden="1" outlineLevel="1" x14ac:dyDescent="0.25">
      <c r="A80" s="508" t="s">
        <v>277</v>
      </c>
      <c r="B80" s="508"/>
      <c r="C80" s="508"/>
      <c r="D80" s="495"/>
      <c r="E80" s="999" t="s">
        <v>5</v>
      </c>
      <c r="F80" s="999" t="s">
        <v>5</v>
      </c>
      <c r="G80" s="999" t="s">
        <v>5</v>
      </c>
      <c r="H80" s="999"/>
      <c r="I80" s="999"/>
      <c r="J80" s="999"/>
      <c r="K80" s="1000" t="s">
        <v>5</v>
      </c>
      <c r="L80" s="496"/>
      <c r="M80" s="410"/>
      <c r="N80" s="409"/>
      <c r="O80" s="409" t="s">
        <v>5</v>
      </c>
      <c r="P80" s="409"/>
      <c r="Q80" s="409"/>
      <c r="R80" s="409"/>
      <c r="S80" s="409"/>
      <c r="T80" s="409"/>
      <c r="U80" s="409"/>
      <c r="V80" s="409"/>
      <c r="W80" s="409"/>
      <c r="X80" s="409"/>
      <c r="Y80" s="409"/>
      <c r="Z80" s="409"/>
    </row>
    <row r="81" spans="1:26" hidden="1" outlineLevel="1" x14ac:dyDescent="0.25">
      <c r="A81" s="508" t="s">
        <v>278</v>
      </c>
      <c r="B81" s="508"/>
      <c r="C81" s="508"/>
      <c r="D81" s="495"/>
      <c r="E81" s="999" t="s">
        <v>5</v>
      </c>
      <c r="F81" s="999" t="s">
        <v>5</v>
      </c>
      <c r="G81" s="999" t="s">
        <v>5</v>
      </c>
      <c r="H81" s="999"/>
      <c r="I81" s="999"/>
      <c r="J81" s="999"/>
      <c r="K81" s="1000" t="s">
        <v>5</v>
      </c>
      <c r="L81" s="496"/>
      <c r="M81" s="410"/>
      <c r="N81" s="409"/>
      <c r="O81" s="409" t="s">
        <v>5</v>
      </c>
      <c r="P81" s="409"/>
      <c r="Q81" s="409"/>
      <c r="R81" s="409"/>
      <c r="S81" s="409"/>
      <c r="T81" s="409"/>
      <c r="U81" s="409"/>
      <c r="V81" s="409"/>
      <c r="W81" s="409"/>
      <c r="X81" s="409"/>
      <c r="Y81" s="409"/>
      <c r="Z81" s="409"/>
    </row>
    <row r="82" spans="1:26" hidden="1" outlineLevel="1" x14ac:dyDescent="0.25">
      <c r="A82" s="508"/>
      <c r="B82" s="508"/>
      <c r="C82" s="508"/>
      <c r="D82" s="495"/>
      <c r="E82" s="999" t="s">
        <v>5</v>
      </c>
      <c r="F82" s="999" t="s">
        <v>5</v>
      </c>
      <c r="G82" s="999" t="s">
        <v>5</v>
      </c>
      <c r="H82" s="999"/>
      <c r="I82" s="999"/>
      <c r="J82" s="999"/>
      <c r="K82" s="1000" t="s">
        <v>5</v>
      </c>
      <c r="L82" s="496"/>
      <c r="M82" s="410"/>
      <c r="N82" s="409"/>
      <c r="O82" s="409" t="s">
        <v>5</v>
      </c>
      <c r="P82" s="409"/>
      <c r="Q82" s="409"/>
      <c r="R82" s="409"/>
      <c r="S82" s="409"/>
      <c r="T82" s="409"/>
      <c r="U82" s="409"/>
      <c r="V82" s="409"/>
      <c r="W82" s="409"/>
      <c r="X82" s="409"/>
      <c r="Y82" s="409"/>
      <c r="Z82" s="409"/>
    </row>
    <row r="83" spans="1:26" hidden="1" outlineLevel="1" x14ac:dyDescent="0.25">
      <c r="A83" s="508"/>
      <c r="B83" s="508"/>
      <c r="C83" s="508"/>
      <c r="D83" s="495"/>
      <c r="E83" s="999" t="s">
        <v>5</v>
      </c>
      <c r="F83" s="999" t="s">
        <v>5</v>
      </c>
      <c r="G83" s="999" t="s">
        <v>5</v>
      </c>
      <c r="H83" s="999"/>
      <c r="I83" s="999"/>
      <c r="J83" s="999"/>
      <c r="K83" s="1000" t="s">
        <v>5</v>
      </c>
      <c r="L83" s="496"/>
      <c r="M83" s="410"/>
      <c r="N83" s="409"/>
      <c r="O83" s="409" t="s">
        <v>5</v>
      </c>
      <c r="P83" s="409"/>
      <c r="Q83" s="409"/>
      <c r="R83" s="409"/>
      <c r="S83" s="409"/>
      <c r="T83" s="409"/>
      <c r="U83" s="409"/>
      <c r="V83" s="409"/>
      <c r="W83" s="409"/>
      <c r="X83" s="409"/>
      <c r="Y83" s="409"/>
      <c r="Z83" s="409"/>
    </row>
    <row r="84" spans="1:26" hidden="1" outlineLevel="1" x14ac:dyDescent="0.25">
      <c r="A84" s="508"/>
      <c r="B84" s="508"/>
      <c r="C84" s="508"/>
      <c r="D84" s="495"/>
      <c r="E84" s="999" t="s">
        <v>5</v>
      </c>
      <c r="F84" s="999" t="s">
        <v>5</v>
      </c>
      <c r="G84" s="999" t="s">
        <v>5</v>
      </c>
      <c r="H84" s="999"/>
      <c r="I84" s="999"/>
      <c r="J84" s="999"/>
      <c r="K84" s="1000" t="s">
        <v>5</v>
      </c>
      <c r="L84" s="496"/>
      <c r="M84" s="410"/>
      <c r="N84" s="409"/>
      <c r="O84" s="409" t="s">
        <v>5</v>
      </c>
      <c r="P84" s="409"/>
      <c r="Q84" s="409"/>
      <c r="R84" s="409"/>
      <c r="S84" s="409"/>
      <c r="T84" s="409"/>
      <c r="U84" s="409"/>
      <c r="V84" s="409"/>
      <c r="W84" s="409"/>
      <c r="X84" s="409"/>
      <c r="Y84" s="409"/>
      <c r="Z84" s="409"/>
    </row>
    <row r="85" spans="1:26" hidden="1" outlineLevel="1" x14ac:dyDescent="0.25">
      <c r="A85" s="535" t="str">
        <f>CONCATENATE(B26," ",C26)</f>
        <v xml:space="preserve"> </v>
      </c>
      <c r="B85" s="535"/>
      <c r="C85" s="536"/>
      <c r="D85" s="536"/>
      <c r="E85" s="507"/>
      <c r="F85" s="507"/>
      <c r="G85" s="507"/>
      <c r="H85" s="507"/>
      <c r="I85" s="507"/>
      <c r="J85" s="507"/>
      <c r="K85" s="507"/>
      <c r="L85" s="507"/>
      <c r="M85" s="507"/>
      <c r="N85" s="507"/>
      <c r="O85" s="507" t="s">
        <v>5</v>
      </c>
      <c r="P85" s="507"/>
      <c r="Q85" s="507"/>
      <c r="R85" s="507"/>
      <c r="S85" s="507"/>
      <c r="T85" s="507"/>
      <c r="U85" s="507"/>
      <c r="V85" s="507"/>
      <c r="W85" s="507"/>
      <c r="X85" s="507"/>
      <c r="Y85" s="507"/>
      <c r="Z85" s="507"/>
    </row>
    <row r="86" spans="1:26" hidden="1" outlineLevel="1" x14ac:dyDescent="0.25">
      <c r="A86" s="508" t="s">
        <v>279</v>
      </c>
      <c r="B86" s="508"/>
      <c r="C86" s="508"/>
      <c r="D86" s="495"/>
      <c r="E86" s="999" t="s">
        <v>5</v>
      </c>
      <c r="F86" s="999" t="s">
        <v>5</v>
      </c>
      <c r="G86" s="999" t="s">
        <v>5</v>
      </c>
      <c r="H86" s="999"/>
      <c r="I86" s="999"/>
      <c r="J86" s="999"/>
      <c r="K86" s="1000" t="s">
        <v>5</v>
      </c>
      <c r="L86" s="496"/>
      <c r="M86" s="410"/>
      <c r="N86" s="409"/>
      <c r="O86" s="409" t="s">
        <v>5</v>
      </c>
      <c r="P86" s="409"/>
      <c r="Q86" s="409"/>
      <c r="R86" s="409"/>
      <c r="S86" s="409"/>
      <c r="T86" s="409"/>
      <c r="U86" s="409"/>
      <c r="V86" s="409"/>
      <c r="W86" s="409"/>
      <c r="X86" s="409"/>
      <c r="Y86" s="409"/>
      <c r="Z86" s="409"/>
    </row>
    <row r="87" spans="1:26" hidden="1" outlineLevel="1" x14ac:dyDescent="0.25">
      <c r="A87" s="508" t="s">
        <v>280</v>
      </c>
      <c r="B87" s="508"/>
      <c r="C87" s="508"/>
      <c r="D87" s="495"/>
      <c r="E87" s="999" t="s">
        <v>5</v>
      </c>
      <c r="F87" s="999" t="s">
        <v>5</v>
      </c>
      <c r="G87" s="999" t="s">
        <v>5</v>
      </c>
      <c r="H87" s="999"/>
      <c r="I87" s="999"/>
      <c r="J87" s="999"/>
      <c r="K87" s="1000" t="s">
        <v>5</v>
      </c>
      <c r="L87" s="496"/>
      <c r="M87" s="410"/>
      <c r="N87" s="409"/>
      <c r="O87" s="409" t="s">
        <v>5</v>
      </c>
      <c r="P87" s="409"/>
      <c r="Q87" s="409"/>
      <c r="R87" s="409"/>
      <c r="S87" s="409"/>
      <c r="T87" s="409"/>
      <c r="U87" s="409"/>
      <c r="V87" s="409"/>
      <c r="W87" s="409"/>
      <c r="X87" s="409"/>
      <c r="Y87" s="409"/>
      <c r="Z87" s="409"/>
    </row>
    <row r="88" spans="1:26" hidden="1" outlineLevel="1" x14ac:dyDescent="0.25">
      <c r="A88" s="508"/>
      <c r="B88" s="508"/>
      <c r="C88" s="508"/>
      <c r="D88" s="495"/>
      <c r="E88" s="999" t="s">
        <v>5</v>
      </c>
      <c r="F88" s="999" t="s">
        <v>5</v>
      </c>
      <c r="G88" s="999" t="s">
        <v>5</v>
      </c>
      <c r="H88" s="999"/>
      <c r="I88" s="999"/>
      <c r="J88" s="999"/>
      <c r="K88" s="1000" t="s">
        <v>5</v>
      </c>
      <c r="L88" s="496"/>
      <c r="M88" s="410"/>
      <c r="N88" s="409"/>
      <c r="O88" s="409" t="s">
        <v>5</v>
      </c>
      <c r="P88" s="409"/>
      <c r="Q88" s="409"/>
      <c r="R88" s="409"/>
      <c r="S88" s="409"/>
      <c r="T88" s="409"/>
      <c r="U88" s="409"/>
      <c r="V88" s="409"/>
      <c r="W88" s="409"/>
      <c r="X88" s="409"/>
      <c r="Y88" s="409"/>
      <c r="Z88" s="409"/>
    </row>
    <row r="89" spans="1:26" hidden="1" outlineLevel="1" x14ac:dyDescent="0.25">
      <c r="A89" s="508"/>
      <c r="B89" s="508"/>
      <c r="C89" s="508"/>
      <c r="D89" s="495"/>
      <c r="E89" s="999" t="s">
        <v>5</v>
      </c>
      <c r="F89" s="999" t="s">
        <v>5</v>
      </c>
      <c r="G89" s="999" t="s">
        <v>5</v>
      </c>
      <c r="H89" s="999"/>
      <c r="I89" s="999"/>
      <c r="J89" s="999"/>
      <c r="K89" s="1000" t="s">
        <v>5</v>
      </c>
      <c r="L89" s="496"/>
      <c r="M89" s="410"/>
      <c r="N89" s="409"/>
      <c r="O89" s="409" t="s">
        <v>5</v>
      </c>
      <c r="P89" s="409"/>
      <c r="Q89" s="409"/>
      <c r="R89" s="409"/>
      <c r="S89" s="409"/>
      <c r="T89" s="409"/>
      <c r="U89" s="409"/>
      <c r="V89" s="409"/>
      <c r="W89" s="409"/>
      <c r="X89" s="409"/>
      <c r="Y89" s="409"/>
      <c r="Z89" s="409"/>
    </row>
    <row r="90" spans="1:26" hidden="1" outlineLevel="1" x14ac:dyDescent="0.25">
      <c r="A90" s="508"/>
      <c r="B90" s="508"/>
      <c r="C90" s="508"/>
      <c r="D90" s="495"/>
      <c r="E90" s="999" t="s">
        <v>5</v>
      </c>
      <c r="F90" s="999" t="s">
        <v>5</v>
      </c>
      <c r="G90" s="999" t="s">
        <v>5</v>
      </c>
      <c r="H90" s="999"/>
      <c r="I90" s="999"/>
      <c r="J90" s="999"/>
      <c r="K90" s="1000" t="s">
        <v>5</v>
      </c>
      <c r="L90" s="496"/>
      <c r="M90" s="410"/>
      <c r="N90" s="409"/>
      <c r="O90" s="409" t="s">
        <v>5</v>
      </c>
      <c r="P90" s="409"/>
      <c r="Q90" s="409"/>
      <c r="R90" s="409"/>
      <c r="S90" s="409"/>
      <c r="T90" s="409"/>
      <c r="U90" s="409"/>
      <c r="V90" s="409"/>
      <c r="W90" s="409"/>
      <c r="X90" s="409"/>
      <c r="Y90" s="409"/>
      <c r="Z90" s="409"/>
    </row>
    <row r="91" spans="1:26" ht="6.75" customHeight="1" collapsed="1" x14ac:dyDescent="0.25"/>
    <row r="92" spans="1:26" x14ac:dyDescent="0.25">
      <c r="A92" s="441" t="s">
        <v>37</v>
      </c>
      <c r="B92" s="441"/>
      <c r="C92" s="402"/>
      <c r="D92" s="402"/>
      <c r="E92" s="402"/>
      <c r="F92" s="402"/>
      <c r="G92" s="402"/>
      <c r="H92" s="491"/>
      <c r="I92" s="491"/>
      <c r="J92" s="402"/>
      <c r="K92" s="402"/>
      <c r="L92" s="402"/>
      <c r="M92" s="402"/>
      <c r="N92" s="402"/>
      <c r="O92" s="402" t="s">
        <v>5</v>
      </c>
      <c r="P92" s="402"/>
      <c r="Q92" s="402"/>
      <c r="R92" s="402"/>
      <c r="S92" s="402"/>
      <c r="T92" s="402"/>
      <c r="U92" s="402"/>
      <c r="V92" s="402"/>
      <c r="W92" s="402"/>
      <c r="X92" s="402"/>
      <c r="Y92" s="402"/>
      <c r="Z92" s="402"/>
    </row>
    <row r="93" spans="1:26" x14ac:dyDescent="0.25">
      <c r="A93" s="535" t="str">
        <f>CONCATENATE(B17," ",C17)</f>
        <v>Objective 1 Santiago Office</v>
      </c>
      <c r="B93" s="535"/>
      <c r="C93" s="536"/>
      <c r="D93" s="536"/>
      <c r="E93" s="507"/>
      <c r="F93" s="507"/>
      <c r="G93" s="507"/>
      <c r="H93" s="507"/>
      <c r="I93" s="507"/>
      <c r="J93" s="507"/>
      <c r="K93" s="507"/>
      <c r="L93" s="507"/>
      <c r="M93" s="507"/>
      <c r="N93" s="507"/>
      <c r="O93" s="507" t="s">
        <v>5</v>
      </c>
      <c r="P93" s="507"/>
      <c r="Q93" s="507"/>
      <c r="R93" s="507"/>
      <c r="S93" s="507"/>
      <c r="T93" s="507"/>
      <c r="U93" s="507"/>
      <c r="V93" s="507"/>
      <c r="W93" s="507"/>
      <c r="X93" s="507"/>
      <c r="Y93" s="507"/>
      <c r="Z93" s="507"/>
    </row>
    <row r="94" spans="1:26" ht="45" x14ac:dyDescent="0.25">
      <c r="A94" s="442" t="s">
        <v>261</v>
      </c>
      <c r="B94" s="442" t="s">
        <v>13</v>
      </c>
      <c r="C94" s="442" t="s">
        <v>14</v>
      </c>
      <c r="D94" s="509" t="s">
        <v>286</v>
      </c>
      <c r="E94" s="404" t="s">
        <v>16</v>
      </c>
      <c r="F94" s="404" t="s">
        <v>295</v>
      </c>
      <c r="G94" s="404" t="s">
        <v>39</v>
      </c>
      <c r="H94" s="404" t="s">
        <v>297</v>
      </c>
      <c r="I94" s="404" t="s">
        <v>298</v>
      </c>
      <c r="J94" s="404" t="s">
        <v>299</v>
      </c>
      <c r="K94" s="404" t="s">
        <v>300</v>
      </c>
      <c r="L94" s="404" t="s">
        <v>17</v>
      </c>
      <c r="M94" s="404" t="s">
        <v>18</v>
      </c>
      <c r="N94" s="404" t="s">
        <v>19</v>
      </c>
      <c r="O94" s="443">
        <v>43101</v>
      </c>
      <c r="P94" s="443">
        <v>43132</v>
      </c>
      <c r="Q94" s="443">
        <v>43160</v>
      </c>
      <c r="R94" s="443">
        <v>43191</v>
      </c>
      <c r="S94" s="443">
        <v>43221</v>
      </c>
      <c r="T94" s="443">
        <v>43252</v>
      </c>
      <c r="U94" s="443">
        <v>43282</v>
      </c>
      <c r="V94" s="443">
        <v>43313</v>
      </c>
      <c r="W94" s="443">
        <v>43344</v>
      </c>
      <c r="X94" s="443">
        <v>43374</v>
      </c>
      <c r="Y94" s="443">
        <v>43405</v>
      </c>
      <c r="Z94" s="443">
        <v>43435</v>
      </c>
    </row>
    <row r="95" spans="1:26" ht="15" customHeight="1" x14ac:dyDescent="0.25">
      <c r="A95" s="508" t="s">
        <v>1645</v>
      </c>
      <c r="B95" s="508"/>
      <c r="C95" s="508" t="s">
        <v>73</v>
      </c>
      <c r="D95" s="510" t="s">
        <v>1182</v>
      </c>
      <c r="E95" s="496"/>
      <c r="F95" s="496"/>
      <c r="G95" s="496"/>
      <c r="H95" s="511"/>
      <c r="I95" s="496"/>
      <c r="J95" s="496"/>
      <c r="K95" s="496" t="s">
        <v>42</v>
      </c>
      <c r="L95" s="496">
        <v>12</v>
      </c>
      <c r="M95" s="496">
        <v>12</v>
      </c>
      <c r="N95" s="512">
        <f t="shared" ref="N95:N102" si="6">SUM(O95:Z95)</f>
        <v>426000</v>
      </c>
      <c r="O95" s="496">
        <v>35500</v>
      </c>
      <c r="P95" s="496">
        <v>35500</v>
      </c>
      <c r="Q95" s="496">
        <v>35500</v>
      </c>
      <c r="R95" s="496">
        <v>35500</v>
      </c>
      <c r="S95" s="496">
        <v>35500</v>
      </c>
      <c r="T95" s="496">
        <v>35500</v>
      </c>
      <c r="U95" s="496">
        <v>35500</v>
      </c>
      <c r="V95" s="496">
        <v>35500</v>
      </c>
      <c r="W95" s="496">
        <v>35500</v>
      </c>
      <c r="X95" s="496">
        <v>35500</v>
      </c>
      <c r="Y95" s="496">
        <v>35500</v>
      </c>
      <c r="Z95" s="496">
        <v>35500</v>
      </c>
    </row>
    <row r="96" spans="1:26" x14ac:dyDescent="0.25">
      <c r="A96" s="508" t="s">
        <v>1657</v>
      </c>
      <c r="B96" s="508"/>
      <c r="C96" s="508"/>
      <c r="D96" s="510" t="s">
        <v>1183</v>
      </c>
      <c r="E96" s="496"/>
      <c r="F96" s="496"/>
      <c r="G96" s="496"/>
      <c r="H96" s="496"/>
      <c r="I96" s="496"/>
      <c r="J96" s="496"/>
      <c r="K96" s="496" t="s">
        <v>42</v>
      </c>
      <c r="L96" s="496">
        <v>12</v>
      </c>
      <c r="M96" s="496">
        <v>12</v>
      </c>
      <c r="N96" s="512">
        <f t="shared" si="6"/>
        <v>40800</v>
      </c>
      <c r="O96" s="496">
        <v>3400</v>
      </c>
      <c r="P96" s="496">
        <v>3400</v>
      </c>
      <c r="Q96" s="496">
        <v>3400</v>
      </c>
      <c r="R96" s="496">
        <v>3400</v>
      </c>
      <c r="S96" s="496">
        <v>3400</v>
      </c>
      <c r="T96" s="496">
        <v>3400</v>
      </c>
      <c r="U96" s="496">
        <v>3400</v>
      </c>
      <c r="V96" s="496">
        <v>3400</v>
      </c>
      <c r="W96" s="496">
        <v>3400</v>
      </c>
      <c r="X96" s="496">
        <v>3400</v>
      </c>
      <c r="Y96" s="496">
        <v>3400</v>
      </c>
      <c r="Z96" s="496">
        <v>3400</v>
      </c>
    </row>
    <row r="97" spans="1:26" x14ac:dyDescent="0.25">
      <c r="A97" s="508" t="s">
        <v>1661</v>
      </c>
      <c r="B97" s="508"/>
      <c r="C97" s="508"/>
      <c r="D97" s="510" t="s">
        <v>1184</v>
      </c>
      <c r="E97" s="496"/>
      <c r="F97" s="496"/>
      <c r="G97" s="496"/>
      <c r="H97" s="496"/>
      <c r="I97" s="496"/>
      <c r="J97" s="496"/>
      <c r="K97" s="496" t="s">
        <v>42</v>
      </c>
      <c r="L97" s="496">
        <v>12</v>
      </c>
      <c r="M97" s="496">
        <v>12</v>
      </c>
      <c r="N97" s="512">
        <f t="shared" si="6"/>
        <v>18000</v>
      </c>
      <c r="O97" s="496">
        <v>1500</v>
      </c>
      <c r="P97" s="496">
        <v>1500</v>
      </c>
      <c r="Q97" s="496">
        <v>1500</v>
      </c>
      <c r="R97" s="496">
        <v>1500</v>
      </c>
      <c r="S97" s="496">
        <v>1500</v>
      </c>
      <c r="T97" s="496">
        <v>1500</v>
      </c>
      <c r="U97" s="496">
        <v>1500</v>
      </c>
      <c r="V97" s="496">
        <v>1500</v>
      </c>
      <c r="W97" s="496">
        <v>1500</v>
      </c>
      <c r="X97" s="496">
        <v>1500</v>
      </c>
      <c r="Y97" s="496">
        <v>1500</v>
      </c>
      <c r="Z97" s="496">
        <v>1500</v>
      </c>
    </row>
    <row r="98" spans="1:26" x14ac:dyDescent="0.25">
      <c r="A98" s="508" t="s">
        <v>1664</v>
      </c>
      <c r="B98" s="508"/>
      <c r="C98" s="508"/>
      <c r="D98" s="510" t="s">
        <v>1185</v>
      </c>
      <c r="E98" s="496"/>
      <c r="F98" s="496"/>
      <c r="G98" s="496"/>
      <c r="H98" s="496"/>
      <c r="I98" s="496"/>
      <c r="J98" s="496"/>
      <c r="K98" s="496" t="s">
        <v>42</v>
      </c>
      <c r="L98" s="496">
        <v>12</v>
      </c>
      <c r="M98" s="496">
        <v>12</v>
      </c>
      <c r="N98" s="512">
        <f t="shared" si="6"/>
        <v>63600</v>
      </c>
      <c r="O98" s="496">
        <v>5300</v>
      </c>
      <c r="P98" s="496">
        <v>5300</v>
      </c>
      <c r="Q98" s="496">
        <v>5300</v>
      </c>
      <c r="R98" s="496">
        <v>5300</v>
      </c>
      <c r="S98" s="496">
        <v>5300</v>
      </c>
      <c r="T98" s="496">
        <v>5300</v>
      </c>
      <c r="U98" s="496">
        <v>5300</v>
      </c>
      <c r="V98" s="496">
        <v>5300</v>
      </c>
      <c r="W98" s="496">
        <v>5300</v>
      </c>
      <c r="X98" s="496">
        <v>5300</v>
      </c>
      <c r="Y98" s="496">
        <v>5300</v>
      </c>
      <c r="Z98" s="496">
        <v>5300</v>
      </c>
    </row>
    <row r="99" spans="1:26" x14ac:dyDescent="0.25">
      <c r="A99" s="508" t="s">
        <v>1666</v>
      </c>
      <c r="B99" s="508"/>
      <c r="C99" s="508"/>
      <c r="D99" s="510" t="s">
        <v>1186</v>
      </c>
      <c r="E99" s="496"/>
      <c r="F99" s="496"/>
      <c r="G99" s="496"/>
      <c r="H99" s="496"/>
      <c r="I99" s="496"/>
      <c r="J99" s="496"/>
      <c r="K99" s="496" t="s">
        <v>42</v>
      </c>
      <c r="L99" s="496">
        <v>12</v>
      </c>
      <c r="M99" s="496">
        <v>12</v>
      </c>
      <c r="N99" s="496">
        <f t="shared" si="6"/>
        <v>36000</v>
      </c>
      <c r="O99" s="496">
        <v>3000</v>
      </c>
      <c r="P99" s="496">
        <v>3000</v>
      </c>
      <c r="Q99" s="496">
        <v>3000</v>
      </c>
      <c r="R99" s="496">
        <v>3000</v>
      </c>
      <c r="S99" s="496">
        <v>3000</v>
      </c>
      <c r="T99" s="496">
        <v>3000</v>
      </c>
      <c r="U99" s="496">
        <v>3000</v>
      </c>
      <c r="V99" s="496">
        <v>3000</v>
      </c>
      <c r="W99" s="496">
        <v>3000</v>
      </c>
      <c r="X99" s="496">
        <v>3000</v>
      </c>
      <c r="Y99" s="496">
        <v>3000</v>
      </c>
      <c r="Z99" s="496">
        <v>3000</v>
      </c>
    </row>
    <row r="100" spans="1:26" x14ac:dyDescent="0.25">
      <c r="A100" s="508" t="s">
        <v>1670</v>
      </c>
      <c r="B100" s="508"/>
      <c r="C100" s="508"/>
      <c r="D100" s="510" t="s">
        <v>1545</v>
      </c>
      <c r="E100" s="496"/>
      <c r="F100" s="496"/>
      <c r="G100" s="496"/>
      <c r="H100" s="496"/>
      <c r="I100" s="496"/>
      <c r="J100" s="496"/>
      <c r="K100" s="496"/>
      <c r="L100" s="496"/>
      <c r="M100" s="496"/>
      <c r="N100" s="496">
        <f t="shared" si="6"/>
        <v>50000</v>
      </c>
      <c r="O100" s="496">
        <f>50000/4</f>
        <v>12500</v>
      </c>
      <c r="P100" s="496">
        <f t="shared" ref="P100:R100" si="7">50000/4</f>
        <v>12500</v>
      </c>
      <c r="Q100" s="496">
        <f t="shared" si="7"/>
        <v>12500</v>
      </c>
      <c r="R100" s="496">
        <f t="shared" si="7"/>
        <v>12500</v>
      </c>
      <c r="S100" s="496"/>
      <c r="T100" s="496"/>
      <c r="U100" s="496"/>
      <c r="V100" s="496"/>
      <c r="W100" s="496"/>
      <c r="X100" s="496"/>
      <c r="Y100" s="496"/>
      <c r="Z100" s="496"/>
    </row>
    <row r="101" spans="1:26" x14ac:dyDescent="0.25">
      <c r="A101" s="508"/>
      <c r="B101" s="508"/>
      <c r="C101" s="508"/>
      <c r="D101" s="510"/>
      <c r="E101" s="496"/>
      <c r="F101" s="496"/>
      <c r="G101" s="496"/>
      <c r="H101" s="496"/>
      <c r="I101" s="496"/>
      <c r="J101" s="496"/>
      <c r="K101" s="496"/>
      <c r="L101" s="496"/>
      <c r="M101" s="496"/>
      <c r="N101" s="496">
        <f t="shared" si="6"/>
        <v>0</v>
      </c>
      <c r="O101" s="496"/>
      <c r="P101" s="496"/>
      <c r="Q101" s="496"/>
      <c r="R101" s="496"/>
      <c r="S101" s="496"/>
      <c r="T101" s="496"/>
      <c r="U101" s="496"/>
      <c r="V101" s="496"/>
      <c r="W101" s="496"/>
      <c r="X101" s="496"/>
      <c r="Y101" s="496"/>
      <c r="Z101" s="496"/>
    </row>
    <row r="102" spans="1:26" x14ac:dyDescent="0.25">
      <c r="A102" s="508"/>
      <c r="B102" s="508"/>
      <c r="C102" s="508"/>
      <c r="D102" s="510"/>
      <c r="E102" s="496"/>
      <c r="F102" s="496"/>
      <c r="G102" s="496"/>
      <c r="H102" s="496"/>
      <c r="I102" s="496"/>
      <c r="J102" s="496"/>
      <c r="K102" s="496"/>
      <c r="L102" s="496"/>
      <c r="M102" s="496"/>
      <c r="N102" s="496">
        <f t="shared" si="6"/>
        <v>0</v>
      </c>
      <c r="O102" s="496"/>
      <c r="P102" s="496"/>
      <c r="Q102" s="496"/>
      <c r="R102" s="496"/>
      <c r="S102" s="496"/>
      <c r="T102" s="496"/>
      <c r="U102" s="496"/>
      <c r="V102" s="496"/>
      <c r="W102" s="496"/>
      <c r="X102" s="496"/>
      <c r="Y102" s="496"/>
      <c r="Z102" s="496"/>
    </row>
    <row r="103" spans="1:26" ht="22.5" customHeight="1" x14ac:dyDescent="0.25">
      <c r="A103" s="537"/>
      <c r="B103" s="538"/>
      <c r="C103" s="538"/>
      <c r="D103" s="538"/>
      <c r="E103" s="519"/>
      <c r="F103" s="519"/>
      <c r="G103" s="519"/>
      <c r="H103" s="519"/>
      <c r="I103" s="519"/>
      <c r="J103" s="516" t="s">
        <v>20</v>
      </c>
      <c r="K103" s="519"/>
      <c r="L103" s="404">
        <f t="shared" ref="L103:Z103" si="8">SUM(L95:L102)</f>
        <v>60</v>
      </c>
      <c r="M103" s="404">
        <f t="shared" si="8"/>
        <v>60</v>
      </c>
      <c r="N103" s="404">
        <f>SUM(N95:N102)</f>
        <v>634400</v>
      </c>
      <c r="O103" s="404">
        <f t="shared" si="8"/>
        <v>61200</v>
      </c>
      <c r="P103" s="404">
        <f t="shared" si="8"/>
        <v>61200</v>
      </c>
      <c r="Q103" s="404">
        <f t="shared" si="8"/>
        <v>61200</v>
      </c>
      <c r="R103" s="404">
        <f t="shared" si="8"/>
        <v>61200</v>
      </c>
      <c r="S103" s="404">
        <f t="shared" si="8"/>
        <v>48700</v>
      </c>
      <c r="T103" s="404">
        <f t="shared" si="8"/>
        <v>48700</v>
      </c>
      <c r="U103" s="404">
        <f t="shared" si="8"/>
        <v>48700</v>
      </c>
      <c r="V103" s="404">
        <f t="shared" si="8"/>
        <v>48700</v>
      </c>
      <c r="W103" s="404">
        <f t="shared" si="8"/>
        <v>48700</v>
      </c>
      <c r="X103" s="404">
        <f t="shared" si="8"/>
        <v>48700</v>
      </c>
      <c r="Y103" s="404">
        <f t="shared" si="8"/>
        <v>48700</v>
      </c>
      <c r="Z103" s="404">
        <f t="shared" si="8"/>
        <v>48700</v>
      </c>
    </row>
    <row r="104" spans="1:26" x14ac:dyDescent="0.25">
      <c r="A104" s="535" t="str">
        <f>CONCATENATE(B18," ",C18)</f>
        <v>Objective 2 Labor Relations</v>
      </c>
      <c r="B104" s="535"/>
      <c r="C104" s="536"/>
      <c r="D104" s="536"/>
      <c r="E104" s="507"/>
      <c r="F104" s="507"/>
      <c r="G104" s="507"/>
      <c r="H104" s="507"/>
      <c r="I104" s="507"/>
      <c r="J104" s="507"/>
      <c r="K104" s="507"/>
      <c r="L104" s="507"/>
      <c r="M104" s="507"/>
      <c r="N104" s="507"/>
      <c r="O104" s="507" t="s">
        <v>5</v>
      </c>
      <c r="P104" s="507"/>
      <c r="Q104" s="507"/>
      <c r="R104" s="507"/>
      <c r="S104" s="507"/>
      <c r="T104" s="507"/>
      <c r="U104" s="507"/>
      <c r="V104" s="507"/>
      <c r="W104" s="507"/>
      <c r="X104" s="507"/>
      <c r="Y104" s="507"/>
      <c r="Z104" s="507"/>
    </row>
    <row r="105" spans="1:26" ht="45" x14ac:dyDescent="0.25">
      <c r="A105" s="442" t="s">
        <v>261</v>
      </c>
      <c r="B105" s="442" t="s">
        <v>13</v>
      </c>
      <c r="C105" s="442" t="s">
        <v>14</v>
      </c>
      <c r="D105" s="509" t="s">
        <v>286</v>
      </c>
      <c r="E105" s="404" t="s">
        <v>16</v>
      </c>
      <c r="F105" s="404" t="s">
        <v>295</v>
      </c>
      <c r="G105" s="404" t="s">
        <v>39</v>
      </c>
      <c r="H105" s="404" t="s">
        <v>297</v>
      </c>
      <c r="I105" s="404" t="s">
        <v>298</v>
      </c>
      <c r="J105" s="404" t="s">
        <v>299</v>
      </c>
      <c r="K105" s="404" t="s">
        <v>300</v>
      </c>
      <c r="L105" s="404" t="s">
        <v>17</v>
      </c>
      <c r="M105" s="404" t="s">
        <v>18</v>
      </c>
      <c r="N105" s="404" t="s">
        <v>19</v>
      </c>
      <c r="O105" s="443">
        <v>43101</v>
      </c>
      <c r="P105" s="443">
        <v>43132</v>
      </c>
      <c r="Q105" s="443">
        <v>43160</v>
      </c>
      <c r="R105" s="443">
        <v>43191</v>
      </c>
      <c r="S105" s="443">
        <v>43221</v>
      </c>
      <c r="T105" s="443">
        <v>43252</v>
      </c>
      <c r="U105" s="443">
        <v>43282</v>
      </c>
      <c r="V105" s="443">
        <v>43313</v>
      </c>
      <c r="W105" s="443">
        <v>43344</v>
      </c>
      <c r="X105" s="443">
        <v>43374</v>
      </c>
      <c r="Y105" s="443">
        <v>43405</v>
      </c>
      <c r="Z105" s="443">
        <v>43435</v>
      </c>
    </row>
    <row r="106" spans="1:26" x14ac:dyDescent="0.25">
      <c r="A106" s="508" t="s">
        <v>1671</v>
      </c>
      <c r="B106" s="508"/>
      <c r="C106" s="508" t="s">
        <v>1180</v>
      </c>
      <c r="D106" s="510" t="s">
        <v>1187</v>
      </c>
      <c r="E106" s="496"/>
      <c r="F106" s="496"/>
      <c r="G106" s="496"/>
      <c r="H106" s="496"/>
      <c r="I106" s="496"/>
      <c r="J106" s="496"/>
      <c r="K106" s="496" t="s">
        <v>42</v>
      </c>
      <c r="L106" s="496">
        <v>12</v>
      </c>
      <c r="M106" s="496">
        <v>12</v>
      </c>
      <c r="N106" s="512">
        <f>SUM(O106:Z106)</f>
        <v>150000</v>
      </c>
      <c r="O106" s="496">
        <v>20000</v>
      </c>
      <c r="P106" s="496">
        <v>20000</v>
      </c>
      <c r="Q106" s="496">
        <v>20000</v>
      </c>
      <c r="R106" s="496">
        <v>8000</v>
      </c>
      <c r="S106" s="496">
        <v>8000</v>
      </c>
      <c r="T106" s="496">
        <v>8000</v>
      </c>
      <c r="U106" s="496">
        <v>8000</v>
      </c>
      <c r="V106" s="496">
        <v>9000</v>
      </c>
      <c r="W106" s="496">
        <v>20000</v>
      </c>
      <c r="X106" s="496">
        <v>10000</v>
      </c>
      <c r="Y106" s="496">
        <v>10000</v>
      </c>
      <c r="Z106" s="496">
        <v>9000</v>
      </c>
    </row>
    <row r="107" spans="1:26" x14ac:dyDescent="0.25">
      <c r="A107" s="508" t="s">
        <v>1672</v>
      </c>
      <c r="B107" s="508"/>
      <c r="C107" s="508"/>
      <c r="D107" s="510" t="s">
        <v>1188</v>
      </c>
      <c r="E107" s="496"/>
      <c r="F107" s="496"/>
      <c r="G107" s="496"/>
      <c r="H107" s="496"/>
      <c r="I107" s="496"/>
      <c r="J107" s="496"/>
      <c r="K107" s="496" t="s">
        <v>42</v>
      </c>
      <c r="L107" s="496">
        <v>12</v>
      </c>
      <c r="M107" s="496">
        <v>12</v>
      </c>
      <c r="N107" s="512">
        <f>SUM(O107:Z107)</f>
        <v>120000</v>
      </c>
      <c r="O107" s="496">
        <f>120000/12</f>
        <v>10000</v>
      </c>
      <c r="P107" s="496">
        <f t="shared" ref="P107:Z107" si="9">120000/12</f>
        <v>10000</v>
      </c>
      <c r="Q107" s="496">
        <f t="shared" si="9"/>
        <v>10000</v>
      </c>
      <c r="R107" s="496">
        <f t="shared" si="9"/>
        <v>10000</v>
      </c>
      <c r="S107" s="496">
        <f t="shared" si="9"/>
        <v>10000</v>
      </c>
      <c r="T107" s="496">
        <f t="shared" si="9"/>
        <v>10000</v>
      </c>
      <c r="U107" s="496">
        <f t="shared" si="9"/>
        <v>10000</v>
      </c>
      <c r="V107" s="496">
        <f t="shared" si="9"/>
        <v>10000</v>
      </c>
      <c r="W107" s="496">
        <f t="shared" si="9"/>
        <v>10000</v>
      </c>
      <c r="X107" s="496">
        <f t="shared" si="9"/>
        <v>10000</v>
      </c>
      <c r="Y107" s="496">
        <f t="shared" si="9"/>
        <v>10000</v>
      </c>
      <c r="Z107" s="496">
        <f t="shared" si="9"/>
        <v>10000</v>
      </c>
    </row>
    <row r="108" spans="1:26" x14ac:dyDescent="0.25">
      <c r="A108" s="508" t="s">
        <v>1677</v>
      </c>
      <c r="B108" s="508"/>
      <c r="C108" s="508"/>
      <c r="D108" s="510" t="s">
        <v>1189</v>
      </c>
      <c r="E108" s="496"/>
      <c r="F108" s="496"/>
      <c r="G108" s="496"/>
      <c r="H108" s="496"/>
      <c r="I108" s="496"/>
      <c r="J108" s="496"/>
      <c r="K108" s="496" t="s">
        <v>42</v>
      </c>
      <c r="L108" s="496">
        <v>12</v>
      </c>
      <c r="M108" s="496">
        <v>12</v>
      </c>
      <c r="N108" s="512">
        <f>SUM(O108:Z108)</f>
        <v>78000</v>
      </c>
      <c r="O108" s="496"/>
      <c r="P108" s="496"/>
      <c r="Q108" s="496"/>
      <c r="R108" s="496"/>
      <c r="S108" s="496"/>
      <c r="T108" s="496"/>
      <c r="U108" s="496"/>
      <c r="V108" s="496">
        <v>15000</v>
      </c>
      <c r="W108" s="496">
        <v>8000</v>
      </c>
      <c r="X108" s="496"/>
      <c r="Y108" s="496"/>
      <c r="Z108" s="496">
        <v>55000</v>
      </c>
    </row>
    <row r="109" spans="1:26" x14ac:dyDescent="0.25">
      <c r="A109" s="508" t="s">
        <v>1678</v>
      </c>
      <c r="B109" s="508"/>
      <c r="C109" s="508"/>
      <c r="D109" s="510" t="s">
        <v>1190</v>
      </c>
      <c r="E109" s="496"/>
      <c r="F109" s="496"/>
      <c r="G109" s="510"/>
      <c r="H109" s="496"/>
      <c r="I109" s="496"/>
      <c r="J109" s="496"/>
      <c r="K109" s="496" t="s">
        <v>42</v>
      </c>
      <c r="L109" s="496">
        <v>12</v>
      </c>
      <c r="M109" s="496">
        <v>12</v>
      </c>
      <c r="N109" s="512">
        <f t="shared" ref="N109:N117" si="10">SUM(O109:Z109)</f>
        <v>69600</v>
      </c>
      <c r="O109" s="496">
        <v>5800</v>
      </c>
      <c r="P109" s="496">
        <v>5800</v>
      </c>
      <c r="Q109" s="496">
        <v>5800</v>
      </c>
      <c r="R109" s="496">
        <v>5800</v>
      </c>
      <c r="S109" s="496">
        <v>5800</v>
      </c>
      <c r="T109" s="496">
        <v>5800</v>
      </c>
      <c r="U109" s="496">
        <v>5800</v>
      </c>
      <c r="V109" s="496">
        <v>5800</v>
      </c>
      <c r="W109" s="496">
        <v>5800</v>
      </c>
      <c r="X109" s="496">
        <v>5800</v>
      </c>
      <c r="Y109" s="496">
        <v>5800</v>
      </c>
      <c r="Z109" s="496">
        <v>5800</v>
      </c>
    </row>
    <row r="110" spans="1:26" x14ac:dyDescent="0.25">
      <c r="A110" s="508" t="s">
        <v>1679</v>
      </c>
      <c r="B110" s="508"/>
      <c r="C110" s="508"/>
      <c r="D110" s="510" t="s">
        <v>1191</v>
      </c>
      <c r="E110" s="496"/>
      <c r="F110" s="496"/>
      <c r="G110" s="510"/>
      <c r="H110" s="496"/>
      <c r="I110" s="496"/>
      <c r="J110" s="496"/>
      <c r="K110" s="496" t="s">
        <v>42</v>
      </c>
      <c r="L110" s="496">
        <v>12</v>
      </c>
      <c r="M110" s="496">
        <v>12</v>
      </c>
      <c r="N110" s="512">
        <f t="shared" si="10"/>
        <v>57600</v>
      </c>
      <c r="O110" s="496">
        <v>4800</v>
      </c>
      <c r="P110" s="496">
        <v>4800</v>
      </c>
      <c r="Q110" s="496">
        <v>4800</v>
      </c>
      <c r="R110" s="496">
        <v>4800</v>
      </c>
      <c r="S110" s="496">
        <v>4800</v>
      </c>
      <c r="T110" s="496">
        <v>4800</v>
      </c>
      <c r="U110" s="496">
        <v>4800</v>
      </c>
      <c r="V110" s="496">
        <v>4800</v>
      </c>
      <c r="W110" s="496">
        <v>4800</v>
      </c>
      <c r="X110" s="496">
        <v>4800</v>
      </c>
      <c r="Y110" s="496">
        <v>4800</v>
      </c>
      <c r="Z110" s="496">
        <v>4800</v>
      </c>
    </row>
    <row r="111" spans="1:26" x14ac:dyDescent="0.25">
      <c r="A111" s="508" t="s">
        <v>1680</v>
      </c>
      <c r="B111" s="508"/>
      <c r="C111" s="508"/>
      <c r="D111" s="510" t="s">
        <v>1192</v>
      </c>
      <c r="E111" s="496"/>
      <c r="F111" s="496"/>
      <c r="G111" s="496"/>
      <c r="H111" s="496"/>
      <c r="I111" s="496"/>
      <c r="J111" s="496"/>
      <c r="K111" s="496" t="s">
        <v>42</v>
      </c>
      <c r="L111" s="496">
        <v>12</v>
      </c>
      <c r="M111" s="496">
        <v>12</v>
      </c>
      <c r="N111" s="512">
        <f t="shared" si="10"/>
        <v>120000</v>
      </c>
      <c r="O111" s="496"/>
      <c r="P111" s="496"/>
      <c r="Q111" s="496">
        <v>60000</v>
      </c>
      <c r="R111" s="496"/>
      <c r="S111" s="496"/>
      <c r="T111" s="496"/>
      <c r="U111" s="496"/>
      <c r="V111" s="496">
        <v>60000</v>
      </c>
      <c r="W111" s="496"/>
      <c r="X111" s="496"/>
      <c r="Y111" s="496"/>
      <c r="Z111" s="496"/>
    </row>
    <row r="112" spans="1:26" x14ac:dyDescent="0.25">
      <c r="A112" s="508" t="s">
        <v>1681</v>
      </c>
      <c r="B112" s="508"/>
      <c r="C112" s="508"/>
      <c r="D112" s="510" t="s">
        <v>1193</v>
      </c>
      <c r="E112" s="496"/>
      <c r="F112" s="496"/>
      <c r="G112" s="496"/>
      <c r="H112" s="496"/>
      <c r="I112" s="496"/>
      <c r="J112" s="496"/>
      <c r="K112" s="496" t="s">
        <v>42</v>
      </c>
      <c r="L112" s="496">
        <v>12</v>
      </c>
      <c r="M112" s="496">
        <v>12</v>
      </c>
      <c r="N112" s="512">
        <f>SUM(O112:Z112)</f>
        <v>14700</v>
      </c>
      <c r="O112" s="496">
        <v>1000</v>
      </c>
      <c r="P112" s="496">
        <v>1000</v>
      </c>
      <c r="Q112" s="496">
        <v>1000</v>
      </c>
      <c r="R112" s="496">
        <v>1300</v>
      </c>
      <c r="S112" s="496">
        <v>1300</v>
      </c>
      <c r="T112" s="496">
        <v>1300</v>
      </c>
      <c r="U112" s="496">
        <v>1300</v>
      </c>
      <c r="V112" s="496">
        <v>1300</v>
      </c>
      <c r="W112" s="496">
        <v>1300</v>
      </c>
      <c r="X112" s="496">
        <v>1300</v>
      </c>
      <c r="Y112" s="496">
        <v>1300</v>
      </c>
      <c r="Z112" s="496">
        <v>1300</v>
      </c>
    </row>
    <row r="113" spans="1:26" x14ac:dyDescent="0.25">
      <c r="A113" s="508" t="s">
        <v>1684</v>
      </c>
      <c r="B113" s="508"/>
      <c r="C113" s="508"/>
      <c r="D113" s="510" t="s">
        <v>1194</v>
      </c>
      <c r="E113" s="496"/>
      <c r="F113" s="496"/>
      <c r="G113" s="496"/>
      <c r="H113" s="496"/>
      <c r="I113" s="496"/>
      <c r="J113" s="496"/>
      <c r="K113" s="496" t="s">
        <v>42</v>
      </c>
      <c r="L113" s="496">
        <v>12</v>
      </c>
      <c r="M113" s="496">
        <v>12</v>
      </c>
      <c r="N113" s="512">
        <f t="shared" si="10"/>
        <v>24000</v>
      </c>
      <c r="O113" s="496">
        <v>2000</v>
      </c>
      <c r="P113" s="496">
        <v>2000</v>
      </c>
      <c r="Q113" s="496">
        <v>2000</v>
      </c>
      <c r="R113" s="496">
        <v>2000</v>
      </c>
      <c r="S113" s="496">
        <v>2000</v>
      </c>
      <c r="T113" s="496">
        <v>2000</v>
      </c>
      <c r="U113" s="496">
        <v>2000</v>
      </c>
      <c r="V113" s="496">
        <v>2000</v>
      </c>
      <c r="W113" s="496">
        <v>2000</v>
      </c>
      <c r="X113" s="496">
        <v>2000</v>
      </c>
      <c r="Y113" s="496">
        <v>2000</v>
      </c>
      <c r="Z113" s="496">
        <v>2000</v>
      </c>
    </row>
    <row r="114" spans="1:26" x14ac:dyDescent="0.25">
      <c r="A114" s="508" t="s">
        <v>1685</v>
      </c>
      <c r="B114" s="508"/>
      <c r="C114" s="508"/>
      <c r="D114" s="510" t="s">
        <v>1195</v>
      </c>
      <c r="E114" s="496"/>
      <c r="F114" s="496"/>
      <c r="G114" s="496"/>
      <c r="H114" s="496"/>
      <c r="I114" s="496"/>
      <c r="J114" s="496"/>
      <c r="K114" s="496" t="s">
        <v>42</v>
      </c>
      <c r="L114" s="496">
        <v>12</v>
      </c>
      <c r="M114" s="496">
        <v>12</v>
      </c>
      <c r="N114" s="512">
        <f t="shared" si="10"/>
        <v>30000</v>
      </c>
      <c r="O114" s="496">
        <v>2500</v>
      </c>
      <c r="P114" s="496">
        <v>2500</v>
      </c>
      <c r="Q114" s="496">
        <v>2500</v>
      </c>
      <c r="R114" s="496">
        <v>2500</v>
      </c>
      <c r="S114" s="496">
        <v>2500</v>
      </c>
      <c r="T114" s="496">
        <v>2500</v>
      </c>
      <c r="U114" s="496">
        <v>2500</v>
      </c>
      <c r="V114" s="496">
        <v>2500</v>
      </c>
      <c r="W114" s="496">
        <v>2500</v>
      </c>
      <c r="X114" s="496">
        <v>2500</v>
      </c>
      <c r="Y114" s="496">
        <v>2500</v>
      </c>
      <c r="Z114" s="496">
        <v>2500</v>
      </c>
    </row>
    <row r="115" spans="1:26" x14ac:dyDescent="0.25">
      <c r="A115" s="508" t="s">
        <v>1686</v>
      </c>
      <c r="B115" s="508"/>
      <c r="C115" s="508"/>
      <c r="D115" s="510" t="s">
        <v>1212</v>
      </c>
      <c r="E115" s="496"/>
      <c r="F115" s="496"/>
      <c r="G115" s="496"/>
      <c r="H115" s="496"/>
      <c r="I115" s="496"/>
      <c r="J115" s="496"/>
      <c r="K115" s="496"/>
      <c r="L115" s="496"/>
      <c r="M115" s="496"/>
      <c r="N115" s="512">
        <f t="shared" si="10"/>
        <v>12000</v>
      </c>
      <c r="O115" s="496"/>
      <c r="P115" s="496"/>
      <c r="Q115" s="496">
        <v>12000</v>
      </c>
      <c r="R115" s="496"/>
      <c r="S115" s="496"/>
      <c r="T115" s="496"/>
      <c r="U115" s="496"/>
      <c r="V115" s="496"/>
      <c r="W115" s="496"/>
      <c r="X115" s="496"/>
      <c r="Y115" s="496"/>
      <c r="Z115" s="496"/>
    </row>
    <row r="116" spans="1:26" x14ac:dyDescent="0.25">
      <c r="A116" s="508" t="s">
        <v>1687</v>
      </c>
      <c r="B116" s="508"/>
      <c r="C116" s="508"/>
      <c r="D116" s="510" t="s">
        <v>1196</v>
      </c>
      <c r="E116" s="496"/>
      <c r="F116" s="496"/>
      <c r="G116" s="496"/>
      <c r="H116" s="496"/>
      <c r="I116" s="496"/>
      <c r="J116" s="496"/>
      <c r="K116" s="496" t="s">
        <v>42</v>
      </c>
      <c r="L116" s="496">
        <v>12</v>
      </c>
      <c r="M116" s="496">
        <v>12</v>
      </c>
      <c r="N116" s="512">
        <f t="shared" si="10"/>
        <v>348000</v>
      </c>
      <c r="O116" s="496">
        <v>29000</v>
      </c>
      <c r="P116" s="496">
        <v>29000</v>
      </c>
      <c r="Q116" s="496">
        <v>29000</v>
      </c>
      <c r="R116" s="496">
        <v>29000</v>
      </c>
      <c r="S116" s="496">
        <v>29000</v>
      </c>
      <c r="T116" s="496">
        <v>29000</v>
      </c>
      <c r="U116" s="496">
        <v>29000</v>
      </c>
      <c r="V116" s="496">
        <v>29000</v>
      </c>
      <c r="W116" s="496">
        <v>29000</v>
      </c>
      <c r="X116" s="496">
        <v>29000</v>
      </c>
      <c r="Y116" s="496">
        <v>29000</v>
      </c>
      <c r="Z116" s="496">
        <v>29000</v>
      </c>
    </row>
    <row r="117" spans="1:26" ht="27.6" customHeight="1" x14ac:dyDescent="0.25">
      <c r="A117" s="508" t="s">
        <v>1691</v>
      </c>
      <c r="B117" s="508"/>
      <c r="C117" s="508"/>
      <c r="D117" s="510" t="s">
        <v>1211</v>
      </c>
      <c r="E117" s="496"/>
      <c r="F117" s="496"/>
      <c r="G117" s="496"/>
      <c r="H117" s="496"/>
      <c r="I117" s="496"/>
      <c r="J117" s="496"/>
      <c r="K117" s="496"/>
      <c r="L117" s="496"/>
      <c r="M117" s="496">
        <v>12</v>
      </c>
      <c r="N117" s="512">
        <f t="shared" si="10"/>
        <v>73000</v>
      </c>
      <c r="O117" s="496">
        <v>2000</v>
      </c>
      <c r="P117" s="496">
        <v>2000</v>
      </c>
      <c r="Q117" s="496">
        <v>2000</v>
      </c>
      <c r="R117" s="496">
        <v>2000</v>
      </c>
      <c r="S117" s="496">
        <v>2000</v>
      </c>
      <c r="T117" s="496">
        <v>2000</v>
      </c>
      <c r="U117" s="496">
        <v>2000</v>
      </c>
      <c r="V117" s="496">
        <v>2000</v>
      </c>
      <c r="W117" s="496">
        <v>2000</v>
      </c>
      <c r="X117" s="496">
        <v>13000</v>
      </c>
      <c r="Y117" s="496">
        <v>40000</v>
      </c>
      <c r="Z117" s="496">
        <v>2000</v>
      </c>
    </row>
    <row r="118" spans="1:26" ht="22.5" customHeight="1" x14ac:dyDescent="0.25">
      <c r="A118" s="537"/>
      <c r="B118" s="538"/>
      <c r="C118" s="538"/>
      <c r="D118" s="538"/>
      <c r="E118" s="519"/>
      <c r="F118" s="519"/>
      <c r="G118" s="519"/>
      <c r="H118" s="519"/>
      <c r="I118" s="519"/>
      <c r="J118" s="516" t="s">
        <v>20</v>
      </c>
      <c r="K118" s="519"/>
      <c r="L118" s="404">
        <f>SUM(L117:L117)</f>
        <v>0</v>
      </c>
      <c r="M118" s="404">
        <f>SUM(M117:M117)</f>
        <v>12</v>
      </c>
      <c r="N118" s="404">
        <f t="shared" ref="N118:Z118" si="11">SUM(N106:N117)</f>
        <v>1096900</v>
      </c>
      <c r="O118" s="404">
        <f t="shared" si="11"/>
        <v>77100</v>
      </c>
      <c r="P118" s="404">
        <f t="shared" si="11"/>
        <v>77100</v>
      </c>
      <c r="Q118" s="404">
        <f t="shared" si="11"/>
        <v>149100</v>
      </c>
      <c r="R118" s="404">
        <f t="shared" si="11"/>
        <v>65400</v>
      </c>
      <c r="S118" s="404">
        <f t="shared" si="11"/>
        <v>65400</v>
      </c>
      <c r="T118" s="404">
        <f t="shared" si="11"/>
        <v>65400</v>
      </c>
      <c r="U118" s="404">
        <f t="shared" si="11"/>
        <v>65400</v>
      </c>
      <c r="V118" s="404">
        <f t="shared" si="11"/>
        <v>141400</v>
      </c>
      <c r="W118" s="404">
        <f t="shared" si="11"/>
        <v>85400</v>
      </c>
      <c r="X118" s="404">
        <f t="shared" si="11"/>
        <v>78400</v>
      </c>
      <c r="Y118" s="404">
        <f t="shared" si="11"/>
        <v>105400</v>
      </c>
      <c r="Z118" s="404">
        <f t="shared" si="11"/>
        <v>121400</v>
      </c>
    </row>
    <row r="119" spans="1:26" x14ac:dyDescent="0.25">
      <c r="A119" s="535" t="str">
        <f>CONCATENATE(B19," ",C19)</f>
        <v>Objective 3 Travel International</v>
      </c>
      <c r="B119" s="535"/>
      <c r="C119" s="536"/>
      <c r="D119" s="536"/>
      <c r="E119" s="507"/>
      <c r="F119" s="507"/>
      <c r="G119" s="507"/>
      <c r="H119" s="507"/>
      <c r="I119" s="507"/>
      <c r="J119" s="507"/>
      <c r="K119" s="507"/>
      <c r="L119" s="507"/>
      <c r="M119" s="507"/>
      <c r="N119" s="507"/>
      <c r="O119" s="507" t="s">
        <v>5</v>
      </c>
      <c r="P119" s="507"/>
      <c r="Q119" s="507"/>
      <c r="R119" s="507"/>
      <c r="S119" s="507"/>
      <c r="T119" s="507"/>
      <c r="U119" s="507"/>
      <c r="V119" s="507"/>
      <c r="W119" s="507"/>
      <c r="X119" s="507"/>
      <c r="Y119" s="507"/>
      <c r="Z119" s="507"/>
    </row>
    <row r="120" spans="1:26" ht="45" x14ac:dyDescent="0.25">
      <c r="A120" s="442" t="s">
        <v>261</v>
      </c>
      <c r="B120" s="442" t="s">
        <v>13</v>
      </c>
      <c r="C120" s="442" t="s">
        <v>14</v>
      </c>
      <c r="D120" s="509" t="s">
        <v>286</v>
      </c>
      <c r="E120" s="404" t="s">
        <v>16</v>
      </c>
      <c r="F120" s="404" t="s">
        <v>295</v>
      </c>
      <c r="G120" s="404" t="s">
        <v>39</v>
      </c>
      <c r="H120" s="404" t="s">
        <v>297</v>
      </c>
      <c r="I120" s="404" t="s">
        <v>298</v>
      </c>
      <c r="J120" s="404" t="s">
        <v>299</v>
      </c>
      <c r="K120" s="404" t="s">
        <v>300</v>
      </c>
      <c r="L120" s="404" t="s">
        <v>17</v>
      </c>
      <c r="M120" s="404" t="s">
        <v>18</v>
      </c>
      <c r="N120" s="404" t="s">
        <v>19</v>
      </c>
      <c r="O120" s="443">
        <v>43101</v>
      </c>
      <c r="P120" s="443">
        <v>43132</v>
      </c>
      <c r="Q120" s="443">
        <v>43160</v>
      </c>
      <c r="R120" s="443">
        <v>43191</v>
      </c>
      <c r="S120" s="443">
        <v>43221</v>
      </c>
      <c r="T120" s="443">
        <v>43252</v>
      </c>
      <c r="U120" s="443">
        <v>43282</v>
      </c>
      <c r="V120" s="443">
        <v>43313</v>
      </c>
      <c r="W120" s="443">
        <v>43344</v>
      </c>
      <c r="X120" s="443">
        <v>43374</v>
      </c>
      <c r="Y120" s="443">
        <v>43405</v>
      </c>
      <c r="Z120" s="443">
        <v>43435</v>
      </c>
    </row>
    <row r="121" spans="1:26" x14ac:dyDescent="0.25">
      <c r="A121" s="508" t="s">
        <v>1692</v>
      </c>
      <c r="B121" s="508"/>
      <c r="C121" s="508"/>
      <c r="D121" s="510" t="s">
        <v>1197</v>
      </c>
      <c r="E121" s="496"/>
      <c r="F121" s="496"/>
      <c r="G121" s="496"/>
      <c r="H121" s="496"/>
      <c r="I121" s="496"/>
      <c r="J121" s="496"/>
      <c r="K121" s="496" t="s">
        <v>42</v>
      </c>
      <c r="L121" s="496">
        <v>12</v>
      </c>
      <c r="M121" s="496">
        <v>12</v>
      </c>
      <c r="N121" s="512">
        <f>SUM(O121:Z121)</f>
        <v>1500000</v>
      </c>
      <c r="O121" s="496">
        <v>91121.495327102806</v>
      </c>
      <c r="P121" s="496">
        <v>119158.87850467289</v>
      </c>
      <c r="Q121" s="496">
        <v>161214.95327102803</v>
      </c>
      <c r="R121" s="496">
        <v>119158.87850467289</v>
      </c>
      <c r="S121" s="496">
        <v>133177.57009345794</v>
      </c>
      <c r="T121" s="496">
        <v>84112.149532710275</v>
      </c>
      <c r="U121" s="496">
        <v>175233.6448598131</v>
      </c>
      <c r="V121" s="496">
        <v>112149.53271028037</v>
      </c>
      <c r="W121" s="496">
        <v>168224.29906542055</v>
      </c>
      <c r="X121" s="496">
        <v>105140.18691588784</v>
      </c>
      <c r="Y121" s="496">
        <v>154205.60747663552</v>
      </c>
      <c r="Z121" s="496">
        <v>77102.803738317758</v>
      </c>
    </row>
    <row r="122" spans="1:26" x14ac:dyDescent="0.25">
      <c r="A122" s="508"/>
      <c r="B122" s="508"/>
      <c r="C122" s="508"/>
      <c r="D122" s="510"/>
      <c r="E122" s="496"/>
      <c r="F122" s="496"/>
      <c r="G122" s="496"/>
      <c r="H122" s="496"/>
      <c r="I122" s="496"/>
      <c r="J122" s="496"/>
      <c r="K122" s="496"/>
      <c r="L122" s="496"/>
      <c r="M122" s="496"/>
      <c r="N122" s="512">
        <f t="shared" ref="N122" si="12">SUM(O122:Z122)</f>
        <v>0</v>
      </c>
      <c r="O122" s="496"/>
      <c r="P122" s="496"/>
      <c r="Q122" s="496"/>
      <c r="R122" s="496"/>
      <c r="S122" s="496"/>
      <c r="T122" s="496"/>
      <c r="U122" s="496"/>
      <c r="V122" s="496"/>
      <c r="W122" s="496"/>
      <c r="X122" s="496"/>
      <c r="Y122" s="496"/>
      <c r="Z122" s="496"/>
    </row>
    <row r="123" spans="1:26" x14ac:dyDescent="0.25">
      <c r="A123" s="508"/>
      <c r="B123" s="508"/>
      <c r="C123" s="508"/>
      <c r="D123" s="510"/>
      <c r="E123" s="496"/>
      <c r="F123" s="496"/>
      <c r="G123" s="497"/>
      <c r="H123" s="496"/>
      <c r="I123" s="496"/>
      <c r="J123" s="496"/>
      <c r="K123" s="496"/>
      <c r="L123" s="496"/>
      <c r="M123" s="496"/>
      <c r="N123" s="496"/>
      <c r="O123" s="496"/>
      <c r="P123" s="496"/>
      <c r="Q123" s="496"/>
      <c r="R123" s="496"/>
      <c r="S123" s="496"/>
      <c r="T123" s="496"/>
      <c r="U123" s="496"/>
      <c r="V123" s="496"/>
      <c r="W123" s="496"/>
      <c r="X123" s="496"/>
      <c r="Y123" s="496"/>
      <c r="Z123" s="496"/>
    </row>
    <row r="124" spans="1:26" x14ac:dyDescent="0.25">
      <c r="A124" s="508"/>
      <c r="B124" s="508"/>
      <c r="C124" s="508"/>
      <c r="D124" s="510"/>
      <c r="E124" s="496"/>
      <c r="F124" s="496"/>
      <c r="G124" s="410"/>
      <c r="H124" s="496"/>
      <c r="I124" s="496"/>
      <c r="J124" s="496"/>
      <c r="K124" s="519" t="s">
        <v>20</v>
      </c>
      <c r="L124" s="404">
        <f>SUM(L120:L122)</f>
        <v>12</v>
      </c>
      <c r="M124" s="404">
        <f>SUM(M120:M122)</f>
        <v>12</v>
      </c>
      <c r="N124" s="496">
        <f>SUM(N121)</f>
        <v>1500000</v>
      </c>
      <c r="O124" s="496">
        <f t="shared" ref="O124:Z124" si="13">SUM(O121)</f>
        <v>91121.495327102806</v>
      </c>
      <c r="P124" s="496">
        <f t="shared" si="13"/>
        <v>119158.87850467289</v>
      </c>
      <c r="Q124" s="496">
        <f t="shared" si="13"/>
        <v>161214.95327102803</v>
      </c>
      <c r="R124" s="496">
        <f t="shared" si="13"/>
        <v>119158.87850467289</v>
      </c>
      <c r="S124" s="496">
        <f t="shared" si="13"/>
        <v>133177.57009345794</v>
      </c>
      <c r="T124" s="496">
        <f t="shared" si="13"/>
        <v>84112.149532710275</v>
      </c>
      <c r="U124" s="496">
        <f t="shared" si="13"/>
        <v>175233.6448598131</v>
      </c>
      <c r="V124" s="496">
        <f t="shared" si="13"/>
        <v>112149.53271028037</v>
      </c>
      <c r="W124" s="496">
        <f t="shared" si="13"/>
        <v>168224.29906542055</v>
      </c>
      <c r="X124" s="496">
        <f t="shared" si="13"/>
        <v>105140.18691588784</v>
      </c>
      <c r="Y124" s="496">
        <f t="shared" si="13"/>
        <v>154205.60747663552</v>
      </c>
      <c r="Z124" s="496">
        <f t="shared" si="13"/>
        <v>77102.803738317758</v>
      </c>
    </row>
    <row r="125" spans="1:26" outlineLevel="1" x14ac:dyDescent="0.25">
      <c r="A125" s="535" t="str">
        <f>CONCATENATE(B20," ",C20)</f>
        <v xml:space="preserve">Objective 4 Travel Domestic </v>
      </c>
      <c r="B125" s="535"/>
      <c r="C125" s="536"/>
      <c r="D125" s="536"/>
      <c r="E125" s="507"/>
      <c r="F125" s="507"/>
      <c r="G125" s="507"/>
      <c r="H125" s="507"/>
      <c r="I125" s="507"/>
      <c r="J125" s="507"/>
      <c r="K125" s="507"/>
      <c r="L125" s="507"/>
      <c r="M125" s="507"/>
      <c r="N125" s="507"/>
      <c r="O125" s="507" t="s">
        <v>5</v>
      </c>
      <c r="P125" s="507"/>
      <c r="Q125" s="507"/>
      <c r="R125" s="507"/>
      <c r="S125" s="507"/>
      <c r="T125" s="507"/>
      <c r="U125" s="507"/>
      <c r="V125" s="507"/>
      <c r="W125" s="507"/>
      <c r="X125" s="507"/>
      <c r="Y125" s="507"/>
      <c r="Z125" s="507"/>
    </row>
    <row r="126" spans="1:26" ht="41.45" customHeight="1" outlineLevel="1" x14ac:dyDescent="0.25">
      <c r="A126" s="442" t="s">
        <v>261</v>
      </c>
      <c r="B126" s="442" t="s">
        <v>13</v>
      </c>
      <c r="C126" s="442" t="s">
        <v>14</v>
      </c>
      <c r="D126" s="509" t="s">
        <v>286</v>
      </c>
      <c r="E126" s="404" t="s">
        <v>16</v>
      </c>
      <c r="F126" s="404" t="s">
        <v>295</v>
      </c>
      <c r="G126" s="404" t="s">
        <v>39</v>
      </c>
      <c r="H126" s="404" t="s">
        <v>297</v>
      </c>
      <c r="I126" s="404" t="s">
        <v>298</v>
      </c>
      <c r="J126" s="404" t="s">
        <v>299</v>
      </c>
      <c r="K126" s="404" t="s">
        <v>300</v>
      </c>
      <c r="L126" s="404" t="s">
        <v>17</v>
      </c>
      <c r="M126" s="404" t="s">
        <v>18</v>
      </c>
      <c r="N126" s="404" t="s">
        <v>19</v>
      </c>
      <c r="O126" s="443">
        <v>43101</v>
      </c>
      <c r="P126" s="443">
        <v>43132</v>
      </c>
      <c r="Q126" s="443">
        <v>43160</v>
      </c>
      <c r="R126" s="443">
        <v>43191</v>
      </c>
      <c r="S126" s="443">
        <v>43221</v>
      </c>
      <c r="T126" s="443">
        <v>43252</v>
      </c>
      <c r="U126" s="443">
        <v>43282</v>
      </c>
      <c r="V126" s="443">
        <v>43313</v>
      </c>
      <c r="W126" s="443">
        <v>43344</v>
      </c>
      <c r="X126" s="443">
        <v>43374</v>
      </c>
      <c r="Y126" s="443">
        <v>43405</v>
      </c>
      <c r="Z126" s="443">
        <v>43435</v>
      </c>
    </row>
    <row r="127" spans="1:26" x14ac:dyDescent="0.25">
      <c r="A127" s="508" t="s">
        <v>1694</v>
      </c>
      <c r="B127" s="508"/>
      <c r="C127" s="508"/>
      <c r="D127" s="510" t="s">
        <v>1198</v>
      </c>
      <c r="E127" s="496"/>
      <c r="F127" s="496"/>
      <c r="G127" s="496"/>
      <c r="H127" s="496"/>
      <c r="I127" s="496"/>
      <c r="J127" s="496"/>
      <c r="K127" s="496" t="s">
        <v>42</v>
      </c>
      <c r="L127" s="496">
        <v>12</v>
      </c>
      <c r="M127" s="496">
        <v>12</v>
      </c>
      <c r="N127" s="512">
        <f>SUM(O127:Z127)</f>
        <v>414784.61538461549</v>
      </c>
      <c r="O127" s="496">
        <v>33076.923076923085</v>
      </c>
      <c r="P127" s="496">
        <v>32415.384615384617</v>
      </c>
      <c r="Q127" s="496">
        <v>38369.23076923078</v>
      </c>
      <c r="R127" s="496">
        <v>31092.307692307699</v>
      </c>
      <c r="S127" s="496">
        <v>37046.153846153858</v>
      </c>
      <c r="T127" s="496">
        <v>31092.307692307691</v>
      </c>
      <c r="U127" s="496">
        <v>38369.23076923078</v>
      </c>
      <c r="V127" s="496">
        <v>28446.153846153848</v>
      </c>
      <c r="W127" s="496">
        <v>34400.000000000007</v>
      </c>
      <c r="X127" s="496">
        <v>35061.538461538476</v>
      </c>
      <c r="Y127" s="496">
        <v>35723.076923076922</v>
      </c>
      <c r="Z127" s="496">
        <v>39692.307692307717</v>
      </c>
    </row>
    <row r="128" spans="1:26" ht="21" customHeight="1" outlineLevel="1" x14ac:dyDescent="0.25">
      <c r="A128" s="508"/>
      <c r="B128" s="508"/>
      <c r="C128" s="508"/>
      <c r="D128" s="510"/>
      <c r="E128" s="496"/>
      <c r="F128" s="496"/>
      <c r="G128" s="410"/>
      <c r="H128" s="496"/>
      <c r="I128" s="496"/>
      <c r="J128" s="496"/>
      <c r="K128" s="519" t="s">
        <v>20</v>
      </c>
      <c r="L128" s="404">
        <f>SUM(L126:L127)</f>
        <v>12</v>
      </c>
      <c r="M128" s="404">
        <f>SUM(M126:M127)</f>
        <v>12</v>
      </c>
      <c r="N128" s="496">
        <f>SUM(N127)</f>
        <v>414784.61538461549</v>
      </c>
      <c r="O128" s="496">
        <f t="shared" ref="O128:Z128" si="14">SUM(O127)</f>
        <v>33076.923076923085</v>
      </c>
      <c r="P128" s="496">
        <f t="shared" si="14"/>
        <v>32415.384615384617</v>
      </c>
      <c r="Q128" s="496">
        <f t="shared" si="14"/>
        <v>38369.23076923078</v>
      </c>
      <c r="R128" s="496">
        <f t="shared" si="14"/>
        <v>31092.307692307699</v>
      </c>
      <c r="S128" s="496">
        <f t="shared" si="14"/>
        <v>37046.153846153858</v>
      </c>
      <c r="T128" s="496">
        <f t="shared" si="14"/>
        <v>31092.307692307691</v>
      </c>
      <c r="U128" s="496">
        <f t="shared" si="14"/>
        <v>38369.23076923078</v>
      </c>
      <c r="V128" s="496">
        <f t="shared" si="14"/>
        <v>28446.153846153848</v>
      </c>
      <c r="W128" s="496">
        <f t="shared" si="14"/>
        <v>34400.000000000007</v>
      </c>
      <c r="X128" s="496">
        <f t="shared" si="14"/>
        <v>35061.538461538476</v>
      </c>
      <c r="Y128" s="496">
        <f t="shared" si="14"/>
        <v>35723.076923076922</v>
      </c>
      <c r="Z128" s="496">
        <f t="shared" si="14"/>
        <v>39692.307692307717</v>
      </c>
    </row>
    <row r="129" spans="1:26" hidden="1" outlineLevel="1" x14ac:dyDescent="0.25">
      <c r="A129" s="535" t="str">
        <f>CONCATENATE(B21," ",C21)</f>
        <v xml:space="preserve"> </v>
      </c>
      <c r="B129" s="535"/>
      <c r="C129" s="536"/>
      <c r="D129" s="536"/>
      <c r="E129" s="507"/>
      <c r="F129" s="507"/>
      <c r="G129" s="507"/>
      <c r="H129" s="507"/>
      <c r="I129" s="507"/>
      <c r="J129" s="507"/>
      <c r="K129" s="507"/>
      <c r="L129" s="507"/>
      <c r="M129" s="507"/>
      <c r="N129" s="507"/>
      <c r="O129" s="507" t="s">
        <v>5</v>
      </c>
      <c r="P129" s="507"/>
      <c r="Q129" s="507"/>
      <c r="R129" s="507"/>
      <c r="S129" s="507"/>
      <c r="T129" s="507"/>
      <c r="U129" s="507"/>
      <c r="V129" s="507"/>
      <c r="W129" s="507"/>
      <c r="X129" s="507"/>
      <c r="Y129" s="507"/>
      <c r="Z129" s="507"/>
    </row>
    <row r="130" spans="1:26" ht="41.45" hidden="1" customHeight="1" outlineLevel="1" x14ac:dyDescent="0.25">
      <c r="A130" s="442" t="s">
        <v>261</v>
      </c>
      <c r="B130" s="442" t="s">
        <v>13</v>
      </c>
      <c r="C130" s="442" t="s">
        <v>14</v>
      </c>
      <c r="D130" s="509" t="s">
        <v>286</v>
      </c>
      <c r="E130" s="404" t="s">
        <v>16</v>
      </c>
      <c r="F130" s="404" t="s">
        <v>295</v>
      </c>
      <c r="G130" s="404" t="s">
        <v>39</v>
      </c>
      <c r="H130" s="404" t="s">
        <v>297</v>
      </c>
      <c r="I130" s="404" t="s">
        <v>298</v>
      </c>
      <c r="J130" s="404" t="s">
        <v>299</v>
      </c>
      <c r="K130" s="404" t="s">
        <v>300</v>
      </c>
      <c r="L130" s="404" t="s">
        <v>17</v>
      </c>
      <c r="M130" s="404" t="s">
        <v>18</v>
      </c>
      <c r="N130" s="404" t="s">
        <v>19</v>
      </c>
      <c r="O130" s="443">
        <v>43101</v>
      </c>
      <c r="P130" s="443">
        <v>43132</v>
      </c>
      <c r="Q130" s="443">
        <v>43160</v>
      </c>
      <c r="R130" s="443">
        <v>43191</v>
      </c>
      <c r="S130" s="443">
        <v>43221</v>
      </c>
      <c r="T130" s="443">
        <v>43252</v>
      </c>
      <c r="U130" s="443">
        <v>43282</v>
      </c>
      <c r="V130" s="443">
        <v>43313</v>
      </c>
      <c r="W130" s="443">
        <v>43344</v>
      </c>
      <c r="X130" s="443">
        <v>43374</v>
      </c>
      <c r="Y130" s="443">
        <v>43405</v>
      </c>
      <c r="Z130" s="443">
        <v>43435</v>
      </c>
    </row>
    <row r="131" spans="1:26" ht="15" hidden="1" customHeight="1" outlineLevel="1" x14ac:dyDescent="0.25">
      <c r="A131" s="508" t="s">
        <v>265</v>
      </c>
      <c r="B131" s="508"/>
      <c r="C131" s="508"/>
      <c r="D131" s="510"/>
      <c r="E131" s="496"/>
      <c r="F131" s="496"/>
      <c r="G131" s="496"/>
      <c r="H131" s="496"/>
      <c r="I131" s="496"/>
      <c r="J131" s="496"/>
      <c r="K131" s="496"/>
      <c r="L131" s="496"/>
      <c r="M131" s="496"/>
      <c r="N131" s="496">
        <f t="shared" ref="N131:N134" si="15">SUM(O131:Z131)</f>
        <v>0</v>
      </c>
      <c r="O131" s="496"/>
      <c r="P131" s="496"/>
      <c r="Q131" s="496"/>
      <c r="R131" s="496"/>
      <c r="S131" s="496"/>
      <c r="T131" s="496"/>
      <c r="U131" s="496"/>
      <c r="V131" s="496"/>
      <c r="W131" s="496"/>
      <c r="X131" s="496"/>
      <c r="Y131" s="496"/>
      <c r="Z131" s="496"/>
    </row>
    <row r="132" spans="1:26" ht="15" hidden="1" customHeight="1" outlineLevel="1" x14ac:dyDescent="0.25">
      <c r="A132" s="508" t="s">
        <v>266</v>
      </c>
      <c r="B132" s="508"/>
      <c r="C132" s="508"/>
      <c r="D132" s="510"/>
      <c r="E132" s="496"/>
      <c r="F132" s="496"/>
      <c r="G132" s="496"/>
      <c r="H132" s="496"/>
      <c r="I132" s="496"/>
      <c r="J132" s="496"/>
      <c r="K132" s="496"/>
      <c r="L132" s="496"/>
      <c r="M132" s="496"/>
      <c r="N132" s="496">
        <f t="shared" si="15"/>
        <v>0</v>
      </c>
      <c r="O132" s="496"/>
      <c r="P132" s="496"/>
      <c r="Q132" s="496"/>
      <c r="R132" s="496"/>
      <c r="S132" s="496"/>
      <c r="T132" s="496"/>
      <c r="U132" s="496"/>
      <c r="V132" s="496"/>
      <c r="W132" s="496"/>
      <c r="X132" s="496"/>
      <c r="Y132" s="496"/>
      <c r="Z132" s="496"/>
    </row>
    <row r="133" spans="1:26" ht="15" hidden="1" customHeight="1" outlineLevel="1" x14ac:dyDescent="0.25">
      <c r="A133" s="508" t="s">
        <v>283</v>
      </c>
      <c r="B133" s="508"/>
      <c r="C133" s="508"/>
      <c r="D133" s="510"/>
      <c r="E133" s="496"/>
      <c r="F133" s="496"/>
      <c r="G133" s="496"/>
      <c r="H133" s="496"/>
      <c r="I133" s="496"/>
      <c r="J133" s="496"/>
      <c r="K133" s="496"/>
      <c r="L133" s="496"/>
      <c r="M133" s="496"/>
      <c r="N133" s="496">
        <f t="shared" si="15"/>
        <v>0</v>
      </c>
      <c r="O133" s="496"/>
      <c r="P133" s="496"/>
      <c r="Q133" s="496"/>
      <c r="R133" s="496"/>
      <c r="S133" s="496"/>
      <c r="T133" s="496"/>
      <c r="U133" s="496"/>
      <c r="V133" s="496"/>
      <c r="W133" s="496"/>
      <c r="X133" s="496"/>
      <c r="Y133" s="496"/>
      <c r="Z133" s="496"/>
    </row>
    <row r="134" spans="1:26" ht="15" hidden="1" customHeight="1" outlineLevel="1" x14ac:dyDescent="0.25">
      <c r="A134" s="508" t="s">
        <v>284</v>
      </c>
      <c r="B134" s="508"/>
      <c r="C134" s="508"/>
      <c r="D134" s="510"/>
      <c r="E134" s="496"/>
      <c r="F134" s="496"/>
      <c r="G134" s="496"/>
      <c r="H134" s="496"/>
      <c r="I134" s="496"/>
      <c r="J134" s="496"/>
      <c r="K134" s="496"/>
      <c r="L134" s="496"/>
      <c r="M134" s="496"/>
      <c r="N134" s="496">
        <f t="shared" si="15"/>
        <v>0</v>
      </c>
      <c r="O134" s="496"/>
      <c r="P134" s="496"/>
      <c r="Q134" s="496"/>
      <c r="R134" s="496"/>
      <c r="S134" s="496"/>
      <c r="T134" s="496"/>
      <c r="U134" s="496"/>
      <c r="V134" s="496"/>
      <c r="W134" s="496"/>
      <c r="X134" s="496"/>
      <c r="Y134" s="496"/>
      <c r="Z134" s="496"/>
    </row>
    <row r="135" spans="1:26" ht="21" hidden="1" customHeight="1" outlineLevel="1" x14ac:dyDescent="0.25">
      <c r="A135" s="508" t="s">
        <v>285</v>
      </c>
      <c r="B135" s="508"/>
      <c r="C135" s="508"/>
      <c r="D135" s="510"/>
      <c r="E135" s="496"/>
      <c r="F135" s="496"/>
      <c r="G135" s="410"/>
      <c r="H135" s="496"/>
      <c r="I135" s="496"/>
      <c r="J135" s="496"/>
      <c r="K135" s="519" t="s">
        <v>20</v>
      </c>
      <c r="L135" s="404">
        <f>SUM(L130:L134)</f>
        <v>0</v>
      </c>
      <c r="M135" s="404">
        <f>SUM(M130:M134)</f>
        <v>0</v>
      </c>
      <c r="N135" s="496">
        <f>SUM(N131:N134)</f>
        <v>0</v>
      </c>
      <c r="O135" s="496">
        <f t="shared" ref="O135:Z135" si="16">SUM(O131:O134)</f>
        <v>0</v>
      </c>
      <c r="P135" s="496">
        <f t="shared" si="16"/>
        <v>0</v>
      </c>
      <c r="Q135" s="496">
        <f t="shared" si="16"/>
        <v>0</v>
      </c>
      <c r="R135" s="496">
        <f t="shared" si="16"/>
        <v>0</v>
      </c>
      <c r="S135" s="496">
        <f t="shared" si="16"/>
        <v>0</v>
      </c>
      <c r="T135" s="496">
        <f t="shared" si="16"/>
        <v>0</v>
      </c>
      <c r="U135" s="496">
        <f t="shared" si="16"/>
        <v>0</v>
      </c>
      <c r="V135" s="496">
        <f t="shared" si="16"/>
        <v>0</v>
      </c>
      <c r="W135" s="496">
        <f t="shared" si="16"/>
        <v>0</v>
      </c>
      <c r="X135" s="496">
        <f t="shared" si="16"/>
        <v>0</v>
      </c>
      <c r="Y135" s="496">
        <f t="shared" si="16"/>
        <v>0</v>
      </c>
      <c r="Z135" s="496">
        <f t="shared" si="16"/>
        <v>0</v>
      </c>
    </row>
    <row r="136" spans="1:26" hidden="1" outlineLevel="1" x14ac:dyDescent="0.25">
      <c r="A136" s="535" t="str">
        <f>CONCATENATE(B22," ",C22)</f>
        <v xml:space="preserve"> </v>
      </c>
      <c r="B136" s="535"/>
      <c r="C136" s="536"/>
      <c r="D136" s="536"/>
      <c r="E136" s="507"/>
      <c r="F136" s="507"/>
      <c r="G136" s="507"/>
      <c r="H136" s="507"/>
      <c r="I136" s="507"/>
      <c r="J136" s="507"/>
      <c r="K136" s="507"/>
      <c r="L136" s="507"/>
      <c r="M136" s="507"/>
      <c r="N136" s="507"/>
      <c r="O136" s="507" t="s">
        <v>5</v>
      </c>
      <c r="P136" s="507"/>
      <c r="Q136" s="507"/>
      <c r="R136" s="507"/>
      <c r="S136" s="507"/>
      <c r="T136" s="507"/>
      <c r="U136" s="507"/>
      <c r="V136" s="507"/>
      <c r="W136" s="507"/>
      <c r="X136" s="507"/>
      <c r="Y136" s="507"/>
      <c r="Z136" s="507"/>
    </row>
    <row r="137" spans="1:26" ht="41.45" hidden="1" customHeight="1" outlineLevel="1" x14ac:dyDescent="0.25">
      <c r="A137" s="442" t="s">
        <v>261</v>
      </c>
      <c r="B137" s="442" t="s">
        <v>13</v>
      </c>
      <c r="C137" s="442" t="s">
        <v>14</v>
      </c>
      <c r="D137" s="509" t="s">
        <v>286</v>
      </c>
      <c r="E137" s="404" t="s">
        <v>16</v>
      </c>
      <c r="F137" s="404" t="s">
        <v>295</v>
      </c>
      <c r="G137" s="404" t="s">
        <v>39</v>
      </c>
      <c r="H137" s="404" t="s">
        <v>297</v>
      </c>
      <c r="I137" s="404" t="s">
        <v>298</v>
      </c>
      <c r="J137" s="404" t="s">
        <v>299</v>
      </c>
      <c r="K137" s="404" t="s">
        <v>300</v>
      </c>
      <c r="L137" s="404" t="s">
        <v>17</v>
      </c>
      <c r="M137" s="404" t="s">
        <v>18</v>
      </c>
      <c r="N137" s="404" t="s">
        <v>19</v>
      </c>
      <c r="O137" s="443">
        <v>43101</v>
      </c>
      <c r="P137" s="443">
        <v>43132</v>
      </c>
      <c r="Q137" s="443">
        <v>43160</v>
      </c>
      <c r="R137" s="443">
        <v>43191</v>
      </c>
      <c r="S137" s="443">
        <v>43221</v>
      </c>
      <c r="T137" s="443">
        <v>43252</v>
      </c>
      <c r="U137" s="443">
        <v>43282</v>
      </c>
      <c r="V137" s="443">
        <v>43313</v>
      </c>
      <c r="W137" s="443">
        <v>43344</v>
      </c>
      <c r="X137" s="443">
        <v>43374</v>
      </c>
      <c r="Y137" s="443">
        <v>43405</v>
      </c>
      <c r="Z137" s="443">
        <v>43435</v>
      </c>
    </row>
    <row r="138" spans="1:26" ht="15" hidden="1" customHeight="1" outlineLevel="1" x14ac:dyDescent="0.25">
      <c r="A138" s="508" t="s">
        <v>265</v>
      </c>
      <c r="B138" s="508"/>
      <c r="C138" s="508"/>
      <c r="D138" s="510"/>
      <c r="E138" s="496"/>
      <c r="F138" s="496"/>
      <c r="G138" s="496"/>
      <c r="H138" s="496"/>
      <c r="I138" s="496"/>
      <c r="J138" s="496"/>
      <c r="K138" s="496"/>
      <c r="L138" s="496"/>
      <c r="M138" s="496"/>
      <c r="N138" s="496">
        <f t="shared" ref="N138:N141" si="17">SUM(O138:Z138)</f>
        <v>0</v>
      </c>
      <c r="O138" s="496"/>
      <c r="P138" s="496"/>
      <c r="Q138" s="496"/>
      <c r="R138" s="496"/>
      <c r="S138" s="496"/>
      <c r="T138" s="496"/>
      <c r="U138" s="496"/>
      <c r="V138" s="496"/>
      <c r="W138" s="496"/>
      <c r="X138" s="496"/>
      <c r="Y138" s="496"/>
      <c r="Z138" s="496"/>
    </row>
    <row r="139" spans="1:26" ht="15" hidden="1" customHeight="1" outlineLevel="1" x14ac:dyDescent="0.25">
      <c r="A139" s="508" t="s">
        <v>266</v>
      </c>
      <c r="B139" s="508"/>
      <c r="C139" s="508"/>
      <c r="D139" s="510"/>
      <c r="E139" s="496"/>
      <c r="F139" s="496"/>
      <c r="G139" s="496"/>
      <c r="H139" s="496"/>
      <c r="I139" s="496"/>
      <c r="J139" s="496"/>
      <c r="K139" s="496"/>
      <c r="L139" s="496"/>
      <c r="M139" s="496"/>
      <c r="N139" s="496">
        <f t="shared" si="17"/>
        <v>0</v>
      </c>
      <c r="O139" s="496"/>
      <c r="P139" s="496"/>
      <c r="Q139" s="496"/>
      <c r="R139" s="496"/>
      <c r="S139" s="496"/>
      <c r="T139" s="496"/>
      <c r="U139" s="496"/>
      <c r="V139" s="496"/>
      <c r="W139" s="496"/>
      <c r="X139" s="496"/>
      <c r="Y139" s="496"/>
      <c r="Z139" s="496"/>
    </row>
    <row r="140" spans="1:26" ht="15" hidden="1" customHeight="1" outlineLevel="1" x14ac:dyDescent="0.25">
      <c r="A140" s="508" t="s">
        <v>283</v>
      </c>
      <c r="B140" s="508"/>
      <c r="C140" s="508"/>
      <c r="D140" s="510"/>
      <c r="E140" s="496"/>
      <c r="F140" s="496"/>
      <c r="G140" s="496"/>
      <c r="H140" s="496"/>
      <c r="I140" s="496"/>
      <c r="J140" s="496"/>
      <c r="K140" s="496"/>
      <c r="L140" s="496"/>
      <c r="M140" s="496"/>
      <c r="N140" s="496">
        <f t="shared" si="17"/>
        <v>0</v>
      </c>
      <c r="O140" s="496"/>
      <c r="P140" s="496"/>
      <c r="Q140" s="496"/>
      <c r="R140" s="496"/>
      <c r="S140" s="496"/>
      <c r="T140" s="496"/>
      <c r="U140" s="496"/>
      <c r="V140" s="496"/>
      <c r="W140" s="496"/>
      <c r="X140" s="496"/>
      <c r="Y140" s="496"/>
      <c r="Z140" s="496"/>
    </row>
    <row r="141" spans="1:26" ht="15" hidden="1" customHeight="1" outlineLevel="1" x14ac:dyDescent="0.25">
      <c r="A141" s="508" t="s">
        <v>284</v>
      </c>
      <c r="B141" s="508"/>
      <c r="C141" s="508"/>
      <c r="D141" s="510"/>
      <c r="E141" s="496"/>
      <c r="F141" s="496"/>
      <c r="G141" s="496"/>
      <c r="H141" s="496"/>
      <c r="I141" s="496"/>
      <c r="J141" s="496"/>
      <c r="K141" s="496"/>
      <c r="L141" s="496"/>
      <c r="M141" s="496"/>
      <c r="N141" s="496">
        <f t="shared" si="17"/>
        <v>0</v>
      </c>
      <c r="O141" s="496"/>
      <c r="P141" s="496"/>
      <c r="Q141" s="496"/>
      <c r="R141" s="496"/>
      <c r="S141" s="496"/>
      <c r="T141" s="496"/>
      <c r="U141" s="496"/>
      <c r="V141" s="496"/>
      <c r="W141" s="496"/>
      <c r="X141" s="496"/>
      <c r="Y141" s="496"/>
      <c r="Z141" s="496"/>
    </row>
    <row r="142" spans="1:26" ht="21" hidden="1" customHeight="1" outlineLevel="1" x14ac:dyDescent="0.25">
      <c r="A142" s="508" t="s">
        <v>285</v>
      </c>
      <c r="B142" s="508"/>
      <c r="C142" s="508"/>
      <c r="D142" s="510"/>
      <c r="E142" s="496"/>
      <c r="F142" s="496"/>
      <c r="G142" s="410"/>
      <c r="H142" s="496"/>
      <c r="I142" s="496"/>
      <c r="J142" s="496"/>
      <c r="K142" s="519" t="s">
        <v>20</v>
      </c>
      <c r="L142" s="404">
        <f>SUM(L137:L141)</f>
        <v>0</v>
      </c>
      <c r="M142" s="404">
        <f>SUM(M137:M141)</f>
        <v>0</v>
      </c>
      <c r="N142" s="496">
        <f>SUM(N138:N141)</f>
        <v>0</v>
      </c>
      <c r="O142" s="496">
        <f t="shared" ref="O142:Z142" si="18">SUM(O138:O141)</f>
        <v>0</v>
      </c>
      <c r="P142" s="496">
        <f t="shared" si="18"/>
        <v>0</v>
      </c>
      <c r="Q142" s="496">
        <f t="shared" si="18"/>
        <v>0</v>
      </c>
      <c r="R142" s="496">
        <f t="shared" si="18"/>
        <v>0</v>
      </c>
      <c r="S142" s="496">
        <f t="shared" si="18"/>
        <v>0</v>
      </c>
      <c r="T142" s="496">
        <f t="shared" si="18"/>
        <v>0</v>
      </c>
      <c r="U142" s="496">
        <f t="shared" si="18"/>
        <v>0</v>
      </c>
      <c r="V142" s="496">
        <f t="shared" si="18"/>
        <v>0</v>
      </c>
      <c r="W142" s="496">
        <f t="shared" si="18"/>
        <v>0</v>
      </c>
      <c r="X142" s="496">
        <f t="shared" si="18"/>
        <v>0</v>
      </c>
      <c r="Y142" s="496">
        <f t="shared" si="18"/>
        <v>0</v>
      </c>
      <c r="Z142" s="496">
        <f t="shared" si="18"/>
        <v>0</v>
      </c>
    </row>
    <row r="143" spans="1:26" hidden="1" outlineLevel="1" x14ac:dyDescent="0.25">
      <c r="A143" s="535" t="str">
        <f>CONCATENATE(B23," ",C23)</f>
        <v xml:space="preserve"> </v>
      </c>
      <c r="B143" s="535"/>
      <c r="C143" s="536"/>
      <c r="D143" s="536"/>
      <c r="E143" s="507"/>
      <c r="F143" s="507"/>
      <c r="G143" s="507"/>
      <c r="H143" s="507"/>
      <c r="I143" s="507"/>
      <c r="J143" s="507"/>
      <c r="K143" s="507"/>
      <c r="L143" s="507"/>
      <c r="M143" s="507"/>
      <c r="N143" s="507"/>
      <c r="O143" s="507" t="s">
        <v>5</v>
      </c>
      <c r="P143" s="507"/>
      <c r="Q143" s="507"/>
      <c r="R143" s="507"/>
      <c r="S143" s="507"/>
      <c r="T143" s="507"/>
      <c r="U143" s="507"/>
      <c r="V143" s="507"/>
      <c r="W143" s="507"/>
      <c r="X143" s="507"/>
      <c r="Y143" s="507"/>
      <c r="Z143" s="507"/>
    </row>
    <row r="144" spans="1:26" ht="41.45" hidden="1" customHeight="1" outlineLevel="1" x14ac:dyDescent="0.25">
      <c r="A144" s="442" t="s">
        <v>261</v>
      </c>
      <c r="B144" s="442" t="s">
        <v>13</v>
      </c>
      <c r="C144" s="442" t="s">
        <v>14</v>
      </c>
      <c r="D144" s="509" t="s">
        <v>286</v>
      </c>
      <c r="E144" s="404" t="s">
        <v>16</v>
      </c>
      <c r="F144" s="404" t="s">
        <v>295</v>
      </c>
      <c r="G144" s="404" t="s">
        <v>39</v>
      </c>
      <c r="H144" s="404" t="s">
        <v>297</v>
      </c>
      <c r="I144" s="404" t="s">
        <v>298</v>
      </c>
      <c r="J144" s="404" t="s">
        <v>299</v>
      </c>
      <c r="K144" s="404" t="s">
        <v>300</v>
      </c>
      <c r="L144" s="404" t="s">
        <v>17</v>
      </c>
      <c r="M144" s="404" t="s">
        <v>18</v>
      </c>
      <c r="N144" s="404" t="s">
        <v>19</v>
      </c>
      <c r="O144" s="443">
        <v>43101</v>
      </c>
      <c r="P144" s="443">
        <v>43132</v>
      </c>
      <c r="Q144" s="443">
        <v>43160</v>
      </c>
      <c r="R144" s="443">
        <v>43191</v>
      </c>
      <c r="S144" s="443">
        <v>43221</v>
      </c>
      <c r="T144" s="443">
        <v>43252</v>
      </c>
      <c r="U144" s="443">
        <v>43282</v>
      </c>
      <c r="V144" s="443">
        <v>43313</v>
      </c>
      <c r="W144" s="443">
        <v>43344</v>
      </c>
      <c r="X144" s="443">
        <v>43374</v>
      </c>
      <c r="Y144" s="443">
        <v>43405</v>
      </c>
      <c r="Z144" s="443">
        <v>43435</v>
      </c>
    </row>
    <row r="145" spans="1:26" ht="15" hidden="1" customHeight="1" outlineLevel="1" x14ac:dyDescent="0.25">
      <c r="A145" s="508" t="s">
        <v>265</v>
      </c>
      <c r="B145" s="508"/>
      <c r="C145" s="508"/>
      <c r="D145" s="510"/>
      <c r="E145" s="496"/>
      <c r="F145" s="496"/>
      <c r="G145" s="496"/>
      <c r="H145" s="496"/>
      <c r="I145" s="496"/>
      <c r="J145" s="496"/>
      <c r="K145" s="496"/>
      <c r="L145" s="496"/>
      <c r="M145" s="496"/>
      <c r="N145" s="496">
        <f t="shared" ref="N145:N148" si="19">SUM(O145:Z145)</f>
        <v>0</v>
      </c>
      <c r="O145" s="496"/>
      <c r="P145" s="496"/>
      <c r="Q145" s="496"/>
      <c r="R145" s="496"/>
      <c r="S145" s="496"/>
      <c r="T145" s="496"/>
      <c r="U145" s="496"/>
      <c r="V145" s="496"/>
      <c r="W145" s="496"/>
      <c r="X145" s="496"/>
      <c r="Y145" s="496"/>
      <c r="Z145" s="496"/>
    </row>
    <row r="146" spans="1:26" ht="15" hidden="1" customHeight="1" outlineLevel="1" x14ac:dyDescent="0.25">
      <c r="A146" s="508" t="s">
        <v>266</v>
      </c>
      <c r="B146" s="508"/>
      <c r="C146" s="508"/>
      <c r="D146" s="510"/>
      <c r="E146" s="496"/>
      <c r="F146" s="496"/>
      <c r="G146" s="496"/>
      <c r="H146" s="496"/>
      <c r="I146" s="496"/>
      <c r="J146" s="496"/>
      <c r="K146" s="496"/>
      <c r="L146" s="496"/>
      <c r="M146" s="496"/>
      <c r="N146" s="496">
        <f t="shared" si="19"/>
        <v>0</v>
      </c>
      <c r="O146" s="496"/>
      <c r="P146" s="496"/>
      <c r="Q146" s="496"/>
      <c r="R146" s="496"/>
      <c r="S146" s="496"/>
      <c r="T146" s="496"/>
      <c r="U146" s="496"/>
      <c r="V146" s="496"/>
      <c r="W146" s="496"/>
      <c r="X146" s="496"/>
      <c r="Y146" s="496"/>
      <c r="Z146" s="496"/>
    </row>
    <row r="147" spans="1:26" ht="15" hidden="1" customHeight="1" outlineLevel="1" x14ac:dyDescent="0.25">
      <c r="A147" s="508" t="s">
        <v>283</v>
      </c>
      <c r="B147" s="508"/>
      <c r="C147" s="508"/>
      <c r="D147" s="510"/>
      <c r="E147" s="496"/>
      <c r="F147" s="496"/>
      <c r="G147" s="496"/>
      <c r="H147" s="496"/>
      <c r="I147" s="496"/>
      <c r="J147" s="496"/>
      <c r="K147" s="496"/>
      <c r="L147" s="496"/>
      <c r="M147" s="496"/>
      <c r="N147" s="496">
        <f t="shared" si="19"/>
        <v>0</v>
      </c>
      <c r="O147" s="496"/>
      <c r="P147" s="496"/>
      <c r="Q147" s="496"/>
      <c r="R147" s="496"/>
      <c r="S147" s="496"/>
      <c r="T147" s="496"/>
      <c r="U147" s="496"/>
      <c r="V147" s="496"/>
      <c r="W147" s="496"/>
      <c r="X147" s="496"/>
      <c r="Y147" s="496"/>
      <c r="Z147" s="496"/>
    </row>
    <row r="148" spans="1:26" ht="15" hidden="1" customHeight="1" outlineLevel="1" x14ac:dyDescent="0.25">
      <c r="A148" s="508" t="s">
        <v>284</v>
      </c>
      <c r="B148" s="508"/>
      <c r="C148" s="508"/>
      <c r="D148" s="510"/>
      <c r="E148" s="496"/>
      <c r="F148" s="496"/>
      <c r="G148" s="496"/>
      <c r="H148" s="496"/>
      <c r="I148" s="496"/>
      <c r="J148" s="496"/>
      <c r="K148" s="496"/>
      <c r="L148" s="496"/>
      <c r="M148" s="496"/>
      <c r="N148" s="496">
        <f t="shared" si="19"/>
        <v>0</v>
      </c>
      <c r="O148" s="496"/>
      <c r="P148" s="496"/>
      <c r="Q148" s="496"/>
      <c r="R148" s="496"/>
      <c r="S148" s="496"/>
      <c r="T148" s="496"/>
      <c r="U148" s="496"/>
      <c r="V148" s="496"/>
      <c r="W148" s="496"/>
      <c r="X148" s="496"/>
      <c r="Y148" s="496"/>
      <c r="Z148" s="496"/>
    </row>
    <row r="149" spans="1:26" ht="21" hidden="1" customHeight="1" outlineLevel="1" x14ac:dyDescent="0.25">
      <c r="A149" s="508" t="s">
        <v>285</v>
      </c>
      <c r="B149" s="508"/>
      <c r="C149" s="508"/>
      <c r="D149" s="510"/>
      <c r="E149" s="496"/>
      <c r="F149" s="496"/>
      <c r="G149" s="410"/>
      <c r="H149" s="496"/>
      <c r="I149" s="496"/>
      <c r="J149" s="496"/>
      <c r="K149" s="519" t="s">
        <v>20</v>
      </c>
      <c r="L149" s="404">
        <f>SUM(L144:L148)</f>
        <v>0</v>
      </c>
      <c r="M149" s="404">
        <f>SUM(M144:M148)</f>
        <v>0</v>
      </c>
      <c r="N149" s="496">
        <f>SUM(N145:N148)</f>
        <v>0</v>
      </c>
      <c r="O149" s="496">
        <f t="shared" ref="O149:Z149" si="20">SUM(O145:O148)</f>
        <v>0</v>
      </c>
      <c r="P149" s="496">
        <f t="shared" si="20"/>
        <v>0</v>
      </c>
      <c r="Q149" s="496">
        <f t="shared" si="20"/>
        <v>0</v>
      </c>
      <c r="R149" s="496">
        <f t="shared" si="20"/>
        <v>0</v>
      </c>
      <c r="S149" s="496">
        <f t="shared" si="20"/>
        <v>0</v>
      </c>
      <c r="T149" s="496">
        <f t="shared" si="20"/>
        <v>0</v>
      </c>
      <c r="U149" s="496">
        <f t="shared" si="20"/>
        <v>0</v>
      </c>
      <c r="V149" s="496">
        <f t="shared" si="20"/>
        <v>0</v>
      </c>
      <c r="W149" s="496">
        <f t="shared" si="20"/>
        <v>0</v>
      </c>
      <c r="X149" s="496">
        <f t="shared" si="20"/>
        <v>0</v>
      </c>
      <c r="Y149" s="496">
        <f t="shared" si="20"/>
        <v>0</v>
      </c>
      <c r="Z149" s="496">
        <f t="shared" si="20"/>
        <v>0</v>
      </c>
    </row>
    <row r="150" spans="1:26" hidden="1" outlineLevel="1" x14ac:dyDescent="0.25">
      <c r="A150" s="535" t="str">
        <f>CONCATENATE(B24," ",C24)</f>
        <v xml:space="preserve"> </v>
      </c>
      <c r="B150" s="535"/>
      <c r="C150" s="536"/>
      <c r="D150" s="536"/>
      <c r="E150" s="507"/>
      <c r="F150" s="507"/>
      <c r="G150" s="507"/>
      <c r="H150" s="507"/>
      <c r="I150" s="507"/>
      <c r="J150" s="507"/>
      <c r="K150" s="507"/>
      <c r="L150" s="507"/>
      <c r="M150" s="507"/>
      <c r="N150" s="507"/>
      <c r="O150" s="507" t="s">
        <v>5</v>
      </c>
      <c r="P150" s="507"/>
      <c r="Q150" s="507"/>
      <c r="R150" s="507"/>
      <c r="S150" s="507"/>
      <c r="T150" s="507"/>
      <c r="U150" s="507"/>
      <c r="V150" s="507"/>
      <c r="W150" s="507"/>
      <c r="X150" s="507"/>
      <c r="Y150" s="507"/>
      <c r="Z150" s="507"/>
    </row>
    <row r="151" spans="1:26" ht="41.45" hidden="1" customHeight="1" outlineLevel="1" x14ac:dyDescent="0.25">
      <c r="A151" s="442" t="s">
        <v>261</v>
      </c>
      <c r="B151" s="442" t="s">
        <v>13</v>
      </c>
      <c r="C151" s="442" t="s">
        <v>14</v>
      </c>
      <c r="D151" s="509" t="s">
        <v>286</v>
      </c>
      <c r="E151" s="404" t="s">
        <v>16</v>
      </c>
      <c r="F151" s="404" t="s">
        <v>295</v>
      </c>
      <c r="G151" s="404" t="s">
        <v>39</v>
      </c>
      <c r="H151" s="404" t="s">
        <v>297</v>
      </c>
      <c r="I151" s="404" t="s">
        <v>298</v>
      </c>
      <c r="J151" s="404" t="s">
        <v>299</v>
      </c>
      <c r="K151" s="404" t="s">
        <v>300</v>
      </c>
      <c r="L151" s="404" t="s">
        <v>17</v>
      </c>
      <c r="M151" s="404" t="s">
        <v>18</v>
      </c>
      <c r="N151" s="404" t="s">
        <v>19</v>
      </c>
      <c r="O151" s="443">
        <v>43101</v>
      </c>
      <c r="P151" s="443">
        <v>43132</v>
      </c>
      <c r="Q151" s="443">
        <v>43160</v>
      </c>
      <c r="R151" s="443">
        <v>43191</v>
      </c>
      <c r="S151" s="443">
        <v>43221</v>
      </c>
      <c r="T151" s="443">
        <v>43252</v>
      </c>
      <c r="U151" s="443">
        <v>43282</v>
      </c>
      <c r="V151" s="443">
        <v>43313</v>
      </c>
      <c r="W151" s="443">
        <v>43344</v>
      </c>
      <c r="X151" s="443">
        <v>43374</v>
      </c>
      <c r="Y151" s="443">
        <v>43405</v>
      </c>
      <c r="Z151" s="443">
        <v>43435</v>
      </c>
    </row>
    <row r="152" spans="1:26" ht="15" hidden="1" customHeight="1" outlineLevel="1" x14ac:dyDescent="0.25">
      <c r="A152" s="508" t="s">
        <v>265</v>
      </c>
      <c r="B152" s="508"/>
      <c r="C152" s="508"/>
      <c r="D152" s="510"/>
      <c r="E152" s="496"/>
      <c r="F152" s="496"/>
      <c r="G152" s="496"/>
      <c r="H152" s="496"/>
      <c r="I152" s="496"/>
      <c r="J152" s="496"/>
      <c r="K152" s="496"/>
      <c r="L152" s="496"/>
      <c r="M152" s="496"/>
      <c r="N152" s="496">
        <f t="shared" ref="N152:N155" si="21">SUM(O152:Z152)</f>
        <v>0</v>
      </c>
      <c r="O152" s="496"/>
      <c r="P152" s="496"/>
      <c r="Q152" s="496"/>
      <c r="R152" s="496"/>
      <c r="S152" s="496"/>
      <c r="T152" s="496"/>
      <c r="U152" s="496"/>
      <c r="V152" s="496"/>
      <c r="W152" s="496"/>
      <c r="X152" s="496"/>
      <c r="Y152" s="496"/>
      <c r="Z152" s="496"/>
    </row>
    <row r="153" spans="1:26" ht="15" hidden="1" customHeight="1" outlineLevel="1" x14ac:dyDescent="0.25">
      <c r="A153" s="508" t="s">
        <v>266</v>
      </c>
      <c r="B153" s="508"/>
      <c r="C153" s="508"/>
      <c r="D153" s="510"/>
      <c r="E153" s="496"/>
      <c r="F153" s="496"/>
      <c r="G153" s="496"/>
      <c r="H153" s="496"/>
      <c r="I153" s="496"/>
      <c r="J153" s="496"/>
      <c r="K153" s="496"/>
      <c r="L153" s="496"/>
      <c r="M153" s="496"/>
      <c r="N153" s="496">
        <f t="shared" si="21"/>
        <v>0</v>
      </c>
      <c r="O153" s="496"/>
      <c r="P153" s="496"/>
      <c r="Q153" s="496"/>
      <c r="R153" s="496"/>
      <c r="S153" s="496"/>
      <c r="T153" s="496"/>
      <c r="U153" s="496"/>
      <c r="V153" s="496"/>
      <c r="W153" s="496"/>
      <c r="X153" s="496"/>
      <c r="Y153" s="496"/>
      <c r="Z153" s="496"/>
    </row>
    <row r="154" spans="1:26" ht="15" hidden="1" customHeight="1" outlineLevel="1" x14ac:dyDescent="0.25">
      <c r="A154" s="508" t="s">
        <v>283</v>
      </c>
      <c r="B154" s="508"/>
      <c r="C154" s="508"/>
      <c r="D154" s="510"/>
      <c r="E154" s="496"/>
      <c r="F154" s="496"/>
      <c r="G154" s="496"/>
      <c r="H154" s="496"/>
      <c r="I154" s="496"/>
      <c r="J154" s="496"/>
      <c r="K154" s="496"/>
      <c r="L154" s="496"/>
      <c r="M154" s="496"/>
      <c r="N154" s="496">
        <f t="shared" si="21"/>
        <v>0</v>
      </c>
      <c r="O154" s="496"/>
      <c r="P154" s="496"/>
      <c r="Q154" s="496"/>
      <c r="R154" s="496"/>
      <c r="S154" s="496"/>
      <c r="T154" s="496"/>
      <c r="U154" s="496"/>
      <c r="V154" s="496"/>
      <c r="W154" s="496"/>
      <c r="X154" s="496"/>
      <c r="Y154" s="496"/>
      <c r="Z154" s="496"/>
    </row>
    <row r="155" spans="1:26" ht="15" hidden="1" customHeight="1" outlineLevel="1" x14ac:dyDescent="0.25">
      <c r="A155" s="508" t="s">
        <v>284</v>
      </c>
      <c r="B155" s="508"/>
      <c r="C155" s="508"/>
      <c r="D155" s="510"/>
      <c r="E155" s="496"/>
      <c r="F155" s="496"/>
      <c r="G155" s="496"/>
      <c r="H155" s="496"/>
      <c r="I155" s="496"/>
      <c r="J155" s="496"/>
      <c r="K155" s="496"/>
      <c r="L155" s="496"/>
      <c r="M155" s="496"/>
      <c r="N155" s="496">
        <f t="shared" si="21"/>
        <v>0</v>
      </c>
      <c r="O155" s="496"/>
      <c r="P155" s="496"/>
      <c r="Q155" s="496"/>
      <c r="R155" s="496"/>
      <c r="S155" s="496"/>
      <c r="T155" s="496"/>
      <c r="U155" s="496"/>
      <c r="V155" s="496"/>
      <c r="W155" s="496"/>
      <c r="X155" s="496"/>
      <c r="Y155" s="496"/>
      <c r="Z155" s="496"/>
    </row>
    <row r="156" spans="1:26" ht="21" hidden="1" customHeight="1" outlineLevel="1" x14ac:dyDescent="0.25">
      <c r="A156" s="508" t="s">
        <v>285</v>
      </c>
      <c r="B156" s="508"/>
      <c r="C156" s="508"/>
      <c r="D156" s="510"/>
      <c r="E156" s="496"/>
      <c r="F156" s="496"/>
      <c r="G156" s="410"/>
      <c r="H156" s="496"/>
      <c r="I156" s="496"/>
      <c r="J156" s="496"/>
      <c r="K156" s="519" t="s">
        <v>20</v>
      </c>
      <c r="L156" s="404">
        <f>SUM(L151:L155)</f>
        <v>0</v>
      </c>
      <c r="M156" s="404">
        <f>SUM(M151:M155)</f>
        <v>0</v>
      </c>
      <c r="N156" s="496">
        <f>SUM(N152:N155)</f>
        <v>0</v>
      </c>
      <c r="O156" s="496">
        <f t="shared" ref="O156:Z156" si="22">SUM(O152:O155)</f>
        <v>0</v>
      </c>
      <c r="P156" s="496">
        <f t="shared" si="22"/>
        <v>0</v>
      </c>
      <c r="Q156" s="496">
        <f t="shared" si="22"/>
        <v>0</v>
      </c>
      <c r="R156" s="496">
        <f t="shared" si="22"/>
        <v>0</v>
      </c>
      <c r="S156" s="496">
        <f t="shared" si="22"/>
        <v>0</v>
      </c>
      <c r="T156" s="496">
        <f t="shared" si="22"/>
        <v>0</v>
      </c>
      <c r="U156" s="496">
        <f t="shared" si="22"/>
        <v>0</v>
      </c>
      <c r="V156" s="496">
        <f t="shared" si="22"/>
        <v>0</v>
      </c>
      <c r="W156" s="496">
        <f t="shared" si="22"/>
        <v>0</v>
      </c>
      <c r="X156" s="496">
        <f t="shared" si="22"/>
        <v>0</v>
      </c>
      <c r="Y156" s="496">
        <f t="shared" si="22"/>
        <v>0</v>
      </c>
      <c r="Z156" s="496">
        <f t="shared" si="22"/>
        <v>0</v>
      </c>
    </row>
    <row r="157" spans="1:26" hidden="1" outlineLevel="1" x14ac:dyDescent="0.25">
      <c r="A157" s="535" t="str">
        <f>CONCATENATE(B25," ",C25)</f>
        <v xml:space="preserve"> </v>
      </c>
      <c r="B157" s="535"/>
      <c r="C157" s="536"/>
      <c r="D157" s="536"/>
      <c r="E157" s="507"/>
      <c r="F157" s="507"/>
      <c r="G157" s="507"/>
      <c r="H157" s="507"/>
      <c r="I157" s="507"/>
      <c r="J157" s="507"/>
      <c r="K157" s="507"/>
      <c r="L157" s="507"/>
      <c r="M157" s="507"/>
      <c r="N157" s="507"/>
      <c r="O157" s="507" t="s">
        <v>5</v>
      </c>
      <c r="P157" s="507"/>
      <c r="Q157" s="507"/>
      <c r="R157" s="507"/>
      <c r="S157" s="507"/>
      <c r="T157" s="507"/>
      <c r="U157" s="507"/>
      <c r="V157" s="507"/>
      <c r="W157" s="507"/>
      <c r="X157" s="507"/>
      <c r="Y157" s="507"/>
      <c r="Z157" s="507"/>
    </row>
    <row r="158" spans="1:26" ht="41.45" hidden="1" customHeight="1" outlineLevel="1" x14ac:dyDescent="0.25">
      <c r="A158" s="442" t="s">
        <v>261</v>
      </c>
      <c r="B158" s="442" t="s">
        <v>13</v>
      </c>
      <c r="C158" s="442" t="s">
        <v>14</v>
      </c>
      <c r="D158" s="509" t="s">
        <v>286</v>
      </c>
      <c r="E158" s="404" t="s">
        <v>16</v>
      </c>
      <c r="F158" s="404" t="s">
        <v>295</v>
      </c>
      <c r="G158" s="404" t="s">
        <v>39</v>
      </c>
      <c r="H158" s="404" t="s">
        <v>297</v>
      </c>
      <c r="I158" s="404" t="s">
        <v>298</v>
      </c>
      <c r="J158" s="404" t="s">
        <v>299</v>
      </c>
      <c r="K158" s="404" t="s">
        <v>300</v>
      </c>
      <c r="L158" s="404" t="s">
        <v>17</v>
      </c>
      <c r="M158" s="404" t="s">
        <v>18</v>
      </c>
      <c r="N158" s="404" t="s">
        <v>19</v>
      </c>
      <c r="O158" s="443">
        <v>43101</v>
      </c>
      <c r="P158" s="443">
        <v>43132</v>
      </c>
      <c r="Q158" s="443">
        <v>43160</v>
      </c>
      <c r="R158" s="443">
        <v>43191</v>
      </c>
      <c r="S158" s="443">
        <v>43221</v>
      </c>
      <c r="T158" s="443">
        <v>43252</v>
      </c>
      <c r="U158" s="443">
        <v>43282</v>
      </c>
      <c r="V158" s="443">
        <v>43313</v>
      </c>
      <c r="W158" s="443">
        <v>43344</v>
      </c>
      <c r="X158" s="443">
        <v>43374</v>
      </c>
      <c r="Y158" s="443">
        <v>43405</v>
      </c>
      <c r="Z158" s="443">
        <v>43435</v>
      </c>
    </row>
    <row r="159" spans="1:26" ht="15" hidden="1" customHeight="1" outlineLevel="1" x14ac:dyDescent="0.25">
      <c r="A159" s="508" t="s">
        <v>265</v>
      </c>
      <c r="B159" s="508"/>
      <c r="C159" s="508"/>
      <c r="D159" s="510"/>
      <c r="E159" s="496"/>
      <c r="F159" s="496"/>
      <c r="G159" s="496"/>
      <c r="H159" s="496"/>
      <c r="I159" s="496"/>
      <c r="J159" s="496"/>
      <c r="K159" s="496"/>
      <c r="L159" s="496"/>
      <c r="M159" s="496"/>
      <c r="N159" s="496">
        <f t="shared" ref="N159:N162" si="23">SUM(O159:Z159)</f>
        <v>0</v>
      </c>
      <c r="O159" s="496"/>
      <c r="P159" s="496"/>
      <c r="Q159" s="496"/>
      <c r="R159" s="496"/>
      <c r="S159" s="496"/>
      <c r="T159" s="496"/>
      <c r="U159" s="496"/>
      <c r="V159" s="496"/>
      <c r="W159" s="496"/>
      <c r="X159" s="496"/>
      <c r="Y159" s="496"/>
      <c r="Z159" s="496"/>
    </row>
    <row r="160" spans="1:26" ht="15" hidden="1" customHeight="1" outlineLevel="1" x14ac:dyDescent="0.25">
      <c r="A160" s="508" t="s">
        <v>266</v>
      </c>
      <c r="B160" s="508"/>
      <c r="C160" s="508"/>
      <c r="D160" s="510"/>
      <c r="E160" s="496"/>
      <c r="F160" s="496"/>
      <c r="G160" s="496"/>
      <c r="H160" s="496"/>
      <c r="I160" s="496"/>
      <c r="J160" s="496"/>
      <c r="K160" s="496"/>
      <c r="L160" s="496"/>
      <c r="M160" s="496"/>
      <c r="N160" s="496">
        <f t="shared" si="23"/>
        <v>0</v>
      </c>
      <c r="O160" s="496"/>
      <c r="P160" s="496"/>
      <c r="Q160" s="496"/>
      <c r="R160" s="496"/>
      <c r="S160" s="496"/>
      <c r="T160" s="496"/>
      <c r="U160" s="496"/>
      <c r="V160" s="496"/>
      <c r="W160" s="496"/>
      <c r="X160" s="496"/>
      <c r="Y160" s="496"/>
      <c r="Z160" s="496"/>
    </row>
    <row r="161" spans="1:26" ht="15" hidden="1" customHeight="1" outlineLevel="1" x14ac:dyDescent="0.25">
      <c r="A161" s="508" t="s">
        <v>283</v>
      </c>
      <c r="B161" s="508"/>
      <c r="C161" s="508"/>
      <c r="D161" s="510"/>
      <c r="E161" s="496"/>
      <c r="F161" s="496"/>
      <c r="G161" s="496"/>
      <c r="H161" s="496"/>
      <c r="I161" s="496"/>
      <c r="J161" s="496"/>
      <c r="K161" s="496"/>
      <c r="L161" s="496"/>
      <c r="M161" s="496"/>
      <c r="N161" s="496">
        <f t="shared" si="23"/>
        <v>0</v>
      </c>
      <c r="O161" s="496"/>
      <c r="P161" s="496"/>
      <c r="Q161" s="496"/>
      <c r="R161" s="496"/>
      <c r="S161" s="496"/>
      <c r="T161" s="496"/>
      <c r="U161" s="496"/>
      <c r="V161" s="496"/>
      <c r="W161" s="496"/>
      <c r="X161" s="496"/>
      <c r="Y161" s="496"/>
      <c r="Z161" s="496"/>
    </row>
    <row r="162" spans="1:26" ht="15" hidden="1" customHeight="1" outlineLevel="1" x14ac:dyDescent="0.25">
      <c r="A162" s="508" t="s">
        <v>284</v>
      </c>
      <c r="B162" s="508"/>
      <c r="C162" s="508"/>
      <c r="D162" s="510"/>
      <c r="E162" s="496"/>
      <c r="F162" s="496"/>
      <c r="G162" s="496"/>
      <c r="H162" s="496"/>
      <c r="I162" s="496"/>
      <c r="J162" s="496"/>
      <c r="K162" s="496"/>
      <c r="L162" s="496"/>
      <c r="M162" s="496"/>
      <c r="N162" s="496">
        <f t="shared" si="23"/>
        <v>0</v>
      </c>
      <c r="O162" s="496"/>
      <c r="P162" s="496"/>
      <c r="Q162" s="496"/>
      <c r="R162" s="496"/>
      <c r="S162" s="496"/>
      <c r="T162" s="496"/>
      <c r="U162" s="496"/>
      <c r="V162" s="496"/>
      <c r="W162" s="496"/>
      <c r="X162" s="496"/>
      <c r="Y162" s="496"/>
      <c r="Z162" s="496"/>
    </row>
    <row r="163" spans="1:26" ht="21" hidden="1" customHeight="1" outlineLevel="1" x14ac:dyDescent="0.25">
      <c r="A163" s="508" t="s">
        <v>285</v>
      </c>
      <c r="B163" s="508"/>
      <c r="C163" s="508"/>
      <c r="D163" s="510"/>
      <c r="E163" s="496"/>
      <c r="F163" s="496"/>
      <c r="G163" s="410"/>
      <c r="H163" s="496"/>
      <c r="I163" s="496"/>
      <c r="J163" s="496"/>
      <c r="K163" s="519" t="s">
        <v>20</v>
      </c>
      <c r="L163" s="404">
        <f>SUM(L158:L162)</f>
        <v>0</v>
      </c>
      <c r="M163" s="404">
        <f>SUM(M158:M162)</f>
        <v>0</v>
      </c>
      <c r="N163" s="496">
        <f>SUM(N159:N162)</f>
        <v>0</v>
      </c>
      <c r="O163" s="496">
        <f t="shared" ref="O163:Z163" si="24">SUM(O159:O162)</f>
        <v>0</v>
      </c>
      <c r="P163" s="496">
        <f t="shared" si="24"/>
        <v>0</v>
      </c>
      <c r="Q163" s="496">
        <f t="shared" si="24"/>
        <v>0</v>
      </c>
      <c r="R163" s="496">
        <f t="shared" si="24"/>
        <v>0</v>
      </c>
      <c r="S163" s="496">
        <f t="shared" si="24"/>
        <v>0</v>
      </c>
      <c r="T163" s="496">
        <f t="shared" si="24"/>
        <v>0</v>
      </c>
      <c r="U163" s="496">
        <f t="shared" si="24"/>
        <v>0</v>
      </c>
      <c r="V163" s="496">
        <f t="shared" si="24"/>
        <v>0</v>
      </c>
      <c r="W163" s="496">
        <f t="shared" si="24"/>
        <v>0</v>
      </c>
      <c r="X163" s="496">
        <f t="shared" si="24"/>
        <v>0</v>
      </c>
      <c r="Y163" s="496">
        <f t="shared" si="24"/>
        <v>0</v>
      </c>
      <c r="Z163" s="496">
        <f t="shared" si="24"/>
        <v>0</v>
      </c>
    </row>
    <row r="164" spans="1:26" hidden="1" outlineLevel="1" x14ac:dyDescent="0.25">
      <c r="A164" s="535" t="str">
        <f>CONCATENATE(B26," ",C26)</f>
        <v xml:space="preserve"> </v>
      </c>
      <c r="B164" s="535"/>
      <c r="C164" s="536"/>
      <c r="D164" s="536"/>
      <c r="E164" s="507"/>
      <c r="F164" s="507"/>
      <c r="G164" s="507"/>
      <c r="H164" s="507"/>
      <c r="I164" s="507"/>
      <c r="J164" s="507"/>
      <c r="K164" s="507"/>
      <c r="L164" s="507"/>
      <c r="M164" s="507"/>
      <c r="N164" s="507"/>
      <c r="O164" s="507" t="s">
        <v>5</v>
      </c>
      <c r="P164" s="507"/>
      <c r="Q164" s="507"/>
      <c r="R164" s="507"/>
      <c r="S164" s="507"/>
      <c r="T164" s="507"/>
      <c r="U164" s="507"/>
      <c r="V164" s="507"/>
      <c r="W164" s="507"/>
      <c r="X164" s="507"/>
      <c r="Y164" s="507"/>
      <c r="Z164" s="507"/>
    </row>
    <row r="165" spans="1:26" ht="6.75" hidden="1" customHeight="1" x14ac:dyDescent="0.25"/>
    <row r="166" spans="1:26" x14ac:dyDescent="0.25">
      <c r="A166" s="441" t="s">
        <v>324</v>
      </c>
      <c r="B166" s="441"/>
      <c r="C166" s="402"/>
      <c r="D166" s="402"/>
      <c r="E166" s="402"/>
      <c r="F166" s="402"/>
      <c r="G166" s="402"/>
      <c r="H166" s="491"/>
      <c r="I166" s="491"/>
      <c r="J166" s="402"/>
      <c r="K166" s="402"/>
      <c r="L166" s="402"/>
      <c r="M166" s="402"/>
      <c r="N166" s="402"/>
      <c r="O166" s="402" t="s">
        <v>5</v>
      </c>
      <c r="P166" s="402"/>
      <c r="Q166" s="402"/>
      <c r="R166" s="402"/>
      <c r="S166" s="402"/>
      <c r="T166" s="402"/>
      <c r="U166" s="402"/>
      <c r="V166" s="402"/>
      <c r="W166" s="402"/>
      <c r="X166" s="402"/>
      <c r="Y166" s="402"/>
      <c r="Z166" s="402"/>
    </row>
    <row r="167" spans="1:26" outlineLevel="1" x14ac:dyDescent="0.25">
      <c r="A167" s="442" t="s">
        <v>261</v>
      </c>
      <c r="B167" s="442" t="s">
        <v>13</v>
      </c>
      <c r="C167" s="442" t="s">
        <v>14</v>
      </c>
      <c r="D167" s="403" t="s">
        <v>15</v>
      </c>
      <c r="E167" s="520"/>
      <c r="F167" s="520"/>
      <c r="G167" s="520"/>
      <c r="H167" s="520"/>
      <c r="I167" s="520"/>
      <c r="J167" s="410"/>
      <c r="K167" s="409"/>
      <c r="L167" s="404" t="s">
        <v>52</v>
      </c>
      <c r="M167" s="404" t="s">
        <v>53</v>
      </c>
      <c r="N167" s="404" t="s">
        <v>54</v>
      </c>
      <c r="O167" s="443">
        <v>43101</v>
      </c>
      <c r="P167" s="443">
        <v>43132</v>
      </c>
      <c r="Q167" s="443">
        <v>43160</v>
      </c>
      <c r="R167" s="443">
        <v>43191</v>
      </c>
      <c r="S167" s="443">
        <v>43221</v>
      </c>
      <c r="T167" s="443">
        <v>43252</v>
      </c>
      <c r="U167" s="443">
        <v>43282</v>
      </c>
      <c r="V167" s="443">
        <v>43313</v>
      </c>
      <c r="W167" s="443">
        <v>43344</v>
      </c>
      <c r="X167" s="443">
        <v>43374</v>
      </c>
      <c r="Y167" s="443">
        <v>43405</v>
      </c>
      <c r="Z167" s="443">
        <v>43435</v>
      </c>
    </row>
    <row r="168" spans="1:26" outlineLevel="1" x14ac:dyDescent="0.25">
      <c r="A168" s="508" t="str">
        <f t="shared" ref="A168:A177" si="25">+A17</f>
        <v>5.1</v>
      </c>
      <c r="B168" s="508" t="s">
        <v>27</v>
      </c>
      <c r="C168" s="508" t="str">
        <f t="shared" ref="C168:D177" si="26">C17</f>
        <v>Santiago Office</v>
      </c>
      <c r="D168" s="508" t="str">
        <f t="shared" si="26"/>
        <v>Santiago Office</v>
      </c>
      <c r="E168" s="520"/>
      <c r="F168" s="520"/>
      <c r="G168" s="520"/>
      <c r="H168" s="520"/>
      <c r="I168" s="520"/>
      <c r="J168" s="410"/>
      <c r="K168" s="409" t="s">
        <v>5</v>
      </c>
      <c r="L168" s="496" t="s">
        <v>48</v>
      </c>
      <c r="M168" s="496" t="s">
        <v>55</v>
      </c>
      <c r="N168" s="496">
        <v>6</v>
      </c>
      <c r="O168" s="521">
        <f t="shared" ref="O168:Z168" si="27">+O17/SUM($O17:$Z17)</f>
        <v>9.6469104665825978E-2</v>
      </c>
      <c r="P168" s="521">
        <f t="shared" si="27"/>
        <v>9.6469104665825978E-2</v>
      </c>
      <c r="Q168" s="521">
        <f t="shared" si="27"/>
        <v>9.6469104665825978E-2</v>
      </c>
      <c r="R168" s="521">
        <f t="shared" si="27"/>
        <v>9.6469104665825978E-2</v>
      </c>
      <c r="S168" s="521">
        <f t="shared" si="27"/>
        <v>7.6765447667087011E-2</v>
      </c>
      <c r="T168" s="521">
        <f t="shared" si="27"/>
        <v>7.6765447667087011E-2</v>
      </c>
      <c r="U168" s="521">
        <f t="shared" si="27"/>
        <v>7.6765447667087011E-2</v>
      </c>
      <c r="V168" s="521">
        <f t="shared" si="27"/>
        <v>7.6765447667087011E-2</v>
      </c>
      <c r="W168" s="521">
        <f t="shared" si="27"/>
        <v>7.6765447667087011E-2</v>
      </c>
      <c r="X168" s="521">
        <f t="shared" si="27"/>
        <v>7.6765447667087011E-2</v>
      </c>
      <c r="Y168" s="521">
        <f t="shared" si="27"/>
        <v>7.6765447667087011E-2</v>
      </c>
      <c r="Z168" s="521">
        <f t="shared" si="27"/>
        <v>7.6765447667087011E-2</v>
      </c>
    </row>
    <row r="169" spans="1:26" hidden="1" outlineLevel="1" x14ac:dyDescent="0.25">
      <c r="A169" s="508" t="str">
        <f t="shared" si="25"/>
        <v>5.2</v>
      </c>
      <c r="B169" s="508" t="s">
        <v>29</v>
      </c>
      <c r="C169" s="508" t="str">
        <f t="shared" si="26"/>
        <v>Labor Relations</v>
      </c>
      <c r="D169" s="508" t="str">
        <f t="shared" si="26"/>
        <v>Labor Relations</v>
      </c>
      <c r="E169" s="520"/>
      <c r="F169" s="520"/>
      <c r="G169" s="520"/>
      <c r="H169" s="520"/>
      <c r="I169" s="520"/>
      <c r="J169" s="410"/>
      <c r="K169" s="409" t="s">
        <v>5</v>
      </c>
      <c r="L169" s="496" t="s">
        <v>48</v>
      </c>
      <c r="M169" s="496" t="s">
        <v>55</v>
      </c>
      <c r="N169" s="496">
        <v>6</v>
      </c>
      <c r="O169" s="521">
        <f t="shared" ref="O169:Z169" si="28">+O18/SUM($O18:$Z18)</f>
        <v>7.0288996262193454E-2</v>
      </c>
      <c r="P169" s="521">
        <f t="shared" si="28"/>
        <v>7.0288996262193454E-2</v>
      </c>
      <c r="Q169" s="521">
        <f t="shared" si="28"/>
        <v>0.13592852584556478</v>
      </c>
      <c r="R169" s="521">
        <f t="shared" si="28"/>
        <v>5.9622572704895613E-2</v>
      </c>
      <c r="S169" s="521">
        <f t="shared" si="28"/>
        <v>5.9622572704895613E-2</v>
      </c>
      <c r="T169" s="521">
        <f t="shared" si="28"/>
        <v>5.9622572704895613E-2</v>
      </c>
      <c r="U169" s="521">
        <f t="shared" si="28"/>
        <v>5.9622572704895613E-2</v>
      </c>
      <c r="V169" s="521">
        <f t="shared" si="28"/>
        <v>0.12890874282067646</v>
      </c>
      <c r="W169" s="521">
        <f t="shared" si="28"/>
        <v>7.78557753669432E-2</v>
      </c>
      <c r="X169" s="521">
        <f t="shared" si="28"/>
        <v>7.1474154435226547E-2</v>
      </c>
      <c r="Y169" s="521">
        <f t="shared" si="28"/>
        <v>9.6088978028990787E-2</v>
      </c>
      <c r="Z169" s="521">
        <f t="shared" si="28"/>
        <v>0.11067554015862886</v>
      </c>
    </row>
    <row r="170" spans="1:26" hidden="1" outlineLevel="1" x14ac:dyDescent="0.25">
      <c r="A170" s="508" t="str">
        <f t="shared" si="25"/>
        <v>5.3</v>
      </c>
      <c r="B170" s="508" t="s">
        <v>30</v>
      </c>
      <c r="C170" s="508" t="str">
        <f t="shared" si="26"/>
        <v>Travel International</v>
      </c>
      <c r="D170" s="508" t="str">
        <f t="shared" si="26"/>
        <v>Travel International</v>
      </c>
      <c r="E170" s="520"/>
      <c r="F170" s="520"/>
      <c r="G170" s="520"/>
      <c r="H170" s="520"/>
      <c r="I170" s="520"/>
      <c r="J170" s="410"/>
      <c r="K170" s="409" t="s">
        <v>5</v>
      </c>
      <c r="L170" s="496"/>
      <c r="M170" s="496"/>
      <c r="N170" s="496"/>
      <c r="O170" s="521">
        <f t="shared" ref="O170:Z170" si="29">+O19/SUM($O19:$Z19)</f>
        <v>6.0747663551401869E-2</v>
      </c>
      <c r="P170" s="521">
        <f t="shared" si="29"/>
        <v>7.9439252336448593E-2</v>
      </c>
      <c r="Q170" s="521">
        <f t="shared" si="29"/>
        <v>0.10747663551401869</v>
      </c>
      <c r="R170" s="521">
        <f t="shared" si="29"/>
        <v>7.9439252336448593E-2</v>
      </c>
      <c r="S170" s="521">
        <f t="shared" si="29"/>
        <v>8.8785046728971959E-2</v>
      </c>
      <c r="T170" s="521">
        <f t="shared" si="29"/>
        <v>5.6074766355140186E-2</v>
      </c>
      <c r="U170" s="521">
        <f t="shared" si="29"/>
        <v>0.11682242990654207</v>
      </c>
      <c r="V170" s="521">
        <f t="shared" si="29"/>
        <v>7.476635514018691E-2</v>
      </c>
      <c r="W170" s="521">
        <f t="shared" si="29"/>
        <v>0.11214953271028037</v>
      </c>
      <c r="X170" s="521">
        <f t="shared" si="29"/>
        <v>7.0093457943925228E-2</v>
      </c>
      <c r="Y170" s="521">
        <f t="shared" si="29"/>
        <v>0.10280373831775701</v>
      </c>
      <c r="Z170" s="521">
        <f t="shared" si="29"/>
        <v>5.1401869158878503E-2</v>
      </c>
    </row>
    <row r="171" spans="1:26" hidden="1" outlineLevel="1" x14ac:dyDescent="0.25">
      <c r="A171" s="508" t="str">
        <f t="shared" si="25"/>
        <v>5.4</v>
      </c>
      <c r="B171" s="508" t="s">
        <v>31</v>
      </c>
      <c r="C171" s="508" t="str">
        <f t="shared" si="26"/>
        <v xml:space="preserve">Travel Domestic </v>
      </c>
      <c r="D171" s="510" t="str">
        <f t="shared" si="26"/>
        <v xml:space="preserve">Travel Domestic </v>
      </c>
      <c r="E171" s="520"/>
      <c r="F171" s="520"/>
      <c r="G171" s="520"/>
      <c r="H171" s="520"/>
      <c r="I171" s="520"/>
      <c r="J171" s="410"/>
      <c r="K171" s="409" t="s">
        <v>5</v>
      </c>
      <c r="L171" s="496"/>
      <c r="M171" s="496"/>
      <c r="N171" s="496"/>
      <c r="O171" s="521">
        <f t="shared" ref="O171:Z171" si="30">+O20/SUM($O20:$Z20)</f>
        <v>7.9744816586921854E-2</v>
      </c>
      <c r="P171" s="521">
        <f t="shared" si="30"/>
        <v>7.81499202551834E-2</v>
      </c>
      <c r="Q171" s="521">
        <f t="shared" si="30"/>
        <v>9.2503987240829352E-2</v>
      </c>
      <c r="R171" s="521">
        <f t="shared" si="30"/>
        <v>7.4960127591706532E-2</v>
      </c>
      <c r="S171" s="521">
        <f t="shared" si="30"/>
        <v>8.9314194577352485E-2</v>
      </c>
      <c r="T171" s="521">
        <f t="shared" si="30"/>
        <v>7.4960127591706519E-2</v>
      </c>
      <c r="U171" s="521">
        <f t="shared" si="30"/>
        <v>9.2503987240829352E-2</v>
      </c>
      <c r="V171" s="521">
        <f t="shared" si="30"/>
        <v>6.8580542264752783E-2</v>
      </c>
      <c r="W171" s="521">
        <f t="shared" si="30"/>
        <v>8.2934609250398722E-2</v>
      </c>
      <c r="X171" s="521">
        <f t="shared" si="30"/>
        <v>8.4529505582137177E-2</v>
      </c>
      <c r="Y171" s="521">
        <f t="shared" si="30"/>
        <v>8.6124401913875576E-2</v>
      </c>
      <c r="Z171" s="521">
        <f t="shared" si="30"/>
        <v>9.5693779904306261E-2</v>
      </c>
    </row>
    <row r="172" spans="1:26" hidden="1" outlineLevel="1" x14ac:dyDescent="0.25">
      <c r="A172" s="508">
        <f t="shared" si="25"/>
        <v>0</v>
      </c>
      <c r="B172" s="508" t="s">
        <v>32</v>
      </c>
      <c r="C172" s="508">
        <f t="shared" si="26"/>
        <v>0</v>
      </c>
      <c r="D172" s="510">
        <f t="shared" si="26"/>
        <v>0</v>
      </c>
      <c r="E172" s="520"/>
      <c r="F172" s="520"/>
      <c r="G172" s="520"/>
      <c r="H172" s="520"/>
      <c r="I172" s="520"/>
      <c r="J172" s="410"/>
      <c r="K172" s="409"/>
      <c r="L172" s="496"/>
      <c r="M172" s="496"/>
      <c r="N172" s="496"/>
      <c r="O172" s="521" t="e">
        <f t="shared" ref="O172:Z172" si="31">+O21/SUM($O21:$Z21)</f>
        <v>#DIV/0!</v>
      </c>
      <c r="P172" s="521" t="e">
        <f t="shared" si="31"/>
        <v>#DIV/0!</v>
      </c>
      <c r="Q172" s="521" t="e">
        <f t="shared" si="31"/>
        <v>#DIV/0!</v>
      </c>
      <c r="R172" s="521" t="e">
        <f t="shared" si="31"/>
        <v>#DIV/0!</v>
      </c>
      <c r="S172" s="521" t="e">
        <f t="shared" si="31"/>
        <v>#DIV/0!</v>
      </c>
      <c r="T172" s="521" t="e">
        <f t="shared" si="31"/>
        <v>#DIV/0!</v>
      </c>
      <c r="U172" s="521" t="e">
        <f t="shared" si="31"/>
        <v>#DIV/0!</v>
      </c>
      <c r="V172" s="521" t="e">
        <f t="shared" si="31"/>
        <v>#DIV/0!</v>
      </c>
      <c r="W172" s="521" t="e">
        <f t="shared" si="31"/>
        <v>#DIV/0!</v>
      </c>
      <c r="X172" s="521" t="e">
        <f t="shared" si="31"/>
        <v>#DIV/0!</v>
      </c>
      <c r="Y172" s="521" t="e">
        <f t="shared" si="31"/>
        <v>#DIV/0!</v>
      </c>
      <c r="Z172" s="521" t="e">
        <f t="shared" si="31"/>
        <v>#DIV/0!</v>
      </c>
    </row>
    <row r="173" spans="1:26" hidden="1" outlineLevel="1" x14ac:dyDescent="0.25">
      <c r="A173" s="508">
        <f t="shared" si="25"/>
        <v>0</v>
      </c>
      <c r="B173" s="508" t="s">
        <v>256</v>
      </c>
      <c r="C173" s="508">
        <f t="shared" si="26"/>
        <v>0</v>
      </c>
      <c r="D173" s="510">
        <f t="shared" si="26"/>
        <v>0</v>
      </c>
      <c r="E173" s="520"/>
      <c r="F173" s="520"/>
      <c r="G173" s="520"/>
      <c r="H173" s="520"/>
      <c r="I173" s="520"/>
      <c r="J173" s="410"/>
      <c r="K173" s="409"/>
      <c r="L173" s="496"/>
      <c r="M173" s="496"/>
      <c r="N173" s="496"/>
      <c r="O173" s="521" t="e">
        <f t="shared" ref="O173:Z173" si="32">+O22/SUM($O22:$Z22)</f>
        <v>#DIV/0!</v>
      </c>
      <c r="P173" s="521" t="e">
        <f t="shared" si="32"/>
        <v>#DIV/0!</v>
      </c>
      <c r="Q173" s="521" t="e">
        <f t="shared" si="32"/>
        <v>#DIV/0!</v>
      </c>
      <c r="R173" s="521" t="e">
        <f t="shared" si="32"/>
        <v>#DIV/0!</v>
      </c>
      <c r="S173" s="521" t="e">
        <f t="shared" si="32"/>
        <v>#DIV/0!</v>
      </c>
      <c r="T173" s="521" t="e">
        <f t="shared" si="32"/>
        <v>#DIV/0!</v>
      </c>
      <c r="U173" s="521" t="e">
        <f t="shared" si="32"/>
        <v>#DIV/0!</v>
      </c>
      <c r="V173" s="521" t="e">
        <f t="shared" si="32"/>
        <v>#DIV/0!</v>
      </c>
      <c r="W173" s="521" t="e">
        <f t="shared" si="32"/>
        <v>#DIV/0!</v>
      </c>
      <c r="X173" s="521" t="e">
        <f t="shared" si="32"/>
        <v>#DIV/0!</v>
      </c>
      <c r="Y173" s="521" t="e">
        <f t="shared" si="32"/>
        <v>#DIV/0!</v>
      </c>
      <c r="Z173" s="521" t="e">
        <f t="shared" si="32"/>
        <v>#DIV/0!</v>
      </c>
    </row>
    <row r="174" spans="1:26" hidden="1" outlineLevel="1" x14ac:dyDescent="0.25">
      <c r="A174" s="508">
        <f t="shared" si="25"/>
        <v>0</v>
      </c>
      <c r="B174" s="508" t="s">
        <v>257</v>
      </c>
      <c r="C174" s="508">
        <f t="shared" si="26"/>
        <v>0</v>
      </c>
      <c r="D174" s="510">
        <f t="shared" si="26"/>
        <v>0</v>
      </c>
      <c r="E174" s="520"/>
      <c r="F174" s="520"/>
      <c r="G174" s="520"/>
      <c r="H174" s="520"/>
      <c r="I174" s="520"/>
      <c r="J174" s="410"/>
      <c r="K174" s="409"/>
      <c r="L174" s="496"/>
      <c r="M174" s="496"/>
      <c r="N174" s="496"/>
      <c r="O174" s="521" t="e">
        <f t="shared" ref="O174:Z174" si="33">+O23/SUM($O23:$Z23)</f>
        <v>#DIV/0!</v>
      </c>
      <c r="P174" s="521" t="e">
        <f t="shared" si="33"/>
        <v>#DIV/0!</v>
      </c>
      <c r="Q174" s="521" t="e">
        <f t="shared" si="33"/>
        <v>#DIV/0!</v>
      </c>
      <c r="R174" s="521" t="e">
        <f t="shared" si="33"/>
        <v>#DIV/0!</v>
      </c>
      <c r="S174" s="521" t="e">
        <f t="shared" si="33"/>
        <v>#DIV/0!</v>
      </c>
      <c r="T174" s="521" t="e">
        <f t="shared" si="33"/>
        <v>#DIV/0!</v>
      </c>
      <c r="U174" s="521" t="e">
        <f t="shared" si="33"/>
        <v>#DIV/0!</v>
      </c>
      <c r="V174" s="521" t="e">
        <f t="shared" si="33"/>
        <v>#DIV/0!</v>
      </c>
      <c r="W174" s="521" t="e">
        <f t="shared" si="33"/>
        <v>#DIV/0!</v>
      </c>
      <c r="X174" s="521" t="e">
        <f t="shared" si="33"/>
        <v>#DIV/0!</v>
      </c>
      <c r="Y174" s="521" t="e">
        <f t="shared" si="33"/>
        <v>#DIV/0!</v>
      </c>
      <c r="Z174" s="521" t="e">
        <f t="shared" si="33"/>
        <v>#DIV/0!</v>
      </c>
    </row>
    <row r="175" spans="1:26" hidden="1" outlineLevel="1" x14ac:dyDescent="0.25">
      <c r="A175" s="508">
        <f t="shared" si="25"/>
        <v>0</v>
      </c>
      <c r="B175" s="508" t="s">
        <v>258</v>
      </c>
      <c r="C175" s="508">
        <f t="shared" si="26"/>
        <v>0</v>
      </c>
      <c r="D175" s="510">
        <f t="shared" si="26"/>
        <v>0</v>
      </c>
      <c r="E175" s="520"/>
      <c r="F175" s="520"/>
      <c r="G175" s="520"/>
      <c r="H175" s="520"/>
      <c r="I175" s="520"/>
      <c r="J175" s="410"/>
      <c r="K175" s="409"/>
      <c r="L175" s="496"/>
      <c r="M175" s="496"/>
      <c r="N175" s="496"/>
      <c r="O175" s="521" t="e">
        <f t="shared" ref="O175:Z175" si="34">+O24/SUM($O24:$Z24)</f>
        <v>#DIV/0!</v>
      </c>
      <c r="P175" s="521" t="e">
        <f t="shared" si="34"/>
        <v>#DIV/0!</v>
      </c>
      <c r="Q175" s="521" t="e">
        <f t="shared" si="34"/>
        <v>#DIV/0!</v>
      </c>
      <c r="R175" s="521" t="e">
        <f t="shared" si="34"/>
        <v>#DIV/0!</v>
      </c>
      <c r="S175" s="521" t="e">
        <f t="shared" si="34"/>
        <v>#DIV/0!</v>
      </c>
      <c r="T175" s="521" t="e">
        <f t="shared" si="34"/>
        <v>#DIV/0!</v>
      </c>
      <c r="U175" s="521" t="e">
        <f t="shared" si="34"/>
        <v>#DIV/0!</v>
      </c>
      <c r="V175" s="521" t="e">
        <f t="shared" si="34"/>
        <v>#DIV/0!</v>
      </c>
      <c r="W175" s="521" t="e">
        <f t="shared" si="34"/>
        <v>#DIV/0!</v>
      </c>
      <c r="X175" s="521" t="e">
        <f t="shared" si="34"/>
        <v>#DIV/0!</v>
      </c>
      <c r="Y175" s="521" t="e">
        <f t="shared" si="34"/>
        <v>#DIV/0!</v>
      </c>
      <c r="Z175" s="521" t="e">
        <f t="shared" si="34"/>
        <v>#DIV/0!</v>
      </c>
    </row>
    <row r="176" spans="1:26" hidden="1" outlineLevel="1" x14ac:dyDescent="0.25">
      <c r="A176" s="508">
        <f t="shared" si="25"/>
        <v>0</v>
      </c>
      <c r="B176" s="508" t="s">
        <v>259</v>
      </c>
      <c r="C176" s="508">
        <f t="shared" si="26"/>
        <v>0</v>
      </c>
      <c r="D176" s="510">
        <f t="shared" si="26"/>
        <v>0</v>
      </c>
      <c r="E176" s="520"/>
      <c r="F176" s="520"/>
      <c r="G176" s="520"/>
      <c r="H176" s="520"/>
      <c r="I176" s="520"/>
      <c r="J176" s="410"/>
      <c r="K176" s="409"/>
      <c r="L176" s="496"/>
      <c r="M176" s="496"/>
      <c r="N176" s="496"/>
      <c r="O176" s="521" t="e">
        <f t="shared" ref="O176:Z176" si="35">+O25/SUM($O25:$Z25)</f>
        <v>#DIV/0!</v>
      </c>
      <c r="P176" s="521" t="e">
        <f t="shared" si="35"/>
        <v>#DIV/0!</v>
      </c>
      <c r="Q176" s="521" t="e">
        <f t="shared" si="35"/>
        <v>#DIV/0!</v>
      </c>
      <c r="R176" s="521" t="e">
        <f t="shared" si="35"/>
        <v>#DIV/0!</v>
      </c>
      <c r="S176" s="521" t="e">
        <f t="shared" si="35"/>
        <v>#DIV/0!</v>
      </c>
      <c r="T176" s="521" t="e">
        <f t="shared" si="35"/>
        <v>#DIV/0!</v>
      </c>
      <c r="U176" s="521" t="e">
        <f t="shared" si="35"/>
        <v>#DIV/0!</v>
      </c>
      <c r="V176" s="521" t="e">
        <f t="shared" si="35"/>
        <v>#DIV/0!</v>
      </c>
      <c r="W176" s="521" t="e">
        <f t="shared" si="35"/>
        <v>#DIV/0!</v>
      </c>
      <c r="X176" s="521" t="e">
        <f t="shared" si="35"/>
        <v>#DIV/0!</v>
      </c>
      <c r="Y176" s="521" t="e">
        <f t="shared" si="35"/>
        <v>#DIV/0!</v>
      </c>
      <c r="Z176" s="521" t="e">
        <f t="shared" si="35"/>
        <v>#DIV/0!</v>
      </c>
    </row>
    <row r="177" spans="1:26" hidden="1" outlineLevel="1" x14ac:dyDescent="0.25">
      <c r="A177" s="508">
        <f t="shared" si="25"/>
        <v>0</v>
      </c>
      <c r="B177" s="508" t="s">
        <v>260</v>
      </c>
      <c r="C177" s="508">
        <f t="shared" si="26"/>
        <v>0</v>
      </c>
      <c r="D177" s="510">
        <f t="shared" si="26"/>
        <v>0</v>
      </c>
      <c r="E177" s="520"/>
      <c r="F177" s="520"/>
      <c r="G177" s="520"/>
      <c r="H177" s="520"/>
      <c r="I177" s="520"/>
      <c r="J177" s="410"/>
      <c r="K177" s="409" t="s">
        <v>5</v>
      </c>
      <c r="L177" s="496"/>
      <c r="M177" s="496"/>
      <c r="N177" s="496"/>
      <c r="O177" s="521" t="e">
        <f t="shared" ref="O177:Z177" si="36">+O26/SUM($O26:$Z26)</f>
        <v>#VALUE!</v>
      </c>
      <c r="P177" s="521" t="e">
        <f t="shared" si="36"/>
        <v>#DIV/0!</v>
      </c>
      <c r="Q177" s="521" t="e">
        <f t="shared" si="36"/>
        <v>#DIV/0!</v>
      </c>
      <c r="R177" s="521" t="e">
        <f t="shared" si="36"/>
        <v>#DIV/0!</v>
      </c>
      <c r="S177" s="521" t="e">
        <f t="shared" si="36"/>
        <v>#DIV/0!</v>
      </c>
      <c r="T177" s="521" t="e">
        <f t="shared" si="36"/>
        <v>#DIV/0!</v>
      </c>
      <c r="U177" s="521" t="e">
        <f t="shared" si="36"/>
        <v>#DIV/0!</v>
      </c>
      <c r="V177" s="521" t="e">
        <f t="shared" si="36"/>
        <v>#DIV/0!</v>
      </c>
      <c r="W177" s="521" t="e">
        <f t="shared" si="36"/>
        <v>#DIV/0!</v>
      </c>
      <c r="X177" s="521" t="e">
        <f t="shared" si="36"/>
        <v>#DIV/0!</v>
      </c>
      <c r="Y177" s="521" t="e">
        <f t="shared" si="36"/>
        <v>#DIV/0!</v>
      </c>
      <c r="Z177" s="521" t="e">
        <f t="shared" si="36"/>
        <v>#DIV/0!</v>
      </c>
    </row>
    <row r="178" spans="1:26" ht="22.5" customHeight="1" outlineLevel="1" x14ac:dyDescent="0.25">
      <c r="A178" s="537"/>
      <c r="B178" s="538"/>
      <c r="C178" s="538"/>
      <c r="D178" s="538"/>
      <c r="E178" s="519"/>
      <c r="F178" s="519"/>
      <c r="G178" s="519"/>
      <c r="H178" s="519"/>
      <c r="I178" s="519"/>
      <c r="J178" s="516" t="s">
        <v>20</v>
      </c>
      <c r="K178" s="519"/>
      <c r="L178" s="404" t="s">
        <v>48</v>
      </c>
      <c r="M178" s="404" t="s">
        <v>55</v>
      </c>
      <c r="N178" s="522">
        <f>SUM(N168:N177)</f>
        <v>12</v>
      </c>
      <c r="O178" s="521">
        <f t="shared" ref="O178:Z178" si="37">+O27/SUM($O27:$Z27)</f>
        <v>7.3368019941563584E-2</v>
      </c>
      <c r="P178" s="521">
        <f t="shared" si="37"/>
        <v>7.9947829354036784E-2</v>
      </c>
      <c r="Q178" s="521">
        <f t="shared" si="37"/>
        <v>0.10876642011514125</v>
      </c>
      <c r="R178" s="521">
        <f t="shared" si="37"/>
        <v>7.6835426002016066E-2</v>
      </c>
      <c r="S178" s="521">
        <f t="shared" si="37"/>
        <v>7.8636628182270116E-2</v>
      </c>
      <c r="T178" s="521">
        <f t="shared" si="37"/>
        <v>6.5435097008102169E-2</v>
      </c>
      <c r="U178" s="521">
        <f t="shared" si="37"/>
        <v>8.9065698800464763E-2</v>
      </c>
      <c r="V178" s="521">
        <f t="shared" si="37"/>
        <v>8.9791652473998895E-2</v>
      </c>
      <c r="W178" s="521">
        <f t="shared" si="37"/>
        <v>9.1246438526011858E-2</v>
      </c>
      <c r="X178" s="521">
        <f t="shared" si="37"/>
        <v>7.4586734928650214E-2</v>
      </c>
      <c r="Y178" s="521">
        <f t="shared" si="37"/>
        <v>9.3014713285518108E-2</v>
      </c>
      <c r="Z178" s="521">
        <f t="shared" si="37"/>
        <v>7.9305341382226183E-2</v>
      </c>
    </row>
    <row r="180" spans="1:26" x14ac:dyDescent="0.25">
      <c r="B180" s="445" t="s">
        <v>21</v>
      </c>
      <c r="C180" s="446">
        <v>43102</v>
      </c>
    </row>
    <row r="181" spans="1:26" x14ac:dyDescent="0.25">
      <c r="B181" s="445" t="s">
        <v>23</v>
      </c>
      <c r="C181" s="446">
        <v>42917</v>
      </c>
      <c r="O181" s="525"/>
      <c r="P181" s="525"/>
      <c r="Q181" s="525"/>
      <c r="R181" s="525"/>
      <c r="S181" s="525"/>
      <c r="T181" s="525"/>
      <c r="U181" s="525"/>
      <c r="V181" s="525"/>
      <c r="W181" s="525"/>
      <c r="X181" s="525"/>
      <c r="Y181" s="525"/>
      <c r="Z181" s="525"/>
    </row>
    <row r="182" spans="1:26" x14ac:dyDescent="0.25">
      <c r="O182" s="526"/>
      <c r="P182" s="526"/>
      <c r="Q182" s="526"/>
      <c r="R182" s="526"/>
      <c r="S182" s="526"/>
      <c r="T182" s="526"/>
      <c r="U182" s="526"/>
      <c r="V182" s="526"/>
      <c r="W182" s="526"/>
      <c r="X182" s="526"/>
      <c r="Y182" s="526"/>
      <c r="Z182" s="526"/>
    </row>
    <row r="183" spans="1:26" x14ac:dyDescent="0.25">
      <c r="A183" s="539" t="s">
        <v>262</v>
      </c>
    </row>
    <row r="184" spans="1:26" x14ac:dyDescent="0.25">
      <c r="A184" s="540" t="s">
        <v>1404</v>
      </c>
    </row>
    <row r="185" spans="1:26" x14ac:dyDescent="0.25">
      <c r="A185" s="540" t="s">
        <v>323</v>
      </c>
    </row>
    <row r="187" spans="1:26" x14ac:dyDescent="0.25">
      <c r="A187" s="449" t="s">
        <v>1405</v>
      </c>
      <c r="B187" s="541" t="s">
        <v>288</v>
      </c>
      <c r="C187" s="541" t="s">
        <v>320</v>
      </c>
    </row>
    <row r="188" spans="1:26" ht="30" x14ac:dyDescent="0.25">
      <c r="A188" s="542" t="s">
        <v>310</v>
      </c>
      <c r="B188" s="541" t="s">
        <v>289</v>
      </c>
      <c r="C188" s="541" t="s">
        <v>321</v>
      </c>
    </row>
    <row r="189" spans="1:26" ht="30" x14ac:dyDescent="0.25">
      <c r="A189" s="542" t="s">
        <v>311</v>
      </c>
      <c r="B189" s="541" t="s">
        <v>290</v>
      </c>
      <c r="C189" s="541" t="s">
        <v>319</v>
      </c>
    </row>
    <row r="190" spans="1:26" ht="30" x14ac:dyDescent="0.25">
      <c r="A190" s="542" t="s">
        <v>312</v>
      </c>
      <c r="B190" s="541" t="s">
        <v>291</v>
      </c>
      <c r="C190" s="541" t="s">
        <v>322</v>
      </c>
    </row>
    <row r="191" spans="1:26" ht="30" x14ac:dyDescent="0.25">
      <c r="A191" s="542" t="s">
        <v>313</v>
      </c>
      <c r="B191" s="541" t="s">
        <v>292</v>
      </c>
      <c r="C191" s="541" t="s">
        <v>327</v>
      </c>
    </row>
    <row r="192" spans="1:26" ht="30" x14ac:dyDescent="0.25">
      <c r="A192" s="542" t="s">
        <v>314</v>
      </c>
      <c r="B192" s="541" t="s">
        <v>293</v>
      </c>
      <c r="C192" s="541" t="s">
        <v>317</v>
      </c>
    </row>
    <row r="193" spans="1:3" ht="30" x14ac:dyDescent="0.25">
      <c r="A193" s="542" t="s">
        <v>315</v>
      </c>
      <c r="B193" s="541" t="s">
        <v>296</v>
      </c>
      <c r="C193" s="541" t="s">
        <v>318</v>
      </c>
    </row>
    <row r="195" spans="1:3" ht="45" x14ac:dyDescent="0.25">
      <c r="A195" s="543" t="s">
        <v>301</v>
      </c>
      <c r="B195" s="449" t="s">
        <v>1406</v>
      </c>
    </row>
    <row r="197" spans="1:3" ht="30" x14ac:dyDescent="0.25">
      <c r="A197" s="543" t="s">
        <v>303</v>
      </c>
      <c r="B197" s="449" t="s">
        <v>1407</v>
      </c>
    </row>
    <row r="199" spans="1:3" ht="45" x14ac:dyDescent="0.25">
      <c r="A199" s="543" t="s">
        <v>304</v>
      </c>
      <c r="B199" s="449" t="s">
        <v>1408</v>
      </c>
    </row>
    <row r="201" spans="1:3" ht="30" x14ac:dyDescent="0.25">
      <c r="A201" s="449" t="s">
        <v>308</v>
      </c>
      <c r="B201" s="449" t="s">
        <v>1409</v>
      </c>
    </row>
  </sheetData>
  <mergeCells count="50">
    <mergeCell ref="E89:K89"/>
    <mergeCell ref="E90:K90"/>
    <mergeCell ref="E82:K82"/>
    <mergeCell ref="E83:K83"/>
    <mergeCell ref="E84:K84"/>
    <mergeCell ref="E86:K86"/>
    <mergeCell ref="E87:K87"/>
    <mergeCell ref="E88:K88"/>
    <mergeCell ref="E81:K81"/>
    <mergeCell ref="E68:K68"/>
    <mergeCell ref="E69:K69"/>
    <mergeCell ref="E70:K70"/>
    <mergeCell ref="E71:K71"/>
    <mergeCell ref="E72:K72"/>
    <mergeCell ref="E74:K74"/>
    <mergeCell ref="E75:K75"/>
    <mergeCell ref="E76:K76"/>
    <mergeCell ref="E77:K77"/>
    <mergeCell ref="E78:K78"/>
    <mergeCell ref="E80:K80"/>
    <mergeCell ref="E66:K66"/>
    <mergeCell ref="E53:K53"/>
    <mergeCell ref="E54:K54"/>
    <mergeCell ref="E56:K56"/>
    <mergeCell ref="E57:K57"/>
    <mergeCell ref="E58:K58"/>
    <mergeCell ref="E59:K59"/>
    <mergeCell ref="E60:K60"/>
    <mergeCell ref="E62:K62"/>
    <mergeCell ref="E63:K63"/>
    <mergeCell ref="E64:K64"/>
    <mergeCell ref="E65:K65"/>
    <mergeCell ref="E52:K52"/>
    <mergeCell ref="E39:K39"/>
    <mergeCell ref="E40:K40"/>
    <mergeCell ref="E41:K41"/>
    <mergeCell ref="E42:K42"/>
    <mergeCell ref="E44:K44"/>
    <mergeCell ref="E45:K45"/>
    <mergeCell ref="E46:K46"/>
    <mergeCell ref="E47:K47"/>
    <mergeCell ref="E48:K48"/>
    <mergeCell ref="E50:K50"/>
    <mergeCell ref="E51:K51"/>
    <mergeCell ref="E38:K38"/>
    <mergeCell ref="E32:K32"/>
    <mergeCell ref="E33:K33"/>
    <mergeCell ref="E34:K34"/>
    <mergeCell ref="E35:K35"/>
    <mergeCell ref="E36:K36"/>
  </mergeCells>
  <dataValidations count="5">
    <dataValidation type="list" allowBlank="1" showInputMessage="1" showErrorMessage="1" sqref="F117 F159:F163 F152:F156 F145:F149 F138:F142 F131:F135 F128 F122:F124">
      <formula1>$A$3:$A$9</formula1>
    </dataValidation>
    <dataValidation type="list" allowBlank="1" showInputMessage="1" showErrorMessage="1" sqref="M168:M178 L168:L177 H152:K155 H145:K148 H138:K141 H131:K134 H128:J128 H135:I135 I124:J124 H142:J142 H149:J149 H156:J156 H163:J163 H159:K162 K101:K102 H122:H124 I122:K123">
      <formula1>$C$3:$C$15</formula1>
    </dataValidation>
    <dataValidation type="list" allowBlank="1" showInputMessage="1" showErrorMessage="1" sqref="L27 L17:L19">
      <formula1>$D$4:$D$15</formula1>
    </dataValidation>
    <dataValidation type="list" allowBlank="1" showInputMessage="1" showErrorMessage="1" sqref="J96:J102 J135 L178">
      <formula1>$C$3:$C$14</formula1>
    </dataValidation>
    <dataValidation type="list" allowBlank="1" showInputMessage="1" showErrorMessage="1" sqref="L38:L42 L44:L48 L50:L54 L56:L60 L62:L66 L68:L72 L74:L78 L80:L84 L86:L90">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Presupuestos/2018/ADM/[Copia de Administración.xlsx]Lists'!#REF!</xm:f>
          </x14:formula1>
          <xm:sqref>L159:M162 L95:L102 L131:M134 L138:M141 L145:M148 L152:M155 L122:M123 B8 N168:N177 L32:L36 H95:K95 H106:L117 K96:K100 H121:L121 H127:L127 F95:F102 F121 F127 F106:F116 H96:I102</xm:sqref>
        </x14:dataValidation>
        <x14:dataValidation type="list" allowBlank="1" showInputMessage="1" showErrorMessage="1">
          <x14:formula1>
            <xm:f>'https://nuevaunionspa-my.sharepoint.com/personal/gineva_alcota_nuevaunion_cl/Documents/40300 Cost Control/40303 Presupuestos/2018/ADM/[Copia de Administración.xlsx]CCs &amp; Accounts'!#REF!</xm:f>
          </x14:formula1>
          <xm:sqref>E17:E26 E131:E135 E138:E142 E145:E149 E152:E156 E159:E163 E95:E102 E106:E117 E127:E128 E121:E124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A1:U23"/>
  <sheetViews>
    <sheetView showGridLines="0" view="pageLayout" topLeftCell="A4" zoomScale="80" zoomScaleNormal="70" zoomScalePageLayoutView="80" workbookViewId="0">
      <selection activeCell="D37" sqref="D37"/>
    </sheetView>
  </sheetViews>
  <sheetFormatPr baseColWidth="10" defaultColWidth="11.42578125" defaultRowHeight="15" outlineLevelRow="1" outlineLevelCol="1" x14ac:dyDescent="0.25"/>
  <cols>
    <col min="1" max="1" width="10.85546875" style="400" customWidth="1"/>
    <col min="2" max="2" width="30" style="400" customWidth="1"/>
    <col min="3" max="3" width="29.42578125" style="400" customWidth="1"/>
    <col min="4" max="4" width="46.28515625" style="400" customWidth="1"/>
    <col min="5" max="5" width="17.5703125" style="400" customWidth="1"/>
    <col min="6" max="7" width="17.710937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1433</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
        <v>201</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+Office_Vallenar!B10</f>
        <v>682 Administration</v>
      </c>
      <c r="C7" s="433"/>
      <c r="D7" s="423" t="str">
        <f>+Office_Vallenar!D10</f>
        <v>Sergio Molina</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+Office_Vallenar!B12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54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ht="30" outlineLevel="1" x14ac:dyDescent="0.25">
      <c r="A14" s="444"/>
      <c r="B14" s="444" t="str">
        <f>+Office_Vallenar!B17</f>
        <v>Office and backup services</v>
      </c>
      <c r="C14" s="444" t="str">
        <f>+Office_Vallenar!C17</f>
        <v>Vallenar locations to operate</v>
      </c>
      <c r="D14" s="405" t="str">
        <f>+Office_Vallenar!D17</f>
        <v>Several items as detailed below / Operate though existing contracts</v>
      </c>
      <c r="E14" s="545" t="str">
        <f>+Office_Vallenar!E17</f>
        <v>682/51-11-3315</v>
      </c>
      <c r="F14" s="406">
        <f>+Office_Vallenar!L17</f>
        <v>12</v>
      </c>
      <c r="G14" s="407">
        <f>+Office_Vallenar!M17</f>
        <v>0</v>
      </c>
      <c r="H14" s="404">
        <f>+Office_Vallenar!N17</f>
        <v>209560</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c r="B15" s="444" t="str">
        <f>+Office_Vallenar!B18</f>
        <v>Pick up truck and fuel</v>
      </c>
      <c r="C15" s="444" t="str">
        <f>+Office_Vallenar!C18</f>
        <v>Car rental &amp; fuel</v>
      </c>
      <c r="D15" s="405" t="str">
        <f>+Office_Vallenar!D18</f>
        <v>Pick up rental and fuel supply / Operate though existing contracts</v>
      </c>
      <c r="E15" s="545" t="str">
        <f>+Office_Vallenar!E18</f>
        <v>682/51-11-3315</v>
      </c>
      <c r="F15" s="406">
        <f>+Office_Vallenar!L18</f>
        <v>12</v>
      </c>
      <c r="G15" s="407"/>
      <c r="H15" s="404">
        <f>+Office_Vallenar!N18</f>
        <v>80784</v>
      </c>
      <c r="I15" s="408"/>
      <c r="J15" s="408"/>
      <c r="K15" s="408"/>
      <c r="L15" s="408"/>
      <c r="M15" s="408"/>
      <c r="N15" s="408"/>
      <c r="O15" s="408"/>
      <c r="P15" s="408"/>
      <c r="Q15" s="408"/>
      <c r="R15" s="408"/>
      <c r="S15" s="408"/>
      <c r="T15" s="408"/>
    </row>
    <row r="16" spans="1:20" outlineLevel="1" x14ac:dyDescent="0.25">
      <c r="A16" s="412"/>
      <c r="B16" s="444" t="str">
        <f>+Office_Vallenar!B19</f>
        <v>Catering and celebrations</v>
      </c>
      <c r="C16" s="444" t="str">
        <f>+Office_Vallenar!C19</f>
        <v xml:space="preserve">Catering services </v>
      </c>
      <c r="D16" s="405" t="str">
        <f>+Office_Vallenar!D19</f>
        <v>Several office activities and special celebratios / Operate though existing contracts and specific purchase orders</v>
      </c>
      <c r="E16" s="545" t="str">
        <f>+Office_Vallenar!E19</f>
        <v>682/51-11-3315</v>
      </c>
      <c r="F16" s="406">
        <f>+Office_Vallenar!L19</f>
        <v>12</v>
      </c>
      <c r="G16" s="410"/>
      <c r="H16" s="404">
        <f>+Office_Vallenar!N19</f>
        <v>7200</v>
      </c>
      <c r="I16" s="409"/>
      <c r="J16" s="409"/>
      <c r="K16" s="409"/>
      <c r="L16" s="409"/>
      <c r="M16" s="409"/>
      <c r="N16" s="409"/>
      <c r="O16" s="409"/>
      <c r="P16" s="409"/>
      <c r="Q16" s="409"/>
      <c r="R16" s="409"/>
      <c r="S16" s="409"/>
      <c r="T16" s="409"/>
    </row>
    <row r="17" spans="1:20" ht="28.15" customHeight="1" outlineLevel="1" x14ac:dyDescent="0.25">
      <c r="A17" s="412"/>
      <c r="B17" s="444" t="str">
        <f>+Office_Vallenar!B20</f>
        <v>Petty cash &amp; other</v>
      </c>
      <c r="C17" s="444" t="str">
        <f>+Office_Vallenar!C20</f>
        <v>Minor expenses</v>
      </c>
      <c r="D17" s="405" t="str">
        <f>+Office_Vallenar!D20</f>
        <v>Several expenses related to office operations / Operate though refund of expenses</v>
      </c>
      <c r="E17" s="545" t="str">
        <f>+Office_Vallenar!E20</f>
        <v>682/51-11-3315</v>
      </c>
      <c r="F17" s="406">
        <f>+Office_Vallenar!L20</f>
        <v>12</v>
      </c>
      <c r="G17" s="410"/>
      <c r="H17" s="404">
        <f>+Office_Vallenar!N20</f>
        <v>13056</v>
      </c>
      <c r="I17" s="409"/>
      <c r="J17" s="409"/>
      <c r="K17" s="409"/>
      <c r="L17" s="409"/>
      <c r="M17" s="409"/>
      <c r="N17" s="409"/>
      <c r="O17" s="409"/>
      <c r="P17" s="409"/>
      <c r="Q17" s="409"/>
      <c r="R17" s="409"/>
      <c r="S17" s="409"/>
      <c r="T17" s="409"/>
    </row>
    <row r="18" spans="1:20" ht="16.899999999999999" customHeight="1" outlineLevel="1" x14ac:dyDescent="0.25">
      <c r="A18" s="412"/>
      <c r="B18" s="444"/>
      <c r="C18" s="413"/>
      <c r="D18" s="444"/>
      <c r="E18" s="546"/>
      <c r="F18" s="406"/>
      <c r="G18" s="410"/>
      <c r="H18" s="404"/>
      <c r="I18" s="409"/>
      <c r="J18" s="409"/>
      <c r="K18" s="409"/>
      <c r="L18" s="409"/>
      <c r="M18" s="409"/>
      <c r="N18" s="409"/>
      <c r="O18" s="409"/>
      <c r="P18" s="409"/>
      <c r="Q18" s="409"/>
      <c r="R18" s="409"/>
      <c r="S18" s="409"/>
      <c r="T18" s="409"/>
    </row>
    <row r="19" spans="1:20" outlineLevel="1" x14ac:dyDescent="0.25">
      <c r="A19" s="412"/>
      <c r="B19" s="412"/>
      <c r="C19" s="412"/>
      <c r="D19" s="412"/>
      <c r="E19" s="412"/>
      <c r="F19" s="404">
        <f>+Office_Vallenar!L21</f>
        <v>12</v>
      </c>
      <c r="G19" s="404">
        <f>SUM(G1:G15)</f>
        <v>0</v>
      </c>
      <c r="H19" s="404">
        <f>SUM(H13:H17)</f>
        <v>310600</v>
      </c>
      <c r="I19" s="404" t="e">
        <f t="shared" ref="I19:T19" si="0">SUM(I13:I15)</f>
        <v>#REF!</v>
      </c>
      <c r="J19" s="404" t="e">
        <f t="shared" si="0"/>
        <v>#REF!</v>
      </c>
      <c r="K19" s="404" t="e">
        <f t="shared" si="0"/>
        <v>#REF!</v>
      </c>
      <c r="L19" s="404" t="e">
        <f t="shared" si="0"/>
        <v>#REF!</v>
      </c>
      <c r="M19" s="404" t="e">
        <f t="shared" si="0"/>
        <v>#REF!</v>
      </c>
      <c r="N19" s="404" t="e">
        <f t="shared" si="0"/>
        <v>#REF!</v>
      </c>
      <c r="O19" s="404" t="e">
        <f t="shared" si="0"/>
        <v>#REF!</v>
      </c>
      <c r="P19" s="404" t="e">
        <f t="shared" si="0"/>
        <v>#REF!</v>
      </c>
      <c r="Q19" s="404" t="e">
        <f t="shared" si="0"/>
        <v>#REF!</v>
      </c>
      <c r="R19" s="404" t="e">
        <f t="shared" si="0"/>
        <v>#REF!</v>
      </c>
      <c r="S19" s="404" t="e">
        <f t="shared" si="0"/>
        <v>#REF!</v>
      </c>
      <c r="T19" s="404" t="e">
        <f t="shared" si="0"/>
        <v>#REF!</v>
      </c>
    </row>
    <row r="20" spans="1:20" ht="6.75" customHeight="1" x14ac:dyDescent="0.25">
      <c r="A20" s="414"/>
      <c r="B20" s="414"/>
      <c r="C20" s="414"/>
      <c r="D20" s="414"/>
      <c r="E20" s="414"/>
    </row>
    <row r="22" spans="1:20" ht="24.75" customHeight="1" x14ac:dyDescent="0.25">
      <c r="B22" s="445" t="s">
        <v>21</v>
      </c>
      <c r="C22" s="446">
        <v>43102</v>
      </c>
      <c r="F22" s="445" t="s">
        <v>22</v>
      </c>
      <c r="G22" s="447"/>
      <c r="H22" s="448"/>
    </row>
    <row r="23" spans="1:20" ht="24.75" customHeight="1" x14ac:dyDescent="0.25">
      <c r="B23" s="445" t="s">
        <v>23</v>
      </c>
      <c r="C23" s="446">
        <v>42917</v>
      </c>
      <c r="F23" s="445" t="s">
        <v>24</v>
      </c>
      <c r="G23" s="447"/>
      <c r="H23" s="448"/>
    </row>
  </sheetData>
  <printOptions horizontalCentered="1"/>
  <pageMargins left="0.31496062992125984" right="0.31496062992125984" top="1.1811023622047245" bottom="1.1811023622047245" header="0.31496062992125984" footer="0.31496062992125984"/>
  <pageSetup paperSize="17" orientation="landscape" r:id="rId1"/>
  <headerFoot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'https://nuevaunionspa-my.sharepoint.com/personal/gineva_alcota_nuevaunion_cl/Documents/40300 Cost Control/40303 Presupuestos/2018/ADM/[1002-40303-PS- Community_Vallenar Office.xlsx]Lists'!#REF!</xm:f>
          </x14:formula1>
          <xm:sqref>F19</xm:sqref>
        </x14:dataValidation>
        <x14:dataValidation type="list" allowBlank="1" showInputMessage="1" showErrorMessage="1">
          <x14:formula1>
            <xm:f>'https://nuevaunionspa-my.sharepoint.com/personal/gineva_alcota_nuevaunion_cl/Documents/40300 Cost Control/40303 Presupuestos/2018/ADM/[1002-40303-PS- Community_Vallenar Office.xlsx]Lists'!#REF!</xm:f>
          </x14:formula1>
          <xm:sqref>B5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Z94"/>
  <sheetViews>
    <sheetView showGridLines="0" topLeftCell="A41" zoomScale="70" zoomScaleNormal="70" zoomScalePageLayoutView="70" workbookViewId="0">
      <selection activeCell="A59" sqref="A59"/>
    </sheetView>
  </sheetViews>
  <sheetFormatPr baseColWidth="10" defaultColWidth="2.85546875" defaultRowHeight="15" outlineLevelRow="1" outlineLevelCol="1" x14ac:dyDescent="0.25"/>
  <cols>
    <col min="1" max="1" width="28" style="449" customWidth="1"/>
    <col min="2" max="2" width="32" style="449" customWidth="1"/>
    <col min="3" max="3" width="43.7109375" style="449" customWidth="1"/>
    <col min="4" max="4" width="79.42578125" style="449" customWidth="1"/>
    <col min="5" max="5" width="24.7109375" style="449" customWidth="1"/>
    <col min="6" max="8" width="17.5703125" style="449" customWidth="1"/>
    <col min="9" max="10" width="11.5703125" style="449" customWidth="1"/>
    <col min="11" max="11" width="17.5703125" style="449" customWidth="1"/>
    <col min="12" max="13" width="17.7109375" style="449" customWidth="1"/>
    <col min="14" max="14" width="15" style="449" customWidth="1"/>
    <col min="15" max="26" width="15" style="449" customWidth="1" outlineLevel="1"/>
    <col min="27" max="27" width="15" style="449" customWidth="1"/>
    <col min="28" max="16384" width="2.85546875" style="449"/>
  </cols>
  <sheetData>
    <row r="1" spans="1:26" ht="24.75" hidden="1" customHeight="1" x14ac:dyDescent="0.25"/>
    <row r="2" spans="1:26" s="416" customFormat="1" ht="24.75" hidden="1" customHeight="1" x14ac:dyDescent="0.25">
      <c r="B2" s="533"/>
    </row>
    <row r="3" spans="1:26" s="416" customFormat="1" ht="24.75" hidden="1" customHeight="1" x14ac:dyDescent="0.25">
      <c r="B3" s="534"/>
    </row>
    <row r="4" spans="1:26" s="416" customFormat="1" ht="36.6" hidden="1" customHeight="1" x14ac:dyDescent="0.25"/>
    <row r="5" spans="1:26" ht="24.75" customHeight="1" x14ac:dyDescent="0.25"/>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201</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VLOOKUP(B8,Lists!E1:I41,3,FALSE)</f>
        <v>682 Administration</v>
      </c>
      <c r="C10" s="433"/>
      <c r="D10" s="423" t="str">
        <f>VLOOKUP(B8,Lists!E1:I41,2,FALSE)</f>
        <v>Sergio Molina</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outlineLevel="1" x14ac:dyDescent="0.25">
      <c r="A16" s="442"/>
      <c r="B16" s="442" t="s">
        <v>13</v>
      </c>
      <c r="C16" s="442" t="s">
        <v>14</v>
      </c>
      <c r="D16" s="403" t="s">
        <v>2312</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outlineLevel="1" x14ac:dyDescent="0.25">
      <c r="A17" s="555">
        <v>1</v>
      </c>
      <c r="B17" s="508" t="s">
        <v>1217</v>
      </c>
      <c r="C17" s="508" t="s">
        <v>1218</v>
      </c>
      <c r="D17" s="495" t="s">
        <v>2363</v>
      </c>
      <c r="E17" s="496" t="s">
        <v>1219</v>
      </c>
      <c r="F17" s="410"/>
      <c r="G17" s="410"/>
      <c r="H17" s="410"/>
      <c r="I17" s="410"/>
      <c r="J17" s="410"/>
      <c r="K17" s="410"/>
      <c r="L17" s="496">
        <v>12</v>
      </c>
      <c r="M17" s="497">
        <f>+M66</f>
        <v>0</v>
      </c>
      <c r="N17" s="404">
        <f>SUM(N26:N36)</f>
        <v>209560</v>
      </c>
      <c r="O17" s="496">
        <f t="shared" ref="O17:Z17" si="0">+O66</f>
        <v>17301</v>
      </c>
      <c r="P17" s="496">
        <f t="shared" si="0"/>
        <v>17151</v>
      </c>
      <c r="Q17" s="496">
        <f t="shared" si="0"/>
        <v>18013</v>
      </c>
      <c r="R17" s="496">
        <f t="shared" si="0"/>
        <v>17151</v>
      </c>
      <c r="S17" s="496">
        <f t="shared" si="0"/>
        <v>17301</v>
      </c>
      <c r="T17" s="496">
        <f t="shared" si="0"/>
        <v>17863</v>
      </c>
      <c r="U17" s="496">
        <f t="shared" si="0"/>
        <v>17301</v>
      </c>
      <c r="V17" s="496">
        <f t="shared" si="0"/>
        <v>17151</v>
      </c>
      <c r="W17" s="496">
        <f t="shared" si="0"/>
        <v>18013</v>
      </c>
      <c r="X17" s="496">
        <f t="shared" si="0"/>
        <v>17151</v>
      </c>
      <c r="Y17" s="496">
        <f t="shared" si="0"/>
        <v>17301</v>
      </c>
      <c r="Z17" s="496">
        <f t="shared" si="0"/>
        <v>17863</v>
      </c>
    </row>
    <row r="18" spans="1:26" outlineLevel="1" x14ac:dyDescent="0.25">
      <c r="A18" s="555">
        <v>2</v>
      </c>
      <c r="B18" s="508" t="s">
        <v>1220</v>
      </c>
      <c r="C18" s="508" t="s">
        <v>1221</v>
      </c>
      <c r="D18" s="495" t="s">
        <v>2364</v>
      </c>
      <c r="E18" s="496" t="s">
        <v>1219</v>
      </c>
      <c r="F18" s="410"/>
      <c r="G18" s="410"/>
      <c r="H18" s="410"/>
      <c r="I18" s="410"/>
      <c r="J18" s="410"/>
      <c r="K18" s="410"/>
      <c r="L18" s="496">
        <v>12</v>
      </c>
      <c r="M18" s="497">
        <f>+M67</f>
        <v>0</v>
      </c>
      <c r="N18" s="404">
        <f>+N71</f>
        <v>80784</v>
      </c>
      <c r="O18" s="498">
        <f>+O71</f>
        <v>6732</v>
      </c>
      <c r="P18" s="498">
        <f t="shared" ref="P18:Z18" si="1">+P71</f>
        <v>6732</v>
      </c>
      <c r="Q18" s="498">
        <f t="shared" si="1"/>
        <v>6732</v>
      </c>
      <c r="R18" s="498">
        <f t="shared" si="1"/>
        <v>6732</v>
      </c>
      <c r="S18" s="498">
        <f t="shared" si="1"/>
        <v>6732</v>
      </c>
      <c r="T18" s="498">
        <f t="shared" si="1"/>
        <v>6732</v>
      </c>
      <c r="U18" s="498">
        <f t="shared" si="1"/>
        <v>6732</v>
      </c>
      <c r="V18" s="498">
        <f t="shared" si="1"/>
        <v>6732</v>
      </c>
      <c r="W18" s="498">
        <f t="shared" si="1"/>
        <v>6732</v>
      </c>
      <c r="X18" s="498">
        <f t="shared" si="1"/>
        <v>6732</v>
      </c>
      <c r="Y18" s="498">
        <f t="shared" si="1"/>
        <v>6732</v>
      </c>
      <c r="Z18" s="498">
        <f t="shared" si="1"/>
        <v>6732</v>
      </c>
    </row>
    <row r="19" spans="1:26" ht="30" outlineLevel="1" x14ac:dyDescent="0.25">
      <c r="A19" s="555">
        <v>3</v>
      </c>
      <c r="B19" s="508" t="s">
        <v>1222</v>
      </c>
      <c r="C19" s="508" t="s">
        <v>1223</v>
      </c>
      <c r="D19" s="495" t="s">
        <v>2365</v>
      </c>
      <c r="E19" s="496" t="s">
        <v>1219</v>
      </c>
      <c r="F19" s="410"/>
      <c r="G19" s="410"/>
      <c r="H19" s="410"/>
      <c r="I19" s="410"/>
      <c r="J19" s="410"/>
      <c r="K19" s="410"/>
      <c r="L19" s="496">
        <v>12</v>
      </c>
      <c r="M19" s="497">
        <v>0</v>
      </c>
      <c r="N19" s="404">
        <f>+N76</f>
        <v>7200</v>
      </c>
      <c r="O19" s="498">
        <f>+O76</f>
        <v>600</v>
      </c>
      <c r="P19" s="498">
        <f t="shared" ref="P19:Z19" si="2">+P76</f>
        <v>600</v>
      </c>
      <c r="Q19" s="498">
        <f t="shared" si="2"/>
        <v>600</v>
      </c>
      <c r="R19" s="498">
        <f t="shared" si="2"/>
        <v>600</v>
      </c>
      <c r="S19" s="498">
        <f t="shared" si="2"/>
        <v>600</v>
      </c>
      <c r="T19" s="498">
        <f t="shared" si="2"/>
        <v>600</v>
      </c>
      <c r="U19" s="498">
        <f t="shared" si="2"/>
        <v>600</v>
      </c>
      <c r="V19" s="498">
        <f t="shared" si="2"/>
        <v>600</v>
      </c>
      <c r="W19" s="498">
        <f t="shared" si="2"/>
        <v>600</v>
      </c>
      <c r="X19" s="498">
        <f t="shared" si="2"/>
        <v>600</v>
      </c>
      <c r="Y19" s="498">
        <f t="shared" si="2"/>
        <v>600</v>
      </c>
      <c r="Z19" s="498">
        <f t="shared" si="2"/>
        <v>600</v>
      </c>
    </row>
    <row r="20" spans="1:26" outlineLevel="1" x14ac:dyDescent="0.25">
      <c r="A20" s="555">
        <v>4</v>
      </c>
      <c r="B20" s="508" t="s">
        <v>1224</v>
      </c>
      <c r="C20" s="508" t="s">
        <v>1225</v>
      </c>
      <c r="D20" s="495" t="s">
        <v>2366</v>
      </c>
      <c r="E20" s="496" t="s">
        <v>1219</v>
      </c>
      <c r="F20" s="410"/>
      <c r="G20" s="410"/>
      <c r="H20" s="410"/>
      <c r="I20" s="410"/>
      <c r="J20" s="410"/>
      <c r="K20" s="410"/>
      <c r="L20" s="496">
        <v>12</v>
      </c>
      <c r="M20" s="497">
        <f>+M69</f>
        <v>0</v>
      </c>
      <c r="N20" s="547">
        <f>+N81</f>
        <v>13056</v>
      </c>
      <c r="O20" s="498">
        <f>+O81</f>
        <v>1088</v>
      </c>
      <c r="P20" s="498">
        <f t="shared" ref="P20:Z20" si="3">+P81</f>
        <v>1088</v>
      </c>
      <c r="Q20" s="498">
        <f t="shared" si="3"/>
        <v>1088</v>
      </c>
      <c r="R20" s="498">
        <f t="shared" si="3"/>
        <v>1088</v>
      </c>
      <c r="S20" s="498">
        <f t="shared" si="3"/>
        <v>1088</v>
      </c>
      <c r="T20" s="498">
        <f t="shared" si="3"/>
        <v>1088</v>
      </c>
      <c r="U20" s="498">
        <f t="shared" si="3"/>
        <v>1088</v>
      </c>
      <c r="V20" s="498">
        <f t="shared" si="3"/>
        <v>1088</v>
      </c>
      <c r="W20" s="498">
        <f t="shared" si="3"/>
        <v>1088</v>
      </c>
      <c r="X20" s="498">
        <f t="shared" si="3"/>
        <v>1088</v>
      </c>
      <c r="Y20" s="498">
        <f t="shared" si="3"/>
        <v>1088</v>
      </c>
      <c r="Z20" s="498">
        <f t="shared" si="3"/>
        <v>1088</v>
      </c>
    </row>
    <row r="21" spans="1:26" outlineLevel="1" x14ac:dyDescent="0.25">
      <c r="A21" s="499"/>
      <c r="B21" s="500"/>
      <c r="C21" s="500"/>
      <c r="D21" s="501"/>
      <c r="E21" s="415"/>
      <c r="F21" s="415"/>
      <c r="G21" s="415"/>
      <c r="H21" s="415"/>
      <c r="I21" s="415"/>
      <c r="J21" s="502" t="s">
        <v>20</v>
      </c>
      <c r="K21" s="503"/>
      <c r="L21" s="404">
        <v>12</v>
      </c>
      <c r="M21" s="404">
        <f>SUM(M2:M20)</f>
        <v>0</v>
      </c>
      <c r="N21" s="404">
        <f t="shared" ref="N21" si="4">SUM(N16:N20)</f>
        <v>310600</v>
      </c>
      <c r="O21" s="404">
        <f>SUM(O17:O20)</f>
        <v>25721</v>
      </c>
      <c r="P21" s="404">
        <f t="shared" ref="P21:Z21" si="5">SUM(P17:P20)</f>
        <v>25571</v>
      </c>
      <c r="Q21" s="404">
        <f t="shared" si="5"/>
        <v>26433</v>
      </c>
      <c r="R21" s="404">
        <f t="shared" si="5"/>
        <v>25571</v>
      </c>
      <c r="S21" s="404">
        <f t="shared" si="5"/>
        <v>25721</v>
      </c>
      <c r="T21" s="404">
        <f t="shared" si="5"/>
        <v>26283</v>
      </c>
      <c r="U21" s="404">
        <f t="shared" si="5"/>
        <v>25721</v>
      </c>
      <c r="V21" s="404">
        <f t="shared" si="5"/>
        <v>25571</v>
      </c>
      <c r="W21" s="404">
        <f t="shared" si="5"/>
        <v>26433</v>
      </c>
      <c r="X21" s="404">
        <f t="shared" si="5"/>
        <v>25571</v>
      </c>
      <c r="Y21" s="404">
        <f t="shared" si="5"/>
        <v>25721</v>
      </c>
      <c r="Z21" s="404">
        <f t="shared" si="5"/>
        <v>26283</v>
      </c>
    </row>
    <row r="22" spans="1:26" ht="6.75" customHeight="1" x14ac:dyDescent="0.25">
      <c r="A22" s="501"/>
      <c r="B22" s="501"/>
      <c r="C22" s="501"/>
      <c r="D22" s="501"/>
      <c r="E22" s="501"/>
      <c r="F22" s="501"/>
      <c r="G22" s="501"/>
      <c r="H22" s="501"/>
      <c r="I22" s="501"/>
      <c r="J22" s="501"/>
      <c r="K22" s="501"/>
    </row>
    <row r="23" spans="1:26" x14ac:dyDescent="0.25">
      <c r="A23" s="441" t="s">
        <v>33</v>
      </c>
      <c r="B23" s="441"/>
      <c r="C23" s="402"/>
      <c r="D23" s="402"/>
      <c r="E23" s="402"/>
      <c r="F23" s="402"/>
      <c r="G23" s="402"/>
      <c r="H23" s="491"/>
      <c r="I23" s="491"/>
      <c r="J23" s="402"/>
      <c r="K23" s="402"/>
      <c r="L23" s="402"/>
      <c r="M23" s="402"/>
      <c r="N23" s="402"/>
      <c r="O23" s="402" t="s">
        <v>5</v>
      </c>
      <c r="P23" s="402"/>
      <c r="Q23" s="402"/>
      <c r="R23" s="402"/>
      <c r="S23" s="402"/>
      <c r="T23" s="402"/>
      <c r="U23" s="402"/>
      <c r="V23" s="402"/>
      <c r="W23" s="402"/>
      <c r="X23" s="402"/>
      <c r="Y23" s="402"/>
      <c r="Z23" s="402"/>
    </row>
    <row r="24" spans="1:26" outlineLevel="1" x14ac:dyDescent="0.25">
      <c r="A24" s="442"/>
      <c r="B24" s="442" t="s">
        <v>13</v>
      </c>
      <c r="C24" s="442" t="s">
        <v>14</v>
      </c>
      <c r="D24" s="403" t="s">
        <v>2312</v>
      </c>
      <c r="E24" s="410" t="s">
        <v>5</v>
      </c>
      <c r="F24" s="410" t="s">
        <v>5</v>
      </c>
      <c r="G24" s="410" t="s">
        <v>5</v>
      </c>
      <c r="H24" s="410"/>
      <c r="I24" s="410"/>
      <c r="J24" s="410"/>
      <c r="K24" s="410" t="s">
        <v>5</v>
      </c>
      <c r="L24" s="410"/>
      <c r="M24" s="410"/>
      <c r="N24" s="409"/>
      <c r="O24" s="409" t="s">
        <v>5</v>
      </c>
      <c r="P24" s="409"/>
      <c r="Q24" s="409"/>
      <c r="R24" s="409"/>
      <c r="S24" s="409"/>
      <c r="T24" s="409"/>
      <c r="U24" s="409"/>
      <c r="V24" s="409"/>
      <c r="W24" s="409"/>
      <c r="X24" s="409"/>
      <c r="Y24" s="409"/>
      <c r="Z24" s="409"/>
    </row>
    <row r="25" spans="1:26" outlineLevel="1" x14ac:dyDescent="0.25">
      <c r="A25" s="535" t="str">
        <f>CONCATENATE(B17,"  -   ",C17)</f>
        <v>Office and backup services  -   Vallenar locations to operate</v>
      </c>
      <c r="B25" s="535"/>
      <c r="C25" s="536"/>
      <c r="D25" s="536"/>
      <c r="E25" s="507"/>
      <c r="F25" s="507"/>
      <c r="G25" s="507"/>
      <c r="H25" s="507"/>
      <c r="I25" s="507"/>
      <c r="J25" s="507"/>
      <c r="K25" s="507"/>
      <c r="L25" s="507"/>
      <c r="M25" s="507"/>
      <c r="N25" s="507"/>
      <c r="O25" s="507" t="s">
        <v>5</v>
      </c>
      <c r="P25" s="507"/>
      <c r="Q25" s="507"/>
      <c r="R25" s="507"/>
      <c r="S25" s="507"/>
      <c r="T25" s="507"/>
      <c r="U25" s="507"/>
      <c r="V25" s="507"/>
      <c r="W25" s="507"/>
      <c r="X25" s="507"/>
      <c r="Y25" s="507"/>
      <c r="Z25" s="507"/>
    </row>
    <row r="26" spans="1:26" ht="30" outlineLevel="1" x14ac:dyDescent="0.25">
      <c r="A26" s="555" t="s">
        <v>63</v>
      </c>
      <c r="B26" s="508" t="s">
        <v>1226</v>
      </c>
      <c r="C26" s="508" t="s">
        <v>1227</v>
      </c>
      <c r="D26" s="495" t="s">
        <v>2367</v>
      </c>
      <c r="E26" s="999"/>
      <c r="F26" s="999"/>
      <c r="G26" s="999"/>
      <c r="H26" s="999"/>
      <c r="I26" s="999"/>
      <c r="J26" s="999"/>
      <c r="K26" s="999"/>
      <c r="L26" s="410">
        <v>12</v>
      </c>
      <c r="M26" s="410"/>
      <c r="N26" s="548">
        <f>+N54</f>
        <v>69948</v>
      </c>
      <c r="O26" s="409" t="s">
        <v>5</v>
      </c>
      <c r="P26" s="409"/>
      <c r="Q26" s="409"/>
      <c r="R26" s="409"/>
      <c r="S26" s="409"/>
      <c r="T26" s="409"/>
      <c r="U26" s="409"/>
      <c r="V26" s="409"/>
      <c r="W26" s="409"/>
      <c r="X26" s="409"/>
      <c r="Y26" s="409"/>
      <c r="Z26" s="409"/>
    </row>
    <row r="27" spans="1:26" ht="30" outlineLevel="1" x14ac:dyDescent="0.25">
      <c r="A27" s="555" t="s">
        <v>1228</v>
      </c>
      <c r="B27" s="508" t="s">
        <v>1229</v>
      </c>
      <c r="C27" s="508" t="s">
        <v>1230</v>
      </c>
      <c r="D27" s="495" t="s">
        <v>2368</v>
      </c>
      <c r="E27" s="410" t="s">
        <v>5</v>
      </c>
      <c r="F27" s="410" t="s">
        <v>5</v>
      </c>
      <c r="G27" s="409" t="s">
        <v>5</v>
      </c>
      <c r="H27" s="409"/>
      <c r="I27" s="409"/>
      <c r="J27" s="410"/>
      <c r="K27" s="410" t="s">
        <v>5</v>
      </c>
      <c r="L27" s="409">
        <v>12</v>
      </c>
      <c r="M27" s="409"/>
      <c r="N27" s="549">
        <f>+N55</f>
        <v>26400</v>
      </c>
      <c r="O27" s="409" t="s">
        <v>5</v>
      </c>
      <c r="P27" s="409"/>
      <c r="Q27" s="409"/>
      <c r="R27" s="409"/>
      <c r="S27" s="409"/>
      <c r="T27" s="409"/>
      <c r="U27" s="409"/>
      <c r="V27" s="409"/>
      <c r="W27" s="409"/>
      <c r="X27" s="409"/>
      <c r="Y27" s="409"/>
      <c r="Z27" s="409"/>
    </row>
    <row r="28" spans="1:26" ht="30" outlineLevel="1" x14ac:dyDescent="0.25">
      <c r="A28" s="555" t="s">
        <v>1231</v>
      </c>
      <c r="B28" s="508" t="s">
        <v>1232</v>
      </c>
      <c r="C28" s="508" t="s">
        <v>1233</v>
      </c>
      <c r="D28" s="495" t="s">
        <v>2369</v>
      </c>
      <c r="E28" s="410" t="s">
        <v>5</v>
      </c>
      <c r="F28" s="410" t="s">
        <v>5</v>
      </c>
      <c r="G28" s="409" t="s">
        <v>5</v>
      </c>
      <c r="H28" s="409"/>
      <c r="I28" s="409"/>
      <c r="J28" s="410"/>
      <c r="K28" s="410" t="s">
        <v>5</v>
      </c>
      <c r="L28" s="409">
        <v>12</v>
      </c>
      <c r="M28" s="409"/>
      <c r="N28" s="549">
        <f>+N56</f>
        <v>4200</v>
      </c>
      <c r="O28" s="409" t="s">
        <v>5</v>
      </c>
      <c r="P28" s="409"/>
      <c r="Q28" s="409"/>
      <c r="R28" s="409"/>
      <c r="S28" s="409"/>
      <c r="T28" s="409"/>
      <c r="U28" s="409"/>
      <c r="V28" s="409"/>
      <c r="W28" s="409"/>
      <c r="X28" s="409"/>
      <c r="Y28" s="409"/>
      <c r="Z28" s="409"/>
    </row>
    <row r="29" spans="1:26" ht="30" outlineLevel="1" x14ac:dyDescent="0.25">
      <c r="A29" s="555" t="s">
        <v>1234</v>
      </c>
      <c r="B29" s="508" t="s">
        <v>1235</v>
      </c>
      <c r="C29" s="508" t="s">
        <v>1236</v>
      </c>
      <c r="D29" s="495" t="s">
        <v>2370</v>
      </c>
      <c r="E29" s="410"/>
      <c r="F29" s="410"/>
      <c r="G29" s="410"/>
      <c r="H29" s="410"/>
      <c r="I29" s="410"/>
      <c r="J29" s="410"/>
      <c r="K29" s="410"/>
      <c r="L29" s="409">
        <v>12</v>
      </c>
      <c r="M29" s="410"/>
      <c r="N29" s="550">
        <f t="shared" ref="N29:N36" si="6">+N57</f>
        <v>18000</v>
      </c>
      <c r="O29" s="409"/>
      <c r="P29" s="409"/>
      <c r="Q29" s="409"/>
      <c r="R29" s="409"/>
      <c r="S29" s="409"/>
      <c r="T29" s="409"/>
      <c r="U29" s="409"/>
      <c r="V29" s="409"/>
      <c r="W29" s="409"/>
      <c r="X29" s="409"/>
      <c r="Y29" s="409"/>
      <c r="Z29" s="409"/>
    </row>
    <row r="30" spans="1:26" ht="30" outlineLevel="1" x14ac:dyDescent="0.25">
      <c r="A30" s="555" t="s">
        <v>1237</v>
      </c>
      <c r="B30" s="508" t="s">
        <v>1238</v>
      </c>
      <c r="C30" s="508" t="s">
        <v>1239</v>
      </c>
      <c r="D30" s="495" t="s">
        <v>2371</v>
      </c>
      <c r="E30" s="410"/>
      <c r="F30" s="410"/>
      <c r="G30" s="410"/>
      <c r="H30" s="410"/>
      <c r="I30" s="410"/>
      <c r="J30" s="410"/>
      <c r="K30" s="410"/>
      <c r="L30" s="409">
        <v>12</v>
      </c>
      <c r="M30" s="410"/>
      <c r="N30" s="550">
        <f t="shared" si="6"/>
        <v>70584</v>
      </c>
      <c r="O30" s="409"/>
      <c r="P30" s="409"/>
      <c r="Q30" s="409"/>
      <c r="R30" s="409"/>
      <c r="S30" s="409"/>
      <c r="T30" s="409"/>
      <c r="U30" s="409"/>
      <c r="V30" s="409"/>
      <c r="W30" s="409"/>
      <c r="X30" s="409"/>
      <c r="Y30" s="409"/>
      <c r="Z30" s="409"/>
    </row>
    <row r="31" spans="1:26" outlineLevel="1" x14ac:dyDescent="0.25">
      <c r="A31" s="555" t="s">
        <v>1240</v>
      </c>
      <c r="B31" s="508" t="s">
        <v>1241</v>
      </c>
      <c r="C31" s="508" t="s">
        <v>1242</v>
      </c>
      <c r="D31" s="495" t="s">
        <v>2372</v>
      </c>
      <c r="E31" s="410"/>
      <c r="F31" s="410"/>
      <c r="G31" s="410"/>
      <c r="H31" s="410"/>
      <c r="I31" s="410"/>
      <c r="J31" s="410"/>
      <c r="K31" s="410"/>
      <c r="L31" s="409">
        <v>12</v>
      </c>
      <c r="M31" s="410"/>
      <c r="N31" s="550">
        <f t="shared" si="6"/>
        <v>2848</v>
      </c>
      <c r="O31" s="409"/>
      <c r="P31" s="409"/>
      <c r="Q31" s="409"/>
      <c r="R31" s="409"/>
      <c r="S31" s="409"/>
      <c r="T31" s="409"/>
      <c r="U31" s="409"/>
      <c r="V31" s="409"/>
      <c r="W31" s="409"/>
      <c r="X31" s="409"/>
      <c r="Y31" s="409"/>
      <c r="Z31" s="409"/>
    </row>
    <row r="32" spans="1:26" outlineLevel="1" x14ac:dyDescent="0.25">
      <c r="A32" s="555" t="s">
        <v>1244</v>
      </c>
      <c r="B32" s="508" t="s">
        <v>1245</v>
      </c>
      <c r="C32" s="508" t="s">
        <v>1246</v>
      </c>
      <c r="D32" s="495" t="s">
        <v>2373</v>
      </c>
      <c r="E32" s="410"/>
      <c r="F32" s="410"/>
      <c r="G32" s="410"/>
      <c r="H32" s="410"/>
      <c r="I32" s="410"/>
      <c r="J32" s="410"/>
      <c r="K32" s="410"/>
      <c r="L32" s="409">
        <v>12</v>
      </c>
      <c r="M32" s="410"/>
      <c r="N32" s="550">
        <f t="shared" si="6"/>
        <v>900</v>
      </c>
      <c r="O32" s="409"/>
      <c r="P32" s="409"/>
      <c r="Q32" s="409"/>
      <c r="R32" s="409"/>
      <c r="S32" s="409"/>
      <c r="T32" s="409"/>
      <c r="U32" s="409"/>
      <c r="V32" s="409"/>
      <c r="W32" s="409"/>
      <c r="X32" s="409"/>
      <c r="Y32" s="409"/>
      <c r="Z32" s="409"/>
    </row>
    <row r="33" spans="1:26" outlineLevel="1" x14ac:dyDescent="0.25">
      <c r="A33" s="555" t="s">
        <v>1247</v>
      </c>
      <c r="B33" s="508" t="s">
        <v>1248</v>
      </c>
      <c r="C33" s="508" t="s">
        <v>1243</v>
      </c>
      <c r="D33" s="495" t="s">
        <v>2374</v>
      </c>
      <c r="E33" s="410"/>
      <c r="F33" s="410"/>
      <c r="G33" s="410"/>
      <c r="H33" s="410"/>
      <c r="I33" s="410"/>
      <c r="J33" s="410"/>
      <c r="K33" s="410"/>
      <c r="L33" s="409">
        <v>12</v>
      </c>
      <c r="M33" s="410"/>
      <c r="N33" s="550">
        <f t="shared" si="6"/>
        <v>1764</v>
      </c>
      <c r="O33" s="409"/>
      <c r="P33" s="409"/>
      <c r="Q33" s="409"/>
      <c r="R33" s="409"/>
      <c r="S33" s="409"/>
      <c r="T33" s="409"/>
      <c r="U33" s="409"/>
      <c r="V33" s="409"/>
      <c r="W33" s="409"/>
      <c r="X33" s="409"/>
      <c r="Y33" s="409"/>
      <c r="Z33" s="409"/>
    </row>
    <row r="34" spans="1:26" outlineLevel="1" x14ac:dyDescent="0.25">
      <c r="A34" s="555" t="s">
        <v>1249</v>
      </c>
      <c r="B34" s="508" t="s">
        <v>1250</v>
      </c>
      <c r="C34" s="508" t="s">
        <v>1243</v>
      </c>
      <c r="D34" s="495" t="s">
        <v>2375</v>
      </c>
      <c r="E34" s="410"/>
      <c r="F34" s="410"/>
      <c r="G34" s="410"/>
      <c r="H34" s="410"/>
      <c r="I34" s="410"/>
      <c r="J34" s="410"/>
      <c r="K34" s="410"/>
      <c r="L34" s="409">
        <v>12</v>
      </c>
      <c r="M34" s="410"/>
      <c r="N34" s="550">
        <f t="shared" si="6"/>
        <v>1236</v>
      </c>
      <c r="O34" s="409"/>
      <c r="P34" s="409"/>
      <c r="Q34" s="409"/>
      <c r="R34" s="409"/>
      <c r="S34" s="409"/>
      <c r="T34" s="409"/>
      <c r="U34" s="409"/>
      <c r="V34" s="409"/>
      <c r="W34" s="409"/>
      <c r="X34" s="409"/>
      <c r="Y34" s="409"/>
      <c r="Z34" s="409"/>
    </row>
    <row r="35" spans="1:26" outlineLevel="1" x14ac:dyDescent="0.25">
      <c r="A35" s="555" t="s">
        <v>1251</v>
      </c>
      <c r="B35" s="508" t="s">
        <v>1252</v>
      </c>
      <c r="C35" s="508" t="s">
        <v>1253</v>
      </c>
      <c r="D35" s="495" t="s">
        <v>2376</v>
      </c>
      <c r="E35" s="410"/>
      <c r="F35" s="410"/>
      <c r="G35" s="410"/>
      <c r="H35" s="410"/>
      <c r="I35" s="410"/>
      <c r="J35" s="410"/>
      <c r="K35" s="410"/>
      <c r="L35" s="409">
        <v>12</v>
      </c>
      <c r="M35" s="410"/>
      <c r="N35" s="550">
        <f t="shared" si="6"/>
        <v>12480</v>
      </c>
      <c r="O35" s="409"/>
      <c r="P35" s="409"/>
      <c r="Q35" s="409"/>
      <c r="R35" s="409"/>
      <c r="S35" s="409"/>
      <c r="T35" s="409"/>
      <c r="U35" s="409"/>
      <c r="V35" s="409"/>
      <c r="W35" s="409"/>
      <c r="X35" s="409"/>
      <c r="Y35" s="409"/>
      <c r="Z35" s="409"/>
    </row>
    <row r="36" spans="1:26" ht="30" outlineLevel="1" x14ac:dyDescent="0.25">
      <c r="A36" s="555" t="s">
        <v>1254</v>
      </c>
      <c r="B36" s="508" t="s">
        <v>1255</v>
      </c>
      <c r="C36" s="508" t="s">
        <v>1256</v>
      </c>
      <c r="D36" s="495" t="s">
        <v>2377</v>
      </c>
      <c r="E36" s="410"/>
      <c r="F36" s="410"/>
      <c r="G36" s="410"/>
      <c r="H36" s="410"/>
      <c r="I36" s="410"/>
      <c r="J36" s="410"/>
      <c r="K36" s="410"/>
      <c r="L36" s="409">
        <v>12</v>
      </c>
      <c r="M36" s="410"/>
      <c r="N36" s="550">
        <f t="shared" si="6"/>
        <v>1200</v>
      </c>
      <c r="O36" s="409"/>
      <c r="P36" s="409"/>
      <c r="Q36" s="409"/>
      <c r="R36" s="409"/>
      <c r="S36" s="409"/>
      <c r="T36" s="409"/>
      <c r="U36" s="409"/>
      <c r="V36" s="409"/>
      <c r="W36" s="409"/>
      <c r="X36" s="409"/>
      <c r="Y36" s="409"/>
      <c r="Z36" s="409"/>
    </row>
    <row r="37" spans="1:26" outlineLevel="1" x14ac:dyDescent="0.25">
      <c r="A37" s="508"/>
      <c r="B37" s="508"/>
      <c r="C37" s="508"/>
      <c r="D37" s="495"/>
      <c r="E37" s="410" t="s">
        <v>5</v>
      </c>
      <c r="F37" s="410" t="s">
        <v>5</v>
      </c>
      <c r="G37" s="410" t="s">
        <v>5</v>
      </c>
      <c r="H37" s="410"/>
      <c r="I37" s="410"/>
      <c r="J37" s="410"/>
      <c r="K37" s="410" t="s">
        <v>5</v>
      </c>
      <c r="L37" s="410"/>
      <c r="M37" s="410"/>
      <c r="N37" s="548"/>
      <c r="O37" s="409" t="s">
        <v>5</v>
      </c>
      <c r="P37" s="409"/>
      <c r="Q37" s="409"/>
      <c r="R37" s="409"/>
      <c r="S37" s="409"/>
      <c r="T37" s="409"/>
      <c r="U37" s="409"/>
      <c r="V37" s="409"/>
      <c r="W37" s="409"/>
      <c r="X37" s="409"/>
      <c r="Y37" s="409"/>
      <c r="Z37" s="409"/>
    </row>
    <row r="38" spans="1:26" outlineLevel="1" x14ac:dyDescent="0.25">
      <c r="A38" s="535" t="str">
        <f>CONCATENATE(B18,"  -   ",C18)</f>
        <v>Pick up truck and fuel  -   Car rental &amp; fuel</v>
      </c>
      <c r="B38" s="535"/>
      <c r="C38" s="536"/>
      <c r="D38" s="536"/>
      <c r="E38" s="507"/>
      <c r="F38" s="507"/>
      <c r="G38" s="507"/>
      <c r="H38" s="507"/>
      <c r="I38" s="507"/>
      <c r="J38" s="507"/>
      <c r="K38" s="507"/>
      <c r="L38" s="507"/>
      <c r="M38" s="507"/>
      <c r="N38" s="507"/>
      <c r="O38" s="507" t="s">
        <v>5</v>
      </c>
      <c r="P38" s="507"/>
      <c r="Q38" s="507"/>
      <c r="R38" s="507"/>
      <c r="S38" s="507"/>
      <c r="T38" s="507"/>
      <c r="U38" s="507"/>
      <c r="V38" s="507"/>
      <c r="W38" s="507"/>
      <c r="X38" s="507"/>
      <c r="Y38" s="507"/>
      <c r="Z38" s="507"/>
    </row>
    <row r="39" spans="1:26" outlineLevel="1" x14ac:dyDescent="0.25">
      <c r="A39" s="555" t="s">
        <v>69</v>
      </c>
      <c r="B39" s="508" t="s">
        <v>1257</v>
      </c>
      <c r="C39" s="508" t="s">
        <v>1258</v>
      </c>
      <c r="D39" s="495" t="s">
        <v>2378</v>
      </c>
      <c r="E39" s="410"/>
      <c r="F39" s="410"/>
      <c r="G39" s="410"/>
      <c r="H39" s="410"/>
      <c r="I39" s="410"/>
      <c r="J39" s="410"/>
      <c r="K39" s="410" t="s">
        <v>5</v>
      </c>
      <c r="L39" s="409">
        <v>12</v>
      </c>
      <c r="M39" s="410"/>
      <c r="N39" s="522">
        <f>+N69</f>
        <v>62784</v>
      </c>
      <c r="O39" s="409" t="s">
        <v>5</v>
      </c>
      <c r="P39" s="409"/>
      <c r="Q39" s="409"/>
      <c r="R39" s="409"/>
      <c r="S39" s="409"/>
      <c r="T39" s="409"/>
      <c r="U39" s="409"/>
      <c r="V39" s="409"/>
      <c r="W39" s="409"/>
      <c r="X39" s="409"/>
      <c r="Y39" s="409"/>
      <c r="Z39" s="409"/>
    </row>
    <row r="40" spans="1:26" outlineLevel="1" x14ac:dyDescent="0.25">
      <c r="A40" s="555" t="s">
        <v>72</v>
      </c>
      <c r="B40" s="508" t="s">
        <v>1259</v>
      </c>
      <c r="C40" s="508" t="s">
        <v>1260</v>
      </c>
      <c r="D40" s="495" t="s">
        <v>2379</v>
      </c>
      <c r="E40" s="410"/>
      <c r="F40" s="410"/>
      <c r="G40" s="410"/>
      <c r="H40" s="410"/>
      <c r="I40" s="410"/>
      <c r="J40" s="410"/>
      <c r="K40" s="410" t="s">
        <v>5</v>
      </c>
      <c r="L40" s="409">
        <v>12</v>
      </c>
      <c r="M40" s="410"/>
      <c r="N40" s="522">
        <f>+N70</f>
        <v>18000</v>
      </c>
      <c r="O40" s="409" t="s">
        <v>5</v>
      </c>
      <c r="P40" s="409"/>
      <c r="Q40" s="409"/>
      <c r="R40" s="409"/>
      <c r="S40" s="409"/>
      <c r="T40" s="409"/>
      <c r="U40" s="409"/>
      <c r="V40" s="409"/>
      <c r="W40" s="409"/>
      <c r="X40" s="409"/>
      <c r="Y40" s="409"/>
      <c r="Z40" s="409"/>
    </row>
    <row r="41" spans="1:26" outlineLevel="1" x14ac:dyDescent="0.25">
      <c r="A41" s="508"/>
      <c r="B41" s="508"/>
      <c r="C41" s="508"/>
      <c r="D41" s="495"/>
      <c r="E41" s="410"/>
      <c r="F41" s="410"/>
      <c r="G41" s="410"/>
      <c r="H41" s="410"/>
      <c r="I41" s="410"/>
      <c r="J41" s="410"/>
      <c r="K41" s="410" t="s">
        <v>5</v>
      </c>
      <c r="L41" s="410"/>
      <c r="M41" s="410"/>
      <c r="N41" s="409"/>
      <c r="O41" s="409" t="s">
        <v>5</v>
      </c>
      <c r="P41" s="409"/>
      <c r="Q41" s="409"/>
      <c r="R41" s="409"/>
      <c r="S41" s="409"/>
      <c r="T41" s="409"/>
      <c r="U41" s="409"/>
      <c r="V41" s="409"/>
      <c r="W41" s="409"/>
      <c r="X41" s="409"/>
      <c r="Y41" s="409"/>
      <c r="Z41" s="409"/>
    </row>
    <row r="42" spans="1:26" ht="22.15" customHeight="1" outlineLevel="1" x14ac:dyDescent="0.25">
      <c r="A42" s="951" t="str">
        <f>CONCATENATE(B19,"   -   ",C19)</f>
        <v xml:space="preserve">Catering and celebrations   -   Catering services </v>
      </c>
      <c r="B42" s="952"/>
      <c r="C42" s="952"/>
      <c r="D42" s="952"/>
      <c r="E42" s="952"/>
      <c r="F42" s="952"/>
      <c r="G42" s="952"/>
      <c r="H42" s="952"/>
      <c r="I42" s="952"/>
      <c r="J42" s="952"/>
      <c r="K42" s="952"/>
      <c r="L42" s="952"/>
      <c r="M42" s="952"/>
      <c r="N42" s="953"/>
      <c r="O42" s="409"/>
      <c r="P42" s="409"/>
      <c r="Q42" s="409"/>
      <c r="R42" s="409"/>
      <c r="S42" s="409"/>
      <c r="T42" s="409"/>
      <c r="U42" s="409"/>
      <c r="V42" s="409"/>
      <c r="W42" s="409"/>
      <c r="X42" s="409"/>
      <c r="Y42" s="409"/>
      <c r="Z42" s="409"/>
    </row>
    <row r="43" spans="1:26" outlineLevel="1" x14ac:dyDescent="0.25">
      <c r="A43" s="556" t="s">
        <v>102</v>
      </c>
      <c r="B43" s="510" t="s">
        <v>1261</v>
      </c>
      <c r="C43" s="551" t="s">
        <v>1262</v>
      </c>
      <c r="D43" s="552" t="s">
        <v>2380</v>
      </c>
      <c r="E43" s="410"/>
      <c r="F43" s="410"/>
      <c r="G43" s="410"/>
      <c r="H43" s="410"/>
      <c r="I43" s="410"/>
      <c r="J43" s="410"/>
      <c r="K43" s="410"/>
      <c r="L43" s="409">
        <v>12</v>
      </c>
      <c r="M43" s="410"/>
      <c r="N43" s="547">
        <f>+N74</f>
        <v>3600</v>
      </c>
      <c r="O43" s="409"/>
      <c r="P43" s="409"/>
      <c r="Q43" s="409"/>
      <c r="R43" s="409"/>
      <c r="S43" s="409"/>
      <c r="T43" s="409"/>
      <c r="U43" s="409"/>
      <c r="V43" s="409"/>
      <c r="W43" s="409"/>
      <c r="X43" s="409"/>
      <c r="Y43" s="409"/>
      <c r="Z43" s="409"/>
    </row>
    <row r="44" spans="1:26" outlineLevel="1" x14ac:dyDescent="0.25">
      <c r="A44" s="556" t="s">
        <v>105</v>
      </c>
      <c r="B44" s="510" t="s">
        <v>1263</v>
      </c>
      <c r="C44" s="551" t="s">
        <v>1264</v>
      </c>
      <c r="D44" s="552" t="s">
        <v>2381</v>
      </c>
      <c r="E44" s="410"/>
      <c r="F44" s="410"/>
      <c r="G44" s="410"/>
      <c r="H44" s="410"/>
      <c r="I44" s="410"/>
      <c r="J44" s="410"/>
      <c r="K44" s="410"/>
      <c r="L44" s="409">
        <v>12</v>
      </c>
      <c r="M44" s="410"/>
      <c r="N44" s="547">
        <f>+N75</f>
        <v>3600</v>
      </c>
      <c r="O44" s="409"/>
      <c r="P44" s="409"/>
      <c r="Q44" s="409"/>
      <c r="R44" s="409"/>
      <c r="S44" s="409"/>
      <c r="T44" s="409"/>
      <c r="U44" s="409"/>
      <c r="V44" s="409"/>
      <c r="W44" s="409"/>
      <c r="X44" s="409"/>
      <c r="Y44" s="409"/>
      <c r="Z44" s="409"/>
    </row>
    <row r="45" spans="1:26" outlineLevel="1" x14ac:dyDescent="0.25">
      <c r="A45" s="510"/>
      <c r="B45" s="510"/>
      <c r="C45" s="551"/>
      <c r="D45" s="552"/>
      <c r="E45" s="410"/>
      <c r="F45" s="410"/>
      <c r="G45" s="410"/>
      <c r="H45" s="410"/>
      <c r="I45" s="410"/>
      <c r="J45" s="410"/>
      <c r="K45" s="410"/>
      <c r="L45" s="410"/>
      <c r="M45" s="410"/>
      <c r="N45" s="409"/>
      <c r="O45" s="409"/>
      <c r="P45" s="409"/>
      <c r="Q45" s="409"/>
      <c r="R45" s="409"/>
      <c r="S45" s="409"/>
      <c r="T45" s="409"/>
      <c r="U45" s="409"/>
      <c r="V45" s="409"/>
      <c r="W45" s="409"/>
      <c r="X45" s="409"/>
      <c r="Y45" s="409"/>
      <c r="Z45" s="409"/>
    </row>
    <row r="46" spans="1:26" ht="15" customHeight="1" outlineLevel="1" x14ac:dyDescent="0.25">
      <c r="A46" s="889" t="str">
        <f>CONCATENATE(B20,"   -   ",C20)</f>
        <v>Petty cash &amp; other   -   Minor expenses</v>
      </c>
      <c r="B46" s="890"/>
      <c r="C46" s="890"/>
      <c r="D46" s="890"/>
      <c r="E46" s="890"/>
      <c r="F46" s="890"/>
      <c r="G46" s="890"/>
      <c r="H46" s="890"/>
      <c r="I46" s="890"/>
      <c r="J46" s="890"/>
      <c r="K46" s="890"/>
      <c r="L46" s="890"/>
      <c r="M46" s="890"/>
      <c r="N46" s="891"/>
      <c r="O46" s="409"/>
      <c r="P46" s="409"/>
      <c r="Q46" s="409"/>
      <c r="R46" s="409"/>
      <c r="S46" s="409"/>
      <c r="T46" s="409"/>
      <c r="U46" s="409"/>
      <c r="V46" s="409"/>
      <c r="W46" s="409"/>
      <c r="X46" s="409"/>
      <c r="Y46" s="409"/>
      <c r="Z46" s="409"/>
    </row>
    <row r="47" spans="1:26" outlineLevel="1" x14ac:dyDescent="0.25">
      <c r="A47" s="556" t="s">
        <v>119</v>
      </c>
      <c r="B47" s="510" t="s">
        <v>1265</v>
      </c>
      <c r="C47" s="551" t="s">
        <v>1266</v>
      </c>
      <c r="D47" s="552" t="s">
        <v>2382</v>
      </c>
      <c r="E47" s="410"/>
      <c r="F47" s="410"/>
      <c r="G47" s="410"/>
      <c r="H47" s="410"/>
      <c r="I47" s="410"/>
      <c r="J47" s="410"/>
      <c r="K47" s="410"/>
      <c r="L47" s="409">
        <v>12</v>
      </c>
      <c r="M47" s="410"/>
      <c r="N47" s="547">
        <f>+N79</f>
        <v>8820</v>
      </c>
      <c r="O47" s="409"/>
      <c r="P47" s="409"/>
      <c r="Q47" s="409"/>
      <c r="R47" s="409"/>
      <c r="S47" s="409"/>
      <c r="T47" s="409"/>
      <c r="U47" s="409"/>
      <c r="V47" s="409"/>
      <c r="W47" s="409"/>
      <c r="X47" s="409"/>
      <c r="Y47" s="409"/>
      <c r="Z47" s="409"/>
    </row>
    <row r="48" spans="1:26" outlineLevel="1" x14ac:dyDescent="0.25">
      <c r="A48" s="556" t="s">
        <v>124</v>
      </c>
      <c r="B48" s="510" t="s">
        <v>1267</v>
      </c>
      <c r="C48" s="551" t="s">
        <v>1268</v>
      </c>
      <c r="D48" s="552" t="s">
        <v>2383</v>
      </c>
      <c r="E48" s="410"/>
      <c r="F48" s="410"/>
      <c r="G48" s="410"/>
      <c r="H48" s="410"/>
      <c r="I48" s="410"/>
      <c r="J48" s="410"/>
      <c r="K48" s="410"/>
      <c r="L48" s="409">
        <v>12</v>
      </c>
      <c r="M48" s="410"/>
      <c r="N48" s="547">
        <f>+N80</f>
        <v>4236</v>
      </c>
      <c r="O48" s="409"/>
      <c r="P48" s="409"/>
      <c r="Q48" s="409"/>
      <c r="R48" s="409"/>
      <c r="S48" s="409"/>
      <c r="T48" s="409"/>
      <c r="U48" s="409"/>
      <c r="V48" s="409"/>
      <c r="W48" s="409"/>
      <c r="X48" s="409"/>
      <c r="Y48" s="409"/>
      <c r="Z48" s="409"/>
    </row>
    <row r="49" spans="1:26" outlineLevel="1" x14ac:dyDescent="0.25">
      <c r="A49" s="510"/>
      <c r="B49" s="510"/>
      <c r="C49" s="551"/>
      <c r="D49" s="552"/>
      <c r="E49" s="410"/>
      <c r="F49" s="410"/>
      <c r="G49" s="410"/>
      <c r="H49" s="410"/>
      <c r="I49" s="410"/>
      <c r="J49" s="410"/>
      <c r="K49" s="410"/>
      <c r="L49" s="410"/>
      <c r="M49" s="410"/>
      <c r="N49" s="409"/>
      <c r="O49" s="409"/>
      <c r="P49" s="409"/>
      <c r="Q49" s="409"/>
      <c r="R49" s="409"/>
      <c r="S49" s="409"/>
      <c r="T49" s="409"/>
      <c r="U49" s="409"/>
      <c r="V49" s="409"/>
      <c r="W49" s="409"/>
      <c r="X49" s="409"/>
      <c r="Y49" s="409"/>
      <c r="Z49" s="409"/>
    </row>
    <row r="50" spans="1:26" ht="6.75" customHeight="1" x14ac:dyDescent="0.25"/>
    <row r="51" spans="1:26" x14ac:dyDescent="0.25">
      <c r="A51" s="441" t="s">
        <v>37</v>
      </c>
      <c r="B51" s="441"/>
      <c r="C51" s="402"/>
      <c r="D51" s="402"/>
      <c r="E51" s="402"/>
      <c r="F51" s="402"/>
      <c r="G51" s="402"/>
      <c r="H51" s="491"/>
      <c r="I51" s="491"/>
      <c r="J51" s="402"/>
      <c r="K51" s="402"/>
      <c r="L51" s="402"/>
      <c r="M51" s="402"/>
      <c r="N51" s="402"/>
      <c r="O51" s="402" t="s">
        <v>5</v>
      </c>
      <c r="P51" s="402"/>
      <c r="Q51" s="402"/>
      <c r="R51" s="402"/>
      <c r="S51" s="402"/>
      <c r="T51" s="402"/>
      <c r="U51" s="402"/>
      <c r="V51" s="402"/>
      <c r="W51" s="402"/>
      <c r="X51" s="402"/>
      <c r="Y51" s="402"/>
      <c r="Z51" s="402"/>
    </row>
    <row r="52" spans="1:26" outlineLevel="1" x14ac:dyDescent="0.25">
      <c r="A52" s="535" t="str">
        <f>CONCATENATE(B17," ",C17)</f>
        <v>Office and backup services Vallenar locations to operate</v>
      </c>
      <c r="B52" s="535"/>
      <c r="C52" s="536"/>
      <c r="D52" s="536"/>
      <c r="E52" s="507"/>
      <c r="F52" s="507"/>
      <c r="G52" s="507"/>
      <c r="H52" s="507"/>
      <c r="I52" s="507"/>
      <c r="J52" s="507"/>
      <c r="K52" s="507"/>
      <c r="L52" s="507"/>
      <c r="M52" s="507"/>
      <c r="N52" s="507"/>
      <c r="O52" s="507" t="s">
        <v>5</v>
      </c>
      <c r="P52" s="507"/>
      <c r="Q52" s="507"/>
      <c r="R52" s="507"/>
      <c r="S52" s="507"/>
      <c r="T52" s="507"/>
      <c r="U52" s="507"/>
      <c r="V52" s="507"/>
      <c r="W52" s="507"/>
      <c r="X52" s="507"/>
      <c r="Y52" s="507"/>
      <c r="Z52" s="507"/>
    </row>
    <row r="53" spans="1:26" ht="30" outlineLevel="1" x14ac:dyDescent="0.25">
      <c r="A53" s="442"/>
      <c r="B53" s="442" t="s">
        <v>13</v>
      </c>
      <c r="C53" s="442" t="s">
        <v>14</v>
      </c>
      <c r="D53" s="403" t="s">
        <v>2319</v>
      </c>
      <c r="E53" s="404" t="s">
        <v>16</v>
      </c>
      <c r="F53" s="404" t="s">
        <v>38</v>
      </c>
      <c r="G53" s="404" t="s">
        <v>39</v>
      </c>
      <c r="H53" s="404" t="s">
        <v>783</v>
      </c>
      <c r="I53" s="404" t="s">
        <v>784</v>
      </c>
      <c r="J53" s="404" t="s">
        <v>785</v>
      </c>
      <c r="K53" s="404" t="s">
        <v>786</v>
      </c>
      <c r="L53" s="404" t="s">
        <v>17</v>
      </c>
      <c r="M53" s="404" t="s">
        <v>18</v>
      </c>
      <c r="N53" s="404" t="s">
        <v>19</v>
      </c>
      <c r="O53" s="443">
        <v>43101</v>
      </c>
      <c r="P53" s="443">
        <v>43132</v>
      </c>
      <c r="Q53" s="443">
        <v>43160</v>
      </c>
      <c r="R53" s="443">
        <v>43191</v>
      </c>
      <c r="S53" s="443">
        <v>43221</v>
      </c>
      <c r="T53" s="443">
        <v>43252</v>
      </c>
      <c r="U53" s="443">
        <v>43282</v>
      </c>
      <c r="V53" s="443">
        <v>43313</v>
      </c>
      <c r="W53" s="443">
        <v>43344</v>
      </c>
      <c r="X53" s="443">
        <v>43374</v>
      </c>
      <c r="Y53" s="443">
        <v>43405</v>
      </c>
      <c r="Z53" s="443">
        <v>43435</v>
      </c>
    </row>
    <row r="54" spans="1:26" ht="30" outlineLevel="1" x14ac:dyDescent="0.25">
      <c r="A54" s="555" t="s">
        <v>1783</v>
      </c>
      <c r="B54" s="508" t="str">
        <f t="shared" ref="B54:C64" si="7">+B26</f>
        <v>Office &amp; guesthouse rent</v>
      </c>
      <c r="C54" s="508" t="str">
        <f t="shared" si="7"/>
        <v>Vallenar and Alto del Carmen Offices</v>
      </c>
      <c r="D54" s="508" t="s">
        <v>2367</v>
      </c>
      <c r="E54" s="496" t="s">
        <v>1219</v>
      </c>
      <c r="F54" s="496" t="s">
        <v>447</v>
      </c>
      <c r="G54" s="496"/>
      <c r="H54" s="496" t="s">
        <v>41</v>
      </c>
      <c r="I54" s="496" t="s">
        <v>41</v>
      </c>
      <c r="J54" s="496" t="s">
        <v>41</v>
      </c>
      <c r="K54" s="496" t="s">
        <v>41</v>
      </c>
      <c r="L54" s="496">
        <v>12</v>
      </c>
      <c r="M54" s="496"/>
      <c r="N54" s="404">
        <f>SUM(O54:Z54)</f>
        <v>69948</v>
      </c>
      <c r="O54" s="496">
        <v>5829</v>
      </c>
      <c r="P54" s="496">
        <v>5829</v>
      </c>
      <c r="Q54" s="496">
        <v>5829</v>
      </c>
      <c r="R54" s="496">
        <v>5829</v>
      </c>
      <c r="S54" s="496">
        <v>5829</v>
      </c>
      <c r="T54" s="496">
        <v>5829</v>
      </c>
      <c r="U54" s="496">
        <v>5829</v>
      </c>
      <c r="V54" s="496">
        <v>5829</v>
      </c>
      <c r="W54" s="496">
        <v>5829</v>
      </c>
      <c r="X54" s="496">
        <v>5829</v>
      </c>
      <c r="Y54" s="496">
        <v>5829</v>
      </c>
      <c r="Z54" s="496">
        <v>5829</v>
      </c>
    </row>
    <row r="55" spans="1:26" ht="30" outlineLevel="1" x14ac:dyDescent="0.25">
      <c r="A55" s="555" t="s">
        <v>1787</v>
      </c>
      <c r="B55" s="508" t="str">
        <f t="shared" si="7"/>
        <v>General expenses</v>
      </c>
      <c r="C55" s="508" t="str">
        <f t="shared" si="7"/>
        <v>Need to operate offices</v>
      </c>
      <c r="D55" s="508" t="s">
        <v>2368</v>
      </c>
      <c r="E55" s="496" t="s">
        <v>1219</v>
      </c>
      <c r="F55" s="496" t="s">
        <v>439</v>
      </c>
      <c r="G55" s="496"/>
      <c r="H55" s="496" t="s">
        <v>41</v>
      </c>
      <c r="I55" s="496" t="s">
        <v>41</v>
      </c>
      <c r="J55" s="496" t="s">
        <v>41</v>
      </c>
      <c r="K55" s="496" t="s">
        <v>42</v>
      </c>
      <c r="L55" s="496">
        <v>12</v>
      </c>
      <c r="M55" s="496"/>
      <c r="N55" s="404">
        <f t="shared" ref="N55:N63" si="8">SUM(O55:Z55)</f>
        <v>26400</v>
      </c>
      <c r="O55" s="496">
        <v>2200</v>
      </c>
      <c r="P55" s="496">
        <v>2200</v>
      </c>
      <c r="Q55" s="496">
        <v>2200</v>
      </c>
      <c r="R55" s="496">
        <v>2200</v>
      </c>
      <c r="S55" s="496">
        <v>2200</v>
      </c>
      <c r="T55" s="496">
        <v>2200</v>
      </c>
      <c r="U55" s="496">
        <v>2200</v>
      </c>
      <c r="V55" s="496">
        <v>2200</v>
      </c>
      <c r="W55" s="496">
        <v>2200</v>
      </c>
      <c r="X55" s="496">
        <v>2200</v>
      </c>
      <c r="Y55" s="496">
        <v>2200</v>
      </c>
      <c r="Z55" s="496">
        <v>2200</v>
      </c>
    </row>
    <row r="56" spans="1:26" ht="30" outlineLevel="1" x14ac:dyDescent="0.25">
      <c r="A56" s="555" t="s">
        <v>1788</v>
      </c>
      <c r="B56" s="508" t="str">
        <f t="shared" si="7"/>
        <v>Cable TV and internet</v>
      </c>
      <c r="C56" s="508" t="s">
        <v>1233</v>
      </c>
      <c r="D56" s="495" t="s">
        <v>2384</v>
      </c>
      <c r="E56" s="496" t="s">
        <v>1219</v>
      </c>
      <c r="F56" s="496" t="s">
        <v>447</v>
      </c>
      <c r="G56" s="496"/>
      <c r="H56" s="496" t="s">
        <v>42</v>
      </c>
      <c r="I56" s="496" t="s">
        <v>43</v>
      </c>
      <c r="J56" s="496" t="s">
        <v>44</v>
      </c>
      <c r="K56" s="496" t="s">
        <v>45</v>
      </c>
      <c r="L56" s="496">
        <v>12</v>
      </c>
      <c r="M56" s="496"/>
      <c r="N56" s="404">
        <f t="shared" si="8"/>
        <v>4200</v>
      </c>
      <c r="O56" s="496">
        <v>350</v>
      </c>
      <c r="P56" s="496">
        <v>350</v>
      </c>
      <c r="Q56" s="496">
        <v>350</v>
      </c>
      <c r="R56" s="496">
        <v>350</v>
      </c>
      <c r="S56" s="496">
        <v>350</v>
      </c>
      <c r="T56" s="496">
        <v>350</v>
      </c>
      <c r="U56" s="496">
        <v>350</v>
      </c>
      <c r="V56" s="496">
        <v>350</v>
      </c>
      <c r="W56" s="496">
        <v>350</v>
      </c>
      <c r="X56" s="496">
        <v>350</v>
      </c>
      <c r="Y56" s="496">
        <v>350</v>
      </c>
      <c r="Z56" s="496">
        <v>350</v>
      </c>
    </row>
    <row r="57" spans="1:26" ht="30" outlineLevel="1" x14ac:dyDescent="0.25">
      <c r="A57" s="555" t="s">
        <v>1789</v>
      </c>
      <c r="B57" s="508" t="str">
        <f t="shared" si="7"/>
        <v>Office materials and coffe pot</v>
      </c>
      <c r="C57" s="508" t="str">
        <f t="shared" si="7"/>
        <v xml:space="preserve">Several stuff for offices </v>
      </c>
      <c r="D57" s="508" t="s">
        <v>2370</v>
      </c>
      <c r="E57" s="496" t="s">
        <v>1219</v>
      </c>
      <c r="F57" s="496" t="s">
        <v>439</v>
      </c>
      <c r="G57" s="496"/>
      <c r="H57" s="496" t="s">
        <v>42</v>
      </c>
      <c r="I57" s="496" t="s">
        <v>43</v>
      </c>
      <c r="J57" s="496" t="s">
        <v>44</v>
      </c>
      <c r="K57" s="496" t="s">
        <v>45</v>
      </c>
      <c r="L57" s="496">
        <v>12</v>
      </c>
      <c r="M57" s="496"/>
      <c r="N57" s="404">
        <f t="shared" si="8"/>
        <v>18000</v>
      </c>
      <c r="O57" s="496">
        <v>1500</v>
      </c>
      <c r="P57" s="496">
        <v>1500</v>
      </c>
      <c r="Q57" s="496">
        <v>1500</v>
      </c>
      <c r="R57" s="496">
        <v>1500</v>
      </c>
      <c r="S57" s="496">
        <v>1500</v>
      </c>
      <c r="T57" s="496">
        <v>1500</v>
      </c>
      <c r="U57" s="496">
        <v>1500</v>
      </c>
      <c r="V57" s="496">
        <v>1500</v>
      </c>
      <c r="W57" s="496">
        <v>1500</v>
      </c>
      <c r="X57" s="496">
        <v>1500</v>
      </c>
      <c r="Y57" s="496">
        <v>1500</v>
      </c>
      <c r="Z57" s="496">
        <v>1500</v>
      </c>
    </row>
    <row r="58" spans="1:26" ht="30" outlineLevel="1" x14ac:dyDescent="0.25">
      <c r="A58" s="555" t="s">
        <v>1790</v>
      </c>
      <c r="B58" s="508" t="str">
        <f t="shared" si="7"/>
        <v>Cleaning service</v>
      </c>
      <c r="C58" s="508" t="str">
        <f t="shared" si="7"/>
        <v>Cleaning for Offices&amp; guesthouses</v>
      </c>
      <c r="D58" s="508" t="s">
        <v>2371</v>
      </c>
      <c r="E58" s="496" t="s">
        <v>1219</v>
      </c>
      <c r="F58" s="496" t="s">
        <v>1269</v>
      </c>
      <c r="G58" s="496"/>
      <c r="H58" s="496" t="s">
        <v>42</v>
      </c>
      <c r="I58" s="496" t="s">
        <v>43</v>
      </c>
      <c r="J58" s="496" t="s">
        <v>44</v>
      </c>
      <c r="K58" s="496" t="s">
        <v>45</v>
      </c>
      <c r="L58" s="496">
        <v>12</v>
      </c>
      <c r="M58" s="496"/>
      <c r="N58" s="404">
        <f t="shared" si="8"/>
        <v>70584</v>
      </c>
      <c r="O58" s="496">
        <v>5882</v>
      </c>
      <c r="P58" s="496">
        <v>5882</v>
      </c>
      <c r="Q58" s="496">
        <v>5882</v>
      </c>
      <c r="R58" s="496">
        <v>5882</v>
      </c>
      <c r="S58" s="496">
        <v>5882</v>
      </c>
      <c r="T58" s="496">
        <v>5882</v>
      </c>
      <c r="U58" s="496">
        <v>5882</v>
      </c>
      <c r="V58" s="496">
        <v>5882</v>
      </c>
      <c r="W58" s="496">
        <v>5882</v>
      </c>
      <c r="X58" s="496">
        <v>5882</v>
      </c>
      <c r="Y58" s="496">
        <v>5882</v>
      </c>
      <c r="Z58" s="496">
        <v>5882</v>
      </c>
    </row>
    <row r="59" spans="1:26" outlineLevel="1" x14ac:dyDescent="0.25">
      <c r="A59" s="555" t="s">
        <v>1791</v>
      </c>
      <c r="B59" s="508" t="str">
        <f t="shared" si="7"/>
        <v xml:space="preserve">Plague control </v>
      </c>
      <c r="C59" s="508" t="str">
        <f t="shared" si="7"/>
        <v>Bugs control services</v>
      </c>
      <c r="D59" s="508" t="s">
        <v>2372</v>
      </c>
      <c r="E59" s="496" t="s">
        <v>1219</v>
      </c>
      <c r="F59" s="496" t="s">
        <v>439</v>
      </c>
      <c r="G59" s="496"/>
      <c r="H59" s="496" t="s">
        <v>42</v>
      </c>
      <c r="I59" s="496" t="s">
        <v>43</v>
      </c>
      <c r="J59" s="496" t="s">
        <v>44</v>
      </c>
      <c r="K59" s="496" t="s">
        <v>45</v>
      </c>
      <c r="L59" s="496">
        <v>12</v>
      </c>
      <c r="M59" s="496"/>
      <c r="N59" s="404">
        <f t="shared" si="8"/>
        <v>2848</v>
      </c>
      <c r="O59" s="496">
        <v>0</v>
      </c>
      <c r="P59" s="496">
        <v>0</v>
      </c>
      <c r="Q59" s="496">
        <v>712</v>
      </c>
      <c r="R59" s="496">
        <v>0</v>
      </c>
      <c r="S59" s="496">
        <v>0</v>
      </c>
      <c r="T59" s="496">
        <v>712</v>
      </c>
      <c r="U59" s="496">
        <v>0</v>
      </c>
      <c r="V59" s="496">
        <v>0</v>
      </c>
      <c r="W59" s="496">
        <v>712</v>
      </c>
      <c r="X59" s="496">
        <v>0</v>
      </c>
      <c r="Y59" s="496">
        <v>0</v>
      </c>
      <c r="Z59" s="496">
        <v>712</v>
      </c>
    </row>
    <row r="60" spans="1:26" outlineLevel="1" x14ac:dyDescent="0.25">
      <c r="A60" s="555" t="s">
        <v>1792</v>
      </c>
      <c r="B60" s="508" t="str">
        <f t="shared" si="7"/>
        <v>Gas for guesthouses</v>
      </c>
      <c r="C60" s="508" t="str">
        <f t="shared" si="7"/>
        <v>Input for water heating and cooking</v>
      </c>
      <c r="D60" s="508" t="s">
        <v>2373</v>
      </c>
      <c r="E60" s="496" t="s">
        <v>1219</v>
      </c>
      <c r="F60" s="496" t="s">
        <v>447</v>
      </c>
      <c r="G60" s="496"/>
      <c r="H60" s="496" t="s">
        <v>42</v>
      </c>
      <c r="I60" s="496" t="s">
        <v>43</v>
      </c>
      <c r="J60" s="496" t="s">
        <v>44</v>
      </c>
      <c r="K60" s="496" t="s">
        <v>45</v>
      </c>
      <c r="L60" s="496">
        <v>12</v>
      </c>
      <c r="M60" s="496"/>
      <c r="N60" s="404">
        <f t="shared" si="8"/>
        <v>900</v>
      </c>
      <c r="O60" s="496">
        <v>150</v>
      </c>
      <c r="P60" s="496">
        <v>0</v>
      </c>
      <c r="Q60" s="496">
        <v>150</v>
      </c>
      <c r="R60" s="496">
        <v>0</v>
      </c>
      <c r="S60" s="496">
        <v>150</v>
      </c>
      <c r="T60" s="496">
        <v>0</v>
      </c>
      <c r="U60" s="496">
        <v>150</v>
      </c>
      <c r="V60" s="496">
        <v>0</v>
      </c>
      <c r="W60" s="496">
        <v>150</v>
      </c>
      <c r="X60" s="496">
        <v>0</v>
      </c>
      <c r="Y60" s="496">
        <v>150</v>
      </c>
      <c r="Z60" s="496">
        <v>0</v>
      </c>
    </row>
    <row r="61" spans="1:26" outlineLevel="1" x14ac:dyDescent="0.25">
      <c r="A61" s="555" t="s">
        <v>1793</v>
      </c>
      <c r="B61" s="508" t="str">
        <f t="shared" si="7"/>
        <v xml:space="preserve">Minor maintenance </v>
      </c>
      <c r="C61" s="508" t="str">
        <f t="shared" si="7"/>
        <v>Offices and guesthouses</v>
      </c>
      <c r="D61" s="508" t="s">
        <v>2374</v>
      </c>
      <c r="E61" s="496" t="s">
        <v>1219</v>
      </c>
      <c r="F61" s="496" t="s">
        <v>447</v>
      </c>
      <c r="G61" s="496"/>
      <c r="H61" s="496" t="s">
        <v>42</v>
      </c>
      <c r="I61" s="496" t="s">
        <v>43</v>
      </c>
      <c r="J61" s="496" t="s">
        <v>44</v>
      </c>
      <c r="K61" s="496" t="s">
        <v>45</v>
      </c>
      <c r="L61" s="496">
        <v>12</v>
      </c>
      <c r="M61" s="496"/>
      <c r="N61" s="404">
        <f t="shared" si="8"/>
        <v>1764</v>
      </c>
      <c r="O61" s="496">
        <v>147</v>
      </c>
      <c r="P61" s="496">
        <v>147</v>
      </c>
      <c r="Q61" s="496">
        <v>147</v>
      </c>
      <c r="R61" s="496">
        <v>147</v>
      </c>
      <c r="S61" s="496">
        <v>147</v>
      </c>
      <c r="T61" s="496">
        <v>147</v>
      </c>
      <c r="U61" s="496">
        <v>147</v>
      </c>
      <c r="V61" s="496">
        <v>147</v>
      </c>
      <c r="W61" s="496">
        <v>147</v>
      </c>
      <c r="X61" s="496">
        <v>147</v>
      </c>
      <c r="Y61" s="496">
        <v>147</v>
      </c>
      <c r="Z61" s="496">
        <v>147</v>
      </c>
    </row>
    <row r="62" spans="1:26" outlineLevel="1" x14ac:dyDescent="0.25">
      <c r="A62" s="555" t="s">
        <v>1794</v>
      </c>
      <c r="B62" s="508" t="str">
        <f t="shared" si="7"/>
        <v>Gardener</v>
      </c>
      <c r="C62" s="508" t="str">
        <f t="shared" si="7"/>
        <v>Offices and guesthouses</v>
      </c>
      <c r="D62" s="508" t="s">
        <v>2375</v>
      </c>
      <c r="E62" s="496" t="s">
        <v>1219</v>
      </c>
      <c r="F62" s="496" t="s">
        <v>447</v>
      </c>
      <c r="G62" s="496"/>
      <c r="H62" s="496" t="s">
        <v>42</v>
      </c>
      <c r="I62" s="496" t="s">
        <v>43</v>
      </c>
      <c r="J62" s="496" t="s">
        <v>44</v>
      </c>
      <c r="K62" s="496" t="s">
        <v>45</v>
      </c>
      <c r="L62" s="496">
        <v>12</v>
      </c>
      <c r="M62" s="496"/>
      <c r="N62" s="404">
        <f t="shared" si="8"/>
        <v>1236</v>
      </c>
      <c r="O62" s="496">
        <v>103</v>
      </c>
      <c r="P62" s="496">
        <v>103</v>
      </c>
      <c r="Q62" s="496">
        <v>103</v>
      </c>
      <c r="R62" s="496">
        <v>103</v>
      </c>
      <c r="S62" s="496">
        <v>103</v>
      </c>
      <c r="T62" s="496">
        <v>103</v>
      </c>
      <c r="U62" s="496">
        <v>103</v>
      </c>
      <c r="V62" s="496">
        <v>103</v>
      </c>
      <c r="W62" s="496">
        <v>103</v>
      </c>
      <c r="X62" s="496">
        <v>103</v>
      </c>
      <c r="Y62" s="496">
        <v>103</v>
      </c>
      <c r="Z62" s="496">
        <v>103</v>
      </c>
    </row>
    <row r="63" spans="1:26" outlineLevel="1" x14ac:dyDescent="0.25">
      <c r="A63" s="555" t="s">
        <v>1795</v>
      </c>
      <c r="B63" s="508" t="str">
        <f t="shared" si="7"/>
        <v>Parking service</v>
      </c>
      <c r="C63" s="508" t="str">
        <f t="shared" si="7"/>
        <v>For 6 pickup trucks</v>
      </c>
      <c r="D63" s="508" t="s">
        <v>2376</v>
      </c>
      <c r="E63" s="496" t="s">
        <v>1219</v>
      </c>
      <c r="F63" s="496" t="s">
        <v>439</v>
      </c>
      <c r="G63" s="496"/>
      <c r="H63" s="496" t="s">
        <v>42</v>
      </c>
      <c r="I63" s="496" t="s">
        <v>43</v>
      </c>
      <c r="J63" s="496" t="s">
        <v>44</v>
      </c>
      <c r="K63" s="496" t="s">
        <v>45</v>
      </c>
      <c r="L63" s="496">
        <v>12</v>
      </c>
      <c r="M63" s="496"/>
      <c r="N63" s="404">
        <f t="shared" si="8"/>
        <v>12480</v>
      </c>
      <c r="O63" s="496">
        <v>1040</v>
      </c>
      <c r="P63" s="496">
        <v>1040</v>
      </c>
      <c r="Q63" s="496">
        <v>1040</v>
      </c>
      <c r="R63" s="496">
        <v>1040</v>
      </c>
      <c r="S63" s="496">
        <v>1040</v>
      </c>
      <c r="T63" s="496">
        <v>1040</v>
      </c>
      <c r="U63" s="496">
        <v>1040</v>
      </c>
      <c r="V63" s="496">
        <v>1040</v>
      </c>
      <c r="W63" s="496">
        <v>1040</v>
      </c>
      <c r="X63" s="496">
        <v>1040</v>
      </c>
      <c r="Y63" s="496">
        <v>1040</v>
      </c>
      <c r="Z63" s="496">
        <v>1040</v>
      </c>
    </row>
    <row r="64" spans="1:26" ht="30" outlineLevel="1" x14ac:dyDescent="0.25">
      <c r="A64" s="555" t="s">
        <v>1796</v>
      </c>
      <c r="B64" s="508" t="str">
        <f t="shared" si="7"/>
        <v>Desktop utilities</v>
      </c>
      <c r="C64" s="508" t="str">
        <f t="shared" si="7"/>
        <v>Office inputs</v>
      </c>
      <c r="D64" s="508" t="s">
        <v>2377</v>
      </c>
      <c r="E64" s="496" t="s">
        <v>1219</v>
      </c>
      <c r="F64" s="496" t="s">
        <v>1270</v>
      </c>
      <c r="G64" s="496"/>
      <c r="H64" s="496" t="s">
        <v>42</v>
      </c>
      <c r="I64" s="496" t="s">
        <v>43</v>
      </c>
      <c r="J64" s="496" t="s">
        <v>44</v>
      </c>
      <c r="K64" s="496" t="s">
        <v>45</v>
      </c>
      <c r="L64" s="496">
        <v>12</v>
      </c>
      <c r="M64" s="496"/>
      <c r="N64" s="404">
        <f>SUM(O64:Z64)</f>
        <v>1200</v>
      </c>
      <c r="O64" s="496">
        <v>100</v>
      </c>
      <c r="P64" s="496">
        <v>100</v>
      </c>
      <c r="Q64" s="496">
        <v>100</v>
      </c>
      <c r="R64" s="496">
        <v>100</v>
      </c>
      <c r="S64" s="496">
        <v>100</v>
      </c>
      <c r="T64" s="496">
        <v>100</v>
      </c>
      <c r="U64" s="496">
        <v>100</v>
      </c>
      <c r="V64" s="496">
        <v>100</v>
      </c>
      <c r="W64" s="496">
        <v>100</v>
      </c>
      <c r="X64" s="496">
        <v>100</v>
      </c>
      <c r="Y64" s="496">
        <v>100</v>
      </c>
      <c r="Z64" s="496">
        <v>100</v>
      </c>
    </row>
    <row r="65" spans="1:26" outlineLevel="1" x14ac:dyDescent="0.25">
      <c r="A65" s="508"/>
      <c r="B65" s="508"/>
      <c r="C65" s="508"/>
      <c r="D65" s="495"/>
      <c r="E65" s="496"/>
      <c r="F65" s="496"/>
      <c r="G65" s="496"/>
      <c r="H65" s="496"/>
      <c r="I65" s="496"/>
      <c r="J65" s="496"/>
      <c r="K65" s="496"/>
      <c r="L65" s="496"/>
      <c r="M65" s="496"/>
      <c r="N65" s="496"/>
      <c r="O65" s="496"/>
      <c r="P65" s="496"/>
      <c r="Q65" s="496"/>
      <c r="R65" s="496"/>
      <c r="S65" s="496"/>
      <c r="T65" s="496"/>
      <c r="U65" s="496"/>
      <c r="V65" s="496"/>
      <c r="W65" s="496"/>
      <c r="X65" s="496"/>
      <c r="Y65" s="496"/>
      <c r="Z65" s="496"/>
    </row>
    <row r="66" spans="1:26" ht="22.5" customHeight="1" outlineLevel="1" x14ac:dyDescent="0.25">
      <c r="A66" s="537"/>
      <c r="B66" s="538"/>
      <c r="C66" s="538"/>
      <c r="D66" s="538"/>
      <c r="E66" s="519"/>
      <c r="F66" s="519"/>
      <c r="G66" s="519"/>
      <c r="H66" s="519"/>
      <c r="I66" s="519"/>
      <c r="J66" s="516" t="s">
        <v>20</v>
      </c>
      <c r="K66" s="519"/>
      <c r="L66" s="404">
        <v>12</v>
      </c>
      <c r="M66" s="404">
        <f t="shared" ref="M66:Z66" si="9">SUM(M54:M65)</f>
        <v>0</v>
      </c>
      <c r="N66" s="404">
        <f>SUM(N54:N65)</f>
        <v>209560</v>
      </c>
      <c r="O66" s="404">
        <f t="shared" si="9"/>
        <v>17301</v>
      </c>
      <c r="P66" s="404">
        <f t="shared" si="9"/>
        <v>17151</v>
      </c>
      <c r="Q66" s="404">
        <f t="shared" si="9"/>
        <v>18013</v>
      </c>
      <c r="R66" s="404">
        <f t="shared" si="9"/>
        <v>17151</v>
      </c>
      <c r="S66" s="404">
        <f t="shared" si="9"/>
        <v>17301</v>
      </c>
      <c r="T66" s="404">
        <f t="shared" si="9"/>
        <v>17863</v>
      </c>
      <c r="U66" s="404">
        <f t="shared" si="9"/>
        <v>17301</v>
      </c>
      <c r="V66" s="404">
        <f t="shared" si="9"/>
        <v>17151</v>
      </c>
      <c r="W66" s="404">
        <f t="shared" si="9"/>
        <v>18013</v>
      </c>
      <c r="X66" s="404">
        <f t="shared" si="9"/>
        <v>17151</v>
      </c>
      <c r="Y66" s="404">
        <f t="shared" si="9"/>
        <v>17301</v>
      </c>
      <c r="Z66" s="404">
        <f t="shared" si="9"/>
        <v>17863</v>
      </c>
    </row>
    <row r="67" spans="1:26" outlineLevel="1" x14ac:dyDescent="0.25">
      <c r="A67" s="535" t="str">
        <f>CONCATENATE(B18," ",C18)</f>
        <v>Pick up truck and fuel Car rental &amp; fuel</v>
      </c>
      <c r="B67" s="535"/>
      <c r="C67" s="536"/>
      <c r="D67" s="53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30" outlineLevel="1" x14ac:dyDescent="0.25">
      <c r="A68" s="442"/>
      <c r="B68" s="442" t="s">
        <v>13</v>
      </c>
      <c r="C68" s="442" t="s">
        <v>14</v>
      </c>
      <c r="D68" s="403" t="s">
        <v>2323</v>
      </c>
      <c r="E68" s="404" t="s">
        <v>16</v>
      </c>
      <c r="F68" s="404" t="s">
        <v>38</v>
      </c>
      <c r="G68" s="404" t="s">
        <v>39</v>
      </c>
      <c r="H68" s="404" t="s">
        <v>783</v>
      </c>
      <c r="I68" s="404" t="s">
        <v>784</v>
      </c>
      <c r="J68" s="404" t="s">
        <v>785</v>
      </c>
      <c r="K68" s="404" t="s">
        <v>786</v>
      </c>
      <c r="L68" s="404" t="s">
        <v>17</v>
      </c>
      <c r="M68" s="404" t="s">
        <v>18</v>
      </c>
      <c r="N68" s="404" t="s">
        <v>19</v>
      </c>
      <c r="O68" s="443">
        <v>43101</v>
      </c>
      <c r="P68" s="443">
        <v>43132</v>
      </c>
      <c r="Q68" s="443">
        <v>43160</v>
      </c>
      <c r="R68" s="443">
        <v>43191</v>
      </c>
      <c r="S68" s="443">
        <v>43221</v>
      </c>
      <c r="T68" s="443">
        <v>43252</v>
      </c>
      <c r="U68" s="443">
        <v>43282</v>
      </c>
      <c r="V68" s="443">
        <v>43313</v>
      </c>
      <c r="W68" s="443">
        <v>43344</v>
      </c>
      <c r="X68" s="443">
        <v>43374</v>
      </c>
      <c r="Y68" s="443">
        <v>43405</v>
      </c>
      <c r="Z68" s="443">
        <v>43435</v>
      </c>
    </row>
    <row r="69" spans="1:26" outlineLevel="1" x14ac:dyDescent="0.25">
      <c r="A69" s="555" t="s">
        <v>1797</v>
      </c>
      <c r="B69" s="508" t="str">
        <f t="shared" ref="B69:C70" si="10">+B39</f>
        <v>Pick up truck rent</v>
      </c>
      <c r="C69" s="508" t="str">
        <f t="shared" si="10"/>
        <v>4 pick up trucks for Vallenar office</v>
      </c>
      <c r="D69" s="508" t="s">
        <v>2378</v>
      </c>
      <c r="E69" s="496" t="s">
        <v>1219</v>
      </c>
      <c r="F69" s="496" t="s">
        <v>439</v>
      </c>
      <c r="G69" s="496"/>
      <c r="H69" s="496" t="s">
        <v>41</v>
      </c>
      <c r="I69" s="496" t="s">
        <v>41</v>
      </c>
      <c r="J69" s="496" t="s">
        <v>41</v>
      </c>
      <c r="K69" s="496" t="s">
        <v>42</v>
      </c>
      <c r="L69" s="496">
        <v>12</v>
      </c>
      <c r="M69" s="496"/>
      <c r="N69" s="404">
        <f t="shared" ref="N69:N70" si="11">SUM(O69:Z69)</f>
        <v>62784</v>
      </c>
      <c r="O69" s="496">
        <v>5232</v>
      </c>
      <c r="P69" s="496">
        <v>5232</v>
      </c>
      <c r="Q69" s="496">
        <v>5232</v>
      </c>
      <c r="R69" s="496">
        <v>5232</v>
      </c>
      <c r="S69" s="496">
        <v>5232</v>
      </c>
      <c r="T69" s="496">
        <v>5232</v>
      </c>
      <c r="U69" s="496">
        <v>5232</v>
      </c>
      <c r="V69" s="496">
        <v>5232</v>
      </c>
      <c r="W69" s="496">
        <v>5232</v>
      </c>
      <c r="X69" s="496">
        <v>5232</v>
      </c>
      <c r="Y69" s="496">
        <v>5232</v>
      </c>
      <c r="Z69" s="496">
        <v>5232</v>
      </c>
    </row>
    <row r="70" spans="1:26" outlineLevel="1" x14ac:dyDescent="0.25">
      <c r="A70" s="555" t="s">
        <v>1799</v>
      </c>
      <c r="B70" s="508" t="str">
        <f t="shared" si="10"/>
        <v>Pick up truck fuel</v>
      </c>
      <c r="C70" s="508" t="str">
        <f t="shared" si="10"/>
        <v>Electronic ticket for fuel supply</v>
      </c>
      <c r="D70" s="508" t="s">
        <v>2379</v>
      </c>
      <c r="E70" s="496" t="s">
        <v>1219</v>
      </c>
      <c r="F70" s="496" t="s">
        <v>439</v>
      </c>
      <c r="G70" s="496"/>
      <c r="H70" s="496" t="s">
        <v>41</v>
      </c>
      <c r="I70" s="496" t="s">
        <v>41</v>
      </c>
      <c r="J70" s="496" t="s">
        <v>41</v>
      </c>
      <c r="K70" s="496" t="s">
        <v>42</v>
      </c>
      <c r="L70" s="496">
        <v>12</v>
      </c>
      <c r="M70" s="496"/>
      <c r="N70" s="404">
        <f t="shared" si="11"/>
        <v>18000</v>
      </c>
      <c r="O70" s="496">
        <v>1500</v>
      </c>
      <c r="P70" s="496">
        <v>1500</v>
      </c>
      <c r="Q70" s="496">
        <v>1500</v>
      </c>
      <c r="R70" s="496">
        <v>1500</v>
      </c>
      <c r="S70" s="496">
        <v>1500</v>
      </c>
      <c r="T70" s="496">
        <v>1500</v>
      </c>
      <c r="U70" s="496">
        <v>1500</v>
      </c>
      <c r="V70" s="496">
        <v>1500</v>
      </c>
      <c r="W70" s="496">
        <v>1500</v>
      </c>
      <c r="X70" s="496">
        <v>1500</v>
      </c>
      <c r="Y70" s="496">
        <v>1500</v>
      </c>
      <c r="Z70" s="496">
        <v>1500</v>
      </c>
    </row>
    <row r="71" spans="1:26" outlineLevel="1" x14ac:dyDescent="0.25">
      <c r="A71" s="508"/>
      <c r="B71" s="508"/>
      <c r="C71" s="508"/>
      <c r="D71" s="495"/>
      <c r="E71" s="496"/>
      <c r="F71" s="496"/>
      <c r="G71" s="496"/>
      <c r="H71" s="496"/>
      <c r="I71" s="496"/>
      <c r="J71" s="496"/>
      <c r="K71" s="519" t="s">
        <v>20</v>
      </c>
      <c r="L71" s="404">
        <v>12</v>
      </c>
      <c r="M71" s="404">
        <f>SUM(M59:M70)</f>
        <v>0</v>
      </c>
      <c r="N71" s="404">
        <f>SUM(N69:N70)</f>
        <v>80784</v>
      </c>
      <c r="O71" s="404">
        <f>SUM(O69:O70)</f>
        <v>6732</v>
      </c>
      <c r="P71" s="404">
        <f t="shared" ref="P71:Z71" si="12">SUM(P69:P70)</f>
        <v>6732</v>
      </c>
      <c r="Q71" s="404">
        <f t="shared" si="12"/>
        <v>6732</v>
      </c>
      <c r="R71" s="404">
        <f t="shared" si="12"/>
        <v>6732</v>
      </c>
      <c r="S71" s="404">
        <f t="shared" si="12"/>
        <v>6732</v>
      </c>
      <c r="T71" s="404">
        <f t="shared" si="12"/>
        <v>6732</v>
      </c>
      <c r="U71" s="404">
        <f t="shared" si="12"/>
        <v>6732</v>
      </c>
      <c r="V71" s="404">
        <f t="shared" si="12"/>
        <v>6732</v>
      </c>
      <c r="W71" s="404">
        <f>SUM(W69:W70)</f>
        <v>6732</v>
      </c>
      <c r="X71" s="404">
        <f t="shared" si="12"/>
        <v>6732</v>
      </c>
      <c r="Y71" s="404">
        <f t="shared" si="12"/>
        <v>6732</v>
      </c>
      <c r="Z71" s="404">
        <f t="shared" si="12"/>
        <v>6732</v>
      </c>
    </row>
    <row r="72" spans="1:26" ht="22.5" customHeight="1" outlineLevel="1" x14ac:dyDescent="0.25">
      <c r="A72" s="535" t="str">
        <f>CONCATENATE(B19,"   -   ",C19)</f>
        <v xml:space="preserve">Catering and celebrations   -   Catering services </v>
      </c>
      <c r="B72" s="535"/>
      <c r="C72" s="536"/>
      <c r="D72" s="536"/>
      <c r="E72" s="507"/>
      <c r="F72" s="507"/>
      <c r="G72" s="507"/>
      <c r="H72" s="507"/>
      <c r="I72" s="507"/>
      <c r="J72" s="507"/>
      <c r="K72" s="507"/>
      <c r="L72" s="507"/>
      <c r="M72" s="507"/>
      <c r="N72" s="507"/>
      <c r="O72" s="553"/>
      <c r="P72" s="553"/>
      <c r="Q72" s="553"/>
      <c r="R72" s="553"/>
      <c r="S72" s="553"/>
      <c r="T72" s="553"/>
      <c r="U72" s="553"/>
      <c r="V72" s="553"/>
      <c r="W72" s="553"/>
      <c r="X72" s="553"/>
      <c r="Y72" s="553"/>
      <c r="Z72" s="553"/>
    </row>
    <row r="73" spans="1:26" ht="41.45" customHeight="1" outlineLevel="1" x14ac:dyDescent="0.25">
      <c r="A73" s="442"/>
      <c r="B73" s="442" t="s">
        <v>13</v>
      </c>
      <c r="C73" s="442" t="s">
        <v>14</v>
      </c>
      <c r="D73" s="403" t="s">
        <v>2323</v>
      </c>
      <c r="E73" s="404" t="s">
        <v>16</v>
      </c>
      <c r="F73" s="404" t="s">
        <v>38</v>
      </c>
      <c r="G73" s="404" t="s">
        <v>39</v>
      </c>
      <c r="H73" s="404" t="s">
        <v>783</v>
      </c>
      <c r="I73" s="404" t="s">
        <v>784</v>
      </c>
      <c r="J73" s="404" t="s">
        <v>785</v>
      </c>
      <c r="K73" s="404" t="s">
        <v>786</v>
      </c>
      <c r="L73" s="404" t="s">
        <v>17</v>
      </c>
      <c r="M73" s="404" t="s">
        <v>18</v>
      </c>
      <c r="N73" s="404" t="s">
        <v>19</v>
      </c>
      <c r="O73" s="443">
        <v>43101</v>
      </c>
      <c r="P73" s="443">
        <v>43132</v>
      </c>
      <c r="Q73" s="443">
        <v>43160</v>
      </c>
      <c r="R73" s="443">
        <v>43191</v>
      </c>
      <c r="S73" s="443">
        <v>43221</v>
      </c>
      <c r="T73" s="443">
        <v>43252</v>
      </c>
      <c r="U73" s="443">
        <v>43282</v>
      </c>
      <c r="V73" s="443">
        <v>43313</v>
      </c>
      <c r="W73" s="443">
        <v>43344</v>
      </c>
      <c r="X73" s="443">
        <v>43374</v>
      </c>
      <c r="Y73" s="443">
        <v>43405</v>
      </c>
      <c r="Z73" s="443">
        <v>43435</v>
      </c>
    </row>
    <row r="74" spans="1:26" ht="28.15" customHeight="1" outlineLevel="1" x14ac:dyDescent="0.25">
      <c r="A74" s="556" t="s">
        <v>1800</v>
      </c>
      <c r="B74" s="510" t="str">
        <f t="shared" ref="B74:C75" si="13">+B43</f>
        <v>Lounges rent</v>
      </c>
      <c r="C74" s="510" t="str">
        <f t="shared" si="13"/>
        <v>Used for office special services</v>
      </c>
      <c r="D74" s="510" t="s">
        <v>2380</v>
      </c>
      <c r="E74" s="496" t="s">
        <v>1219</v>
      </c>
      <c r="F74" s="496" t="s">
        <v>1270</v>
      </c>
      <c r="G74" s="496"/>
      <c r="H74" s="496" t="s">
        <v>41</v>
      </c>
      <c r="I74" s="496" t="s">
        <v>41</v>
      </c>
      <c r="J74" s="496" t="s">
        <v>41</v>
      </c>
      <c r="K74" s="496" t="s">
        <v>42</v>
      </c>
      <c r="L74" s="496">
        <v>12</v>
      </c>
      <c r="M74" s="404"/>
      <c r="N74" s="404">
        <f>SUM(O74:Z74)</f>
        <v>3600</v>
      </c>
      <c r="O74" s="496">
        <v>300</v>
      </c>
      <c r="P74" s="496">
        <v>300</v>
      </c>
      <c r="Q74" s="496">
        <v>300</v>
      </c>
      <c r="R74" s="496">
        <v>300</v>
      </c>
      <c r="S74" s="496">
        <v>300</v>
      </c>
      <c r="T74" s="496">
        <v>300</v>
      </c>
      <c r="U74" s="496">
        <v>300</v>
      </c>
      <c r="V74" s="496">
        <v>300</v>
      </c>
      <c r="W74" s="496">
        <v>300</v>
      </c>
      <c r="X74" s="496">
        <v>300</v>
      </c>
      <c r="Y74" s="496">
        <v>300</v>
      </c>
      <c r="Z74" s="496">
        <v>300</v>
      </c>
    </row>
    <row r="75" spans="1:26" ht="26.45" customHeight="1" outlineLevel="1" x14ac:dyDescent="0.25">
      <c r="A75" s="556" t="s">
        <v>1801</v>
      </c>
      <c r="B75" s="510" t="str">
        <f t="shared" si="13"/>
        <v>Catering services</v>
      </c>
      <c r="C75" s="510" t="str">
        <f t="shared" si="13"/>
        <v>Needed for special services</v>
      </c>
      <c r="D75" s="510" t="s">
        <v>2381</v>
      </c>
      <c r="E75" s="496" t="s">
        <v>1219</v>
      </c>
      <c r="F75" s="496" t="s">
        <v>1270</v>
      </c>
      <c r="G75" s="496"/>
      <c r="H75" s="496" t="s">
        <v>41</v>
      </c>
      <c r="I75" s="496" t="s">
        <v>41</v>
      </c>
      <c r="J75" s="496" t="s">
        <v>41</v>
      </c>
      <c r="K75" s="496" t="s">
        <v>42</v>
      </c>
      <c r="L75" s="496">
        <v>12</v>
      </c>
      <c r="M75" s="404"/>
      <c r="N75" s="404">
        <f>SUM(O75:Z75)</f>
        <v>3600</v>
      </c>
      <c r="O75" s="496">
        <v>300</v>
      </c>
      <c r="P75" s="496">
        <v>300</v>
      </c>
      <c r="Q75" s="496">
        <v>300</v>
      </c>
      <c r="R75" s="496">
        <v>300</v>
      </c>
      <c r="S75" s="496">
        <v>300</v>
      </c>
      <c r="T75" s="496">
        <v>300</v>
      </c>
      <c r="U75" s="496">
        <v>300</v>
      </c>
      <c r="V75" s="512">
        <f>300</f>
        <v>300</v>
      </c>
      <c r="W75" s="512">
        <f>300</f>
        <v>300</v>
      </c>
      <c r="X75" s="496">
        <v>300</v>
      </c>
      <c r="Y75" s="496">
        <v>300</v>
      </c>
      <c r="Z75" s="512">
        <f>300</f>
        <v>300</v>
      </c>
    </row>
    <row r="76" spans="1:26" ht="22.5" customHeight="1" outlineLevel="1" x14ac:dyDescent="0.25">
      <c r="A76" s="537"/>
      <c r="B76" s="538"/>
      <c r="C76" s="538"/>
      <c r="D76" s="538"/>
      <c r="E76" s="519"/>
      <c r="F76" s="519"/>
      <c r="G76" s="519"/>
      <c r="H76" s="519"/>
      <c r="I76" s="519"/>
      <c r="J76" s="516" t="s">
        <v>20</v>
      </c>
      <c r="K76" s="519"/>
      <c r="L76" s="404">
        <v>12</v>
      </c>
      <c r="M76" s="404">
        <f>SUM(M64:M75)</f>
        <v>0</v>
      </c>
      <c r="N76" s="404">
        <f>SUM(N74:N75)</f>
        <v>7200</v>
      </c>
      <c r="O76" s="404">
        <f>SUM(O74:O75)</f>
        <v>600</v>
      </c>
      <c r="P76" s="404">
        <f t="shared" ref="P76:Z76" si="14">SUM(P74:P75)</f>
        <v>600</v>
      </c>
      <c r="Q76" s="404">
        <f t="shared" si="14"/>
        <v>600</v>
      </c>
      <c r="R76" s="404">
        <f t="shared" si="14"/>
        <v>600</v>
      </c>
      <c r="S76" s="404">
        <f t="shared" si="14"/>
        <v>600</v>
      </c>
      <c r="T76" s="404">
        <f t="shared" si="14"/>
        <v>600</v>
      </c>
      <c r="U76" s="404">
        <f t="shared" si="14"/>
        <v>600</v>
      </c>
      <c r="V76" s="404">
        <f t="shared" si="14"/>
        <v>600</v>
      </c>
      <c r="W76" s="404">
        <f t="shared" si="14"/>
        <v>600</v>
      </c>
      <c r="X76" s="404">
        <f t="shared" si="14"/>
        <v>600</v>
      </c>
      <c r="Y76" s="404">
        <f t="shared" si="14"/>
        <v>600</v>
      </c>
      <c r="Z76" s="404">
        <f t="shared" si="14"/>
        <v>600</v>
      </c>
    </row>
    <row r="77" spans="1:26" ht="22.5" customHeight="1" outlineLevel="1" x14ac:dyDescent="0.25">
      <c r="A77" s="535" t="str">
        <f>CONCATENATE(B20," ",C20)</f>
        <v>Petty cash &amp; other Minor expenses</v>
      </c>
      <c r="B77" s="535"/>
      <c r="C77" s="536"/>
      <c r="D77" s="536"/>
      <c r="E77" s="507"/>
      <c r="F77" s="557"/>
      <c r="G77" s="557"/>
      <c r="H77" s="557"/>
      <c r="I77" s="557"/>
      <c r="J77" s="554"/>
      <c r="K77" s="557"/>
      <c r="L77" s="553"/>
      <c r="M77" s="553"/>
      <c r="N77" s="553"/>
      <c r="O77" s="553"/>
      <c r="P77" s="553"/>
      <c r="Q77" s="553"/>
      <c r="R77" s="553"/>
      <c r="S77" s="553"/>
      <c r="T77" s="553"/>
      <c r="U77" s="553"/>
      <c r="V77" s="553"/>
      <c r="W77" s="553"/>
      <c r="X77" s="553"/>
      <c r="Y77" s="553"/>
      <c r="Z77" s="553"/>
    </row>
    <row r="78" spans="1:26" ht="42" customHeight="1" outlineLevel="1" x14ac:dyDescent="0.25">
      <c r="A78" s="442"/>
      <c r="B78" s="442" t="s">
        <v>13</v>
      </c>
      <c r="C78" s="442" t="s">
        <v>14</v>
      </c>
      <c r="D78" s="403" t="s">
        <v>2323</v>
      </c>
      <c r="E78" s="404" t="s">
        <v>16</v>
      </c>
      <c r="F78" s="404" t="s">
        <v>38</v>
      </c>
      <c r="G78" s="404" t="s">
        <v>39</v>
      </c>
      <c r="H78" s="404" t="s">
        <v>783</v>
      </c>
      <c r="I78" s="404" t="s">
        <v>784</v>
      </c>
      <c r="J78" s="404" t="s">
        <v>785</v>
      </c>
      <c r="K78" s="404" t="s">
        <v>786</v>
      </c>
      <c r="L78" s="404" t="s">
        <v>17</v>
      </c>
      <c r="M78" s="404" t="s">
        <v>18</v>
      </c>
      <c r="N78" s="404" t="s">
        <v>19</v>
      </c>
      <c r="O78" s="443">
        <v>43101</v>
      </c>
      <c r="P78" s="443">
        <v>43132</v>
      </c>
      <c r="Q78" s="443">
        <v>43160</v>
      </c>
      <c r="R78" s="443">
        <v>43191</v>
      </c>
      <c r="S78" s="443">
        <v>43221</v>
      </c>
      <c r="T78" s="443">
        <v>43252</v>
      </c>
      <c r="U78" s="443">
        <v>43282</v>
      </c>
      <c r="V78" s="443">
        <v>43313</v>
      </c>
      <c r="W78" s="443">
        <v>43344</v>
      </c>
      <c r="X78" s="443">
        <v>43374</v>
      </c>
      <c r="Y78" s="443">
        <v>43405</v>
      </c>
      <c r="Z78" s="443">
        <v>43435</v>
      </c>
    </row>
    <row r="79" spans="1:26" ht="28.15" customHeight="1" outlineLevel="1" x14ac:dyDescent="0.25">
      <c r="A79" s="555" t="s">
        <v>1802</v>
      </c>
      <c r="B79" s="508" t="str">
        <f t="shared" ref="B79:C80" si="15">+B47</f>
        <v>Petty cash</v>
      </c>
      <c r="C79" s="508" t="str">
        <f t="shared" si="15"/>
        <v>To pay minor expenses</v>
      </c>
      <c r="D79" s="508" t="s">
        <v>2382</v>
      </c>
      <c r="E79" s="496" t="s">
        <v>1219</v>
      </c>
      <c r="F79" s="496" t="s">
        <v>1270</v>
      </c>
      <c r="G79" s="496"/>
      <c r="H79" s="496" t="s">
        <v>41</v>
      </c>
      <c r="I79" s="496" t="s">
        <v>41</v>
      </c>
      <c r="J79" s="496" t="s">
        <v>41</v>
      </c>
      <c r="K79" s="496" t="s">
        <v>42</v>
      </c>
      <c r="L79" s="496">
        <v>12</v>
      </c>
      <c r="M79" s="404"/>
      <c r="N79" s="404">
        <f>SUM(O79:Z79)</f>
        <v>8820</v>
      </c>
      <c r="O79" s="496">
        <v>735</v>
      </c>
      <c r="P79" s="496">
        <v>735</v>
      </c>
      <c r="Q79" s="496">
        <v>735</v>
      </c>
      <c r="R79" s="496">
        <v>735</v>
      </c>
      <c r="S79" s="496">
        <v>735</v>
      </c>
      <c r="T79" s="496">
        <v>735</v>
      </c>
      <c r="U79" s="496">
        <v>735</v>
      </c>
      <c r="V79" s="496">
        <v>735</v>
      </c>
      <c r="W79" s="496">
        <v>735</v>
      </c>
      <c r="X79" s="496">
        <v>735</v>
      </c>
      <c r="Y79" s="496">
        <v>735</v>
      </c>
      <c r="Z79" s="496">
        <v>735</v>
      </c>
    </row>
    <row r="80" spans="1:26" ht="22.5" customHeight="1" outlineLevel="1" x14ac:dyDescent="0.25">
      <c r="A80" s="555" t="s">
        <v>1803</v>
      </c>
      <c r="B80" s="508" t="str">
        <f t="shared" si="15"/>
        <v>Huasco river irrigation share</v>
      </c>
      <c r="C80" s="508" t="str">
        <f t="shared" si="15"/>
        <v>Share payment</v>
      </c>
      <c r="D80" s="508" t="s">
        <v>2383</v>
      </c>
      <c r="E80" s="496" t="s">
        <v>1219</v>
      </c>
      <c r="F80" s="496" t="s">
        <v>1270</v>
      </c>
      <c r="G80" s="496"/>
      <c r="H80" s="496" t="s">
        <v>41</v>
      </c>
      <c r="I80" s="496" t="s">
        <v>41</v>
      </c>
      <c r="J80" s="496" t="s">
        <v>41</v>
      </c>
      <c r="K80" s="496" t="s">
        <v>42</v>
      </c>
      <c r="L80" s="496">
        <v>12</v>
      </c>
      <c r="M80" s="404"/>
      <c r="N80" s="404">
        <f>SUM(O80:Z80)</f>
        <v>4236</v>
      </c>
      <c r="O80" s="496">
        <v>353</v>
      </c>
      <c r="P80" s="496">
        <v>353</v>
      </c>
      <c r="Q80" s="496">
        <v>353</v>
      </c>
      <c r="R80" s="496">
        <v>353</v>
      </c>
      <c r="S80" s="496">
        <v>353</v>
      </c>
      <c r="T80" s="496">
        <v>353</v>
      </c>
      <c r="U80" s="496">
        <v>353</v>
      </c>
      <c r="V80" s="496">
        <v>353</v>
      </c>
      <c r="W80" s="496">
        <v>353</v>
      </c>
      <c r="X80" s="496">
        <v>353</v>
      </c>
      <c r="Y80" s="496">
        <v>353</v>
      </c>
      <c r="Z80" s="496">
        <v>353</v>
      </c>
    </row>
    <row r="81" spans="1:26" ht="22.5" customHeight="1" outlineLevel="1" x14ac:dyDescent="0.25">
      <c r="A81" s="508"/>
      <c r="B81" s="508"/>
      <c r="C81" s="508"/>
      <c r="D81" s="495"/>
      <c r="E81" s="496"/>
      <c r="F81" s="519"/>
      <c r="G81" s="519"/>
      <c r="H81" s="519"/>
      <c r="I81" s="519"/>
      <c r="J81" s="516" t="s">
        <v>20</v>
      </c>
      <c r="K81" s="519"/>
      <c r="L81" s="404">
        <v>12</v>
      </c>
      <c r="M81" s="404">
        <f>SUM(M69:M80)</f>
        <v>0</v>
      </c>
      <c r="N81" s="404">
        <f>SUM(N79:N80)</f>
        <v>13056</v>
      </c>
      <c r="O81" s="404">
        <f t="shared" ref="O81:Z81" si="16">SUM(O79:O80)</f>
        <v>1088</v>
      </c>
      <c r="P81" s="404">
        <f t="shared" si="16"/>
        <v>1088</v>
      </c>
      <c r="Q81" s="404">
        <f t="shared" si="16"/>
        <v>1088</v>
      </c>
      <c r="R81" s="404">
        <f t="shared" si="16"/>
        <v>1088</v>
      </c>
      <c r="S81" s="404">
        <f t="shared" si="16"/>
        <v>1088</v>
      </c>
      <c r="T81" s="404">
        <f t="shared" si="16"/>
        <v>1088</v>
      </c>
      <c r="U81" s="404">
        <f t="shared" si="16"/>
        <v>1088</v>
      </c>
      <c r="V81" s="404">
        <f t="shared" si="16"/>
        <v>1088</v>
      </c>
      <c r="W81" s="404">
        <f t="shared" si="16"/>
        <v>1088</v>
      </c>
      <c r="X81" s="404">
        <f t="shared" si="16"/>
        <v>1088</v>
      </c>
      <c r="Y81" s="404">
        <f t="shared" si="16"/>
        <v>1088</v>
      </c>
      <c r="Z81" s="404">
        <f t="shared" si="16"/>
        <v>1088</v>
      </c>
    </row>
    <row r="82" spans="1:26" ht="22.5" customHeight="1" outlineLevel="1" x14ac:dyDescent="0.25">
      <c r="A82" s="537"/>
      <c r="B82" s="538"/>
      <c r="C82" s="538"/>
      <c r="D82" s="538"/>
      <c r="E82" s="519"/>
      <c r="F82" s="519"/>
      <c r="G82" s="519"/>
      <c r="H82" s="519"/>
      <c r="I82" s="519"/>
      <c r="J82" s="516"/>
      <c r="K82" s="519"/>
      <c r="L82" s="404"/>
      <c r="M82" s="404"/>
      <c r="N82" s="404"/>
      <c r="O82" s="404"/>
      <c r="P82" s="404"/>
      <c r="Q82" s="404"/>
      <c r="R82" s="404"/>
      <c r="S82" s="404"/>
      <c r="T82" s="404"/>
      <c r="U82" s="404"/>
      <c r="V82" s="404"/>
      <c r="W82" s="404"/>
      <c r="X82" s="404"/>
      <c r="Y82" s="404"/>
      <c r="Z82" s="404"/>
    </row>
    <row r="83" spans="1:26" ht="6.75" customHeight="1" x14ac:dyDescent="0.25"/>
    <row r="84" spans="1:26" x14ac:dyDescent="0.25">
      <c r="A84" s="441" t="s">
        <v>822</v>
      </c>
      <c r="B84" s="441"/>
      <c r="C84" s="402"/>
      <c r="D84" s="402"/>
      <c r="E84" s="402"/>
      <c r="F84" s="402"/>
      <c r="G84" s="402"/>
      <c r="H84" s="491"/>
      <c r="I84" s="491"/>
      <c r="J84" s="402"/>
      <c r="K84" s="402"/>
      <c r="L84" s="402"/>
      <c r="M84" s="402"/>
      <c r="N84" s="402"/>
      <c r="O84" s="402" t="s">
        <v>5</v>
      </c>
      <c r="P84" s="402"/>
      <c r="Q84" s="402"/>
      <c r="R84" s="402"/>
      <c r="S84" s="402"/>
      <c r="T84" s="402"/>
      <c r="U84" s="402"/>
      <c r="V84" s="402"/>
      <c r="W84" s="402"/>
      <c r="X84" s="402"/>
      <c r="Y84" s="402"/>
      <c r="Z84" s="402"/>
    </row>
    <row r="85" spans="1:26" outlineLevel="1" x14ac:dyDescent="0.25">
      <c r="A85" s="442"/>
      <c r="B85" s="442" t="s">
        <v>13</v>
      </c>
      <c r="C85" s="442" t="s">
        <v>14</v>
      </c>
      <c r="D85" s="403"/>
      <c r="E85" s="520"/>
      <c r="F85" s="520"/>
      <c r="G85" s="520"/>
      <c r="H85" s="520"/>
      <c r="I85" s="520"/>
      <c r="J85" s="410"/>
      <c r="K85" s="409"/>
      <c r="L85" s="404" t="s">
        <v>52</v>
      </c>
      <c r="M85" s="404" t="s">
        <v>53</v>
      </c>
      <c r="N85" s="404" t="s">
        <v>54</v>
      </c>
      <c r="O85" s="443">
        <v>43101</v>
      </c>
      <c r="P85" s="443">
        <v>43132</v>
      </c>
      <c r="Q85" s="443">
        <v>43160</v>
      </c>
      <c r="R85" s="443">
        <v>43191</v>
      </c>
      <c r="S85" s="443">
        <v>43221</v>
      </c>
      <c r="T85" s="443">
        <v>43252</v>
      </c>
      <c r="U85" s="443">
        <v>43282</v>
      </c>
      <c r="V85" s="443">
        <v>43313</v>
      </c>
      <c r="W85" s="443">
        <v>43344</v>
      </c>
      <c r="X85" s="443">
        <v>43374</v>
      </c>
      <c r="Y85" s="443">
        <v>43405</v>
      </c>
      <c r="Z85" s="443">
        <v>43435</v>
      </c>
    </row>
    <row r="86" spans="1:26" outlineLevel="1" x14ac:dyDescent="0.25">
      <c r="A86" s="508"/>
      <c r="B86" s="508"/>
      <c r="C86" s="508"/>
      <c r="D86" s="508"/>
      <c r="E86" s="520"/>
      <c r="F86" s="520"/>
      <c r="G86" s="520"/>
      <c r="H86" s="520"/>
      <c r="I86" s="520"/>
      <c r="J86" s="410"/>
      <c r="K86" s="409"/>
      <c r="L86" s="496"/>
      <c r="M86" s="496"/>
      <c r="N86" s="496"/>
      <c r="O86" s="521">
        <f t="shared" ref="O86:Z86" si="17">+O17/SUM($O17:$Z17)</f>
        <v>8.2558694407329644E-2</v>
      </c>
      <c r="P86" s="521">
        <f t="shared" si="17"/>
        <v>8.1842908952090093E-2</v>
      </c>
      <c r="Q86" s="521">
        <f t="shared" si="17"/>
        <v>8.5956289368200045E-2</v>
      </c>
      <c r="R86" s="521">
        <f t="shared" si="17"/>
        <v>8.1842908952090093E-2</v>
      </c>
      <c r="S86" s="521">
        <f t="shared" si="17"/>
        <v>8.2558694407329644E-2</v>
      </c>
      <c r="T86" s="521">
        <f t="shared" si="17"/>
        <v>8.5240503912960494E-2</v>
      </c>
      <c r="U86" s="521">
        <f t="shared" si="17"/>
        <v>8.2558694407329644E-2</v>
      </c>
      <c r="V86" s="521">
        <f t="shared" si="17"/>
        <v>8.1842908952090093E-2</v>
      </c>
      <c r="W86" s="521">
        <f t="shared" si="17"/>
        <v>8.5956289368200045E-2</v>
      </c>
      <c r="X86" s="521">
        <f t="shared" si="17"/>
        <v>8.1842908952090093E-2</v>
      </c>
      <c r="Y86" s="521">
        <f t="shared" si="17"/>
        <v>8.2558694407329644E-2</v>
      </c>
      <c r="Z86" s="521">
        <f t="shared" si="17"/>
        <v>8.5240503912960494E-2</v>
      </c>
    </row>
    <row r="87" spans="1:26" outlineLevel="1" x14ac:dyDescent="0.25">
      <c r="A87" s="508"/>
      <c r="B87" s="508"/>
      <c r="C87" s="508"/>
      <c r="D87" s="508"/>
      <c r="E87" s="520"/>
      <c r="F87" s="520"/>
      <c r="G87" s="520"/>
      <c r="H87" s="520"/>
      <c r="I87" s="520"/>
      <c r="J87" s="410"/>
      <c r="K87" s="409"/>
      <c r="L87" s="496"/>
      <c r="M87" s="496"/>
      <c r="N87" s="496"/>
      <c r="O87" s="521">
        <f t="shared" ref="O87:Z87" si="18">+O18/SUM($O18:$Z18)</f>
        <v>8.3333333333333329E-2</v>
      </c>
      <c r="P87" s="521">
        <f t="shared" si="18"/>
        <v>8.3333333333333329E-2</v>
      </c>
      <c r="Q87" s="521">
        <f t="shared" si="18"/>
        <v>8.3333333333333329E-2</v>
      </c>
      <c r="R87" s="521">
        <f t="shared" si="18"/>
        <v>8.3333333333333329E-2</v>
      </c>
      <c r="S87" s="521">
        <f t="shared" si="18"/>
        <v>8.3333333333333329E-2</v>
      </c>
      <c r="T87" s="521">
        <f t="shared" si="18"/>
        <v>8.3333333333333329E-2</v>
      </c>
      <c r="U87" s="521">
        <f t="shared" si="18"/>
        <v>8.3333333333333329E-2</v>
      </c>
      <c r="V87" s="521">
        <f t="shared" si="18"/>
        <v>8.3333333333333329E-2</v>
      </c>
      <c r="W87" s="521">
        <f t="shared" si="18"/>
        <v>8.3333333333333329E-2</v>
      </c>
      <c r="X87" s="521">
        <f t="shared" si="18"/>
        <v>8.3333333333333329E-2</v>
      </c>
      <c r="Y87" s="521">
        <f t="shared" si="18"/>
        <v>8.3333333333333329E-2</v>
      </c>
      <c r="Z87" s="521">
        <f t="shared" si="18"/>
        <v>8.3333333333333329E-2</v>
      </c>
    </row>
    <row r="88" spans="1:26" outlineLevel="1" x14ac:dyDescent="0.25">
      <c r="A88" s="508"/>
      <c r="B88" s="508"/>
      <c r="C88" s="508"/>
      <c r="D88" s="508"/>
      <c r="E88" s="520"/>
      <c r="F88" s="520"/>
      <c r="G88" s="520"/>
      <c r="H88" s="520"/>
      <c r="I88" s="520"/>
      <c r="J88" s="410"/>
      <c r="K88" s="409"/>
      <c r="L88" s="496"/>
      <c r="M88" s="496"/>
      <c r="N88" s="496"/>
      <c r="O88" s="521">
        <f t="shared" ref="O88:Z88" si="19">+O19/SUM($O19:$Z19)</f>
        <v>8.3333333333333329E-2</v>
      </c>
      <c r="P88" s="521">
        <f t="shared" si="19"/>
        <v>8.3333333333333329E-2</v>
      </c>
      <c r="Q88" s="521">
        <f t="shared" si="19"/>
        <v>8.3333333333333329E-2</v>
      </c>
      <c r="R88" s="521">
        <f t="shared" si="19"/>
        <v>8.3333333333333329E-2</v>
      </c>
      <c r="S88" s="521">
        <f t="shared" si="19"/>
        <v>8.3333333333333329E-2</v>
      </c>
      <c r="T88" s="521">
        <f t="shared" si="19"/>
        <v>8.3333333333333329E-2</v>
      </c>
      <c r="U88" s="521">
        <f t="shared" si="19"/>
        <v>8.3333333333333329E-2</v>
      </c>
      <c r="V88" s="521">
        <f t="shared" si="19"/>
        <v>8.3333333333333329E-2</v>
      </c>
      <c r="W88" s="521">
        <f t="shared" si="19"/>
        <v>8.3333333333333329E-2</v>
      </c>
      <c r="X88" s="521">
        <f t="shared" si="19"/>
        <v>8.3333333333333329E-2</v>
      </c>
      <c r="Y88" s="521">
        <f t="shared" si="19"/>
        <v>8.3333333333333329E-2</v>
      </c>
      <c r="Z88" s="521">
        <f t="shared" si="19"/>
        <v>8.3333333333333329E-2</v>
      </c>
    </row>
    <row r="89" spans="1:26" outlineLevel="1" x14ac:dyDescent="0.25">
      <c r="A89" s="508"/>
      <c r="B89" s="508"/>
      <c r="C89" s="508"/>
      <c r="D89" s="495"/>
      <c r="E89" s="520"/>
      <c r="F89" s="520"/>
      <c r="G89" s="520"/>
      <c r="H89" s="520"/>
      <c r="I89" s="520"/>
      <c r="J89" s="410"/>
      <c r="K89" s="409"/>
      <c r="L89" s="496"/>
      <c r="M89" s="496"/>
      <c r="N89" s="496"/>
      <c r="O89" s="409" t="s">
        <v>5</v>
      </c>
      <c r="P89" s="409"/>
      <c r="Q89" s="409"/>
      <c r="R89" s="409"/>
      <c r="S89" s="409"/>
      <c r="T89" s="409"/>
      <c r="U89" s="409"/>
      <c r="V89" s="409"/>
      <c r="W89" s="409"/>
      <c r="X89" s="409"/>
      <c r="Y89" s="409"/>
      <c r="Z89" s="409"/>
    </row>
    <row r="90" spans="1:26" outlineLevel="1" x14ac:dyDescent="0.25">
      <c r="A90" s="508"/>
      <c r="B90" s="508"/>
      <c r="C90" s="508"/>
      <c r="D90" s="495"/>
      <c r="E90" s="520"/>
      <c r="F90" s="520"/>
      <c r="G90" s="520"/>
      <c r="H90" s="520"/>
      <c r="I90" s="520"/>
      <c r="J90" s="410"/>
      <c r="K90" s="409"/>
      <c r="L90" s="496"/>
      <c r="M90" s="496"/>
      <c r="N90" s="496"/>
      <c r="O90" s="409" t="s">
        <v>5</v>
      </c>
      <c r="P90" s="409"/>
      <c r="Q90" s="409"/>
      <c r="R90" s="409"/>
      <c r="S90" s="409"/>
      <c r="T90" s="409"/>
      <c r="U90" s="409"/>
      <c r="V90" s="409"/>
      <c r="W90" s="409"/>
      <c r="X90" s="409"/>
      <c r="Y90" s="409"/>
      <c r="Z90" s="409"/>
    </row>
    <row r="91" spans="1:26" ht="22.5" customHeight="1" outlineLevel="1" x14ac:dyDescent="0.25">
      <c r="A91" s="537"/>
      <c r="B91" s="538"/>
      <c r="C91" s="538"/>
      <c r="D91" s="538"/>
      <c r="E91" s="519"/>
      <c r="F91" s="519"/>
      <c r="G91" s="519"/>
      <c r="H91" s="519"/>
      <c r="I91" s="519"/>
      <c r="J91" s="516" t="s">
        <v>20</v>
      </c>
      <c r="K91" s="519"/>
      <c r="L91" s="404" t="s">
        <v>42</v>
      </c>
      <c r="M91" s="404" t="s">
        <v>55</v>
      </c>
      <c r="N91" s="409">
        <f>+N90</f>
        <v>0</v>
      </c>
      <c r="O91" s="521">
        <f t="shared" ref="O91:Z91" si="20">+O21/SUM($O21:$Z21)</f>
        <v>8.2810688989053444E-2</v>
      </c>
      <c r="P91" s="521">
        <f t="shared" si="20"/>
        <v>8.2327752736638768E-2</v>
      </c>
      <c r="Q91" s="521">
        <f t="shared" si="20"/>
        <v>8.5103026400515133E-2</v>
      </c>
      <c r="R91" s="521">
        <f t="shared" si="20"/>
        <v>8.2327752736638768E-2</v>
      </c>
      <c r="S91" s="521">
        <f t="shared" si="20"/>
        <v>8.2810688989053444E-2</v>
      </c>
      <c r="T91" s="521">
        <f t="shared" si="20"/>
        <v>8.4620090148100457E-2</v>
      </c>
      <c r="U91" s="521">
        <f t="shared" si="20"/>
        <v>8.2810688989053444E-2</v>
      </c>
      <c r="V91" s="521">
        <f t="shared" si="20"/>
        <v>8.2327752736638768E-2</v>
      </c>
      <c r="W91" s="521">
        <f t="shared" si="20"/>
        <v>8.5103026400515133E-2</v>
      </c>
      <c r="X91" s="521">
        <f t="shared" si="20"/>
        <v>8.2327752736638768E-2</v>
      </c>
      <c r="Y91" s="521">
        <f t="shared" si="20"/>
        <v>8.2810688989053444E-2</v>
      </c>
      <c r="Z91" s="521">
        <f t="shared" si="20"/>
        <v>8.4620090148100457E-2</v>
      </c>
    </row>
    <row r="93" spans="1:26" x14ac:dyDescent="0.25">
      <c r="B93" s="445" t="s">
        <v>21</v>
      </c>
      <c r="C93" s="446">
        <v>43102</v>
      </c>
    </row>
    <row r="94" spans="1:26" x14ac:dyDescent="0.25">
      <c r="B94" s="445" t="s">
        <v>23</v>
      </c>
      <c r="C94" s="446">
        <v>42917</v>
      </c>
    </row>
  </sheetData>
  <mergeCells count="1">
    <mergeCell ref="E26:K26"/>
  </mergeCells>
  <dataValidations disablePrompts="1" count="1">
    <dataValidation type="list" allowBlank="1" showInputMessage="1" showErrorMessage="1" sqref="E79:E80 E17:E20 E54:E65 E69:E70 E74:E75">
      <formula1>$H$2:$H$40</formula1>
    </dataValidation>
  </dataValidations>
  <printOptions horizontalCentered="1"/>
  <pageMargins left="0.31496062992125984" right="0.31496062992125984" top="1.1811023622047245" bottom="1.1811023622047245" header="0.31496062992125984" footer="0.31496062992125984"/>
  <pageSetup paperSize="17" scale="38" orientation="landscape" r:id="rId1"/>
  <headerFoot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'https://nuevaunionspa-my.sharepoint.com/personal/gineva_alcota_nuevaunion_cl/Documents/40300 Cost Control/40303 Presupuestos/2018/ADM/[1002-40303-PS- Community_Vallenar Office.xlsx]CCs &amp; Accounts'!#REF!</xm:f>
          </x14:formula1>
          <xm:sqref>E71 E81</xm:sqref>
        </x14:dataValidation>
        <x14:dataValidation type="list" allowBlank="1" showInputMessage="1" showErrorMessage="1">
          <x14:formula1>
            <xm:f>'https://nuevaunionspa-my.sharepoint.com/personal/gineva_alcota_nuevaunion_cl/Documents/40300 Cost Control/40303 Presupuestos/2018/ADM/[1002-40303-PS- Community_Vallenar Office.xlsx]Lists'!#REF!</xm:f>
          </x14:formula1>
          <xm:sqref>B8 F79:F80 F54:F65 F69:F71 F74:F75 H69:J71 L21 L17:L19 N86:N90 H54:M65 L86:M91 K69:L70 H74:K75 H79:K80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U24"/>
  <sheetViews>
    <sheetView showGridLines="0" view="pageLayout" topLeftCell="A4" zoomScale="80" zoomScaleNormal="70" zoomScalePageLayoutView="80" workbookViewId="0">
      <selection activeCell="D31" sqref="D30:D31"/>
    </sheetView>
  </sheetViews>
  <sheetFormatPr baseColWidth="10" defaultColWidth="11.42578125" defaultRowHeight="15" outlineLevelRow="1" outlineLevelCol="1" x14ac:dyDescent="0.25"/>
  <cols>
    <col min="1" max="1" width="8.140625" style="400" customWidth="1"/>
    <col min="2" max="2" width="21.5703125" style="400" customWidth="1"/>
    <col min="3" max="3" width="34.42578125" style="400" customWidth="1"/>
    <col min="4" max="4" width="74.7109375" style="400" customWidth="1"/>
    <col min="5" max="5" width="13.85546875" style="400" customWidth="1"/>
    <col min="6" max="6" width="17.28515625" style="400" customWidth="1"/>
    <col min="7" max="7" width="11.2851562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1434</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tr">
        <f>+IT!B8</f>
        <v xml:space="preserve">2.5 IT Licensing, Services </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+IT!B10</f>
        <v>682 Administration</v>
      </c>
      <c r="C7" s="433"/>
      <c r="D7" s="423" t="str">
        <f>+IT!D10</f>
        <v>Mariana Castillo</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+IT!B12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ht="30" outlineLevel="1" x14ac:dyDescent="0.25">
      <c r="A13" s="442"/>
      <c r="B13" s="442" t="s">
        <v>13</v>
      </c>
      <c r="C13" s="442" t="s">
        <v>14</v>
      </c>
      <c r="D13" s="403" t="s">
        <v>15</v>
      </c>
      <c r="E13" s="404" t="s">
        <v>16</v>
      </c>
      <c r="F13" s="404" t="s">
        <v>17</v>
      </c>
      <c r="G13" s="404" t="s">
        <v>18</v>
      </c>
      <c r="H13" s="404" t="s">
        <v>19</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f>+IT!A17</f>
        <v>0</v>
      </c>
      <c r="B14" s="444" t="str">
        <f>+IT!B17</f>
        <v>Objective 1</v>
      </c>
      <c r="C14" s="444" t="str">
        <f>+IT!C17</f>
        <v>La Fortuna Drilling Campaign</v>
      </c>
      <c r="D14" s="405" t="str">
        <f>+IT!D17</f>
        <v>La Fortuna Drilling Campaign / Current contracts</v>
      </c>
      <c r="E14" s="406" t="str">
        <f>+IT!E17</f>
        <v>51-11-3305</v>
      </c>
      <c r="F14" s="406">
        <f>+IT!L17</f>
        <v>4</v>
      </c>
      <c r="G14" s="407">
        <f>+IT!M17</f>
        <v>0</v>
      </c>
      <c r="H14" s="406">
        <f>+IT!N17</f>
        <v>142695.67164179106</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ht="25.15" customHeight="1" outlineLevel="1" x14ac:dyDescent="0.25">
      <c r="A15" s="444">
        <f>+IT!A18</f>
        <v>0</v>
      </c>
      <c r="B15" s="444" t="str">
        <f>+IT!B18</f>
        <v>Objective 2</v>
      </c>
      <c r="C15" s="444" t="str">
        <f>+IT!C18</f>
        <v>Infrastructures improvements</v>
      </c>
      <c r="D15" s="405" t="str">
        <f>+IT!D18</f>
        <v>Improve some infrastructure equipment + technical support for security + backup equipments / Quotations</v>
      </c>
      <c r="E15" s="406" t="str">
        <f>+IT!E18</f>
        <v>51-11-3305</v>
      </c>
      <c r="F15" s="406">
        <f>+IT!L18</f>
        <v>12</v>
      </c>
      <c r="G15" s="407">
        <f>+IT!M18</f>
        <v>0</v>
      </c>
      <c r="H15" s="406">
        <f>+IT!N18</f>
        <v>31686.791044776121</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outlineLevel="1" x14ac:dyDescent="0.25">
      <c r="A16" s="444">
        <f>+IT!A19</f>
        <v>0</v>
      </c>
      <c r="B16" s="444" t="str">
        <f>+IT!B19</f>
        <v>Objective 3</v>
      </c>
      <c r="C16" s="444" t="str">
        <f>+IT!C19</f>
        <v>Printers- Satellital TV - Zoom</v>
      </c>
      <c r="D16" s="405" t="str">
        <f>+IT!D19</f>
        <v>general services and maintenance / Current contracts</v>
      </c>
      <c r="E16" s="406" t="str">
        <f>+IT!E19</f>
        <v>51-11-3305</v>
      </c>
      <c r="F16" s="406">
        <f>+IT!L19</f>
        <v>12</v>
      </c>
      <c r="G16" s="407">
        <f>+IT!M19</f>
        <v>0</v>
      </c>
      <c r="H16" s="406">
        <f>+IT!N19</f>
        <v>77942.896716417919</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outlineLevel="1" x14ac:dyDescent="0.25">
      <c r="A17" s="444">
        <f>+IT!A20</f>
        <v>0</v>
      </c>
      <c r="B17" s="444" t="str">
        <f>+IT!B20</f>
        <v>Objective 4</v>
      </c>
      <c r="C17" s="444" t="str">
        <f>+IT!C20</f>
        <v>communication &amp; connectivity</v>
      </c>
      <c r="D17" s="405" t="str">
        <f>+IT!D20</f>
        <v>Monthly costs of usage of phones-cell phones- links / Current contracts</v>
      </c>
      <c r="E17" s="406" t="str">
        <f>IF(IT!E20="","",IT!E20)</f>
        <v>51-11-3305</v>
      </c>
      <c r="F17" s="406">
        <f>+IT!L20</f>
        <v>12</v>
      </c>
      <c r="G17" s="407">
        <f>+IT!M20</f>
        <v>0</v>
      </c>
      <c r="H17" s="406">
        <f>+IT!N20</f>
        <v>234042.14925373133</v>
      </c>
      <c r="I17" s="409" t="s">
        <v>5</v>
      </c>
      <c r="J17" s="409"/>
      <c r="K17" s="409"/>
      <c r="L17" s="409"/>
      <c r="M17" s="409"/>
      <c r="N17" s="409"/>
      <c r="O17" s="409"/>
      <c r="P17" s="409"/>
      <c r="Q17" s="409"/>
      <c r="R17" s="409"/>
      <c r="S17" s="409"/>
      <c r="T17" s="409"/>
    </row>
    <row r="18" spans="1:20" outlineLevel="1" x14ac:dyDescent="0.25">
      <c r="A18" s="444">
        <f>+IT!A21</f>
        <v>0</v>
      </c>
      <c r="B18" s="444" t="str">
        <f>+IT!B21</f>
        <v>Objective 5</v>
      </c>
      <c r="C18" s="444" t="str">
        <f>+IT!C21</f>
        <v>Hardware &amp; Software</v>
      </c>
      <c r="D18" s="405" t="str">
        <f>+IT!D21</f>
        <v>Laptops, phones, cellphones, devices, software &amp; applications / current contracts &amp; costs</v>
      </c>
      <c r="E18" s="406" t="str">
        <f>IF(IT!E22="","",IT!E22)</f>
        <v>51-11-3305</v>
      </c>
      <c r="F18" s="406">
        <f>+IT!L21</f>
        <v>0</v>
      </c>
      <c r="G18" s="407">
        <f>+IT!M21</f>
        <v>0</v>
      </c>
      <c r="H18" s="406">
        <f>+IT!N21</f>
        <v>345905.71791044768</v>
      </c>
      <c r="I18" s="409" t="s">
        <v>5</v>
      </c>
      <c r="J18" s="409"/>
      <c r="K18" s="409"/>
      <c r="L18" s="409"/>
      <c r="M18" s="409"/>
      <c r="N18" s="409"/>
      <c r="O18" s="409"/>
      <c r="P18" s="409"/>
      <c r="Q18" s="409"/>
      <c r="R18" s="409"/>
      <c r="S18" s="409"/>
      <c r="T18" s="409"/>
    </row>
    <row r="19" spans="1:20" ht="25.9" customHeight="1" outlineLevel="1" x14ac:dyDescent="0.25">
      <c r="A19" s="444">
        <f>+IT!A22</f>
        <v>0</v>
      </c>
      <c r="B19" s="444" t="str">
        <f>+IT!B22</f>
        <v>Objective 6</v>
      </c>
      <c r="C19" s="444" t="str">
        <f>+IT!C22</f>
        <v>Parents companies services &amp; Travel</v>
      </c>
      <c r="D19" s="405" t="str">
        <f>+IT!D22</f>
        <v>GoldCorp&amp; Teck services + Local and international trips from IS employees and contractors / current contracts &amp; costs + parents companies quotations</v>
      </c>
      <c r="E19" s="406" t="str">
        <f>IF(IT!E23="","",IT!E23)</f>
        <v>51-11-3306</v>
      </c>
      <c r="F19" s="406">
        <f>+IT!L22</f>
        <v>12</v>
      </c>
      <c r="G19" s="407">
        <f>+IT!M22</f>
        <v>0</v>
      </c>
      <c r="H19" s="406">
        <f>+IT!N22</f>
        <v>477676.11940298515</v>
      </c>
      <c r="I19" s="409"/>
      <c r="J19" s="409"/>
      <c r="K19" s="409"/>
      <c r="L19" s="409"/>
      <c r="M19" s="409"/>
      <c r="N19" s="409"/>
      <c r="O19" s="409"/>
      <c r="P19" s="409"/>
      <c r="Q19" s="409"/>
      <c r="R19" s="409"/>
      <c r="S19" s="409"/>
      <c r="T19" s="409"/>
    </row>
    <row r="20" spans="1:20" ht="25.9" customHeight="1" outlineLevel="1" x14ac:dyDescent="0.25">
      <c r="A20" s="444"/>
      <c r="B20" s="444"/>
      <c r="C20" s="444"/>
      <c r="D20" s="405"/>
      <c r="E20" s="406"/>
      <c r="F20" s="404">
        <f>+IT!L23</f>
        <v>12</v>
      </c>
      <c r="G20" s="404">
        <f>SUM(G1:G18)</f>
        <v>0</v>
      </c>
      <c r="H20" s="404">
        <f>SUM(H13:H19)</f>
        <v>1309949.3459701492</v>
      </c>
      <c r="I20" s="404" t="e">
        <f t="shared" ref="I20:T20" si="0">SUM(I13:I18)</f>
        <v>#REF!</v>
      </c>
      <c r="J20" s="404" t="e">
        <f t="shared" si="0"/>
        <v>#REF!</v>
      </c>
      <c r="K20" s="404" t="e">
        <f t="shared" si="0"/>
        <v>#REF!</v>
      </c>
      <c r="L20" s="404" t="e">
        <f t="shared" si="0"/>
        <v>#REF!</v>
      </c>
      <c r="M20" s="404" t="e">
        <f t="shared" si="0"/>
        <v>#REF!</v>
      </c>
      <c r="N20" s="404" t="e">
        <f t="shared" si="0"/>
        <v>#REF!</v>
      </c>
      <c r="O20" s="404" t="e">
        <f t="shared" si="0"/>
        <v>#REF!</v>
      </c>
      <c r="P20" s="404" t="e">
        <f t="shared" si="0"/>
        <v>#REF!</v>
      </c>
      <c r="Q20" s="404" t="e">
        <f t="shared" si="0"/>
        <v>#REF!</v>
      </c>
      <c r="R20" s="404" t="e">
        <f t="shared" si="0"/>
        <v>#REF!</v>
      </c>
      <c r="S20" s="404" t="e">
        <f t="shared" si="0"/>
        <v>#REF!</v>
      </c>
      <c r="T20" s="404" t="e">
        <f t="shared" si="0"/>
        <v>#REF!</v>
      </c>
    </row>
    <row r="21" spans="1:20" ht="6.75" customHeight="1" x14ac:dyDescent="0.25">
      <c r="A21" s="414"/>
      <c r="B21" s="414"/>
      <c r="C21" s="414"/>
      <c r="D21" s="414"/>
      <c r="E21" s="414"/>
    </row>
    <row r="23" spans="1:20" ht="24.75" customHeight="1" x14ac:dyDescent="0.25">
      <c r="B23" s="445" t="s">
        <v>21</v>
      </c>
      <c r="C23" s="446">
        <v>43102</v>
      </c>
      <c r="F23" s="445" t="s">
        <v>22</v>
      </c>
      <c r="G23" s="447"/>
      <c r="H23" s="448"/>
    </row>
    <row r="24" spans="1:20" ht="24.75" customHeight="1" x14ac:dyDescent="0.25">
      <c r="B24" s="445" t="s">
        <v>23</v>
      </c>
      <c r="C24" s="446">
        <v>42917</v>
      </c>
      <c r="F24" s="445" t="s">
        <v>24</v>
      </c>
      <c r="G24" s="447"/>
      <c r="H24"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Presupuestos/2018/[1002-40303-PS-SOA-0001 IT.xlsx]Lists'!#REF!</xm:f>
          </x14:formula1>
          <xm:sqref>F20</xm:sqref>
        </x14:dataValidation>
        <x14:dataValidation type="list" allowBlank="1" showInputMessage="1" showErrorMessage="1">
          <x14:formula1>
            <xm:f>'https://nuevaunionspa-my.sharepoint.com/personal/gineva_alcota_nuevaunion_cl/Documents/40300 Cost Control/40303 Presupuestos/2018/[1002-40303-PS-SOA-0001 IT.xlsx]Lists'!#REF!</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A1:AC145"/>
  <sheetViews>
    <sheetView showGridLines="0" topLeftCell="A6" zoomScale="70" zoomScaleNormal="70" zoomScalePageLayoutView="70" workbookViewId="0">
      <selection activeCell="H11" sqref="H11"/>
    </sheetView>
  </sheetViews>
  <sheetFormatPr baseColWidth="10" defaultColWidth="11.42578125" defaultRowHeight="15" outlineLevelRow="1" outlineLevelCol="1" x14ac:dyDescent="0.25"/>
  <cols>
    <col min="1" max="1" width="21.5703125" style="449" customWidth="1"/>
    <col min="2" max="2" width="32" style="449" customWidth="1"/>
    <col min="3" max="3" width="43.7109375" style="449" customWidth="1"/>
    <col min="4" max="4" width="79.42578125" style="449" customWidth="1"/>
    <col min="5" max="8" width="17.5703125" style="449" customWidth="1"/>
    <col min="9" max="10" width="11.5703125" style="449" customWidth="1"/>
    <col min="11" max="11" width="17.5703125" style="449" customWidth="1"/>
    <col min="12" max="13" width="17.7109375" style="449"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27" width="12.85546875" style="449" customWidth="1"/>
    <col min="28" max="28" width="11.42578125" style="449"/>
    <col min="29" max="29" width="12.85546875" style="449" customWidth="1"/>
    <col min="30" max="16384" width="11.42578125" style="449"/>
  </cols>
  <sheetData>
    <row r="1" spans="1:26" ht="24.75" hidden="1" customHeight="1" x14ac:dyDescent="0.25"/>
    <row r="2" spans="1:26" s="416" customFormat="1" ht="24.75" hidden="1" customHeight="1" x14ac:dyDescent="0.25">
      <c r="B2" s="533"/>
    </row>
    <row r="3" spans="1:26" s="416" customFormat="1" ht="24.75" hidden="1" customHeight="1" x14ac:dyDescent="0.25">
      <c r="B3" s="534"/>
      <c r="Q3" s="416" t="s">
        <v>682</v>
      </c>
      <c r="R3" s="416">
        <v>120</v>
      </c>
      <c r="S3" s="569" t="s">
        <v>683</v>
      </c>
      <c r="T3" s="570">
        <v>6</v>
      </c>
    </row>
    <row r="4" spans="1:26" s="416" customFormat="1" ht="36.6" hidden="1" customHeight="1" x14ac:dyDescent="0.25">
      <c r="Q4" s="416" t="s">
        <v>684</v>
      </c>
      <c r="R4" s="416">
        <v>27000</v>
      </c>
      <c r="S4" s="569" t="s">
        <v>685</v>
      </c>
      <c r="T4" s="570">
        <v>6</v>
      </c>
    </row>
    <row r="5" spans="1:26" ht="24.75" hidden="1" customHeight="1" x14ac:dyDescent="0.25">
      <c r="Q5" s="449" t="s">
        <v>686</v>
      </c>
      <c r="R5" s="449">
        <v>670</v>
      </c>
      <c r="S5" s="542" t="s">
        <v>687</v>
      </c>
      <c r="T5" s="558">
        <v>18</v>
      </c>
    </row>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196</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VLOOKUP(B8,Lists!E1:I41,3,FALSE)</f>
        <v>682 Administration</v>
      </c>
      <c r="C10" s="433"/>
      <c r="D10" s="423" t="s">
        <v>688</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outlineLevel="1" x14ac:dyDescent="0.25">
      <c r="A16" s="442"/>
      <c r="B16" s="442" t="s">
        <v>13</v>
      </c>
      <c r="C16" s="442" t="s">
        <v>14</v>
      </c>
      <c r="D16" s="948" t="s">
        <v>2312</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outlineLevel="1" x14ac:dyDescent="0.25">
      <c r="A17" s="508"/>
      <c r="B17" s="508" t="s">
        <v>27</v>
      </c>
      <c r="C17" s="508" t="s">
        <v>689</v>
      </c>
      <c r="D17" s="949" t="s">
        <v>2313</v>
      </c>
      <c r="E17" s="496" t="s">
        <v>77</v>
      </c>
      <c r="F17" s="410"/>
      <c r="G17" s="410"/>
      <c r="H17" s="410"/>
      <c r="I17" s="410"/>
      <c r="J17" s="410"/>
      <c r="K17" s="410"/>
      <c r="L17" s="496">
        <v>4</v>
      </c>
      <c r="M17" s="497">
        <f>+M79</f>
        <v>0</v>
      </c>
      <c r="N17" s="725">
        <f>SUM(O17:Z17)</f>
        <v>142695.67164179106</v>
      </c>
      <c r="O17" s="498">
        <f t="shared" ref="O17:Z17" si="0">+O79</f>
        <v>14356.567164179105</v>
      </c>
      <c r="P17" s="498">
        <f t="shared" si="0"/>
        <v>14356.567164179105</v>
      </c>
      <c r="Q17" s="498">
        <f t="shared" si="0"/>
        <v>14356.567164179105</v>
      </c>
      <c r="R17" s="498">
        <f t="shared" si="0"/>
        <v>14356.567164179105</v>
      </c>
      <c r="S17" s="498">
        <f t="shared" si="0"/>
        <v>11696.86567164179</v>
      </c>
      <c r="T17" s="498">
        <f t="shared" si="0"/>
        <v>11696.86567164179</v>
      </c>
      <c r="U17" s="498">
        <f t="shared" si="0"/>
        <v>11696.86567164179</v>
      </c>
      <c r="V17" s="498">
        <f t="shared" si="0"/>
        <v>11696.86567164179</v>
      </c>
      <c r="W17" s="498">
        <f t="shared" si="0"/>
        <v>11696.86567164179</v>
      </c>
      <c r="X17" s="498">
        <f t="shared" si="0"/>
        <v>8928.3582089552237</v>
      </c>
      <c r="Y17" s="498">
        <f t="shared" si="0"/>
        <v>8928.3582089552237</v>
      </c>
      <c r="Z17" s="498">
        <f t="shared" si="0"/>
        <v>8928.3582089552237</v>
      </c>
    </row>
    <row r="18" spans="1:26" ht="30" outlineLevel="1" x14ac:dyDescent="0.25">
      <c r="A18" s="508"/>
      <c r="B18" s="508" t="s">
        <v>29</v>
      </c>
      <c r="C18" s="508" t="s">
        <v>690</v>
      </c>
      <c r="D18" s="949" t="s">
        <v>2314</v>
      </c>
      <c r="E18" s="496" t="s">
        <v>77</v>
      </c>
      <c r="F18" s="410"/>
      <c r="G18" s="410"/>
      <c r="H18" s="410"/>
      <c r="I18" s="410"/>
      <c r="J18" s="410"/>
      <c r="K18" s="410"/>
      <c r="L18" s="496">
        <v>12</v>
      </c>
      <c r="M18" s="497">
        <f>+M80</f>
        <v>0</v>
      </c>
      <c r="N18" s="496">
        <f t="shared" ref="N18:N21" si="1">SUM(O18:Z18)</f>
        <v>31686.791044776121</v>
      </c>
      <c r="O18" s="498">
        <f>+O88</f>
        <v>0</v>
      </c>
      <c r="P18" s="498">
        <f t="shared" ref="P18:Z18" si="2">+P88</f>
        <v>12401.940298507463</v>
      </c>
      <c r="Q18" s="498">
        <f t="shared" si="2"/>
        <v>16684.850746268658</v>
      </c>
      <c r="R18" s="498">
        <f t="shared" si="2"/>
        <v>0</v>
      </c>
      <c r="S18" s="498">
        <f t="shared" si="2"/>
        <v>0</v>
      </c>
      <c r="T18" s="498">
        <f t="shared" si="2"/>
        <v>0</v>
      </c>
      <c r="U18" s="498">
        <f t="shared" si="2"/>
        <v>2600</v>
      </c>
      <c r="V18" s="498">
        <f t="shared" si="2"/>
        <v>0</v>
      </c>
      <c r="W18" s="498">
        <f t="shared" si="2"/>
        <v>0</v>
      </c>
      <c r="X18" s="498">
        <f t="shared" si="2"/>
        <v>0</v>
      </c>
      <c r="Y18" s="498">
        <f t="shared" si="2"/>
        <v>0</v>
      </c>
      <c r="Z18" s="498">
        <f t="shared" si="2"/>
        <v>0</v>
      </c>
    </row>
    <row r="19" spans="1:26" outlineLevel="1" x14ac:dyDescent="0.25">
      <c r="A19" s="508"/>
      <c r="B19" s="508" t="s">
        <v>30</v>
      </c>
      <c r="C19" s="508" t="s">
        <v>691</v>
      </c>
      <c r="D19" s="949" t="s">
        <v>2315</v>
      </c>
      <c r="E19" s="496" t="s">
        <v>77</v>
      </c>
      <c r="F19" s="410"/>
      <c r="G19" s="410"/>
      <c r="H19" s="410"/>
      <c r="I19" s="410"/>
      <c r="J19" s="410"/>
      <c r="K19" s="410"/>
      <c r="L19" s="496">
        <v>12</v>
      </c>
      <c r="M19" s="497">
        <v>0</v>
      </c>
      <c r="N19" s="725">
        <f t="shared" si="1"/>
        <v>77942.896716417919</v>
      </c>
      <c r="O19" s="498">
        <f>+O97</f>
        <v>4429.3938805970147</v>
      </c>
      <c r="P19" s="498">
        <f t="shared" ref="P19:Z19" si="3">+P97</f>
        <v>4429.3938805970147</v>
      </c>
      <c r="Q19" s="498">
        <f t="shared" si="3"/>
        <v>19960.575970149253</v>
      </c>
      <c r="R19" s="498">
        <f t="shared" si="3"/>
        <v>4429.3938805970147</v>
      </c>
      <c r="S19" s="498">
        <f t="shared" si="3"/>
        <v>4429.3938805970147</v>
      </c>
      <c r="T19" s="498">
        <f t="shared" si="3"/>
        <v>4429.3938805970147</v>
      </c>
      <c r="U19" s="498">
        <f t="shared" si="3"/>
        <v>4429.3938805970147</v>
      </c>
      <c r="V19" s="498">
        <f t="shared" si="3"/>
        <v>4429.3938805970147</v>
      </c>
      <c r="W19" s="498">
        <f t="shared" si="3"/>
        <v>13688.381940298508</v>
      </c>
      <c r="X19" s="498">
        <f t="shared" si="3"/>
        <v>4429.3938805970147</v>
      </c>
      <c r="Y19" s="498">
        <f t="shared" si="3"/>
        <v>4429.3938805970147</v>
      </c>
      <c r="Z19" s="498">
        <f t="shared" si="3"/>
        <v>4429.3938805970147</v>
      </c>
    </row>
    <row r="20" spans="1:26" outlineLevel="1" x14ac:dyDescent="0.25">
      <c r="A20" s="508"/>
      <c r="B20" s="508" t="s">
        <v>31</v>
      </c>
      <c r="C20" s="508" t="s">
        <v>692</v>
      </c>
      <c r="D20" s="950" t="s">
        <v>2316</v>
      </c>
      <c r="E20" s="496" t="s">
        <v>77</v>
      </c>
      <c r="F20" s="410"/>
      <c r="G20" s="410"/>
      <c r="H20" s="410"/>
      <c r="I20" s="410"/>
      <c r="J20" s="410"/>
      <c r="K20" s="410"/>
      <c r="L20" s="496">
        <v>12</v>
      </c>
      <c r="M20" s="497">
        <f>+M82</f>
        <v>0</v>
      </c>
      <c r="N20" s="496">
        <f t="shared" si="1"/>
        <v>234042.14925373133</v>
      </c>
      <c r="O20" s="498">
        <f>+O113</f>
        <v>22795.850746268661</v>
      </c>
      <c r="P20" s="498">
        <f t="shared" ref="P20:Z20" si="4">+P113</f>
        <v>19204.208955223883</v>
      </c>
      <c r="Q20" s="498">
        <f t="shared" si="4"/>
        <v>19204.208955223883</v>
      </c>
      <c r="R20" s="498">
        <f t="shared" si="4"/>
        <v>19204.208955223883</v>
      </c>
      <c r="S20" s="498">
        <f t="shared" si="4"/>
        <v>19204.208955223883</v>
      </c>
      <c r="T20" s="498">
        <f t="shared" si="4"/>
        <v>19204.208955223883</v>
      </c>
      <c r="U20" s="498">
        <f t="shared" si="4"/>
        <v>19204.208955223883</v>
      </c>
      <c r="V20" s="498">
        <f t="shared" si="4"/>
        <v>19204.208955223883</v>
      </c>
      <c r="W20" s="498">
        <f t="shared" si="4"/>
        <v>19204.208955223883</v>
      </c>
      <c r="X20" s="498">
        <f t="shared" si="4"/>
        <v>19204.208955223883</v>
      </c>
      <c r="Y20" s="498">
        <f t="shared" si="4"/>
        <v>19204.208955223883</v>
      </c>
      <c r="Z20" s="498">
        <f t="shared" si="4"/>
        <v>19204.208955223883</v>
      </c>
    </row>
    <row r="21" spans="1:26" ht="30" outlineLevel="1" x14ac:dyDescent="0.25">
      <c r="A21" s="508"/>
      <c r="B21" s="508" t="s">
        <v>32</v>
      </c>
      <c r="C21" s="508" t="s">
        <v>693</v>
      </c>
      <c r="D21" s="950" t="s">
        <v>2317</v>
      </c>
      <c r="E21" s="496"/>
      <c r="F21" s="410"/>
      <c r="G21" s="410"/>
      <c r="H21" s="410"/>
      <c r="I21" s="410"/>
      <c r="J21" s="410"/>
      <c r="K21" s="410"/>
      <c r="L21" s="496"/>
      <c r="M21" s="497"/>
      <c r="N21" s="725">
        <f t="shared" si="1"/>
        <v>345905.71791044768</v>
      </c>
      <c r="O21" s="498">
        <f>+O126</f>
        <v>161494.61791044776</v>
      </c>
      <c r="P21" s="498">
        <f t="shared" ref="P21:Z21" si="5">+P126</f>
        <v>43385.681716417908</v>
      </c>
      <c r="Q21" s="498">
        <f t="shared" si="5"/>
        <v>31055.373134328358</v>
      </c>
      <c r="R21" s="498">
        <f t="shared" si="5"/>
        <v>27130</v>
      </c>
      <c r="S21" s="498">
        <f t="shared" si="5"/>
        <v>27058.681716417912</v>
      </c>
      <c r="T21" s="498">
        <f t="shared" si="5"/>
        <v>31002</v>
      </c>
      <c r="U21" s="498">
        <f t="shared" si="5"/>
        <v>1130</v>
      </c>
      <c r="V21" s="498">
        <f t="shared" si="5"/>
        <v>10558.68171641791</v>
      </c>
      <c r="W21" s="498">
        <f t="shared" si="5"/>
        <v>8772</v>
      </c>
      <c r="X21" s="498">
        <f t="shared" si="5"/>
        <v>1130</v>
      </c>
      <c r="Y21" s="498">
        <f t="shared" si="5"/>
        <v>2058.6817164179101</v>
      </c>
      <c r="Z21" s="498">
        <f t="shared" si="5"/>
        <v>1130</v>
      </c>
    </row>
    <row r="22" spans="1:26" ht="30" outlineLevel="1" x14ac:dyDescent="0.25">
      <c r="A22" s="508"/>
      <c r="B22" s="508" t="s">
        <v>256</v>
      </c>
      <c r="C22" s="508" t="s">
        <v>694</v>
      </c>
      <c r="D22" s="950" t="s">
        <v>2318</v>
      </c>
      <c r="E22" s="496" t="s">
        <v>77</v>
      </c>
      <c r="F22" s="410"/>
      <c r="G22" s="410"/>
      <c r="H22" s="410"/>
      <c r="I22" s="410"/>
      <c r="J22" s="410"/>
      <c r="K22" s="410"/>
      <c r="L22" s="496">
        <v>12</v>
      </c>
      <c r="M22" s="497">
        <f t="shared" ref="M22" si="6">+M83</f>
        <v>0</v>
      </c>
      <c r="N22" s="496">
        <f>SUM(O22:Z22)</f>
        <v>477676.11940298515</v>
      </c>
      <c r="O22" s="498">
        <f>+O134</f>
        <v>38139.676616915422</v>
      </c>
      <c r="P22" s="498">
        <f t="shared" ref="P22:Z22" si="7">+P134</f>
        <v>38139.676616915422</v>
      </c>
      <c r="Q22" s="498">
        <f t="shared" si="7"/>
        <v>38139.676616915422</v>
      </c>
      <c r="R22" s="498">
        <f t="shared" si="7"/>
        <v>48139.676616915422</v>
      </c>
      <c r="S22" s="498">
        <f t="shared" si="7"/>
        <v>38139.676616915422</v>
      </c>
      <c r="T22" s="498">
        <f t="shared" si="7"/>
        <v>38139.676616915422</v>
      </c>
      <c r="U22" s="498">
        <f t="shared" si="7"/>
        <v>38139.676616915422</v>
      </c>
      <c r="V22" s="498">
        <f t="shared" si="7"/>
        <v>38139.676616915422</v>
      </c>
      <c r="W22" s="498">
        <f t="shared" si="7"/>
        <v>48139.676616915422</v>
      </c>
      <c r="X22" s="498">
        <f t="shared" si="7"/>
        <v>38139.676616915422</v>
      </c>
      <c r="Y22" s="498">
        <f t="shared" si="7"/>
        <v>38139.676616915422</v>
      </c>
      <c r="Z22" s="498">
        <f t="shared" si="7"/>
        <v>38139.676616915422</v>
      </c>
    </row>
    <row r="23" spans="1:26" outlineLevel="1" x14ac:dyDescent="0.25">
      <c r="E23" s="496" t="s">
        <v>74</v>
      </c>
      <c r="F23" s="415"/>
      <c r="G23" s="415"/>
      <c r="H23" s="415"/>
      <c r="I23" s="415"/>
      <c r="J23" s="502" t="s">
        <v>20</v>
      </c>
      <c r="K23" s="503"/>
      <c r="L23" s="404">
        <v>12</v>
      </c>
      <c r="M23" s="404">
        <f>SUM(M2:M22)</f>
        <v>0</v>
      </c>
      <c r="N23" s="404">
        <f>SUM(N17:N22)</f>
        <v>1309949.3459701492</v>
      </c>
      <c r="O23" s="404">
        <f>SUM(O17:O22)</f>
        <v>241216.10631840795</v>
      </c>
      <c r="P23" s="404">
        <f t="shared" ref="P23:Z23" si="8">SUM(P17:P22)</f>
        <v>131917.46863184081</v>
      </c>
      <c r="Q23" s="404">
        <f t="shared" si="8"/>
        <v>139401.25258706469</v>
      </c>
      <c r="R23" s="404">
        <f t="shared" si="8"/>
        <v>113259.84661691543</v>
      </c>
      <c r="S23" s="404">
        <f t="shared" si="8"/>
        <v>100528.82684079601</v>
      </c>
      <c r="T23" s="404">
        <f t="shared" si="8"/>
        <v>104472.14512437812</v>
      </c>
      <c r="U23" s="404">
        <f t="shared" si="8"/>
        <v>77200.145124378119</v>
      </c>
      <c r="V23" s="404">
        <f t="shared" si="8"/>
        <v>84028.826840796013</v>
      </c>
      <c r="W23" s="404">
        <f t="shared" si="8"/>
        <v>101501.1331840796</v>
      </c>
      <c r="X23" s="404">
        <f t="shared" si="8"/>
        <v>71831.637661691551</v>
      </c>
      <c r="Y23" s="404">
        <f t="shared" si="8"/>
        <v>72760.319378109445</v>
      </c>
      <c r="Z23" s="404">
        <f t="shared" si="8"/>
        <v>71831.637661691551</v>
      </c>
    </row>
    <row r="24" spans="1:26" ht="6.75" customHeight="1" x14ac:dyDescent="0.25">
      <c r="A24" s="501"/>
      <c r="B24" s="501"/>
      <c r="C24" s="501"/>
      <c r="D24" s="501"/>
      <c r="E24" s="501"/>
      <c r="F24" s="501"/>
      <c r="G24" s="501"/>
      <c r="H24" s="501"/>
      <c r="I24" s="501"/>
      <c r="J24" s="501"/>
      <c r="K24" s="501"/>
    </row>
    <row r="25" spans="1:26" x14ac:dyDescent="0.25">
      <c r="A25" s="441" t="s">
        <v>33</v>
      </c>
      <c r="B25" s="441"/>
      <c r="C25" s="402"/>
      <c r="D25" s="402"/>
      <c r="E25" s="402"/>
      <c r="F25" s="402"/>
      <c r="G25" s="402"/>
      <c r="H25" s="491"/>
      <c r="I25" s="491"/>
      <c r="J25" s="402"/>
      <c r="K25" s="402"/>
      <c r="L25" s="402"/>
      <c r="M25" s="402"/>
      <c r="N25" s="402"/>
      <c r="O25" s="402" t="s">
        <v>5</v>
      </c>
      <c r="P25" s="402"/>
      <c r="Q25" s="402"/>
      <c r="R25" s="402"/>
      <c r="S25" s="402"/>
      <c r="T25" s="402"/>
      <c r="U25" s="402"/>
      <c r="V25" s="402"/>
      <c r="W25" s="402"/>
      <c r="X25" s="402"/>
      <c r="Y25" s="402"/>
      <c r="Z25" s="402"/>
    </row>
    <row r="26" spans="1:26" outlineLevel="1" x14ac:dyDescent="0.25">
      <c r="A26" s="442"/>
      <c r="B26" s="442" t="s">
        <v>13</v>
      </c>
      <c r="C26" s="442" t="s">
        <v>14</v>
      </c>
      <c r="D26" s="403"/>
      <c r="E26" s="410" t="s">
        <v>5</v>
      </c>
      <c r="F26" s="410" t="s">
        <v>5</v>
      </c>
      <c r="G26" s="410" t="s">
        <v>5</v>
      </c>
      <c r="H26" s="410"/>
      <c r="I26" s="410"/>
      <c r="J26" s="410"/>
      <c r="K26" s="410" t="s">
        <v>5</v>
      </c>
      <c r="L26" s="410"/>
      <c r="M26" s="410"/>
      <c r="N26" s="409"/>
      <c r="O26" s="409" t="s">
        <v>5</v>
      </c>
      <c r="P26" s="409"/>
      <c r="Q26" s="409"/>
      <c r="R26" s="409"/>
      <c r="S26" s="409"/>
      <c r="T26" s="409"/>
      <c r="U26" s="409"/>
      <c r="V26" s="409"/>
      <c r="W26" s="409"/>
      <c r="X26" s="409"/>
      <c r="Y26" s="409"/>
      <c r="Z26" s="409"/>
    </row>
    <row r="27" spans="1:26" hidden="1" outlineLevel="1" x14ac:dyDescent="0.25">
      <c r="A27" s="535" t="str">
        <f>CONCATENATE(B17," ",C17)</f>
        <v>Objective 1 La Fortuna Drilling Campaign</v>
      </c>
      <c r="B27" s="535"/>
      <c r="C27" s="536"/>
      <c r="D27" s="536"/>
      <c r="E27" s="507"/>
      <c r="F27" s="507"/>
      <c r="G27" s="507"/>
      <c r="H27" s="507"/>
      <c r="I27" s="507"/>
      <c r="J27" s="507"/>
      <c r="K27" s="507"/>
      <c r="L27" s="507"/>
      <c r="M27" s="507"/>
      <c r="N27" s="507"/>
      <c r="O27" s="507" t="s">
        <v>5</v>
      </c>
      <c r="P27" s="507"/>
      <c r="Q27" s="507"/>
      <c r="R27" s="507"/>
      <c r="S27" s="507"/>
      <c r="T27" s="507"/>
      <c r="U27" s="507"/>
      <c r="V27" s="507"/>
      <c r="W27" s="507"/>
      <c r="X27" s="507"/>
      <c r="Y27" s="507"/>
      <c r="Z27" s="507"/>
    </row>
    <row r="28" spans="1:26" ht="30" hidden="1" outlineLevel="1" x14ac:dyDescent="0.25">
      <c r="A28" s="508" t="s">
        <v>695</v>
      </c>
      <c r="B28" s="508" t="s">
        <v>34</v>
      </c>
      <c r="C28" s="508" t="s">
        <v>696</v>
      </c>
      <c r="D28" s="495"/>
      <c r="E28" s="410" t="s">
        <v>5</v>
      </c>
      <c r="F28" s="410" t="s">
        <v>5</v>
      </c>
      <c r="G28" s="410" t="s">
        <v>5</v>
      </c>
      <c r="H28" s="410"/>
      <c r="I28" s="410"/>
      <c r="J28" s="410"/>
      <c r="K28" s="410" t="s">
        <v>5</v>
      </c>
      <c r="L28" s="410"/>
      <c r="M28" s="410"/>
      <c r="N28" s="409"/>
      <c r="O28" s="409" t="s">
        <v>5</v>
      </c>
      <c r="P28" s="409"/>
      <c r="Q28" s="409"/>
      <c r="R28" s="409"/>
      <c r="S28" s="409"/>
      <c r="T28" s="409"/>
      <c r="U28" s="409"/>
      <c r="V28" s="409"/>
      <c r="W28" s="409"/>
      <c r="X28" s="409"/>
      <c r="Y28" s="409"/>
      <c r="Z28" s="409"/>
    </row>
    <row r="29" spans="1:26" ht="30" hidden="1" outlineLevel="1" x14ac:dyDescent="0.25">
      <c r="A29" s="508" t="s">
        <v>697</v>
      </c>
      <c r="B29" s="508" t="s">
        <v>698</v>
      </c>
      <c r="C29" s="508" t="s">
        <v>699</v>
      </c>
      <c r="D29" s="495"/>
      <c r="E29" s="410" t="s">
        <v>5</v>
      </c>
      <c r="F29" s="410" t="s">
        <v>5</v>
      </c>
      <c r="G29" s="409" t="s">
        <v>5</v>
      </c>
      <c r="H29" s="409"/>
      <c r="I29" s="409"/>
      <c r="J29" s="410"/>
      <c r="K29" s="410" t="s">
        <v>5</v>
      </c>
      <c r="L29" s="409"/>
      <c r="M29" s="409"/>
      <c r="N29" s="411"/>
      <c r="O29" s="409" t="s">
        <v>5</v>
      </c>
      <c r="P29" s="409"/>
      <c r="Q29" s="409"/>
      <c r="R29" s="409"/>
      <c r="S29" s="409"/>
      <c r="T29" s="409"/>
      <c r="U29" s="409"/>
      <c r="V29" s="409"/>
      <c r="W29" s="409"/>
      <c r="X29" s="409"/>
      <c r="Y29" s="409"/>
      <c r="Z29" s="409"/>
    </row>
    <row r="30" spans="1:26" ht="30" hidden="1" outlineLevel="1" x14ac:dyDescent="0.25">
      <c r="A30" s="508" t="s">
        <v>700</v>
      </c>
      <c r="B30" s="508" t="s">
        <v>698</v>
      </c>
      <c r="C30" s="508" t="s">
        <v>701</v>
      </c>
      <c r="D30" s="495"/>
      <c r="E30" s="410" t="s">
        <v>5</v>
      </c>
      <c r="F30" s="410" t="s">
        <v>5</v>
      </c>
      <c r="G30" s="409" t="s">
        <v>5</v>
      </c>
      <c r="H30" s="409"/>
      <c r="I30" s="409"/>
      <c r="J30" s="410"/>
      <c r="K30" s="410" t="s">
        <v>5</v>
      </c>
      <c r="L30" s="409"/>
      <c r="M30" s="409"/>
      <c r="N30" s="411"/>
      <c r="O30" s="409" t="s">
        <v>5</v>
      </c>
      <c r="P30" s="409"/>
      <c r="Q30" s="409"/>
      <c r="R30" s="409"/>
      <c r="S30" s="409"/>
      <c r="T30" s="409"/>
      <c r="U30" s="409"/>
      <c r="V30" s="409"/>
      <c r="W30" s="409"/>
      <c r="X30" s="409"/>
      <c r="Y30" s="409"/>
      <c r="Z30" s="409"/>
    </row>
    <row r="31" spans="1:26" hidden="1" outlineLevel="1" x14ac:dyDescent="0.25">
      <c r="A31" s="535" t="str">
        <f>CONCATENATE(B18," ",C18)</f>
        <v>Objective 2 Infrastructures improvements</v>
      </c>
      <c r="B31" s="535"/>
      <c r="C31" s="536"/>
      <c r="D31" s="53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idden="1" outlineLevel="1" x14ac:dyDescent="0.25">
      <c r="A32" s="508" t="s">
        <v>702</v>
      </c>
      <c r="B32" s="508" t="s">
        <v>34</v>
      </c>
      <c r="C32" s="508" t="s">
        <v>703</v>
      </c>
      <c r="D32" s="495"/>
      <c r="E32" s="410" t="s">
        <v>5</v>
      </c>
      <c r="F32" s="410" t="s">
        <v>5</v>
      </c>
      <c r="G32" s="410" t="s">
        <v>5</v>
      </c>
      <c r="H32" s="410"/>
      <c r="I32" s="410"/>
      <c r="J32" s="410"/>
      <c r="K32" s="410" t="s">
        <v>5</v>
      </c>
      <c r="L32" s="410"/>
      <c r="M32" s="410"/>
      <c r="N32" s="409"/>
      <c r="O32" s="409" t="s">
        <v>5</v>
      </c>
      <c r="P32" s="409"/>
      <c r="Q32" s="409"/>
      <c r="R32" s="409"/>
      <c r="S32" s="409"/>
      <c r="T32" s="409"/>
      <c r="U32" s="409"/>
      <c r="V32" s="409"/>
      <c r="W32" s="409"/>
      <c r="X32" s="409"/>
      <c r="Y32" s="409"/>
      <c r="Z32" s="409"/>
    </row>
    <row r="33" spans="1:26" ht="30" hidden="1" outlineLevel="1" x14ac:dyDescent="0.25">
      <c r="A33" s="508" t="s">
        <v>704</v>
      </c>
      <c r="B33" s="508" t="s">
        <v>36</v>
      </c>
      <c r="C33" s="508" t="s">
        <v>705</v>
      </c>
      <c r="D33" s="495"/>
      <c r="E33" s="410" t="s">
        <v>5</v>
      </c>
      <c r="F33" s="410" t="s">
        <v>5</v>
      </c>
      <c r="G33" s="410" t="s">
        <v>5</v>
      </c>
      <c r="H33" s="410"/>
      <c r="I33" s="410"/>
      <c r="J33" s="410"/>
      <c r="K33" s="410" t="s">
        <v>5</v>
      </c>
      <c r="L33" s="410"/>
      <c r="M33" s="410"/>
      <c r="N33" s="409"/>
      <c r="O33" s="409" t="s">
        <v>5</v>
      </c>
      <c r="P33" s="409"/>
      <c r="Q33" s="409"/>
      <c r="R33" s="409"/>
      <c r="S33" s="409"/>
      <c r="T33" s="409"/>
      <c r="U33" s="409"/>
      <c r="V33" s="409"/>
      <c r="W33" s="409"/>
      <c r="X33" s="409"/>
      <c r="Y33" s="409"/>
      <c r="Z33" s="409"/>
    </row>
    <row r="34" spans="1:26" ht="30" hidden="1" outlineLevel="1" x14ac:dyDescent="0.25">
      <c r="A34" s="508" t="s">
        <v>706</v>
      </c>
      <c r="B34" s="508" t="s">
        <v>698</v>
      </c>
      <c r="C34" s="508" t="s">
        <v>707</v>
      </c>
      <c r="D34" s="495"/>
      <c r="E34" s="410" t="s">
        <v>5</v>
      </c>
      <c r="F34" s="410" t="s">
        <v>5</v>
      </c>
      <c r="G34" s="409" t="s">
        <v>5</v>
      </c>
      <c r="H34" s="409"/>
      <c r="I34" s="409"/>
      <c r="J34" s="410"/>
      <c r="K34" s="410" t="s">
        <v>5</v>
      </c>
      <c r="L34" s="409"/>
      <c r="M34" s="409"/>
      <c r="N34" s="411"/>
      <c r="O34" s="409" t="s">
        <v>5</v>
      </c>
      <c r="P34" s="409"/>
      <c r="Q34" s="409"/>
      <c r="R34" s="409"/>
      <c r="S34" s="409"/>
      <c r="T34" s="409"/>
      <c r="U34" s="409"/>
      <c r="V34" s="409"/>
      <c r="W34" s="409"/>
      <c r="X34" s="409"/>
      <c r="Y34" s="409"/>
      <c r="Z34" s="409"/>
    </row>
    <row r="35" spans="1:26" hidden="1" outlineLevel="1" x14ac:dyDescent="0.25">
      <c r="A35" s="508" t="s">
        <v>708</v>
      </c>
      <c r="B35" s="508" t="s">
        <v>709</v>
      </c>
      <c r="C35" s="508" t="s">
        <v>710</v>
      </c>
      <c r="D35" s="495"/>
      <c r="E35" s="410" t="s">
        <v>5</v>
      </c>
      <c r="F35" s="410" t="s">
        <v>5</v>
      </c>
      <c r="G35" s="410" t="s">
        <v>5</v>
      </c>
      <c r="H35" s="410"/>
      <c r="I35" s="410"/>
      <c r="J35" s="410"/>
      <c r="K35" s="410" t="s">
        <v>5</v>
      </c>
      <c r="L35" s="410"/>
      <c r="M35" s="410"/>
      <c r="N35" s="409"/>
      <c r="O35" s="409" t="s">
        <v>5</v>
      </c>
      <c r="P35" s="409"/>
      <c r="Q35" s="409"/>
      <c r="R35" s="409"/>
      <c r="S35" s="409"/>
      <c r="T35" s="409"/>
      <c r="U35" s="409"/>
      <c r="V35" s="409"/>
      <c r="W35" s="409"/>
      <c r="X35" s="409"/>
      <c r="Y35" s="409"/>
      <c r="Z35" s="409"/>
    </row>
    <row r="36" spans="1:26" hidden="1" outlineLevel="1" x14ac:dyDescent="0.25">
      <c r="A36" s="508" t="s">
        <v>711</v>
      </c>
      <c r="B36" s="508" t="s">
        <v>712</v>
      </c>
      <c r="C36" s="508" t="s">
        <v>713</v>
      </c>
      <c r="D36" s="495"/>
      <c r="E36" s="410" t="s">
        <v>5</v>
      </c>
      <c r="F36" s="410" t="s">
        <v>5</v>
      </c>
      <c r="G36" s="410" t="s">
        <v>5</v>
      </c>
      <c r="H36" s="410"/>
      <c r="I36" s="410"/>
      <c r="J36" s="410"/>
      <c r="K36" s="410" t="s">
        <v>5</v>
      </c>
      <c r="L36" s="410"/>
      <c r="M36" s="410"/>
      <c r="N36" s="409"/>
      <c r="O36" s="409" t="s">
        <v>5</v>
      </c>
      <c r="P36" s="409"/>
      <c r="Q36" s="409"/>
      <c r="R36" s="409"/>
      <c r="S36" s="409"/>
      <c r="T36" s="409"/>
      <c r="U36" s="409"/>
      <c r="V36" s="409"/>
      <c r="W36" s="409"/>
      <c r="X36" s="409"/>
      <c r="Y36" s="409"/>
      <c r="Z36" s="409"/>
    </row>
    <row r="37" spans="1:26" hidden="1" outlineLevel="1" x14ac:dyDescent="0.25">
      <c r="A37" s="535" t="str">
        <f>CONCATENATE(B19," ",C19)</f>
        <v>Objective 3 Printers- Satellital TV - Zoom</v>
      </c>
      <c r="B37" s="535"/>
      <c r="C37" s="536"/>
      <c r="D37" s="53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idden="1" outlineLevel="1" x14ac:dyDescent="0.25">
      <c r="A38" s="508" t="s">
        <v>714</v>
      </c>
      <c r="B38" s="508" t="s">
        <v>34</v>
      </c>
      <c r="C38" s="571" t="s">
        <v>1410</v>
      </c>
      <c r="D38" s="495"/>
      <c r="E38" s="410" t="s">
        <v>5</v>
      </c>
      <c r="F38" s="410" t="s">
        <v>5</v>
      </c>
      <c r="G38" s="410" t="s">
        <v>5</v>
      </c>
      <c r="H38" s="410"/>
      <c r="I38" s="410"/>
      <c r="J38" s="410"/>
      <c r="K38" s="410" t="s">
        <v>5</v>
      </c>
      <c r="L38" s="410"/>
      <c r="M38" s="410"/>
      <c r="N38" s="409"/>
      <c r="O38" s="409" t="s">
        <v>5</v>
      </c>
      <c r="P38" s="409"/>
      <c r="Q38" s="409"/>
      <c r="R38" s="409"/>
      <c r="S38" s="409"/>
      <c r="T38" s="409"/>
      <c r="U38" s="409"/>
      <c r="V38" s="409"/>
      <c r="W38" s="409"/>
      <c r="X38" s="409"/>
      <c r="Y38" s="409"/>
      <c r="Z38" s="409"/>
    </row>
    <row r="39" spans="1:26" hidden="1" outlineLevel="1" x14ac:dyDescent="0.25">
      <c r="A39" s="508" t="s">
        <v>715</v>
      </c>
      <c r="B39" s="508" t="s">
        <v>36</v>
      </c>
      <c r="C39" s="508" t="s">
        <v>716</v>
      </c>
      <c r="D39" s="495"/>
      <c r="E39" s="410" t="s">
        <v>5</v>
      </c>
      <c r="F39" s="410" t="s">
        <v>5</v>
      </c>
      <c r="G39" s="410" t="s">
        <v>5</v>
      </c>
      <c r="H39" s="410"/>
      <c r="I39" s="410"/>
      <c r="J39" s="410"/>
      <c r="K39" s="410" t="s">
        <v>5</v>
      </c>
      <c r="L39" s="410"/>
      <c r="M39" s="410"/>
      <c r="N39" s="409"/>
      <c r="O39" s="409" t="s">
        <v>5</v>
      </c>
      <c r="P39" s="409"/>
      <c r="Q39" s="409"/>
      <c r="R39" s="409"/>
      <c r="S39" s="409"/>
      <c r="T39" s="409"/>
      <c r="U39" s="409"/>
      <c r="V39" s="409"/>
      <c r="W39" s="409"/>
      <c r="X39" s="409"/>
      <c r="Y39" s="409"/>
      <c r="Z39" s="409"/>
    </row>
    <row r="40" spans="1:26" hidden="1" outlineLevel="1" x14ac:dyDescent="0.25">
      <c r="A40" s="508" t="s">
        <v>717</v>
      </c>
      <c r="B40" s="508" t="s">
        <v>698</v>
      </c>
      <c r="C40" s="508" t="s">
        <v>718</v>
      </c>
      <c r="D40" s="495"/>
      <c r="E40" s="410" t="s">
        <v>5</v>
      </c>
      <c r="F40" s="410" t="s">
        <v>5</v>
      </c>
      <c r="G40" s="409" t="s">
        <v>5</v>
      </c>
      <c r="H40" s="409"/>
      <c r="I40" s="409"/>
      <c r="J40" s="410"/>
      <c r="K40" s="410" t="s">
        <v>5</v>
      </c>
      <c r="L40" s="409"/>
      <c r="M40" s="409"/>
      <c r="N40" s="411"/>
      <c r="O40" s="409" t="s">
        <v>5</v>
      </c>
      <c r="P40" s="409"/>
      <c r="Q40" s="409"/>
      <c r="R40" s="409"/>
      <c r="S40" s="409"/>
      <c r="T40" s="409"/>
      <c r="U40" s="409"/>
      <c r="V40" s="409"/>
      <c r="W40" s="409"/>
      <c r="X40" s="409"/>
      <c r="Y40" s="409"/>
      <c r="Z40" s="409"/>
    </row>
    <row r="41" spans="1:26" hidden="1" outlineLevel="1" x14ac:dyDescent="0.25">
      <c r="A41" s="508" t="s">
        <v>719</v>
      </c>
      <c r="B41" s="508" t="s">
        <v>709</v>
      </c>
      <c r="C41" s="508" t="s">
        <v>720</v>
      </c>
      <c r="D41" s="495"/>
      <c r="E41" s="410" t="s">
        <v>5</v>
      </c>
      <c r="F41" s="410" t="s">
        <v>5</v>
      </c>
      <c r="G41" s="410" t="s">
        <v>5</v>
      </c>
      <c r="H41" s="410"/>
      <c r="I41" s="410"/>
      <c r="J41" s="410"/>
      <c r="K41" s="410" t="s">
        <v>5</v>
      </c>
      <c r="L41" s="410"/>
      <c r="M41" s="410"/>
      <c r="N41" s="409"/>
      <c r="O41" s="409" t="s">
        <v>5</v>
      </c>
      <c r="P41" s="409"/>
      <c r="Q41" s="409"/>
      <c r="R41" s="409"/>
      <c r="S41" s="409"/>
      <c r="T41" s="409"/>
      <c r="U41" s="409"/>
      <c r="V41" s="409"/>
      <c r="W41" s="409"/>
      <c r="X41" s="409"/>
      <c r="Y41" s="409"/>
      <c r="Z41" s="409"/>
    </row>
    <row r="42" spans="1:26" hidden="1" outlineLevel="1" x14ac:dyDescent="0.25">
      <c r="A42" s="508" t="s">
        <v>721</v>
      </c>
      <c r="B42" s="508" t="s">
        <v>712</v>
      </c>
      <c r="C42" s="508" t="s">
        <v>722</v>
      </c>
      <c r="D42" s="495"/>
      <c r="E42" s="410" t="s">
        <v>5</v>
      </c>
      <c r="F42" s="410" t="s">
        <v>5</v>
      </c>
      <c r="G42" s="410" t="s">
        <v>5</v>
      </c>
      <c r="H42" s="410"/>
      <c r="I42" s="410"/>
      <c r="J42" s="410"/>
      <c r="K42" s="410" t="s">
        <v>5</v>
      </c>
      <c r="L42" s="410"/>
      <c r="M42" s="410"/>
      <c r="N42" s="409"/>
      <c r="O42" s="409" t="s">
        <v>5</v>
      </c>
      <c r="P42" s="409"/>
      <c r="Q42" s="409"/>
      <c r="R42" s="409"/>
      <c r="S42" s="409"/>
      <c r="T42" s="409"/>
      <c r="U42" s="409"/>
      <c r="V42" s="409"/>
      <c r="W42" s="409"/>
      <c r="X42" s="409"/>
      <c r="Y42" s="409"/>
      <c r="Z42" s="409"/>
    </row>
    <row r="43" spans="1:26" hidden="1" outlineLevel="1" x14ac:dyDescent="0.25">
      <c r="A43" s="508" t="s">
        <v>721</v>
      </c>
      <c r="B43" s="508" t="s">
        <v>712</v>
      </c>
      <c r="C43" s="508" t="s">
        <v>723</v>
      </c>
      <c r="D43" s="495"/>
      <c r="E43" s="410" t="s">
        <v>5</v>
      </c>
      <c r="F43" s="410" t="s">
        <v>5</v>
      </c>
      <c r="G43" s="410" t="s">
        <v>5</v>
      </c>
      <c r="H43" s="410"/>
      <c r="I43" s="410"/>
      <c r="J43" s="410"/>
      <c r="K43" s="410" t="s">
        <v>5</v>
      </c>
      <c r="L43" s="410"/>
      <c r="M43" s="410"/>
      <c r="N43" s="409"/>
      <c r="O43" s="409" t="s">
        <v>5</v>
      </c>
      <c r="P43" s="409"/>
      <c r="Q43" s="409"/>
      <c r="R43" s="409"/>
      <c r="S43" s="409"/>
      <c r="T43" s="409"/>
      <c r="U43" s="409"/>
      <c r="V43" s="409"/>
      <c r="W43" s="409"/>
      <c r="X43" s="409"/>
      <c r="Y43" s="409"/>
      <c r="Z43" s="409"/>
    </row>
    <row r="44" spans="1:26" hidden="1" outlineLevel="1" x14ac:dyDescent="0.25">
      <c r="A44" s="535" t="str">
        <f>CONCATENATE(B20," ",C20)</f>
        <v>Objective 4 communication &amp; connectivity</v>
      </c>
      <c r="B44" s="535"/>
      <c r="C44" s="536"/>
      <c r="D44" s="536"/>
      <c r="E44" s="507"/>
      <c r="F44" s="507"/>
      <c r="G44" s="507"/>
      <c r="H44" s="507"/>
      <c r="I44" s="507"/>
      <c r="J44" s="507"/>
      <c r="K44" s="507"/>
      <c r="L44" s="507"/>
      <c r="M44" s="507"/>
      <c r="N44" s="507"/>
      <c r="O44" s="507" t="s">
        <v>5</v>
      </c>
      <c r="P44" s="507"/>
      <c r="Q44" s="507"/>
      <c r="R44" s="507"/>
      <c r="S44" s="507"/>
      <c r="T44" s="507"/>
      <c r="U44" s="507"/>
      <c r="V44" s="507"/>
      <c r="W44" s="507"/>
      <c r="X44" s="507"/>
      <c r="Y44" s="507"/>
      <c r="Z44" s="507"/>
    </row>
    <row r="45" spans="1:26" hidden="1" outlineLevel="1" x14ac:dyDescent="0.25">
      <c r="A45" s="508" t="s">
        <v>724</v>
      </c>
      <c r="B45" s="508" t="s">
        <v>34</v>
      </c>
      <c r="C45" s="508" t="s">
        <v>725</v>
      </c>
      <c r="D45" s="495"/>
      <c r="E45" s="410" t="s">
        <v>5</v>
      </c>
      <c r="F45" s="410" t="s">
        <v>5</v>
      </c>
      <c r="G45" s="410" t="s">
        <v>5</v>
      </c>
      <c r="H45" s="410"/>
      <c r="I45" s="410"/>
      <c r="J45" s="410"/>
      <c r="K45" s="410" t="s">
        <v>5</v>
      </c>
      <c r="L45" s="410"/>
      <c r="M45" s="410"/>
      <c r="N45" s="409"/>
      <c r="O45" s="409" t="s">
        <v>5</v>
      </c>
      <c r="P45" s="409"/>
      <c r="Q45" s="409"/>
      <c r="R45" s="409"/>
      <c r="S45" s="409"/>
      <c r="T45" s="409"/>
      <c r="U45" s="409"/>
      <c r="V45" s="409"/>
      <c r="W45" s="409"/>
      <c r="X45" s="409"/>
      <c r="Y45" s="409"/>
      <c r="Z45" s="409"/>
    </row>
    <row r="46" spans="1:26" ht="30" hidden="1" outlineLevel="1" x14ac:dyDescent="0.25">
      <c r="A46" s="508" t="s">
        <v>726</v>
      </c>
      <c r="B46" s="508" t="s">
        <v>36</v>
      </c>
      <c r="C46" s="508" t="s">
        <v>727</v>
      </c>
      <c r="D46" s="495"/>
      <c r="E46" s="410"/>
      <c r="F46" s="410"/>
      <c r="G46" s="410"/>
      <c r="H46" s="410"/>
      <c r="I46" s="410"/>
      <c r="J46" s="410"/>
      <c r="K46" s="410"/>
      <c r="L46" s="410"/>
      <c r="M46" s="410"/>
      <c r="N46" s="409"/>
      <c r="O46" s="409"/>
      <c r="P46" s="409"/>
      <c r="Q46" s="409"/>
      <c r="R46" s="409"/>
      <c r="S46" s="409"/>
      <c r="T46" s="409"/>
      <c r="U46" s="409"/>
      <c r="V46" s="409"/>
      <c r="W46" s="409"/>
      <c r="X46" s="409"/>
      <c r="Y46" s="409"/>
      <c r="Z46" s="409"/>
    </row>
    <row r="47" spans="1:26" ht="30" hidden="1" outlineLevel="1" x14ac:dyDescent="0.25">
      <c r="A47" s="508" t="s">
        <v>728</v>
      </c>
      <c r="B47" s="508" t="s">
        <v>698</v>
      </c>
      <c r="C47" s="508" t="s">
        <v>729</v>
      </c>
      <c r="D47" s="495"/>
      <c r="E47" s="410"/>
      <c r="F47" s="410"/>
      <c r="G47" s="410"/>
      <c r="H47" s="410"/>
      <c r="I47" s="410"/>
      <c r="J47" s="410"/>
      <c r="K47" s="410"/>
      <c r="L47" s="410"/>
      <c r="M47" s="410"/>
      <c r="N47" s="409"/>
      <c r="O47" s="409"/>
      <c r="P47" s="409"/>
      <c r="Q47" s="409"/>
      <c r="R47" s="409"/>
      <c r="S47" s="409"/>
      <c r="T47" s="409"/>
      <c r="U47" s="409"/>
      <c r="V47" s="409"/>
      <c r="W47" s="409"/>
      <c r="X47" s="409"/>
      <c r="Y47" s="409"/>
      <c r="Z47" s="409"/>
    </row>
    <row r="48" spans="1:26" ht="30" hidden="1" outlineLevel="1" x14ac:dyDescent="0.25">
      <c r="A48" s="508" t="s">
        <v>730</v>
      </c>
      <c r="B48" s="508" t="s">
        <v>709</v>
      </c>
      <c r="C48" s="508" t="s">
        <v>731</v>
      </c>
      <c r="D48" s="495"/>
      <c r="E48" s="410"/>
      <c r="F48" s="410"/>
      <c r="G48" s="410"/>
      <c r="H48" s="410"/>
      <c r="I48" s="410"/>
      <c r="J48" s="410"/>
      <c r="K48" s="410"/>
      <c r="L48" s="410"/>
      <c r="M48" s="410"/>
      <c r="N48" s="409"/>
      <c r="O48" s="409"/>
      <c r="P48" s="409"/>
      <c r="Q48" s="409"/>
      <c r="R48" s="409"/>
      <c r="S48" s="409"/>
      <c r="T48" s="409"/>
      <c r="U48" s="409"/>
      <c r="V48" s="409"/>
      <c r="W48" s="409"/>
      <c r="X48" s="409"/>
      <c r="Y48" s="409"/>
      <c r="Z48" s="409"/>
    </row>
    <row r="49" spans="1:26" hidden="1" outlineLevel="1" x14ac:dyDescent="0.25">
      <c r="A49" s="508" t="s">
        <v>732</v>
      </c>
      <c r="B49" s="508" t="s">
        <v>712</v>
      </c>
      <c r="C49" s="508" t="s">
        <v>733</v>
      </c>
      <c r="D49" s="495"/>
      <c r="E49" s="410"/>
      <c r="F49" s="410"/>
      <c r="G49" s="410"/>
      <c r="H49" s="410"/>
      <c r="I49" s="410"/>
      <c r="J49" s="410"/>
      <c r="K49" s="410"/>
      <c r="L49" s="410"/>
      <c r="M49" s="410"/>
      <c r="N49" s="409"/>
      <c r="O49" s="409"/>
      <c r="P49" s="409"/>
      <c r="Q49" s="409"/>
      <c r="R49" s="409"/>
      <c r="S49" s="409"/>
      <c r="T49" s="409"/>
      <c r="U49" s="409"/>
      <c r="V49" s="409"/>
      <c r="W49" s="409"/>
      <c r="X49" s="409"/>
      <c r="Y49" s="409"/>
      <c r="Z49" s="409"/>
    </row>
    <row r="50" spans="1:26" ht="30" hidden="1" outlineLevel="1" x14ac:dyDescent="0.25">
      <c r="A50" s="508" t="s">
        <v>734</v>
      </c>
      <c r="B50" s="508" t="s">
        <v>735</v>
      </c>
      <c r="C50" s="508" t="s">
        <v>736</v>
      </c>
      <c r="D50" s="495"/>
      <c r="E50" s="410"/>
      <c r="F50" s="410"/>
      <c r="G50" s="410"/>
      <c r="H50" s="410"/>
      <c r="I50" s="410"/>
      <c r="J50" s="410"/>
      <c r="K50" s="410"/>
      <c r="L50" s="410"/>
      <c r="M50" s="410"/>
      <c r="N50" s="409"/>
      <c r="O50" s="409"/>
      <c r="P50" s="409"/>
      <c r="Q50" s="409"/>
      <c r="R50" s="409"/>
      <c r="S50" s="409"/>
      <c r="T50" s="409"/>
      <c r="U50" s="409"/>
      <c r="V50" s="409"/>
      <c r="W50" s="409"/>
      <c r="X50" s="409"/>
      <c r="Y50" s="409"/>
      <c r="Z50" s="409"/>
    </row>
    <row r="51" spans="1:26" hidden="1" outlineLevel="1" x14ac:dyDescent="0.25">
      <c r="A51" s="508" t="s">
        <v>737</v>
      </c>
      <c r="B51" s="508" t="s">
        <v>738</v>
      </c>
      <c r="C51" s="508" t="s">
        <v>739</v>
      </c>
      <c r="D51" s="495"/>
      <c r="E51" s="410"/>
      <c r="F51" s="410"/>
      <c r="G51" s="410"/>
      <c r="H51" s="410"/>
      <c r="I51" s="410"/>
      <c r="J51" s="410"/>
      <c r="K51" s="410"/>
      <c r="L51" s="410"/>
      <c r="M51" s="410"/>
      <c r="N51" s="409"/>
      <c r="O51" s="409"/>
      <c r="P51" s="409"/>
      <c r="Q51" s="409"/>
      <c r="R51" s="409"/>
      <c r="S51" s="409"/>
      <c r="T51" s="409"/>
      <c r="U51" s="409"/>
      <c r="V51" s="409"/>
      <c r="W51" s="409"/>
      <c r="X51" s="409"/>
      <c r="Y51" s="409"/>
      <c r="Z51" s="409"/>
    </row>
    <row r="52" spans="1:26" hidden="1" outlineLevel="1" x14ac:dyDescent="0.25">
      <c r="A52" s="508" t="s">
        <v>740</v>
      </c>
      <c r="B52" s="508" t="s">
        <v>741</v>
      </c>
      <c r="C52" s="508" t="s">
        <v>742</v>
      </c>
      <c r="D52" s="495"/>
      <c r="E52" s="410"/>
      <c r="F52" s="410"/>
      <c r="G52" s="410"/>
      <c r="H52" s="410"/>
      <c r="I52" s="410"/>
      <c r="J52" s="410"/>
      <c r="K52" s="410"/>
      <c r="L52" s="410"/>
      <c r="M52" s="410"/>
      <c r="N52" s="409"/>
      <c r="O52" s="409"/>
      <c r="P52" s="409"/>
      <c r="Q52" s="409"/>
      <c r="R52" s="409"/>
      <c r="S52" s="409"/>
      <c r="T52" s="409"/>
      <c r="U52" s="409"/>
      <c r="V52" s="409"/>
      <c r="W52" s="409"/>
      <c r="X52" s="409"/>
      <c r="Y52" s="409"/>
      <c r="Z52" s="409"/>
    </row>
    <row r="53" spans="1:26" hidden="1" outlineLevel="1" x14ac:dyDescent="0.25">
      <c r="A53" s="508" t="s">
        <v>743</v>
      </c>
      <c r="B53" s="508" t="s">
        <v>744</v>
      </c>
      <c r="C53" s="508" t="s">
        <v>745</v>
      </c>
      <c r="D53" s="495"/>
      <c r="E53" s="410"/>
      <c r="F53" s="410"/>
      <c r="G53" s="410"/>
      <c r="H53" s="410"/>
      <c r="I53" s="410"/>
      <c r="J53" s="410"/>
      <c r="K53" s="410"/>
      <c r="L53" s="410"/>
      <c r="M53" s="410"/>
      <c r="N53" s="409"/>
      <c r="O53" s="409"/>
      <c r="P53" s="409"/>
      <c r="Q53" s="409"/>
      <c r="R53" s="409"/>
      <c r="S53" s="409"/>
      <c r="T53" s="409"/>
      <c r="U53" s="409"/>
      <c r="V53" s="409"/>
      <c r="W53" s="409"/>
      <c r="X53" s="409"/>
      <c r="Y53" s="409"/>
      <c r="Z53" s="409"/>
    </row>
    <row r="54" spans="1:26" hidden="1" outlineLevel="1" x14ac:dyDescent="0.25">
      <c r="A54" s="508" t="s">
        <v>746</v>
      </c>
      <c r="B54" s="508" t="s">
        <v>747</v>
      </c>
      <c r="C54" s="508" t="s">
        <v>748</v>
      </c>
      <c r="D54" s="495"/>
      <c r="E54" s="410" t="s">
        <v>5</v>
      </c>
      <c r="F54" s="410" t="s">
        <v>5</v>
      </c>
      <c r="G54" s="409" t="s">
        <v>5</v>
      </c>
      <c r="H54" s="409"/>
      <c r="I54" s="409"/>
      <c r="J54" s="410"/>
      <c r="K54" s="410" t="s">
        <v>5</v>
      </c>
      <c r="L54" s="409"/>
      <c r="M54" s="409"/>
      <c r="N54" s="411"/>
      <c r="O54" s="409" t="s">
        <v>5</v>
      </c>
      <c r="P54" s="409"/>
      <c r="Q54" s="409"/>
      <c r="R54" s="409"/>
      <c r="S54" s="409"/>
      <c r="T54" s="409"/>
      <c r="U54" s="409"/>
      <c r="V54" s="409"/>
      <c r="W54" s="409"/>
      <c r="X54" s="409"/>
      <c r="Y54" s="409"/>
      <c r="Z54" s="409"/>
    </row>
    <row r="55" spans="1:26" hidden="1" outlineLevel="1" x14ac:dyDescent="0.25">
      <c r="A55" s="508" t="s">
        <v>749</v>
      </c>
      <c r="B55" s="508" t="s">
        <v>750</v>
      </c>
      <c r="C55" s="508" t="s">
        <v>751</v>
      </c>
      <c r="D55" s="495"/>
      <c r="E55" s="410" t="s">
        <v>5</v>
      </c>
      <c r="F55" s="410" t="s">
        <v>5</v>
      </c>
      <c r="G55" s="409" t="s">
        <v>5</v>
      </c>
      <c r="H55" s="409"/>
      <c r="I55" s="409"/>
      <c r="J55" s="410"/>
      <c r="K55" s="410" t="s">
        <v>5</v>
      </c>
      <c r="L55" s="409"/>
      <c r="M55" s="409"/>
      <c r="N55" s="411"/>
      <c r="O55" s="409" t="s">
        <v>5</v>
      </c>
      <c r="P55" s="409"/>
      <c r="Q55" s="409"/>
      <c r="R55" s="409"/>
      <c r="S55" s="409"/>
      <c r="T55" s="409"/>
      <c r="U55" s="409"/>
      <c r="V55" s="409"/>
      <c r="W55" s="409"/>
      <c r="X55" s="409"/>
      <c r="Y55" s="409"/>
      <c r="Z55" s="409"/>
    </row>
    <row r="56" spans="1:26" hidden="1" outlineLevel="1" x14ac:dyDescent="0.25">
      <c r="A56" s="508" t="s">
        <v>752</v>
      </c>
      <c r="B56" s="508" t="s">
        <v>753</v>
      </c>
      <c r="C56" s="508" t="s">
        <v>754</v>
      </c>
      <c r="D56" s="495"/>
      <c r="E56" s="410"/>
      <c r="F56" s="410"/>
      <c r="G56" s="409"/>
      <c r="H56" s="409"/>
      <c r="I56" s="409"/>
      <c r="J56" s="410"/>
      <c r="K56" s="410"/>
      <c r="L56" s="409"/>
      <c r="M56" s="409"/>
      <c r="N56" s="411"/>
      <c r="O56" s="409"/>
      <c r="P56" s="409"/>
      <c r="Q56" s="409"/>
      <c r="R56" s="409"/>
      <c r="S56" s="409"/>
      <c r="T56" s="409"/>
      <c r="U56" s="409"/>
      <c r="V56" s="409"/>
      <c r="W56" s="409"/>
      <c r="X56" s="409"/>
      <c r="Y56" s="409"/>
      <c r="Z56" s="409"/>
    </row>
    <row r="57" spans="1:26" hidden="1" outlineLevel="1" x14ac:dyDescent="0.25">
      <c r="A57" s="535" t="str">
        <f>CONCATENATE(B21," ",C21)</f>
        <v>Objective 5 Hardware &amp; Software</v>
      </c>
      <c r="B57" s="535"/>
      <c r="C57" s="536"/>
      <c r="D57" s="536"/>
      <c r="E57" s="507"/>
      <c r="F57" s="507"/>
      <c r="G57" s="507"/>
      <c r="H57" s="507"/>
      <c r="I57" s="507"/>
      <c r="J57" s="507"/>
      <c r="K57" s="507"/>
      <c r="L57" s="507"/>
      <c r="M57" s="507"/>
      <c r="N57" s="507"/>
      <c r="O57" s="507" t="s">
        <v>5</v>
      </c>
      <c r="P57" s="507"/>
      <c r="Q57" s="507"/>
      <c r="R57" s="507"/>
      <c r="S57" s="507"/>
      <c r="T57" s="507"/>
      <c r="U57" s="507"/>
      <c r="V57" s="507"/>
      <c r="W57" s="507"/>
      <c r="X57" s="507"/>
      <c r="Y57" s="507"/>
      <c r="Z57" s="507"/>
    </row>
    <row r="58" spans="1:26" ht="30" hidden="1" outlineLevel="1" x14ac:dyDescent="0.25">
      <c r="A58" s="508" t="s">
        <v>755</v>
      </c>
      <c r="B58" s="508" t="s">
        <v>34</v>
      </c>
      <c r="C58" s="508" t="s">
        <v>756</v>
      </c>
      <c r="D58" s="495"/>
      <c r="E58" s="410" t="s">
        <v>5</v>
      </c>
      <c r="F58" s="410" t="s">
        <v>5</v>
      </c>
      <c r="G58" s="410" t="s">
        <v>5</v>
      </c>
      <c r="H58" s="410"/>
      <c r="I58" s="410"/>
      <c r="J58" s="410"/>
      <c r="K58" s="410" t="s">
        <v>5</v>
      </c>
      <c r="L58" s="410"/>
      <c r="M58" s="410"/>
      <c r="N58" s="409"/>
      <c r="O58" s="409" t="s">
        <v>5</v>
      </c>
      <c r="P58" s="409"/>
      <c r="Q58" s="409"/>
      <c r="R58" s="409"/>
      <c r="S58" s="409"/>
      <c r="T58" s="409"/>
      <c r="U58" s="409"/>
      <c r="V58" s="409"/>
      <c r="W58" s="409"/>
      <c r="X58" s="409"/>
      <c r="Y58" s="409"/>
      <c r="Z58" s="409"/>
    </row>
    <row r="59" spans="1:26" hidden="1" outlineLevel="1" x14ac:dyDescent="0.25">
      <c r="A59" s="508" t="s">
        <v>757</v>
      </c>
      <c r="B59" s="508" t="s">
        <v>36</v>
      </c>
      <c r="C59" s="508" t="s">
        <v>758</v>
      </c>
      <c r="D59" s="495"/>
      <c r="E59" s="410" t="s">
        <v>5</v>
      </c>
      <c r="F59" s="410" t="s">
        <v>5</v>
      </c>
      <c r="G59" s="410" t="s">
        <v>5</v>
      </c>
      <c r="H59" s="410"/>
      <c r="I59" s="410"/>
      <c r="J59" s="410"/>
      <c r="K59" s="410" t="s">
        <v>5</v>
      </c>
      <c r="L59" s="410"/>
      <c r="M59" s="410"/>
      <c r="N59" s="409"/>
      <c r="O59" s="409" t="s">
        <v>5</v>
      </c>
      <c r="P59" s="409"/>
      <c r="Q59" s="409"/>
      <c r="R59" s="409"/>
      <c r="S59" s="409"/>
      <c r="T59" s="409"/>
      <c r="U59" s="409"/>
      <c r="V59" s="409"/>
      <c r="W59" s="409"/>
      <c r="X59" s="409"/>
      <c r="Y59" s="409"/>
      <c r="Z59" s="409"/>
    </row>
    <row r="60" spans="1:26" hidden="1" outlineLevel="1" x14ac:dyDescent="0.25">
      <c r="A60" s="508" t="s">
        <v>759</v>
      </c>
      <c r="B60" s="508" t="s">
        <v>698</v>
      </c>
      <c r="C60" s="508" t="s">
        <v>760</v>
      </c>
      <c r="D60" s="495"/>
      <c r="E60" s="410" t="s">
        <v>5</v>
      </c>
      <c r="F60" s="410" t="s">
        <v>5</v>
      </c>
      <c r="G60" s="409" t="s">
        <v>5</v>
      </c>
      <c r="H60" s="409"/>
      <c r="I60" s="409"/>
      <c r="J60" s="410"/>
      <c r="K60" s="410" t="s">
        <v>5</v>
      </c>
      <c r="L60" s="409"/>
      <c r="M60" s="409"/>
      <c r="N60" s="411"/>
      <c r="O60" s="409" t="s">
        <v>5</v>
      </c>
      <c r="P60" s="409"/>
      <c r="Q60" s="409"/>
      <c r="R60" s="409"/>
      <c r="S60" s="409"/>
      <c r="T60" s="409"/>
      <c r="U60" s="409"/>
      <c r="V60" s="409"/>
      <c r="W60" s="409"/>
      <c r="X60" s="409"/>
      <c r="Y60" s="409"/>
      <c r="Z60" s="409"/>
    </row>
    <row r="61" spans="1:26" hidden="1" outlineLevel="1" x14ac:dyDescent="0.25">
      <c r="A61" s="508" t="s">
        <v>761</v>
      </c>
      <c r="B61" s="508" t="s">
        <v>709</v>
      </c>
      <c r="C61" s="508" t="s">
        <v>725</v>
      </c>
      <c r="D61" s="495"/>
      <c r="E61" s="410" t="s">
        <v>5</v>
      </c>
      <c r="F61" s="410" t="s">
        <v>5</v>
      </c>
      <c r="G61" s="410" t="s">
        <v>5</v>
      </c>
      <c r="H61" s="410"/>
      <c r="I61" s="410"/>
      <c r="J61" s="410"/>
      <c r="K61" s="410" t="s">
        <v>5</v>
      </c>
      <c r="L61" s="410"/>
      <c r="M61" s="410"/>
      <c r="N61" s="409"/>
      <c r="O61" s="409" t="s">
        <v>5</v>
      </c>
      <c r="P61" s="409"/>
      <c r="Q61" s="409"/>
      <c r="R61" s="409"/>
      <c r="S61" s="409"/>
      <c r="T61" s="409"/>
      <c r="U61" s="409"/>
      <c r="V61" s="409"/>
      <c r="W61" s="409"/>
      <c r="X61" s="409"/>
      <c r="Y61" s="409"/>
      <c r="Z61" s="409"/>
    </row>
    <row r="62" spans="1:26" hidden="1" outlineLevel="1" x14ac:dyDescent="0.25">
      <c r="A62" s="508" t="s">
        <v>763</v>
      </c>
      <c r="B62" s="508" t="s">
        <v>712</v>
      </c>
      <c r="C62" s="508" t="s">
        <v>764</v>
      </c>
      <c r="D62" s="495"/>
      <c r="E62" s="410" t="s">
        <v>5</v>
      </c>
      <c r="F62" s="410" t="s">
        <v>5</v>
      </c>
      <c r="G62" s="410" t="s">
        <v>5</v>
      </c>
      <c r="H62" s="410"/>
      <c r="I62" s="410"/>
      <c r="J62" s="410"/>
      <c r="K62" s="410" t="s">
        <v>5</v>
      </c>
      <c r="L62" s="410"/>
      <c r="M62" s="410"/>
      <c r="N62" s="409"/>
      <c r="O62" s="409" t="s">
        <v>5</v>
      </c>
      <c r="P62" s="409"/>
      <c r="Q62" s="409"/>
      <c r="R62" s="409"/>
      <c r="S62" s="409"/>
      <c r="T62" s="409"/>
      <c r="U62" s="409"/>
      <c r="V62" s="409"/>
      <c r="W62" s="409"/>
      <c r="X62" s="409"/>
      <c r="Y62" s="409"/>
      <c r="Z62" s="409"/>
    </row>
    <row r="63" spans="1:26" hidden="1" outlineLevel="1" x14ac:dyDescent="0.25">
      <c r="A63" s="508" t="s">
        <v>765</v>
      </c>
      <c r="B63" s="508" t="s">
        <v>735</v>
      </c>
      <c r="C63" s="508" t="s">
        <v>766</v>
      </c>
      <c r="D63" s="495"/>
      <c r="E63" s="410"/>
      <c r="F63" s="410"/>
      <c r="G63" s="410"/>
      <c r="H63" s="410"/>
      <c r="I63" s="410"/>
      <c r="J63" s="410"/>
      <c r="K63" s="410"/>
      <c r="L63" s="410"/>
      <c r="M63" s="410"/>
      <c r="N63" s="409"/>
      <c r="O63" s="409"/>
      <c r="P63" s="409"/>
      <c r="Q63" s="409"/>
      <c r="R63" s="409"/>
      <c r="S63" s="409"/>
      <c r="T63" s="409"/>
      <c r="U63" s="409"/>
      <c r="V63" s="409"/>
      <c r="W63" s="409"/>
      <c r="X63" s="409"/>
      <c r="Y63" s="409"/>
      <c r="Z63" s="409"/>
    </row>
    <row r="64" spans="1:26" hidden="1" outlineLevel="1" x14ac:dyDescent="0.25">
      <c r="A64" s="508" t="s">
        <v>767</v>
      </c>
      <c r="B64" s="508" t="s">
        <v>738</v>
      </c>
      <c r="C64" s="508" t="s">
        <v>768</v>
      </c>
      <c r="D64" s="495"/>
      <c r="E64" s="410"/>
      <c r="F64" s="410"/>
      <c r="G64" s="410"/>
      <c r="H64" s="410"/>
      <c r="I64" s="410"/>
      <c r="J64" s="410"/>
      <c r="K64" s="410"/>
      <c r="L64" s="410"/>
      <c r="M64" s="410"/>
      <c r="N64" s="409"/>
      <c r="O64" s="409"/>
      <c r="P64" s="409"/>
      <c r="Q64" s="409"/>
      <c r="R64" s="409"/>
      <c r="S64" s="409"/>
      <c r="T64" s="409"/>
      <c r="U64" s="409"/>
      <c r="V64" s="409"/>
      <c r="W64" s="409"/>
      <c r="X64" s="409"/>
      <c r="Y64" s="409"/>
      <c r="Z64" s="409"/>
    </row>
    <row r="65" spans="1:26" hidden="1" outlineLevel="1" x14ac:dyDescent="0.25">
      <c r="A65" s="508" t="s">
        <v>769</v>
      </c>
      <c r="B65" s="508" t="s">
        <v>741</v>
      </c>
      <c r="C65" s="508" t="s">
        <v>770</v>
      </c>
      <c r="D65" s="495"/>
      <c r="E65" s="410"/>
      <c r="F65" s="410"/>
      <c r="G65" s="410"/>
      <c r="H65" s="410"/>
      <c r="I65" s="410"/>
      <c r="J65" s="410"/>
      <c r="K65" s="410"/>
      <c r="L65" s="410"/>
      <c r="M65" s="410"/>
      <c r="N65" s="409"/>
      <c r="O65" s="409"/>
      <c r="P65" s="409"/>
      <c r="Q65" s="409"/>
      <c r="R65" s="409"/>
      <c r="S65" s="409"/>
      <c r="T65" s="409"/>
      <c r="U65" s="409"/>
      <c r="V65" s="409"/>
      <c r="W65" s="409"/>
      <c r="X65" s="409"/>
      <c r="Y65" s="409"/>
      <c r="Z65" s="409"/>
    </row>
    <row r="66" spans="1:26" hidden="1" outlineLevel="1" x14ac:dyDescent="0.25">
      <c r="A66" s="508" t="s">
        <v>771</v>
      </c>
      <c r="B66" s="508" t="s">
        <v>744</v>
      </c>
      <c r="C66" s="508" t="s">
        <v>772</v>
      </c>
      <c r="D66" s="495"/>
      <c r="E66" s="410"/>
      <c r="F66" s="410"/>
      <c r="G66" s="410"/>
      <c r="H66" s="410"/>
      <c r="I66" s="410"/>
      <c r="J66" s="410"/>
      <c r="K66" s="410"/>
      <c r="L66" s="410"/>
      <c r="M66" s="410"/>
      <c r="N66" s="409"/>
      <c r="O66" s="409"/>
      <c r="P66" s="409"/>
      <c r="Q66" s="409"/>
      <c r="R66" s="409"/>
      <c r="S66" s="409"/>
      <c r="T66" s="409"/>
      <c r="U66" s="409"/>
      <c r="V66" s="409"/>
      <c r="W66" s="409"/>
      <c r="X66" s="409"/>
      <c r="Y66" s="409"/>
      <c r="Z66" s="409"/>
    </row>
    <row r="67" spans="1:26" hidden="1" outlineLevel="1" x14ac:dyDescent="0.25">
      <c r="A67" s="535" t="str">
        <f>CONCATENATE(B22," ",C22)</f>
        <v>Objective 6 Parents companies services &amp; Travel</v>
      </c>
      <c r="B67" s="535"/>
      <c r="C67" s="536"/>
      <c r="D67" s="53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15" hidden="1" customHeight="1" outlineLevel="1" x14ac:dyDescent="0.25">
      <c r="A68" s="508" t="s">
        <v>774</v>
      </c>
      <c r="B68" s="508" t="s">
        <v>34</v>
      </c>
      <c r="C68" s="571" t="s">
        <v>775</v>
      </c>
      <c r="D68" s="495"/>
      <c r="E68" s="410" t="s">
        <v>5</v>
      </c>
      <c r="F68" s="410" t="s">
        <v>5</v>
      </c>
      <c r="G68" s="410" t="s">
        <v>5</v>
      </c>
      <c r="H68" s="410"/>
      <c r="I68" s="410"/>
      <c r="J68" s="410"/>
      <c r="K68" s="410" t="s">
        <v>5</v>
      </c>
      <c r="L68" s="410"/>
      <c r="M68" s="410"/>
      <c r="N68" s="409"/>
      <c r="O68" s="409" t="s">
        <v>5</v>
      </c>
      <c r="P68" s="409"/>
      <c r="Q68" s="409"/>
      <c r="R68" s="409"/>
      <c r="S68" s="409"/>
      <c r="T68" s="409"/>
      <c r="U68" s="409"/>
      <c r="V68" s="409"/>
      <c r="W68" s="409"/>
      <c r="X68" s="409"/>
      <c r="Y68" s="409"/>
      <c r="Z68" s="409"/>
    </row>
    <row r="69" spans="1:26" hidden="1" outlineLevel="1" x14ac:dyDescent="0.25">
      <c r="A69" s="508" t="s">
        <v>776</v>
      </c>
      <c r="B69" s="508" t="s">
        <v>36</v>
      </c>
      <c r="C69" s="508" t="s">
        <v>777</v>
      </c>
      <c r="D69" s="495"/>
      <c r="E69" s="410" t="s">
        <v>5</v>
      </c>
      <c r="F69" s="410" t="s">
        <v>5</v>
      </c>
      <c r="G69" s="410" t="s">
        <v>5</v>
      </c>
      <c r="H69" s="410"/>
      <c r="I69" s="410"/>
      <c r="J69" s="410"/>
      <c r="K69" s="410" t="s">
        <v>5</v>
      </c>
      <c r="L69" s="410"/>
      <c r="M69" s="410"/>
      <c r="N69" s="409"/>
      <c r="O69" s="409" t="s">
        <v>5</v>
      </c>
      <c r="P69" s="409"/>
      <c r="Q69" s="409"/>
      <c r="R69" s="409"/>
      <c r="S69" s="409"/>
      <c r="T69" s="409"/>
      <c r="U69" s="409"/>
      <c r="V69" s="409"/>
      <c r="W69" s="409"/>
      <c r="X69" s="409"/>
      <c r="Y69" s="409"/>
      <c r="Z69" s="409"/>
    </row>
    <row r="70" spans="1:26" hidden="1" outlineLevel="1" x14ac:dyDescent="0.25">
      <c r="A70" s="508" t="s">
        <v>778</v>
      </c>
      <c r="B70" s="508" t="s">
        <v>698</v>
      </c>
      <c r="C70" s="508" t="s">
        <v>779</v>
      </c>
      <c r="D70" s="495"/>
      <c r="E70" s="410" t="s">
        <v>5</v>
      </c>
      <c r="F70" s="410" t="s">
        <v>5</v>
      </c>
      <c r="G70" s="409" t="s">
        <v>5</v>
      </c>
      <c r="H70" s="409"/>
      <c r="I70" s="409"/>
      <c r="J70" s="410"/>
      <c r="K70" s="410" t="s">
        <v>5</v>
      </c>
      <c r="L70" s="409"/>
      <c r="M70" s="409"/>
      <c r="N70" s="411"/>
      <c r="O70" s="409" t="s">
        <v>5</v>
      </c>
      <c r="P70" s="409"/>
      <c r="Q70" s="409"/>
      <c r="R70" s="409"/>
      <c r="S70" s="409"/>
      <c r="T70" s="409"/>
      <c r="U70" s="409"/>
      <c r="V70" s="409"/>
      <c r="W70" s="409"/>
      <c r="X70" s="409"/>
      <c r="Y70" s="409"/>
      <c r="Z70" s="409"/>
    </row>
    <row r="71" spans="1:26" hidden="1" outlineLevel="1" x14ac:dyDescent="0.25">
      <c r="A71" s="508" t="s">
        <v>780</v>
      </c>
      <c r="B71" s="508" t="s">
        <v>709</v>
      </c>
      <c r="C71" s="508" t="s">
        <v>781</v>
      </c>
      <c r="D71" s="495"/>
      <c r="E71" s="410" t="s">
        <v>5</v>
      </c>
      <c r="F71" s="410" t="s">
        <v>5</v>
      </c>
      <c r="G71" s="410" t="s">
        <v>5</v>
      </c>
      <c r="H71" s="410"/>
      <c r="I71" s="410"/>
      <c r="J71" s="410"/>
      <c r="K71" s="410" t="s">
        <v>5</v>
      </c>
      <c r="L71" s="410"/>
      <c r="M71" s="410"/>
      <c r="N71" s="409"/>
      <c r="O71" s="409" t="s">
        <v>5</v>
      </c>
      <c r="P71" s="409"/>
      <c r="Q71" s="409"/>
      <c r="R71" s="409"/>
      <c r="S71" s="409"/>
      <c r="T71" s="409"/>
      <c r="U71" s="409"/>
      <c r="V71" s="409"/>
      <c r="W71" s="409"/>
      <c r="X71" s="409"/>
      <c r="Y71" s="409"/>
      <c r="Z71" s="409"/>
    </row>
    <row r="72" spans="1:26" hidden="1" outlineLevel="1" x14ac:dyDescent="0.25">
      <c r="A72" s="559"/>
      <c r="B72" s="559"/>
      <c r="C72" s="560"/>
      <c r="D72" s="561"/>
      <c r="E72" s="562"/>
      <c r="F72" s="562"/>
      <c r="G72" s="562"/>
      <c r="H72" s="562"/>
      <c r="I72" s="562"/>
      <c r="J72" s="562"/>
      <c r="K72" s="562"/>
      <c r="L72" s="562"/>
      <c r="M72" s="562"/>
      <c r="N72" s="562"/>
      <c r="O72" s="562"/>
      <c r="P72" s="562"/>
      <c r="Q72" s="562"/>
      <c r="R72" s="562"/>
      <c r="S72" s="562"/>
      <c r="T72" s="562"/>
      <c r="U72" s="562"/>
      <c r="V72" s="562"/>
      <c r="W72" s="562"/>
      <c r="X72" s="562"/>
      <c r="Y72" s="562"/>
      <c r="Z72" s="562"/>
    </row>
    <row r="73" spans="1:26" x14ac:dyDescent="0.25">
      <c r="A73" s="441" t="s">
        <v>37</v>
      </c>
      <c r="B73" s="441"/>
      <c r="C73" s="402"/>
      <c r="D73" s="402"/>
      <c r="E73" s="402"/>
      <c r="F73" s="402"/>
      <c r="G73" s="402"/>
      <c r="H73" s="491"/>
      <c r="I73" s="491"/>
      <c r="J73" s="402"/>
      <c r="K73" s="402"/>
      <c r="L73" s="402"/>
      <c r="M73" s="402"/>
      <c r="N73" s="402"/>
      <c r="O73" s="402" t="s">
        <v>5</v>
      </c>
      <c r="P73" s="402"/>
      <c r="Q73" s="402"/>
      <c r="R73" s="402"/>
      <c r="S73" s="402"/>
      <c r="T73" s="402"/>
      <c r="U73" s="402"/>
      <c r="V73" s="402"/>
      <c r="W73" s="402"/>
      <c r="X73" s="402"/>
      <c r="Y73" s="402"/>
      <c r="Z73" s="402"/>
    </row>
    <row r="74" spans="1:26" outlineLevel="1" x14ac:dyDescent="0.25">
      <c r="A74" s="535" t="str">
        <f>CONCATENATE(B17," ",C17)</f>
        <v>Objective 1 La Fortuna Drilling Campaign</v>
      </c>
      <c r="B74" s="535"/>
      <c r="C74" s="536"/>
      <c r="D74" s="536"/>
      <c r="E74" s="507"/>
      <c r="F74" s="507"/>
      <c r="G74" s="507"/>
      <c r="H74" s="507"/>
      <c r="I74" s="507"/>
      <c r="J74" s="507"/>
      <c r="K74" s="507"/>
      <c r="L74" s="507"/>
      <c r="M74" s="507"/>
      <c r="N74" s="507"/>
      <c r="O74" s="507" t="s">
        <v>5</v>
      </c>
      <c r="P74" s="507"/>
      <c r="Q74" s="507"/>
      <c r="R74" s="507"/>
      <c r="S74" s="507"/>
      <c r="T74" s="507"/>
      <c r="U74" s="507"/>
      <c r="V74" s="507"/>
      <c r="W74" s="507"/>
      <c r="X74" s="507"/>
      <c r="Y74" s="507"/>
      <c r="Z74" s="507"/>
    </row>
    <row r="75" spans="1:26" ht="30" outlineLevel="1" x14ac:dyDescent="0.25">
      <c r="A75" s="442"/>
      <c r="B75" s="442" t="s">
        <v>13</v>
      </c>
      <c r="C75" s="442" t="s">
        <v>14</v>
      </c>
      <c r="D75" s="403" t="s">
        <v>2319</v>
      </c>
      <c r="E75" s="404" t="s">
        <v>16</v>
      </c>
      <c r="F75" s="404" t="s">
        <v>38</v>
      </c>
      <c r="G75" s="404" t="s">
        <v>39</v>
      </c>
      <c r="H75" s="404" t="s">
        <v>783</v>
      </c>
      <c r="I75" s="404" t="s">
        <v>784</v>
      </c>
      <c r="J75" s="404" t="s">
        <v>785</v>
      </c>
      <c r="K75" s="404" t="s">
        <v>786</v>
      </c>
      <c r="L75" s="404" t="s">
        <v>17</v>
      </c>
      <c r="M75" s="404" t="s">
        <v>18</v>
      </c>
      <c r="N75" s="404" t="s">
        <v>19</v>
      </c>
      <c r="O75" s="443">
        <v>43101</v>
      </c>
      <c r="P75" s="443">
        <v>43132</v>
      </c>
      <c r="Q75" s="443">
        <v>43160</v>
      </c>
      <c r="R75" s="443">
        <v>43191</v>
      </c>
      <c r="S75" s="443">
        <v>43221</v>
      </c>
      <c r="T75" s="443">
        <v>43252</v>
      </c>
      <c r="U75" s="443">
        <v>43282</v>
      </c>
      <c r="V75" s="443">
        <v>43313</v>
      </c>
      <c r="W75" s="443">
        <v>43344</v>
      </c>
      <c r="X75" s="443">
        <v>43374</v>
      </c>
      <c r="Y75" s="443">
        <v>43405</v>
      </c>
      <c r="Z75" s="443">
        <v>43435</v>
      </c>
    </row>
    <row r="76" spans="1:26" ht="30" outlineLevel="1" x14ac:dyDescent="0.25">
      <c r="A76" s="508" t="s">
        <v>1696</v>
      </c>
      <c r="B76" s="508" t="s">
        <v>40</v>
      </c>
      <c r="C76" s="508" t="s">
        <v>696</v>
      </c>
      <c r="D76" s="495" t="s">
        <v>2320</v>
      </c>
      <c r="E76" s="496" t="s">
        <v>28</v>
      </c>
      <c r="F76" s="496" t="s">
        <v>437</v>
      </c>
      <c r="G76" s="496" t="s">
        <v>773</v>
      </c>
      <c r="H76" s="496" t="s">
        <v>41</v>
      </c>
      <c r="I76" s="496" t="s">
        <v>41</v>
      </c>
      <c r="J76" s="496" t="s">
        <v>41</v>
      </c>
      <c r="K76" s="496" t="s">
        <v>41</v>
      </c>
      <c r="L76" s="496">
        <v>12</v>
      </c>
      <c r="M76" s="496"/>
      <c r="N76" s="496">
        <f t="shared" ref="N76:N78" si="9">SUM(O76:Z76)</f>
        <v>75223.880597014941</v>
      </c>
      <c r="O76" s="496">
        <v>6268.6567164179105</v>
      </c>
      <c r="P76" s="496">
        <v>6268.6567164179105</v>
      </c>
      <c r="Q76" s="496">
        <v>6268.6567164179105</v>
      </c>
      <c r="R76" s="496">
        <v>6268.6567164179105</v>
      </c>
      <c r="S76" s="496">
        <v>6268.6567164179105</v>
      </c>
      <c r="T76" s="496">
        <v>6268.6567164179105</v>
      </c>
      <c r="U76" s="496">
        <v>6268.6567164179105</v>
      </c>
      <c r="V76" s="496">
        <v>6268.6567164179105</v>
      </c>
      <c r="W76" s="496">
        <v>6268.6567164179105</v>
      </c>
      <c r="X76" s="496">
        <v>6268.6567164179105</v>
      </c>
      <c r="Y76" s="496">
        <v>6268.6567164179105</v>
      </c>
      <c r="Z76" s="496">
        <v>6268.6567164179105</v>
      </c>
    </row>
    <row r="77" spans="1:26" ht="30" outlineLevel="1" x14ac:dyDescent="0.25">
      <c r="A77" s="508" t="s">
        <v>1703</v>
      </c>
      <c r="B77" s="508" t="s">
        <v>40</v>
      </c>
      <c r="C77" s="508" t="s">
        <v>699</v>
      </c>
      <c r="D77" s="495" t="s">
        <v>2321</v>
      </c>
      <c r="E77" s="496" t="s">
        <v>28</v>
      </c>
      <c r="F77" s="496" t="s">
        <v>437</v>
      </c>
      <c r="G77" s="496" t="s">
        <v>788</v>
      </c>
      <c r="H77" s="496" t="s">
        <v>41</v>
      </c>
      <c r="I77" s="496" t="s">
        <v>41</v>
      </c>
      <c r="J77" s="496" t="s">
        <v>41</v>
      </c>
      <c r="K77" s="496" t="s">
        <v>41</v>
      </c>
      <c r="L77" s="496">
        <v>12</v>
      </c>
      <c r="M77" s="496"/>
      <c r="N77" s="496">
        <f t="shared" si="9"/>
        <v>42555.223880597026</v>
      </c>
      <c r="O77" s="496">
        <v>5319.4029850746265</v>
      </c>
      <c r="P77" s="496">
        <v>5319.4029850746265</v>
      </c>
      <c r="Q77" s="496">
        <v>5319.4029850746265</v>
      </c>
      <c r="R77" s="496">
        <v>5319.4029850746265</v>
      </c>
      <c r="S77" s="496">
        <v>2659.7014925373132</v>
      </c>
      <c r="T77" s="496">
        <v>2659.7014925373132</v>
      </c>
      <c r="U77" s="496">
        <v>2659.7014925373132</v>
      </c>
      <c r="V77" s="496">
        <v>2659.7014925373132</v>
      </c>
      <c r="W77" s="496">
        <v>2659.7014925373132</v>
      </c>
      <c r="X77" s="496">
        <v>2659.7014925373132</v>
      </c>
      <c r="Y77" s="496">
        <v>2659.7014925373132</v>
      </c>
      <c r="Z77" s="496">
        <v>2659.7014925373132</v>
      </c>
    </row>
    <row r="78" spans="1:26" ht="30" outlineLevel="1" x14ac:dyDescent="0.25">
      <c r="A78" s="508" t="s">
        <v>1704</v>
      </c>
      <c r="B78" s="508" t="s">
        <v>40</v>
      </c>
      <c r="C78" s="508" t="s">
        <v>701</v>
      </c>
      <c r="D78" s="495" t="s">
        <v>2322</v>
      </c>
      <c r="E78" s="496" t="s">
        <v>46</v>
      </c>
      <c r="F78" s="496" t="s">
        <v>437</v>
      </c>
      <c r="G78" s="496" t="s">
        <v>788</v>
      </c>
      <c r="H78" s="496" t="s">
        <v>41</v>
      </c>
      <c r="I78" s="496" t="s">
        <v>41</v>
      </c>
      <c r="J78" s="496" t="s">
        <v>41</v>
      </c>
      <c r="K78" s="496" t="s">
        <v>41</v>
      </c>
      <c r="L78" s="496">
        <v>9</v>
      </c>
      <c r="M78" s="496"/>
      <c r="N78" s="496">
        <f t="shared" si="9"/>
        <v>24916.567164179109</v>
      </c>
      <c r="O78" s="496">
        <v>2768.5074626865671</v>
      </c>
      <c r="P78" s="496">
        <v>2768.5074626865671</v>
      </c>
      <c r="Q78" s="496">
        <v>2768.5074626865671</v>
      </c>
      <c r="R78" s="496">
        <v>2768.5074626865671</v>
      </c>
      <c r="S78" s="496">
        <v>2768.5074626865671</v>
      </c>
      <c r="T78" s="496">
        <v>2768.5074626865671</v>
      </c>
      <c r="U78" s="496">
        <v>2768.5074626865671</v>
      </c>
      <c r="V78" s="496">
        <v>2768.5074626865671</v>
      </c>
      <c r="W78" s="496">
        <v>2768.5074626865671</v>
      </c>
      <c r="X78" s="496"/>
      <c r="Y78" s="496"/>
      <c r="Z78" s="496"/>
    </row>
    <row r="79" spans="1:26" ht="22.5" customHeight="1" outlineLevel="1" x14ac:dyDescent="0.25">
      <c r="A79" s="537"/>
      <c r="B79" s="538"/>
      <c r="C79" s="538"/>
      <c r="D79" s="538"/>
      <c r="E79" s="519"/>
      <c r="F79" s="519"/>
      <c r="G79" s="519"/>
      <c r="H79" s="519"/>
      <c r="I79" s="519"/>
      <c r="J79" s="516" t="s">
        <v>20</v>
      </c>
      <c r="K79" s="519"/>
      <c r="L79" s="404">
        <v>12</v>
      </c>
      <c r="M79" s="404">
        <f t="shared" ref="M79:Z79" si="10">SUM(M76:M78)</f>
        <v>0</v>
      </c>
      <c r="N79" s="404">
        <f t="shared" si="10"/>
        <v>142695.67164179106</v>
      </c>
      <c r="O79" s="404">
        <f t="shared" si="10"/>
        <v>14356.567164179105</v>
      </c>
      <c r="P79" s="404">
        <f t="shared" si="10"/>
        <v>14356.567164179105</v>
      </c>
      <c r="Q79" s="404">
        <f t="shared" si="10"/>
        <v>14356.567164179105</v>
      </c>
      <c r="R79" s="404">
        <f t="shared" si="10"/>
        <v>14356.567164179105</v>
      </c>
      <c r="S79" s="404">
        <f t="shared" si="10"/>
        <v>11696.86567164179</v>
      </c>
      <c r="T79" s="404">
        <f t="shared" si="10"/>
        <v>11696.86567164179</v>
      </c>
      <c r="U79" s="404">
        <f t="shared" si="10"/>
        <v>11696.86567164179</v>
      </c>
      <c r="V79" s="404">
        <f t="shared" si="10"/>
        <v>11696.86567164179</v>
      </c>
      <c r="W79" s="404">
        <f t="shared" si="10"/>
        <v>11696.86567164179</v>
      </c>
      <c r="X79" s="404">
        <f t="shared" si="10"/>
        <v>8928.3582089552237</v>
      </c>
      <c r="Y79" s="404">
        <f t="shared" si="10"/>
        <v>8928.3582089552237</v>
      </c>
      <c r="Z79" s="404">
        <f t="shared" si="10"/>
        <v>8928.3582089552237</v>
      </c>
    </row>
    <row r="80" spans="1:26" outlineLevel="1" x14ac:dyDescent="0.25">
      <c r="A80" s="535" t="str">
        <f>CONCATENATE(B18," ",C18)</f>
        <v>Objective 2 Infrastructures improvements</v>
      </c>
      <c r="B80" s="535"/>
      <c r="C80" s="536"/>
      <c r="D80" s="536"/>
      <c r="E80" s="507"/>
      <c r="F80" s="507"/>
      <c r="G80" s="507"/>
      <c r="H80" s="507"/>
      <c r="I80" s="507"/>
      <c r="J80" s="507"/>
      <c r="K80" s="507"/>
      <c r="L80" s="507"/>
      <c r="M80" s="507"/>
      <c r="N80" s="507"/>
      <c r="O80" s="507" t="s">
        <v>5</v>
      </c>
      <c r="P80" s="507"/>
      <c r="Q80" s="507"/>
      <c r="R80" s="507"/>
      <c r="S80" s="507"/>
      <c r="T80" s="507"/>
      <c r="U80" s="507"/>
      <c r="V80" s="507"/>
      <c r="W80" s="507"/>
      <c r="X80" s="507"/>
      <c r="Y80" s="507"/>
      <c r="Z80" s="507"/>
    </row>
    <row r="81" spans="1:29" ht="30" outlineLevel="1" x14ac:dyDescent="0.25">
      <c r="A81" s="442"/>
      <c r="B81" s="442" t="s">
        <v>13</v>
      </c>
      <c r="C81" s="442" t="s">
        <v>14</v>
      </c>
      <c r="D81" s="403" t="s">
        <v>2323</v>
      </c>
      <c r="E81" s="404" t="s">
        <v>16</v>
      </c>
      <c r="F81" s="404" t="s">
        <v>38</v>
      </c>
      <c r="G81" s="404" t="s">
        <v>39</v>
      </c>
      <c r="H81" s="404" t="s">
        <v>783</v>
      </c>
      <c r="I81" s="404" t="s">
        <v>784</v>
      </c>
      <c r="J81" s="404" t="s">
        <v>785</v>
      </c>
      <c r="K81" s="404" t="s">
        <v>786</v>
      </c>
      <c r="L81" s="404" t="s">
        <v>17</v>
      </c>
      <c r="M81" s="404" t="s">
        <v>18</v>
      </c>
      <c r="N81" s="404" t="s">
        <v>19</v>
      </c>
      <c r="O81" s="443">
        <v>43101</v>
      </c>
      <c r="P81" s="443">
        <v>43132</v>
      </c>
      <c r="Q81" s="443">
        <v>43160</v>
      </c>
      <c r="R81" s="443">
        <v>43191</v>
      </c>
      <c r="S81" s="443">
        <v>43221</v>
      </c>
      <c r="T81" s="443">
        <v>43252</v>
      </c>
      <c r="U81" s="443">
        <v>43282</v>
      </c>
      <c r="V81" s="443">
        <v>43313</v>
      </c>
      <c r="W81" s="443">
        <v>43344</v>
      </c>
      <c r="X81" s="443">
        <v>43374</v>
      </c>
      <c r="Y81" s="443">
        <v>43405</v>
      </c>
      <c r="Z81" s="443">
        <v>43435</v>
      </c>
    </row>
    <row r="82" spans="1:29" outlineLevel="1" x14ac:dyDescent="0.25">
      <c r="A82" s="508" t="s">
        <v>1706</v>
      </c>
      <c r="B82" s="508" t="s">
        <v>40</v>
      </c>
      <c r="C82" s="508" t="s">
        <v>703</v>
      </c>
      <c r="D82" s="495" t="s">
        <v>2324</v>
      </c>
      <c r="E82" s="496" t="s">
        <v>28</v>
      </c>
      <c r="F82" s="496" t="s">
        <v>447</v>
      </c>
      <c r="G82" s="496" t="s">
        <v>790</v>
      </c>
      <c r="H82" s="496" t="s">
        <v>41</v>
      </c>
      <c r="I82" s="496" t="s">
        <v>41</v>
      </c>
      <c r="J82" s="496" t="s">
        <v>41</v>
      </c>
      <c r="K82" s="496" t="s">
        <v>41</v>
      </c>
      <c r="L82" s="496">
        <v>1</v>
      </c>
      <c r="M82" s="496"/>
      <c r="N82" s="496">
        <f t="shared" ref="N82:N87" si="11">SUM(O82:Z82)</f>
        <v>238.80597014925374</v>
      </c>
      <c r="O82" s="496"/>
      <c r="P82" s="496">
        <v>238.80597014925374</v>
      </c>
      <c r="Q82" s="496"/>
      <c r="R82" s="496"/>
      <c r="S82" s="496"/>
      <c r="T82" s="496"/>
      <c r="U82" s="496"/>
      <c r="V82" s="496"/>
      <c r="W82" s="496"/>
      <c r="X82" s="496"/>
      <c r="Y82" s="496"/>
      <c r="Z82" s="496"/>
    </row>
    <row r="83" spans="1:29" ht="30" outlineLevel="1" x14ac:dyDescent="0.25">
      <c r="A83" s="508" t="s">
        <v>1708</v>
      </c>
      <c r="B83" s="508" t="s">
        <v>40</v>
      </c>
      <c r="C83" s="508" t="s">
        <v>705</v>
      </c>
      <c r="D83" s="495" t="s">
        <v>2325</v>
      </c>
      <c r="E83" s="496" t="s">
        <v>46</v>
      </c>
      <c r="F83" s="496" t="s">
        <v>447</v>
      </c>
      <c r="G83" s="496" t="s">
        <v>791</v>
      </c>
      <c r="H83" s="496" t="s">
        <v>41</v>
      </c>
      <c r="I83" s="496" t="s">
        <v>41</v>
      </c>
      <c r="J83" s="496" t="s">
        <v>41</v>
      </c>
      <c r="K83" s="496" t="s">
        <v>41</v>
      </c>
      <c r="L83" s="496">
        <v>1</v>
      </c>
      <c r="M83" s="496"/>
      <c r="N83" s="496">
        <f t="shared" si="11"/>
        <v>943.1343283582089</v>
      </c>
      <c r="O83" s="496"/>
      <c r="P83" s="496">
        <v>943.1343283582089</v>
      </c>
      <c r="Q83" s="496"/>
      <c r="R83" s="496"/>
      <c r="S83" s="496"/>
      <c r="T83" s="496"/>
      <c r="U83" s="496"/>
      <c r="V83" s="496"/>
      <c r="W83" s="496"/>
      <c r="X83" s="496"/>
      <c r="Y83" s="496"/>
      <c r="Z83" s="496"/>
    </row>
    <row r="84" spans="1:29" ht="30" outlineLevel="1" x14ac:dyDescent="0.25">
      <c r="A84" s="508" t="s">
        <v>1709</v>
      </c>
      <c r="B84" s="508" t="s">
        <v>40</v>
      </c>
      <c r="C84" s="508" t="s">
        <v>707</v>
      </c>
      <c r="D84" s="495" t="s">
        <v>2326</v>
      </c>
      <c r="E84" s="496" t="s">
        <v>28</v>
      </c>
      <c r="F84" s="496" t="s">
        <v>447</v>
      </c>
      <c r="G84" s="496" t="s">
        <v>792</v>
      </c>
      <c r="H84" s="496" t="s">
        <v>41</v>
      </c>
      <c r="I84" s="496" t="s">
        <v>41</v>
      </c>
      <c r="J84" s="496" t="s">
        <v>41</v>
      </c>
      <c r="K84" s="496" t="s">
        <v>41</v>
      </c>
      <c r="L84" s="496">
        <v>1</v>
      </c>
      <c r="M84" s="496"/>
      <c r="N84" s="496">
        <f t="shared" si="11"/>
        <v>2529.8507462686566</v>
      </c>
      <c r="O84" s="496"/>
      <c r="P84" s="496"/>
      <c r="Q84" s="496">
        <v>2529.8507462686566</v>
      </c>
      <c r="R84" s="496"/>
      <c r="S84" s="496"/>
      <c r="T84" s="496"/>
      <c r="U84" s="496"/>
      <c r="V84" s="496"/>
      <c r="W84" s="496"/>
      <c r="X84" s="496"/>
      <c r="Y84" s="496"/>
      <c r="Z84" s="496"/>
    </row>
    <row r="85" spans="1:29" outlineLevel="1" x14ac:dyDescent="0.25">
      <c r="A85" s="508" t="s">
        <v>1710</v>
      </c>
      <c r="B85" s="508" t="s">
        <v>40</v>
      </c>
      <c r="C85" s="508" t="s">
        <v>710</v>
      </c>
      <c r="D85" s="495" t="s">
        <v>2327</v>
      </c>
      <c r="E85" s="496" t="s">
        <v>28</v>
      </c>
      <c r="F85" s="496" t="s">
        <v>447</v>
      </c>
      <c r="G85" s="496" t="s">
        <v>793</v>
      </c>
      <c r="H85" s="496" t="s">
        <v>41</v>
      </c>
      <c r="I85" s="496" t="s">
        <v>41</v>
      </c>
      <c r="J85" s="496" t="s">
        <v>41</v>
      </c>
      <c r="K85" s="496" t="s">
        <v>41</v>
      </c>
      <c r="L85" s="496">
        <v>1</v>
      </c>
      <c r="M85" s="496"/>
      <c r="N85" s="496">
        <f t="shared" si="11"/>
        <v>11220</v>
      </c>
      <c r="O85" s="496"/>
      <c r="P85" s="496">
        <v>11220</v>
      </c>
      <c r="Q85" s="496"/>
      <c r="R85" s="496"/>
      <c r="S85" s="496"/>
      <c r="T85" s="496"/>
      <c r="U85" s="496"/>
      <c r="V85" s="496"/>
      <c r="W85" s="496"/>
      <c r="X85" s="496"/>
      <c r="Y85" s="496"/>
      <c r="Z85" s="496"/>
    </row>
    <row r="86" spans="1:29" ht="45" outlineLevel="1" x14ac:dyDescent="0.25">
      <c r="A86" s="508" t="s">
        <v>1711</v>
      </c>
      <c r="B86" s="508" t="s">
        <v>40</v>
      </c>
      <c r="C86" s="508" t="s">
        <v>1213</v>
      </c>
      <c r="D86" s="495" t="s">
        <v>2328</v>
      </c>
      <c r="E86" s="496"/>
      <c r="F86" s="496"/>
      <c r="G86" s="496"/>
      <c r="H86" s="496"/>
      <c r="I86" s="496"/>
      <c r="J86" s="496"/>
      <c r="K86" s="496"/>
      <c r="L86" s="496"/>
      <c r="M86" s="496"/>
      <c r="N86" s="496">
        <f t="shared" si="11"/>
        <v>8955</v>
      </c>
      <c r="O86" s="496"/>
      <c r="P86" s="496"/>
      <c r="Q86" s="496">
        <v>8955</v>
      </c>
      <c r="R86" s="496"/>
      <c r="S86" s="496"/>
      <c r="T86" s="496"/>
      <c r="U86" s="496"/>
      <c r="V86" s="496"/>
      <c r="W86" s="496"/>
      <c r="X86" s="496"/>
      <c r="Y86" s="496"/>
      <c r="Z86" s="496"/>
    </row>
    <row r="87" spans="1:29" ht="60" outlineLevel="1" x14ac:dyDescent="0.25">
      <c r="A87" s="508" t="s">
        <v>1712</v>
      </c>
      <c r="B87" s="508" t="s">
        <v>40</v>
      </c>
      <c r="C87" s="508" t="s">
        <v>713</v>
      </c>
      <c r="D87" s="495" t="s">
        <v>2329</v>
      </c>
      <c r="E87" s="496" t="s">
        <v>28</v>
      </c>
      <c r="F87" s="496" t="s">
        <v>447</v>
      </c>
      <c r="G87" s="496"/>
      <c r="H87" s="496" t="s">
        <v>41</v>
      </c>
      <c r="I87" s="496" t="s">
        <v>41</v>
      </c>
      <c r="J87" s="496" t="s">
        <v>41</v>
      </c>
      <c r="K87" s="496" t="s">
        <v>41</v>
      </c>
      <c r="L87" s="496">
        <v>2</v>
      </c>
      <c r="M87" s="496"/>
      <c r="N87" s="496">
        <f t="shared" si="11"/>
        <v>7800</v>
      </c>
      <c r="O87" s="496"/>
      <c r="P87" s="496"/>
      <c r="Q87" s="496">
        <v>5200</v>
      </c>
      <c r="R87" s="496"/>
      <c r="S87" s="496"/>
      <c r="T87" s="496"/>
      <c r="U87" s="496">
        <v>2600</v>
      </c>
      <c r="V87" s="496"/>
      <c r="W87" s="496"/>
      <c r="X87" s="496"/>
      <c r="Y87" s="496"/>
      <c r="Z87" s="496"/>
    </row>
    <row r="88" spans="1:29" ht="22.5" customHeight="1" outlineLevel="1" x14ac:dyDescent="0.25">
      <c r="A88" s="537"/>
      <c r="B88" s="538"/>
      <c r="C88" s="538"/>
      <c r="D88" s="538"/>
      <c r="E88" s="519"/>
      <c r="F88" s="519"/>
      <c r="G88" s="519"/>
      <c r="H88" s="519"/>
      <c r="I88" s="519"/>
      <c r="J88" s="516" t="s">
        <v>20</v>
      </c>
      <c r="K88" s="519"/>
      <c r="L88" s="404">
        <v>12</v>
      </c>
      <c r="M88" s="404">
        <f t="shared" ref="M88" si="12">SUM(M84:M87)</f>
        <v>0</v>
      </c>
      <c r="N88" s="404">
        <f>SUM(N82:N87)</f>
        <v>31686.791044776117</v>
      </c>
      <c r="O88" s="404">
        <f>SUM(O82:O87)</f>
        <v>0</v>
      </c>
      <c r="P88" s="404">
        <f t="shared" ref="P88:Z88" si="13">SUM(P82:P87)</f>
        <v>12401.940298507463</v>
      </c>
      <c r="Q88" s="404">
        <f t="shared" si="13"/>
        <v>16684.850746268658</v>
      </c>
      <c r="R88" s="404">
        <f t="shared" si="13"/>
        <v>0</v>
      </c>
      <c r="S88" s="404">
        <f t="shared" si="13"/>
        <v>0</v>
      </c>
      <c r="T88" s="404">
        <f t="shared" si="13"/>
        <v>0</v>
      </c>
      <c r="U88" s="404">
        <f t="shared" si="13"/>
        <v>2600</v>
      </c>
      <c r="V88" s="404">
        <f t="shared" si="13"/>
        <v>0</v>
      </c>
      <c r="W88" s="404">
        <f t="shared" si="13"/>
        <v>0</v>
      </c>
      <c r="X88" s="404">
        <f t="shared" si="13"/>
        <v>0</v>
      </c>
      <c r="Y88" s="404">
        <f t="shared" si="13"/>
        <v>0</v>
      </c>
      <c r="Z88" s="404">
        <f t="shared" si="13"/>
        <v>0</v>
      </c>
    </row>
    <row r="89" spans="1:29" outlineLevel="1" x14ac:dyDescent="0.25">
      <c r="A89" s="535" t="str">
        <f>CONCATENATE(B19," ",C19)</f>
        <v>Objective 3 Printers- Satellital TV - Zoom</v>
      </c>
      <c r="B89" s="535"/>
      <c r="C89" s="536"/>
      <c r="D89" s="536"/>
      <c r="E89" s="507"/>
      <c r="F89" s="507"/>
      <c r="G89" s="507"/>
      <c r="H89" s="507"/>
      <c r="I89" s="507"/>
      <c r="J89" s="507"/>
      <c r="K89" s="507"/>
      <c r="L89" s="507"/>
      <c r="M89" s="507"/>
      <c r="N89" s="507"/>
      <c r="O89" s="507" t="s">
        <v>5</v>
      </c>
      <c r="P89" s="507"/>
      <c r="Q89" s="507"/>
      <c r="R89" s="507"/>
      <c r="S89" s="507"/>
      <c r="T89" s="507"/>
      <c r="U89" s="507"/>
      <c r="V89" s="507"/>
      <c r="W89" s="507"/>
      <c r="X89" s="507"/>
      <c r="Y89" s="507"/>
      <c r="Z89" s="507"/>
      <c r="AC89" s="563"/>
    </row>
    <row r="90" spans="1:29" ht="30" outlineLevel="1" x14ac:dyDescent="0.25">
      <c r="A90" s="442"/>
      <c r="B90" s="442" t="s">
        <v>13</v>
      </c>
      <c r="C90" s="442" t="s">
        <v>14</v>
      </c>
      <c r="D90" s="403" t="s">
        <v>2323</v>
      </c>
      <c r="E90" s="404" t="s">
        <v>16</v>
      </c>
      <c r="F90" s="404" t="s">
        <v>38</v>
      </c>
      <c r="G90" s="404" t="s">
        <v>39</v>
      </c>
      <c r="H90" s="404" t="s">
        <v>783</v>
      </c>
      <c r="I90" s="404" t="s">
        <v>784</v>
      </c>
      <c r="J90" s="404" t="s">
        <v>785</v>
      </c>
      <c r="K90" s="404" t="s">
        <v>786</v>
      </c>
      <c r="L90" s="404" t="s">
        <v>17</v>
      </c>
      <c r="M90" s="404" t="s">
        <v>18</v>
      </c>
      <c r="N90" s="404" t="s">
        <v>19</v>
      </c>
      <c r="O90" s="443">
        <v>43101</v>
      </c>
      <c r="P90" s="443">
        <v>43132</v>
      </c>
      <c r="Q90" s="443">
        <v>43160</v>
      </c>
      <c r="R90" s="443">
        <v>43191</v>
      </c>
      <c r="S90" s="443">
        <v>43221</v>
      </c>
      <c r="T90" s="443">
        <v>43252</v>
      </c>
      <c r="U90" s="443">
        <v>43282</v>
      </c>
      <c r="V90" s="443">
        <v>43313</v>
      </c>
      <c r="W90" s="443">
        <v>43344</v>
      </c>
      <c r="X90" s="443">
        <v>43374</v>
      </c>
      <c r="Y90" s="443">
        <v>43405</v>
      </c>
      <c r="Z90" s="443">
        <v>43435</v>
      </c>
    </row>
    <row r="91" spans="1:29" ht="45" outlineLevel="1" x14ac:dyDescent="0.25">
      <c r="A91" s="508" t="s">
        <v>1713</v>
      </c>
      <c r="B91" s="508" t="s">
        <v>40</v>
      </c>
      <c r="C91" s="508" t="s">
        <v>1410</v>
      </c>
      <c r="D91" s="495" t="s">
        <v>2330</v>
      </c>
      <c r="E91" s="496" t="s">
        <v>28</v>
      </c>
      <c r="F91" s="496" t="s">
        <v>437</v>
      </c>
      <c r="G91" s="496" t="s">
        <v>794</v>
      </c>
      <c r="H91" s="496" t="s">
        <v>41</v>
      </c>
      <c r="I91" s="496" t="s">
        <v>41</v>
      </c>
      <c r="J91" s="496" t="s">
        <v>41</v>
      </c>
      <c r="K91" s="496" t="s">
        <v>41</v>
      </c>
      <c r="L91" s="496">
        <v>12</v>
      </c>
      <c r="N91" s="496">
        <f>SUM(O91:Z91)</f>
        <v>44221.744477611937</v>
      </c>
      <c r="O91" s="496">
        <v>3685.1453731343281</v>
      </c>
      <c r="P91" s="496">
        <v>3685.1453731343281</v>
      </c>
      <c r="Q91" s="496">
        <v>3685.1453731343281</v>
      </c>
      <c r="R91" s="496">
        <v>3685.1453731343281</v>
      </c>
      <c r="S91" s="496">
        <v>3685.1453731343281</v>
      </c>
      <c r="T91" s="496">
        <v>3685.1453731343281</v>
      </c>
      <c r="U91" s="496">
        <v>3685.1453731343281</v>
      </c>
      <c r="V91" s="496">
        <v>3685.1453731343281</v>
      </c>
      <c r="W91" s="496">
        <v>3685.1453731343281</v>
      </c>
      <c r="X91" s="496">
        <v>3685.1453731343281</v>
      </c>
      <c r="Y91" s="496">
        <v>3685.1453731343281</v>
      </c>
      <c r="Z91" s="496">
        <v>3685.1453731343281</v>
      </c>
    </row>
    <row r="92" spans="1:29" ht="45" outlineLevel="1" x14ac:dyDescent="0.25">
      <c r="A92" s="508" t="s">
        <v>1716</v>
      </c>
      <c r="B92" s="508" t="s">
        <v>40</v>
      </c>
      <c r="C92" s="508" t="s">
        <v>795</v>
      </c>
      <c r="D92" s="495" t="s">
        <v>2331</v>
      </c>
      <c r="E92" s="496" t="s">
        <v>28</v>
      </c>
      <c r="F92" s="496" t="s">
        <v>447</v>
      </c>
      <c r="G92" s="496" t="s">
        <v>794</v>
      </c>
      <c r="H92" s="496" t="s">
        <v>41</v>
      </c>
      <c r="I92" s="496" t="s">
        <v>41</v>
      </c>
      <c r="J92" s="496" t="s">
        <v>41</v>
      </c>
      <c r="K92" s="496" t="s">
        <v>41</v>
      </c>
      <c r="L92" s="496">
        <v>2</v>
      </c>
      <c r="M92" s="496"/>
      <c r="N92" s="496">
        <f>SUM(O92:Z92)</f>
        <v>22079.125373134328</v>
      </c>
      <c r="P92" s="496"/>
      <c r="Q92" s="496">
        <v>12820.137313432835</v>
      </c>
      <c r="R92" s="496"/>
      <c r="S92" s="496"/>
      <c r="T92" s="496"/>
      <c r="U92" s="496"/>
      <c r="V92" s="496"/>
      <c r="W92" s="496">
        <v>9258.9880597014926</v>
      </c>
      <c r="X92" s="496"/>
      <c r="Y92" s="496"/>
      <c r="Z92" s="496"/>
    </row>
    <row r="93" spans="1:29" ht="30" outlineLevel="1" x14ac:dyDescent="0.25">
      <c r="A93" s="508" t="s">
        <v>1717</v>
      </c>
      <c r="B93" s="508" t="s">
        <v>40</v>
      </c>
      <c r="C93" s="508" t="s">
        <v>718</v>
      </c>
      <c r="D93" s="495" t="s">
        <v>2332</v>
      </c>
      <c r="E93" s="496" t="s">
        <v>28</v>
      </c>
      <c r="F93" s="496" t="s">
        <v>447</v>
      </c>
      <c r="G93" s="496" t="s">
        <v>796</v>
      </c>
      <c r="H93" s="496" t="s">
        <v>41</v>
      </c>
      <c r="I93" s="496" t="s">
        <v>41</v>
      </c>
      <c r="J93" s="496" t="s">
        <v>41</v>
      </c>
      <c r="K93" s="496" t="s">
        <v>41</v>
      </c>
      <c r="L93" s="496">
        <v>2</v>
      </c>
      <c r="M93" s="496"/>
      <c r="N93" s="496">
        <f t="shared" ref="N93:N96" si="14">SUM(O93:Z93)</f>
        <v>2711.0447761194032</v>
      </c>
      <c r="O93" s="496"/>
      <c r="P93" s="496"/>
      <c r="Q93" s="496">
        <v>2711.0447761194032</v>
      </c>
      <c r="R93" s="496"/>
      <c r="S93" s="496"/>
      <c r="T93" s="496"/>
      <c r="U93" s="496"/>
      <c r="V93" s="496"/>
      <c r="W93" s="496"/>
      <c r="X93" s="496"/>
      <c r="Y93" s="496"/>
      <c r="Z93" s="496"/>
    </row>
    <row r="94" spans="1:29" ht="30" outlineLevel="1" x14ac:dyDescent="0.25">
      <c r="A94" s="508" t="s">
        <v>1718</v>
      </c>
      <c r="B94" s="508" t="s">
        <v>40</v>
      </c>
      <c r="C94" s="508" t="s">
        <v>720</v>
      </c>
      <c r="D94" s="495" t="s">
        <v>2333</v>
      </c>
      <c r="E94" s="496" t="s">
        <v>797</v>
      </c>
      <c r="F94" s="496" t="s">
        <v>437</v>
      </c>
      <c r="G94" s="496" t="s">
        <v>798</v>
      </c>
      <c r="H94" s="496" t="s">
        <v>41</v>
      </c>
      <c r="I94" s="496" t="s">
        <v>41</v>
      </c>
      <c r="J94" s="496" t="s">
        <v>41</v>
      </c>
      <c r="K94" s="496" t="s">
        <v>41</v>
      </c>
      <c r="L94" s="496">
        <v>12</v>
      </c>
      <c r="M94" s="496"/>
      <c r="N94" s="496">
        <f t="shared" si="14"/>
        <v>6239.3999999999987</v>
      </c>
      <c r="O94" s="496">
        <v>519.95000000000005</v>
      </c>
      <c r="P94" s="496">
        <v>519.95000000000005</v>
      </c>
      <c r="Q94" s="496">
        <v>519.95000000000005</v>
      </c>
      <c r="R94" s="496">
        <v>519.95000000000005</v>
      </c>
      <c r="S94" s="496">
        <v>519.95000000000005</v>
      </c>
      <c r="T94" s="496">
        <v>519.95000000000005</v>
      </c>
      <c r="U94" s="496">
        <v>519.95000000000005</v>
      </c>
      <c r="V94" s="496">
        <v>519.95000000000005</v>
      </c>
      <c r="W94" s="496">
        <v>519.95000000000005</v>
      </c>
      <c r="X94" s="496">
        <v>519.95000000000005</v>
      </c>
      <c r="Y94" s="496">
        <v>519.95000000000005</v>
      </c>
      <c r="Z94" s="496">
        <v>519.95000000000005</v>
      </c>
    </row>
    <row r="95" spans="1:29" outlineLevel="1" x14ac:dyDescent="0.25">
      <c r="A95" s="508" t="s">
        <v>1719</v>
      </c>
      <c r="B95" s="508" t="s">
        <v>40</v>
      </c>
      <c r="C95" s="508" t="s">
        <v>722</v>
      </c>
      <c r="D95" s="495" t="s">
        <v>2334</v>
      </c>
      <c r="E95" s="496" t="s">
        <v>799</v>
      </c>
      <c r="F95" s="496" t="s">
        <v>437</v>
      </c>
      <c r="G95" s="496" t="s">
        <v>800</v>
      </c>
      <c r="H95" s="496" t="s">
        <v>41</v>
      </c>
      <c r="I95" s="496" t="s">
        <v>41</v>
      </c>
      <c r="J95" s="496" t="s">
        <v>41</v>
      </c>
      <c r="K95" s="496" t="s">
        <v>41</v>
      </c>
      <c r="L95" s="496">
        <v>12</v>
      </c>
      <c r="M95" s="496"/>
      <c r="N95" s="496">
        <f t="shared" si="14"/>
        <v>2691.5820895522393</v>
      </c>
      <c r="O95" s="496">
        <v>224.29850746268656</v>
      </c>
      <c r="P95" s="496">
        <v>224.29850746268656</v>
      </c>
      <c r="Q95" s="496">
        <v>224.29850746268656</v>
      </c>
      <c r="R95" s="496">
        <v>224.29850746268656</v>
      </c>
      <c r="S95" s="496">
        <v>224.29850746268656</v>
      </c>
      <c r="T95" s="496">
        <v>224.29850746268656</v>
      </c>
      <c r="U95" s="496">
        <v>224.29850746268656</v>
      </c>
      <c r="V95" s="496">
        <v>224.29850746268656</v>
      </c>
      <c r="W95" s="496">
        <v>224.29850746268656</v>
      </c>
      <c r="X95" s="496">
        <v>224.29850746268656</v>
      </c>
      <c r="Y95" s="496">
        <v>224.29850746268656</v>
      </c>
      <c r="Z95" s="496">
        <v>224.29850746268656</v>
      </c>
    </row>
    <row r="96" spans="1:29" ht="30" outlineLevel="1" x14ac:dyDescent="0.25">
      <c r="A96" s="508" t="s">
        <v>1720</v>
      </c>
      <c r="B96" s="508" t="s">
        <v>40</v>
      </c>
      <c r="C96" s="508" t="s">
        <v>723</v>
      </c>
      <c r="D96" s="495" t="s">
        <v>2335</v>
      </c>
      <c r="E96" s="496" t="s">
        <v>801</v>
      </c>
      <c r="F96" s="496" t="s">
        <v>437</v>
      </c>
      <c r="G96" s="496" t="s">
        <v>802</v>
      </c>
      <c r="H96" s="496" t="s">
        <v>41</v>
      </c>
      <c r="I96" s="496" t="s">
        <v>41</v>
      </c>
      <c r="J96" s="496" t="s">
        <v>41</v>
      </c>
      <c r="K96" s="496" t="s">
        <v>41</v>
      </c>
      <c r="L96" s="496">
        <v>12</v>
      </c>
      <c r="M96" s="496"/>
      <c r="N96" s="496">
        <f t="shared" si="14"/>
        <v>0</v>
      </c>
      <c r="O96" s="496"/>
      <c r="P96" s="496"/>
      <c r="Q96" s="496"/>
      <c r="R96" s="496"/>
      <c r="S96" s="496"/>
      <c r="T96" s="496"/>
      <c r="U96" s="496"/>
      <c r="V96" s="496"/>
      <c r="W96" s="496"/>
      <c r="X96" s="496"/>
      <c r="Y96" s="496"/>
      <c r="Z96" s="496"/>
    </row>
    <row r="97" spans="1:27" ht="22.5" customHeight="1" outlineLevel="1" x14ac:dyDescent="0.25">
      <c r="A97" s="537"/>
      <c r="B97" s="538"/>
      <c r="C97" s="538"/>
      <c r="D97" s="538"/>
      <c r="E97" s="519"/>
      <c r="F97" s="519"/>
      <c r="G97" s="519"/>
      <c r="H97" s="519"/>
      <c r="I97" s="519"/>
      <c r="J97" s="516" t="s">
        <v>20</v>
      </c>
      <c r="K97" s="519"/>
      <c r="L97" s="404">
        <v>12</v>
      </c>
      <c r="M97" s="404">
        <f t="shared" ref="M97" si="15">SUM(M94:M96)</f>
        <v>0</v>
      </c>
      <c r="N97" s="404">
        <f>SUM(N91:N96)</f>
        <v>77942.896716417905</v>
      </c>
      <c r="O97" s="404">
        <f>SUM(O91:O96)</f>
        <v>4429.3938805970147</v>
      </c>
      <c r="P97" s="404">
        <f t="shared" ref="P97:Z97" si="16">SUM(P91:P96)</f>
        <v>4429.3938805970147</v>
      </c>
      <c r="Q97" s="404">
        <f t="shared" si="16"/>
        <v>19960.575970149253</v>
      </c>
      <c r="R97" s="404">
        <f t="shared" si="16"/>
        <v>4429.3938805970147</v>
      </c>
      <c r="S97" s="404">
        <f t="shared" si="16"/>
        <v>4429.3938805970147</v>
      </c>
      <c r="T97" s="404">
        <f t="shared" si="16"/>
        <v>4429.3938805970147</v>
      </c>
      <c r="U97" s="404">
        <f t="shared" si="16"/>
        <v>4429.3938805970147</v>
      </c>
      <c r="V97" s="404">
        <f t="shared" si="16"/>
        <v>4429.3938805970147</v>
      </c>
      <c r="W97" s="404">
        <f t="shared" si="16"/>
        <v>13688.381940298508</v>
      </c>
      <c r="X97" s="404">
        <f t="shared" si="16"/>
        <v>4429.3938805970147</v>
      </c>
      <c r="Y97" s="404">
        <f t="shared" si="16"/>
        <v>4429.3938805970147</v>
      </c>
      <c r="Z97" s="404">
        <f t="shared" si="16"/>
        <v>4429.3938805970147</v>
      </c>
    </row>
    <row r="98" spans="1:27" outlineLevel="1" x14ac:dyDescent="0.25">
      <c r="A98" s="535" t="str">
        <f>CONCATENATE(B20," ",C20)</f>
        <v>Objective 4 communication &amp; connectivity</v>
      </c>
      <c r="B98" s="535"/>
      <c r="C98" s="536"/>
      <c r="D98" s="536"/>
      <c r="E98" s="507"/>
      <c r="F98" s="507"/>
      <c r="G98" s="507"/>
      <c r="H98" s="507"/>
      <c r="I98" s="507"/>
      <c r="J98" s="507"/>
      <c r="K98" s="507"/>
      <c r="L98" s="507"/>
      <c r="M98" s="507"/>
      <c r="N98" s="507"/>
      <c r="O98" s="507" t="s">
        <v>5</v>
      </c>
      <c r="P98" s="507"/>
      <c r="Q98" s="507"/>
      <c r="R98" s="507"/>
      <c r="S98" s="507"/>
      <c r="T98" s="507"/>
      <c r="U98" s="507"/>
      <c r="V98" s="507"/>
      <c r="W98" s="507"/>
      <c r="X98" s="507"/>
      <c r="Y98" s="507"/>
      <c r="Z98" s="507"/>
    </row>
    <row r="99" spans="1:27" ht="30" outlineLevel="1" x14ac:dyDescent="0.25">
      <c r="A99" s="442"/>
      <c r="B99" s="442" t="s">
        <v>13</v>
      </c>
      <c r="C99" s="442" t="s">
        <v>14</v>
      </c>
      <c r="D99" s="403" t="s">
        <v>2323</v>
      </c>
      <c r="E99" s="404" t="s">
        <v>16</v>
      </c>
      <c r="F99" s="404" t="s">
        <v>38</v>
      </c>
      <c r="G99" s="404" t="s">
        <v>39</v>
      </c>
      <c r="H99" s="404" t="s">
        <v>783</v>
      </c>
      <c r="I99" s="404" t="s">
        <v>784</v>
      </c>
      <c r="J99" s="404" t="s">
        <v>785</v>
      </c>
      <c r="K99" s="404" t="s">
        <v>786</v>
      </c>
      <c r="L99" s="404" t="s">
        <v>17</v>
      </c>
      <c r="M99" s="404" t="s">
        <v>18</v>
      </c>
      <c r="N99" s="404" t="s">
        <v>19</v>
      </c>
      <c r="O99" s="443">
        <v>43101</v>
      </c>
      <c r="P99" s="443">
        <v>43132</v>
      </c>
      <c r="Q99" s="443">
        <v>43160</v>
      </c>
      <c r="R99" s="443">
        <v>43191</v>
      </c>
      <c r="S99" s="443">
        <v>43221</v>
      </c>
      <c r="T99" s="443">
        <v>43252</v>
      </c>
      <c r="U99" s="443">
        <v>43282</v>
      </c>
      <c r="V99" s="443">
        <v>43313</v>
      </c>
      <c r="W99" s="443">
        <v>43344</v>
      </c>
      <c r="X99" s="443">
        <v>43374</v>
      </c>
      <c r="Y99" s="443">
        <v>43405</v>
      </c>
      <c r="Z99" s="443">
        <v>43435</v>
      </c>
    </row>
    <row r="100" spans="1:27" ht="45" outlineLevel="1" x14ac:dyDescent="0.25">
      <c r="A100" s="508" t="s">
        <v>1721</v>
      </c>
      <c r="B100" s="508" t="s">
        <v>40</v>
      </c>
      <c r="C100" s="508" t="s">
        <v>725</v>
      </c>
      <c r="D100" s="495" t="s">
        <v>2336</v>
      </c>
      <c r="E100" s="496" t="s">
        <v>28</v>
      </c>
      <c r="F100" s="496" t="s">
        <v>437</v>
      </c>
      <c r="G100" s="496" t="s">
        <v>762</v>
      </c>
      <c r="H100" s="496" t="s">
        <v>41</v>
      </c>
      <c r="I100" s="496" t="s">
        <v>41</v>
      </c>
      <c r="J100" s="496" t="s">
        <v>41</v>
      </c>
      <c r="K100" s="496" t="s">
        <v>41</v>
      </c>
      <c r="L100" s="496">
        <v>12</v>
      </c>
      <c r="N100" s="496">
        <f>SUM(O100:Z100)</f>
        <v>51940.29850746267</v>
      </c>
      <c r="O100" s="496">
        <v>4328.3582089552237</v>
      </c>
      <c r="P100" s="496">
        <v>4328.3582089552237</v>
      </c>
      <c r="Q100" s="496">
        <v>4328.3582089552237</v>
      </c>
      <c r="R100" s="496">
        <v>4328.3582089552237</v>
      </c>
      <c r="S100" s="496">
        <v>4328.3582089552237</v>
      </c>
      <c r="T100" s="496">
        <v>4328.3582089552237</v>
      </c>
      <c r="U100" s="496">
        <v>4328.3582089552237</v>
      </c>
      <c r="V100" s="496">
        <v>4328.3582089552237</v>
      </c>
      <c r="W100" s="496">
        <v>4328.3582089552237</v>
      </c>
      <c r="X100" s="496">
        <v>4328.3582089552237</v>
      </c>
      <c r="Y100" s="496">
        <v>4328.3582089552237</v>
      </c>
      <c r="Z100" s="496">
        <v>4328.3582089552237</v>
      </c>
    </row>
    <row r="101" spans="1:27" outlineLevel="1" x14ac:dyDescent="0.25">
      <c r="A101" s="508" t="s">
        <v>1722</v>
      </c>
      <c r="B101" s="508" t="s">
        <v>40</v>
      </c>
      <c r="C101" s="508" t="s">
        <v>803</v>
      </c>
      <c r="D101" s="495" t="s">
        <v>2337</v>
      </c>
      <c r="E101" s="496" t="s">
        <v>28</v>
      </c>
      <c r="F101" s="496" t="s">
        <v>437</v>
      </c>
      <c r="G101" s="496" t="s">
        <v>804</v>
      </c>
      <c r="H101" s="496" t="s">
        <v>41</v>
      </c>
      <c r="I101" s="496" t="s">
        <v>41</v>
      </c>
      <c r="J101" s="496" t="s">
        <v>41</v>
      </c>
      <c r="K101" s="496" t="s">
        <v>41</v>
      </c>
      <c r="L101" s="496">
        <v>12</v>
      </c>
      <c r="M101" s="496"/>
      <c r="N101" s="496">
        <f>SUM(O101:Z101)</f>
        <v>24000</v>
      </c>
      <c r="O101" s="496">
        <v>2000</v>
      </c>
      <c r="P101" s="496">
        <v>2000</v>
      </c>
      <c r="Q101" s="496">
        <v>2000</v>
      </c>
      <c r="R101" s="496">
        <v>2000</v>
      </c>
      <c r="S101" s="496">
        <v>2000</v>
      </c>
      <c r="T101" s="496">
        <v>2000</v>
      </c>
      <c r="U101" s="496">
        <v>2000</v>
      </c>
      <c r="V101" s="496">
        <v>2000</v>
      </c>
      <c r="W101" s="496">
        <v>2000</v>
      </c>
      <c r="X101" s="496">
        <v>2000</v>
      </c>
      <c r="Y101" s="496">
        <v>2000</v>
      </c>
      <c r="Z101" s="496">
        <v>2000</v>
      </c>
      <c r="AA101" s="564"/>
    </row>
    <row r="102" spans="1:27" ht="30" outlineLevel="1" x14ac:dyDescent="0.25">
      <c r="A102" s="508" t="s">
        <v>1723</v>
      </c>
      <c r="B102" s="508" t="s">
        <v>40</v>
      </c>
      <c r="C102" s="508" t="s">
        <v>729</v>
      </c>
      <c r="D102" s="495" t="s">
        <v>2338</v>
      </c>
      <c r="E102" s="496" t="s">
        <v>28</v>
      </c>
      <c r="F102" s="496" t="s">
        <v>437</v>
      </c>
      <c r="G102" s="496" t="s">
        <v>788</v>
      </c>
      <c r="H102" s="496" t="s">
        <v>41</v>
      </c>
      <c r="I102" s="496" t="s">
        <v>41</v>
      </c>
      <c r="J102" s="496" t="s">
        <v>41</v>
      </c>
      <c r="K102" s="496" t="s">
        <v>41</v>
      </c>
      <c r="L102" s="496">
        <v>2</v>
      </c>
      <c r="M102" s="496"/>
      <c r="N102" s="496">
        <f t="shared" ref="N102:N110" si="17">SUM(O102:Z102)</f>
        <v>22200</v>
      </c>
      <c r="O102" s="496">
        <v>1850</v>
      </c>
      <c r="P102" s="496">
        <v>1850</v>
      </c>
      <c r="Q102" s="496">
        <v>1850</v>
      </c>
      <c r="R102" s="496">
        <v>1850</v>
      </c>
      <c r="S102" s="496">
        <v>1850</v>
      </c>
      <c r="T102" s="496">
        <v>1850</v>
      </c>
      <c r="U102" s="496">
        <v>1850</v>
      </c>
      <c r="V102" s="496">
        <v>1850</v>
      </c>
      <c r="W102" s="496">
        <v>1850</v>
      </c>
      <c r="X102" s="496">
        <v>1850</v>
      </c>
      <c r="Y102" s="496">
        <v>1850</v>
      </c>
      <c r="Z102" s="496">
        <v>1850</v>
      </c>
    </row>
    <row r="103" spans="1:27" ht="30" outlineLevel="1" x14ac:dyDescent="0.25">
      <c r="A103" s="508" t="s">
        <v>1724</v>
      </c>
      <c r="B103" s="508" t="s">
        <v>40</v>
      </c>
      <c r="C103" s="508" t="s">
        <v>805</v>
      </c>
      <c r="D103" s="495" t="s">
        <v>2339</v>
      </c>
      <c r="E103" s="496" t="s">
        <v>797</v>
      </c>
      <c r="F103" s="496" t="s">
        <v>437</v>
      </c>
      <c r="G103" s="496" t="s">
        <v>788</v>
      </c>
      <c r="H103" s="496" t="s">
        <v>41</v>
      </c>
      <c r="I103" s="496" t="s">
        <v>41</v>
      </c>
      <c r="J103" s="496" t="s">
        <v>41</v>
      </c>
      <c r="K103" s="496" t="s">
        <v>41</v>
      </c>
      <c r="L103" s="496">
        <v>12</v>
      </c>
      <c r="M103" s="496"/>
      <c r="N103" s="496">
        <f t="shared" si="17"/>
        <v>29982.089552238813</v>
      </c>
      <c r="O103" s="496">
        <v>2498.5074626865671</v>
      </c>
      <c r="P103" s="496">
        <v>2498.5074626865671</v>
      </c>
      <c r="Q103" s="496">
        <v>2498.5074626865671</v>
      </c>
      <c r="R103" s="496">
        <v>2498.5074626865671</v>
      </c>
      <c r="S103" s="496">
        <v>2498.5074626865671</v>
      </c>
      <c r="T103" s="496">
        <v>2498.5074626865671</v>
      </c>
      <c r="U103" s="496">
        <v>2498.5074626865671</v>
      </c>
      <c r="V103" s="496">
        <v>2498.5074626865671</v>
      </c>
      <c r="W103" s="496">
        <v>2498.5074626865671</v>
      </c>
      <c r="X103" s="496">
        <v>2498.5074626865671</v>
      </c>
      <c r="Y103" s="496">
        <v>2498.5074626865671</v>
      </c>
      <c r="Z103" s="496">
        <v>2498.5074626865671</v>
      </c>
    </row>
    <row r="104" spans="1:27" outlineLevel="1" x14ac:dyDescent="0.25">
      <c r="A104" s="508" t="s">
        <v>1725</v>
      </c>
      <c r="B104" s="508" t="s">
        <v>40</v>
      </c>
      <c r="C104" s="508" t="s">
        <v>733</v>
      </c>
      <c r="D104" s="495" t="s">
        <v>2340</v>
      </c>
      <c r="E104" s="496" t="s">
        <v>799</v>
      </c>
      <c r="F104" s="496" t="s">
        <v>437</v>
      </c>
      <c r="G104" s="496" t="s">
        <v>806</v>
      </c>
      <c r="H104" s="496" t="s">
        <v>41</v>
      </c>
      <c r="I104" s="496" t="s">
        <v>41</v>
      </c>
      <c r="J104" s="496" t="s">
        <v>41</v>
      </c>
      <c r="K104" s="496" t="s">
        <v>41</v>
      </c>
      <c r="L104" s="496">
        <v>12</v>
      </c>
      <c r="M104" s="496"/>
      <c r="N104" s="496">
        <f t="shared" si="17"/>
        <v>26400</v>
      </c>
      <c r="O104" s="496">
        <v>2200</v>
      </c>
      <c r="P104" s="496">
        <v>2200</v>
      </c>
      <c r="Q104" s="496">
        <v>2200</v>
      </c>
      <c r="R104" s="496">
        <v>2200</v>
      </c>
      <c r="S104" s="496">
        <v>2200</v>
      </c>
      <c r="T104" s="496">
        <v>2200</v>
      </c>
      <c r="U104" s="496">
        <v>2200</v>
      </c>
      <c r="V104" s="496">
        <v>2200</v>
      </c>
      <c r="W104" s="496">
        <v>2200</v>
      </c>
      <c r="X104" s="496">
        <v>2200</v>
      </c>
      <c r="Y104" s="496">
        <v>2200</v>
      </c>
      <c r="Z104" s="496">
        <v>2200</v>
      </c>
    </row>
    <row r="105" spans="1:27" ht="30" outlineLevel="1" x14ac:dyDescent="0.25">
      <c r="A105" s="508" t="s">
        <v>1726</v>
      </c>
      <c r="B105" s="508" t="s">
        <v>40</v>
      </c>
      <c r="C105" s="508" t="s">
        <v>736</v>
      </c>
      <c r="D105" s="495" t="s">
        <v>2341</v>
      </c>
      <c r="E105" s="496" t="s">
        <v>799</v>
      </c>
      <c r="F105" s="496" t="s">
        <v>437</v>
      </c>
      <c r="G105" s="496" t="s">
        <v>807</v>
      </c>
      <c r="H105" s="496" t="s">
        <v>41</v>
      </c>
      <c r="I105" s="496" t="s">
        <v>41</v>
      </c>
      <c r="J105" s="496" t="s">
        <v>41</v>
      </c>
      <c r="K105" s="496" t="s">
        <v>41</v>
      </c>
      <c r="L105" s="496">
        <v>12</v>
      </c>
      <c r="M105" s="496"/>
      <c r="N105" s="496">
        <f t="shared" ref="N105:N109" si="18">SUM(O105:Z105)</f>
        <v>15552</v>
      </c>
      <c r="O105" s="496">
        <v>1296</v>
      </c>
      <c r="P105" s="496">
        <v>1296</v>
      </c>
      <c r="Q105" s="496">
        <v>1296</v>
      </c>
      <c r="R105" s="496">
        <v>1296</v>
      </c>
      <c r="S105" s="496">
        <v>1296</v>
      </c>
      <c r="T105" s="496">
        <v>1296</v>
      </c>
      <c r="U105" s="496">
        <v>1296</v>
      </c>
      <c r="V105" s="496">
        <v>1296</v>
      </c>
      <c r="W105" s="496">
        <v>1296</v>
      </c>
      <c r="X105" s="496">
        <v>1296</v>
      </c>
      <c r="Y105" s="496">
        <v>1296</v>
      </c>
      <c r="Z105" s="496">
        <v>1296</v>
      </c>
    </row>
    <row r="106" spans="1:27" outlineLevel="1" x14ac:dyDescent="0.25">
      <c r="A106" s="508" t="s">
        <v>1727</v>
      </c>
      <c r="B106" s="508" t="s">
        <v>40</v>
      </c>
      <c r="C106" s="508" t="s">
        <v>808</v>
      </c>
      <c r="D106" s="495" t="s">
        <v>2342</v>
      </c>
      <c r="E106" s="496" t="s">
        <v>799</v>
      </c>
      <c r="F106" s="496" t="s">
        <v>437</v>
      </c>
      <c r="G106" s="496" t="s">
        <v>809</v>
      </c>
      <c r="H106" s="496" t="s">
        <v>41</v>
      </c>
      <c r="I106" s="496" t="s">
        <v>41</v>
      </c>
      <c r="J106" s="496" t="s">
        <v>41</v>
      </c>
      <c r="K106" s="496" t="s">
        <v>41</v>
      </c>
      <c r="L106" s="496">
        <v>12</v>
      </c>
      <c r="M106" s="496"/>
      <c r="N106" s="496">
        <f t="shared" si="18"/>
        <v>30949.253731343288</v>
      </c>
      <c r="O106" s="496">
        <v>2579.1044776119402</v>
      </c>
      <c r="P106" s="496">
        <v>2579.1044776119402</v>
      </c>
      <c r="Q106" s="496">
        <v>2579.1044776119402</v>
      </c>
      <c r="R106" s="496">
        <v>2579.1044776119402</v>
      </c>
      <c r="S106" s="496">
        <v>2579.1044776119402</v>
      </c>
      <c r="T106" s="496">
        <v>2579.1044776119402</v>
      </c>
      <c r="U106" s="496">
        <v>2579.1044776119402</v>
      </c>
      <c r="V106" s="496">
        <v>2579.1044776119402</v>
      </c>
      <c r="W106" s="496">
        <v>2579.1044776119402</v>
      </c>
      <c r="X106" s="496">
        <v>2579.1044776119402</v>
      </c>
      <c r="Y106" s="496">
        <v>2579.1044776119402</v>
      </c>
      <c r="Z106" s="496">
        <v>2579.1044776119402</v>
      </c>
    </row>
    <row r="107" spans="1:27" outlineLevel="1" x14ac:dyDescent="0.25">
      <c r="A107" s="508" t="s">
        <v>1728</v>
      </c>
      <c r="B107" s="508" t="s">
        <v>40</v>
      </c>
      <c r="C107" s="508" t="s">
        <v>742</v>
      </c>
      <c r="D107" s="495" t="s">
        <v>2342</v>
      </c>
      <c r="E107" s="496" t="s">
        <v>799</v>
      </c>
      <c r="F107" s="496" t="s">
        <v>437</v>
      </c>
      <c r="G107" s="496" t="s">
        <v>809</v>
      </c>
      <c r="H107" s="496" t="s">
        <v>41</v>
      </c>
      <c r="I107" s="496" t="s">
        <v>41</v>
      </c>
      <c r="J107" s="496" t="s">
        <v>41</v>
      </c>
      <c r="K107" s="496" t="s">
        <v>41</v>
      </c>
      <c r="L107" s="496">
        <v>12</v>
      </c>
      <c r="M107" s="496"/>
      <c r="N107" s="496">
        <f t="shared" si="18"/>
        <v>6141.4925373134347</v>
      </c>
      <c r="O107" s="496">
        <v>511.79104477611941</v>
      </c>
      <c r="P107" s="496">
        <v>511.79104477611941</v>
      </c>
      <c r="Q107" s="496">
        <v>511.79104477611941</v>
      </c>
      <c r="R107" s="496">
        <v>511.79104477611941</v>
      </c>
      <c r="S107" s="496">
        <v>511.79104477611941</v>
      </c>
      <c r="T107" s="496">
        <v>511.79104477611941</v>
      </c>
      <c r="U107" s="496">
        <v>511.79104477611941</v>
      </c>
      <c r="V107" s="496">
        <v>511.79104477611941</v>
      </c>
      <c r="W107" s="496">
        <v>511.79104477611941</v>
      </c>
      <c r="X107" s="496">
        <v>511.79104477611941</v>
      </c>
      <c r="Y107" s="496">
        <v>511.79104477611941</v>
      </c>
      <c r="Z107" s="496">
        <v>511.79104477611941</v>
      </c>
    </row>
    <row r="108" spans="1:27" ht="30" outlineLevel="1" x14ac:dyDescent="0.25">
      <c r="A108" s="508" t="s">
        <v>1729</v>
      </c>
      <c r="B108" s="508" t="s">
        <v>40</v>
      </c>
      <c r="C108" s="508" t="s">
        <v>745</v>
      </c>
      <c r="D108" s="495" t="s">
        <v>2343</v>
      </c>
      <c r="E108" s="496" t="s">
        <v>799</v>
      </c>
      <c r="F108" s="496" t="s">
        <v>437</v>
      </c>
      <c r="G108" s="496" t="s">
        <v>809</v>
      </c>
      <c r="H108" s="496" t="s">
        <v>41</v>
      </c>
      <c r="I108" s="496" t="s">
        <v>41</v>
      </c>
      <c r="J108" s="496" t="s">
        <v>41</v>
      </c>
      <c r="K108" s="496" t="s">
        <v>41</v>
      </c>
      <c r="L108" s="496">
        <v>12</v>
      </c>
      <c r="M108" s="496"/>
      <c r="N108" s="496">
        <f t="shared" si="18"/>
        <v>1920</v>
      </c>
      <c r="O108" s="496">
        <v>160</v>
      </c>
      <c r="P108" s="496">
        <v>160</v>
      </c>
      <c r="Q108" s="496">
        <v>160</v>
      </c>
      <c r="R108" s="496">
        <v>160</v>
      </c>
      <c r="S108" s="496">
        <v>160</v>
      </c>
      <c r="T108" s="496">
        <v>160</v>
      </c>
      <c r="U108" s="496">
        <v>160</v>
      </c>
      <c r="V108" s="496">
        <v>160</v>
      </c>
      <c r="W108" s="496">
        <v>160</v>
      </c>
      <c r="X108" s="496">
        <v>160</v>
      </c>
      <c r="Y108" s="496">
        <v>160</v>
      </c>
      <c r="Z108" s="496">
        <v>160</v>
      </c>
    </row>
    <row r="109" spans="1:27" ht="30" outlineLevel="1" x14ac:dyDescent="0.25">
      <c r="A109" s="508" t="s">
        <v>1730</v>
      </c>
      <c r="B109" s="508" t="s">
        <v>40</v>
      </c>
      <c r="C109" s="508" t="s">
        <v>748</v>
      </c>
      <c r="D109" s="495" t="s">
        <v>2344</v>
      </c>
      <c r="E109" s="496" t="s">
        <v>799</v>
      </c>
      <c r="F109" s="496" t="s">
        <v>437</v>
      </c>
      <c r="G109" s="496" t="s">
        <v>809</v>
      </c>
      <c r="H109" s="496" t="s">
        <v>41</v>
      </c>
      <c r="I109" s="496" t="s">
        <v>41</v>
      </c>
      <c r="J109" s="496" t="s">
        <v>41</v>
      </c>
      <c r="K109" s="496" t="s">
        <v>41</v>
      </c>
      <c r="L109" s="496">
        <v>12</v>
      </c>
      <c r="M109" s="496"/>
      <c r="N109" s="496">
        <f t="shared" si="18"/>
        <v>1560</v>
      </c>
      <c r="O109" s="496">
        <v>130</v>
      </c>
      <c r="P109" s="496">
        <v>130</v>
      </c>
      <c r="Q109" s="496">
        <v>130</v>
      </c>
      <c r="R109" s="496">
        <v>130</v>
      </c>
      <c r="S109" s="496">
        <v>130</v>
      </c>
      <c r="T109" s="496">
        <v>130</v>
      </c>
      <c r="U109" s="496">
        <v>130</v>
      </c>
      <c r="V109" s="496">
        <v>130</v>
      </c>
      <c r="W109" s="496">
        <v>130</v>
      </c>
      <c r="X109" s="496">
        <v>130</v>
      </c>
      <c r="Y109" s="496">
        <v>130</v>
      </c>
      <c r="Z109" s="496">
        <v>130</v>
      </c>
    </row>
    <row r="110" spans="1:27" outlineLevel="1" x14ac:dyDescent="0.25">
      <c r="A110" s="508" t="s">
        <v>1731</v>
      </c>
      <c r="B110" s="508" t="s">
        <v>40</v>
      </c>
      <c r="C110" s="508" t="s">
        <v>751</v>
      </c>
      <c r="D110" s="565" t="s">
        <v>2345</v>
      </c>
      <c r="E110" s="496" t="s">
        <v>801</v>
      </c>
      <c r="F110" s="496" t="s">
        <v>437</v>
      </c>
      <c r="G110" s="496" t="s">
        <v>788</v>
      </c>
      <c r="H110" s="496" t="s">
        <v>41</v>
      </c>
      <c r="I110" s="496" t="s">
        <v>41</v>
      </c>
      <c r="J110" s="496" t="s">
        <v>41</v>
      </c>
      <c r="K110" s="496" t="s">
        <v>41</v>
      </c>
      <c r="L110" s="496">
        <v>12</v>
      </c>
      <c r="M110" s="496"/>
      <c r="N110" s="496">
        <f t="shared" si="17"/>
        <v>16925.373134328354</v>
      </c>
      <c r="O110" s="496">
        <v>1410.4477611940299</v>
      </c>
      <c r="P110" s="496">
        <v>1410.4477611940299</v>
      </c>
      <c r="Q110" s="496">
        <v>1410.4477611940299</v>
      </c>
      <c r="R110" s="496">
        <v>1410.4477611940299</v>
      </c>
      <c r="S110" s="496">
        <v>1410.4477611940299</v>
      </c>
      <c r="T110" s="496">
        <v>1410.4477611940299</v>
      </c>
      <c r="U110" s="496">
        <v>1410.4477611940299</v>
      </c>
      <c r="V110" s="496">
        <v>1410.4477611940299</v>
      </c>
      <c r="W110" s="496">
        <v>1410.4477611940299</v>
      </c>
      <c r="X110" s="496">
        <v>1410.4477611940299</v>
      </c>
      <c r="Y110" s="496">
        <v>1410.4477611940299</v>
      </c>
      <c r="Z110" s="496">
        <v>1410.4477611940299</v>
      </c>
    </row>
    <row r="111" spans="1:27" ht="30" outlineLevel="1" x14ac:dyDescent="0.25">
      <c r="A111" s="508" t="s">
        <v>1732</v>
      </c>
      <c r="B111" s="508" t="s">
        <v>40</v>
      </c>
      <c r="C111" s="551" t="s">
        <v>754</v>
      </c>
      <c r="D111" s="566" t="s">
        <v>2346</v>
      </c>
      <c r="E111" s="496" t="s">
        <v>810</v>
      </c>
      <c r="F111" s="496" t="s">
        <v>437</v>
      </c>
      <c r="G111" s="496" t="s">
        <v>811</v>
      </c>
      <c r="H111" s="496" t="s">
        <v>41</v>
      </c>
      <c r="I111" s="496" t="s">
        <v>41</v>
      </c>
      <c r="J111" s="496" t="s">
        <v>41</v>
      </c>
      <c r="K111" s="496" t="s">
        <v>41</v>
      </c>
      <c r="L111" s="496">
        <v>12</v>
      </c>
      <c r="M111" s="496"/>
      <c r="N111" s="496">
        <f t="shared" ref="N111:N112" si="19">SUM(O111:Z111)</f>
        <v>2880</v>
      </c>
      <c r="O111" s="496">
        <v>240</v>
      </c>
      <c r="P111" s="496">
        <v>240</v>
      </c>
      <c r="Q111" s="496">
        <v>240</v>
      </c>
      <c r="R111" s="496">
        <v>240</v>
      </c>
      <c r="S111" s="496">
        <v>240</v>
      </c>
      <c r="T111" s="496">
        <v>240</v>
      </c>
      <c r="U111" s="496">
        <v>240</v>
      </c>
      <c r="V111" s="496">
        <v>240</v>
      </c>
      <c r="W111" s="496">
        <v>240</v>
      </c>
      <c r="X111" s="496">
        <v>240</v>
      </c>
      <c r="Y111" s="496">
        <v>240</v>
      </c>
      <c r="Z111" s="496">
        <v>240</v>
      </c>
    </row>
    <row r="112" spans="1:27" outlineLevel="1" x14ac:dyDescent="0.25">
      <c r="A112" s="510" t="s">
        <v>1733</v>
      </c>
      <c r="B112" s="551"/>
      <c r="C112" s="551" t="s">
        <v>1214</v>
      </c>
      <c r="D112" s="566" t="s">
        <v>2347</v>
      </c>
      <c r="E112" s="497"/>
      <c r="F112" s="497"/>
      <c r="G112" s="497"/>
      <c r="H112" s="497"/>
      <c r="I112" s="497"/>
      <c r="J112" s="567"/>
      <c r="K112" s="497"/>
      <c r="L112" s="496"/>
      <c r="M112" s="496"/>
      <c r="N112" s="496">
        <f t="shared" si="19"/>
        <v>3591.6417910447763</v>
      </c>
      <c r="O112" s="496">
        <v>3591.6417910447763</v>
      </c>
      <c r="P112" s="496"/>
      <c r="Q112" s="496"/>
      <c r="R112" s="496"/>
      <c r="S112" s="496"/>
      <c r="T112" s="496"/>
      <c r="U112" s="496"/>
      <c r="V112" s="496"/>
      <c r="W112" s="496"/>
      <c r="X112" s="496"/>
      <c r="Y112" s="496"/>
      <c r="Z112" s="496"/>
    </row>
    <row r="113" spans="1:28" ht="22.5" customHeight="1" outlineLevel="1" x14ac:dyDescent="0.25">
      <c r="A113" s="537"/>
      <c r="B113" s="538"/>
      <c r="C113" s="538"/>
      <c r="D113" s="538"/>
      <c r="E113" s="519"/>
      <c r="F113" s="519"/>
      <c r="G113" s="519"/>
      <c r="H113" s="519"/>
      <c r="I113" s="519"/>
      <c r="J113" s="516" t="s">
        <v>20</v>
      </c>
      <c r="K113" s="519"/>
      <c r="L113" s="404">
        <v>12</v>
      </c>
      <c r="M113" s="404">
        <f t="shared" ref="M113" si="20">SUM(M109:M111)</f>
        <v>0</v>
      </c>
      <c r="N113" s="404">
        <f>SUM(N100:N112)</f>
        <v>234042.1492537313</v>
      </c>
      <c r="O113" s="404">
        <f t="shared" ref="O113:Z113" si="21">SUM(O100:O112)</f>
        <v>22795.850746268661</v>
      </c>
      <c r="P113" s="404">
        <f t="shared" si="21"/>
        <v>19204.208955223883</v>
      </c>
      <c r="Q113" s="404">
        <f t="shared" si="21"/>
        <v>19204.208955223883</v>
      </c>
      <c r="R113" s="404">
        <f t="shared" si="21"/>
        <v>19204.208955223883</v>
      </c>
      <c r="S113" s="404">
        <f t="shared" si="21"/>
        <v>19204.208955223883</v>
      </c>
      <c r="T113" s="404">
        <f t="shared" si="21"/>
        <v>19204.208955223883</v>
      </c>
      <c r="U113" s="404">
        <f t="shared" si="21"/>
        <v>19204.208955223883</v>
      </c>
      <c r="V113" s="404">
        <f t="shared" si="21"/>
        <v>19204.208955223883</v>
      </c>
      <c r="W113" s="404">
        <f t="shared" si="21"/>
        <v>19204.208955223883</v>
      </c>
      <c r="X113" s="404">
        <f t="shared" si="21"/>
        <v>19204.208955223883</v>
      </c>
      <c r="Y113" s="404">
        <f t="shared" si="21"/>
        <v>19204.208955223883</v>
      </c>
      <c r="Z113" s="404">
        <f t="shared" si="21"/>
        <v>19204.208955223883</v>
      </c>
    </row>
    <row r="114" spans="1:28" outlineLevel="1" x14ac:dyDescent="0.25">
      <c r="A114" s="535" t="str">
        <f>CONCATENATE(B21," ",C21)</f>
        <v>Objective 5 Hardware &amp; Software</v>
      </c>
      <c r="B114" s="535"/>
      <c r="C114" s="536"/>
      <c r="D114" s="536"/>
      <c r="E114" s="507"/>
      <c r="F114" s="507"/>
      <c r="G114" s="507"/>
      <c r="H114" s="507"/>
      <c r="I114" s="507"/>
      <c r="J114" s="507"/>
      <c r="K114" s="507"/>
      <c r="L114" s="507"/>
      <c r="M114" s="507"/>
      <c r="N114" s="507"/>
      <c r="O114" s="507" t="s">
        <v>5</v>
      </c>
      <c r="P114" s="507"/>
      <c r="Q114" s="507"/>
      <c r="R114" s="507"/>
      <c r="S114" s="507"/>
      <c r="T114" s="507"/>
      <c r="U114" s="507"/>
      <c r="V114" s="507"/>
      <c r="W114" s="507"/>
      <c r="X114" s="507"/>
      <c r="Y114" s="507"/>
      <c r="Z114" s="507"/>
    </row>
    <row r="115" spans="1:28" ht="30" outlineLevel="1" x14ac:dyDescent="0.25">
      <c r="A115" s="442"/>
      <c r="B115" s="442" t="s">
        <v>13</v>
      </c>
      <c r="C115" s="442" t="s">
        <v>14</v>
      </c>
      <c r="D115" s="403" t="s">
        <v>2323</v>
      </c>
      <c r="E115" s="404" t="s">
        <v>16</v>
      </c>
      <c r="F115" s="404" t="s">
        <v>38</v>
      </c>
      <c r="G115" s="404" t="s">
        <v>39</v>
      </c>
      <c r="H115" s="404" t="s">
        <v>783</v>
      </c>
      <c r="I115" s="404" t="s">
        <v>784</v>
      </c>
      <c r="J115" s="404" t="s">
        <v>785</v>
      </c>
      <c r="K115" s="404" t="s">
        <v>786</v>
      </c>
      <c r="L115" s="404" t="s">
        <v>17</v>
      </c>
      <c r="M115" s="404" t="s">
        <v>18</v>
      </c>
      <c r="N115" s="404" t="s">
        <v>19</v>
      </c>
      <c r="O115" s="443">
        <v>43101</v>
      </c>
      <c r="P115" s="443">
        <v>43132</v>
      </c>
      <c r="Q115" s="443">
        <v>43160</v>
      </c>
      <c r="R115" s="443">
        <v>43191</v>
      </c>
      <c r="S115" s="443">
        <v>43221</v>
      </c>
      <c r="T115" s="443">
        <v>43252</v>
      </c>
      <c r="U115" s="443">
        <v>43282</v>
      </c>
      <c r="V115" s="443">
        <v>43313</v>
      </c>
      <c r="W115" s="443">
        <v>43344</v>
      </c>
      <c r="X115" s="443">
        <v>43374</v>
      </c>
      <c r="Y115" s="443">
        <v>43405</v>
      </c>
      <c r="Z115" s="443">
        <v>43435</v>
      </c>
    </row>
    <row r="116" spans="1:28" ht="123" customHeight="1" outlineLevel="1" x14ac:dyDescent="0.25">
      <c r="A116" s="508" t="s">
        <v>1734</v>
      </c>
      <c r="B116" s="508" t="s">
        <v>40</v>
      </c>
      <c r="C116" s="508" t="s">
        <v>812</v>
      </c>
      <c r="D116" s="495" t="s">
        <v>2348</v>
      </c>
      <c r="E116" s="496" t="s">
        <v>28</v>
      </c>
      <c r="F116" s="496" t="s">
        <v>813</v>
      </c>
      <c r="G116" s="496" t="s">
        <v>814</v>
      </c>
      <c r="H116" s="496" t="s">
        <v>41</v>
      </c>
      <c r="I116" s="496" t="s">
        <v>41</v>
      </c>
      <c r="J116" s="496" t="s">
        <v>41</v>
      </c>
      <c r="K116" s="496" t="s">
        <v>41</v>
      </c>
      <c r="L116" s="496">
        <v>3</v>
      </c>
      <c r="N116" s="496">
        <f>SUM(O116:Z116)</f>
        <v>67364.617910447763</v>
      </c>
      <c r="O116" s="496">
        <v>67364.617910447763</v>
      </c>
      <c r="P116" s="496"/>
      <c r="Q116" s="496"/>
      <c r="R116" s="496"/>
      <c r="S116" s="496"/>
      <c r="T116" s="496"/>
      <c r="U116" s="496"/>
      <c r="V116" s="496"/>
      <c r="W116" s="496"/>
      <c r="X116" s="496"/>
      <c r="Y116" s="496"/>
      <c r="Z116" s="496"/>
    </row>
    <row r="117" spans="1:28" ht="160.5" customHeight="1" outlineLevel="1" x14ac:dyDescent="0.25">
      <c r="A117" s="508" t="s">
        <v>1735</v>
      </c>
      <c r="B117" s="508" t="s">
        <v>40</v>
      </c>
      <c r="C117" s="508" t="s">
        <v>758</v>
      </c>
      <c r="D117" s="495" t="s">
        <v>2349</v>
      </c>
      <c r="E117" s="496" t="s">
        <v>28</v>
      </c>
      <c r="F117" s="496" t="s">
        <v>447</v>
      </c>
      <c r="G117" s="496" t="s">
        <v>814</v>
      </c>
      <c r="H117" s="496" t="s">
        <v>41</v>
      </c>
      <c r="I117" s="496" t="s">
        <v>41</v>
      </c>
      <c r="J117" s="496" t="s">
        <v>41</v>
      </c>
      <c r="K117" s="496" t="s">
        <v>41</v>
      </c>
      <c r="L117" s="496">
        <v>1</v>
      </c>
      <c r="M117" s="496"/>
      <c r="N117" s="496">
        <f>SUM(P117:Z117)</f>
        <v>20085</v>
      </c>
      <c r="P117" s="496">
        <v>20085</v>
      </c>
      <c r="Q117" s="496"/>
      <c r="R117" s="496"/>
      <c r="S117" s="496"/>
      <c r="T117" s="496"/>
      <c r="U117" s="496"/>
      <c r="V117" s="496"/>
      <c r="W117" s="496"/>
      <c r="X117" s="496"/>
      <c r="Y117" s="496"/>
      <c r="Z117" s="496"/>
    </row>
    <row r="118" spans="1:28" outlineLevel="1" x14ac:dyDescent="0.25">
      <c r="A118" s="508" t="s">
        <v>1736</v>
      </c>
      <c r="B118" s="508" t="s">
        <v>40</v>
      </c>
      <c r="C118" s="508" t="s">
        <v>815</v>
      </c>
      <c r="D118" s="495" t="s">
        <v>2350</v>
      </c>
      <c r="E118" s="496" t="s">
        <v>28</v>
      </c>
      <c r="F118" s="496" t="s">
        <v>447</v>
      </c>
      <c r="G118" s="496"/>
      <c r="H118" s="496" t="s">
        <v>41</v>
      </c>
      <c r="I118" s="496" t="s">
        <v>41</v>
      </c>
      <c r="J118" s="496" t="s">
        <v>41</v>
      </c>
      <c r="K118" s="496" t="s">
        <v>41</v>
      </c>
      <c r="L118" s="496">
        <v>12</v>
      </c>
      <c r="M118" s="496"/>
      <c r="N118" s="496">
        <f t="shared" ref="N118:N125" si="22">SUM(O118:Z118)</f>
        <v>7300</v>
      </c>
      <c r="O118" s="496">
        <v>600</v>
      </c>
      <c r="P118" s="496">
        <v>700</v>
      </c>
      <c r="Q118" s="496">
        <v>600</v>
      </c>
      <c r="R118" s="496">
        <v>600</v>
      </c>
      <c r="S118" s="496">
        <v>600</v>
      </c>
      <c r="T118" s="496">
        <v>600</v>
      </c>
      <c r="U118" s="496">
        <v>600</v>
      </c>
      <c r="V118" s="496">
        <v>600</v>
      </c>
      <c r="W118" s="496">
        <v>600</v>
      </c>
      <c r="X118" s="496">
        <v>600</v>
      </c>
      <c r="Y118" s="496">
        <v>600</v>
      </c>
      <c r="Z118" s="496">
        <v>600</v>
      </c>
    </row>
    <row r="119" spans="1:28" ht="75" outlineLevel="1" x14ac:dyDescent="0.25">
      <c r="A119" s="508" t="s">
        <v>1737</v>
      </c>
      <c r="B119" s="508" t="s">
        <v>40</v>
      </c>
      <c r="C119" s="508" t="s">
        <v>816</v>
      </c>
      <c r="D119" s="495" t="s">
        <v>2351</v>
      </c>
      <c r="E119" s="496" t="s">
        <v>797</v>
      </c>
      <c r="F119" s="496" t="s">
        <v>437</v>
      </c>
      <c r="G119" s="496" t="s">
        <v>762</v>
      </c>
      <c r="H119" s="496" t="s">
        <v>41</v>
      </c>
      <c r="I119" s="496" t="s">
        <v>41</v>
      </c>
      <c r="J119" s="496" t="s">
        <v>41</v>
      </c>
      <c r="K119" s="496" t="s">
        <v>41</v>
      </c>
      <c r="L119" s="496">
        <v>4</v>
      </c>
      <c r="M119" s="496"/>
      <c r="N119" s="496">
        <f t="shared" si="22"/>
        <v>18640.100000000002</v>
      </c>
      <c r="O119" s="496"/>
      <c r="P119" s="496">
        <v>928.68171641791037</v>
      </c>
      <c r="Q119" s="496">
        <v>14925.373134328358</v>
      </c>
      <c r="R119" s="496"/>
      <c r="S119" s="496">
        <v>928.68171641791037</v>
      </c>
      <c r="T119" s="496"/>
      <c r="U119" s="496"/>
      <c r="V119" s="496">
        <v>928.68171641791037</v>
      </c>
      <c r="W119" s="496"/>
      <c r="X119" s="496"/>
      <c r="Y119" s="496">
        <v>928.68171641791037</v>
      </c>
      <c r="Z119" s="496"/>
      <c r="AB119" s="572"/>
    </row>
    <row r="120" spans="1:28" ht="30" outlineLevel="1" x14ac:dyDescent="0.25">
      <c r="A120" s="508" t="s">
        <v>1738</v>
      </c>
      <c r="B120" s="508" t="s">
        <v>40</v>
      </c>
      <c r="C120" s="508" t="s">
        <v>764</v>
      </c>
      <c r="D120" s="495" t="s">
        <v>2352</v>
      </c>
      <c r="E120" s="496" t="s">
        <v>799</v>
      </c>
      <c r="F120" s="496" t="s">
        <v>447</v>
      </c>
      <c r="G120" s="496" t="s">
        <v>817</v>
      </c>
      <c r="H120" s="496" t="s">
        <v>41</v>
      </c>
      <c r="I120" s="496" t="s">
        <v>41</v>
      </c>
      <c r="J120" s="496" t="s">
        <v>41</v>
      </c>
      <c r="K120" s="496" t="s">
        <v>41</v>
      </c>
      <c r="L120" s="496">
        <v>1</v>
      </c>
      <c r="N120" s="496">
        <f t="shared" si="22"/>
        <v>8000</v>
      </c>
      <c r="O120" s="496"/>
      <c r="P120" s="496"/>
      <c r="Q120" s="496"/>
      <c r="R120" s="496">
        <v>8000</v>
      </c>
      <c r="S120" s="496"/>
      <c r="T120" s="496"/>
      <c r="U120" s="496"/>
      <c r="V120" s="496"/>
      <c r="W120" s="496"/>
      <c r="X120" s="496"/>
      <c r="Y120" s="496"/>
      <c r="Z120" s="496"/>
    </row>
    <row r="121" spans="1:28" ht="120" outlineLevel="1" x14ac:dyDescent="0.25">
      <c r="A121" s="508" t="s">
        <v>1739</v>
      </c>
      <c r="B121" s="508" t="s">
        <v>40</v>
      </c>
      <c r="C121" s="508" t="s">
        <v>766</v>
      </c>
      <c r="D121" s="495" t="s">
        <v>2353</v>
      </c>
      <c r="E121" s="496" t="s">
        <v>801</v>
      </c>
      <c r="F121" s="496" t="s">
        <v>447</v>
      </c>
      <c r="G121" s="496" t="s">
        <v>818</v>
      </c>
      <c r="H121" s="496" t="s">
        <v>41</v>
      </c>
      <c r="I121" s="496" t="s">
        <v>41</v>
      </c>
      <c r="J121" s="496" t="s">
        <v>41</v>
      </c>
      <c r="K121" s="496" t="s">
        <v>41</v>
      </c>
      <c r="L121" s="496">
        <v>3</v>
      </c>
      <c r="M121" s="496"/>
      <c r="N121" s="496">
        <f t="shared" si="22"/>
        <v>22926</v>
      </c>
      <c r="O121" s="496"/>
      <c r="P121" s="496">
        <v>7642</v>
      </c>
      <c r="Q121" s="496"/>
      <c r="R121" s="496"/>
      <c r="S121" s="496"/>
      <c r="T121" s="496">
        <v>7642</v>
      </c>
      <c r="U121" s="496"/>
      <c r="V121" s="496"/>
      <c r="W121" s="496">
        <v>7642</v>
      </c>
      <c r="X121" s="496"/>
      <c r="Y121" s="496"/>
      <c r="Z121" s="496"/>
      <c r="AB121" s="572"/>
    </row>
    <row r="122" spans="1:28" ht="90" outlineLevel="1" x14ac:dyDescent="0.25">
      <c r="A122" s="508" t="s">
        <v>1740</v>
      </c>
      <c r="B122" s="508" t="s">
        <v>40</v>
      </c>
      <c r="C122" s="508" t="s">
        <v>768</v>
      </c>
      <c r="D122" s="495" t="s">
        <v>2354</v>
      </c>
      <c r="E122" s="496" t="s">
        <v>801</v>
      </c>
      <c r="F122" s="496" t="s">
        <v>447</v>
      </c>
      <c r="G122" s="496" t="s">
        <v>818</v>
      </c>
      <c r="H122" s="496" t="s">
        <v>41</v>
      </c>
      <c r="I122" s="496" t="s">
        <v>41</v>
      </c>
      <c r="J122" s="496" t="s">
        <v>41</v>
      </c>
      <c r="K122" s="496" t="s">
        <v>41</v>
      </c>
      <c r="L122" s="496">
        <v>6</v>
      </c>
      <c r="M122" s="496"/>
      <c r="N122" s="496">
        <f t="shared" si="22"/>
        <v>158230</v>
      </c>
      <c r="O122" s="496">
        <v>93000</v>
      </c>
      <c r="P122" s="496">
        <v>5000</v>
      </c>
      <c r="Q122" s="496">
        <v>15000</v>
      </c>
      <c r="R122" s="496">
        <v>18000</v>
      </c>
      <c r="S122" s="496">
        <v>25000</v>
      </c>
      <c r="T122" s="496">
        <v>2230</v>
      </c>
      <c r="U122" s="496"/>
      <c r="V122" s="496"/>
      <c r="W122" s="496"/>
      <c r="X122" s="496"/>
      <c r="Y122" s="496"/>
      <c r="Z122" s="496"/>
      <c r="AB122" s="572"/>
    </row>
    <row r="123" spans="1:28" ht="45" outlineLevel="1" x14ac:dyDescent="0.25">
      <c r="A123" s="508" t="s">
        <v>1741</v>
      </c>
      <c r="B123" s="508"/>
      <c r="C123" s="508" t="s">
        <v>1215</v>
      </c>
      <c r="D123" s="495" t="s">
        <v>2355</v>
      </c>
      <c r="E123" s="496"/>
      <c r="F123" s="496"/>
      <c r="G123" s="496"/>
      <c r="H123" s="496"/>
      <c r="I123" s="496"/>
      <c r="J123" s="496"/>
      <c r="K123" s="496"/>
      <c r="L123" s="496"/>
      <c r="M123" s="496"/>
      <c r="N123" s="496">
        <f t="shared" si="22"/>
        <v>17000</v>
      </c>
      <c r="O123" s="496"/>
      <c r="P123" s="496">
        <v>8500</v>
      </c>
      <c r="Q123" s="496"/>
      <c r="R123" s="496"/>
      <c r="S123" s="496"/>
      <c r="T123" s="496"/>
      <c r="U123" s="496"/>
      <c r="V123" s="496">
        <v>8500</v>
      </c>
      <c r="W123" s="496"/>
      <c r="X123" s="496"/>
      <c r="Y123" s="496"/>
      <c r="Z123" s="496"/>
      <c r="AB123" s="572"/>
    </row>
    <row r="124" spans="1:28" outlineLevel="1" x14ac:dyDescent="0.25">
      <c r="A124" s="508" t="s">
        <v>1742</v>
      </c>
      <c r="B124" s="508" t="s">
        <v>40</v>
      </c>
      <c r="C124" s="508" t="s">
        <v>770</v>
      </c>
      <c r="D124" s="495" t="s">
        <v>2356</v>
      </c>
      <c r="E124" s="496" t="s">
        <v>801</v>
      </c>
      <c r="F124" s="496" t="s">
        <v>437</v>
      </c>
      <c r="G124" s="496"/>
      <c r="H124" s="496" t="s">
        <v>41</v>
      </c>
      <c r="I124" s="496" t="s">
        <v>41</v>
      </c>
      <c r="J124" s="496" t="s">
        <v>41</v>
      </c>
      <c r="K124" s="496" t="s">
        <v>41</v>
      </c>
      <c r="L124" s="496">
        <v>12</v>
      </c>
      <c r="M124" s="496"/>
      <c r="N124" s="496">
        <f t="shared" si="22"/>
        <v>6360</v>
      </c>
      <c r="O124" s="496">
        <v>530</v>
      </c>
      <c r="P124" s="496">
        <v>530</v>
      </c>
      <c r="Q124" s="496">
        <v>530</v>
      </c>
      <c r="R124" s="496">
        <v>530</v>
      </c>
      <c r="S124" s="496">
        <v>530</v>
      </c>
      <c r="T124" s="496">
        <v>530</v>
      </c>
      <c r="U124" s="496">
        <v>530</v>
      </c>
      <c r="V124" s="496">
        <v>530</v>
      </c>
      <c r="W124" s="496">
        <v>530</v>
      </c>
      <c r="X124" s="496">
        <v>530</v>
      </c>
      <c r="Y124" s="496">
        <v>530</v>
      </c>
      <c r="Z124" s="496">
        <v>530</v>
      </c>
      <c r="AB124" s="572"/>
    </row>
    <row r="125" spans="1:28" ht="30" outlineLevel="1" x14ac:dyDescent="0.25">
      <c r="A125" s="508" t="s">
        <v>1745</v>
      </c>
      <c r="B125" s="508" t="s">
        <v>40</v>
      </c>
      <c r="C125" s="508" t="s">
        <v>772</v>
      </c>
      <c r="D125" s="495" t="s">
        <v>2357</v>
      </c>
      <c r="E125" s="496" t="s">
        <v>801</v>
      </c>
      <c r="F125" s="496" t="s">
        <v>441</v>
      </c>
      <c r="G125" s="496"/>
      <c r="H125" s="496" t="s">
        <v>44</v>
      </c>
      <c r="I125" s="496" t="s">
        <v>45</v>
      </c>
      <c r="J125" s="496" t="s">
        <v>195</v>
      </c>
      <c r="K125" s="496" t="s">
        <v>47</v>
      </c>
      <c r="L125" s="496">
        <v>1</v>
      </c>
      <c r="M125" s="496"/>
      <c r="N125" s="496">
        <f t="shared" si="22"/>
        <v>20000</v>
      </c>
      <c r="O125" s="496"/>
      <c r="P125" s="496"/>
      <c r="Q125" s="496"/>
      <c r="R125" s="496"/>
      <c r="S125" s="496"/>
      <c r="T125" s="496">
        <v>20000</v>
      </c>
      <c r="U125" s="496"/>
      <c r="V125" s="496"/>
      <c r="W125" s="496"/>
      <c r="X125" s="496"/>
      <c r="Y125" s="496"/>
      <c r="Z125" s="496"/>
      <c r="AB125" s="572"/>
    </row>
    <row r="126" spans="1:28" outlineLevel="1" x14ac:dyDescent="0.25">
      <c r="A126" s="537"/>
      <c r="B126" s="538"/>
      <c r="C126" s="538"/>
      <c r="D126" s="538"/>
      <c r="E126" s="519"/>
      <c r="F126" s="519"/>
      <c r="G126" s="519"/>
      <c r="H126" s="519"/>
      <c r="I126" s="519"/>
      <c r="J126" s="516" t="s">
        <v>20</v>
      </c>
      <c r="K126" s="519"/>
      <c r="L126" s="404">
        <v>12</v>
      </c>
      <c r="M126" s="404">
        <f t="shared" ref="M126" si="23">SUM(M122:M125)</f>
        <v>0</v>
      </c>
      <c r="N126" s="404">
        <f>SUM(N116:N125)</f>
        <v>345905.71791044774</v>
      </c>
      <c r="O126" s="404">
        <f t="shared" ref="O126:Z126" si="24">SUM(O116:O125)</f>
        <v>161494.61791044776</v>
      </c>
      <c r="P126" s="404">
        <f t="shared" si="24"/>
        <v>43385.681716417908</v>
      </c>
      <c r="Q126" s="404">
        <f t="shared" si="24"/>
        <v>31055.373134328358</v>
      </c>
      <c r="R126" s="404">
        <f t="shared" si="24"/>
        <v>27130</v>
      </c>
      <c r="S126" s="404">
        <f t="shared" si="24"/>
        <v>27058.681716417912</v>
      </c>
      <c r="T126" s="404">
        <f t="shared" si="24"/>
        <v>31002</v>
      </c>
      <c r="U126" s="404">
        <f t="shared" si="24"/>
        <v>1130</v>
      </c>
      <c r="V126" s="404">
        <f t="shared" si="24"/>
        <v>10558.68171641791</v>
      </c>
      <c r="W126" s="404">
        <f t="shared" si="24"/>
        <v>8772</v>
      </c>
      <c r="X126" s="404">
        <f t="shared" si="24"/>
        <v>1130</v>
      </c>
      <c r="Y126" s="404">
        <f t="shared" si="24"/>
        <v>2058.6817164179101</v>
      </c>
      <c r="Z126" s="404">
        <f t="shared" si="24"/>
        <v>1130</v>
      </c>
    </row>
    <row r="127" spans="1:28" outlineLevel="1" x14ac:dyDescent="0.25">
      <c r="A127" s="535" t="str">
        <f>CONCATENATE(B22," ",C22)</f>
        <v>Objective 6 Parents companies services &amp; Travel</v>
      </c>
      <c r="B127" s="535"/>
      <c r="C127" s="536"/>
      <c r="D127" s="536"/>
      <c r="E127" s="507"/>
      <c r="F127" s="507"/>
      <c r="G127" s="507"/>
      <c r="H127" s="507"/>
      <c r="I127" s="507"/>
      <c r="J127" s="507"/>
      <c r="K127" s="507"/>
      <c r="L127" s="507"/>
      <c r="M127" s="507"/>
      <c r="N127" s="507"/>
      <c r="O127" s="507" t="s">
        <v>5</v>
      </c>
      <c r="P127" s="507"/>
      <c r="Q127" s="507"/>
      <c r="R127" s="507"/>
      <c r="S127" s="507"/>
      <c r="T127" s="507"/>
      <c r="U127" s="507"/>
      <c r="V127" s="507"/>
      <c r="W127" s="507"/>
      <c r="X127" s="507"/>
      <c r="Y127" s="507"/>
      <c r="Z127" s="507"/>
    </row>
    <row r="128" spans="1:28" ht="30" outlineLevel="1" x14ac:dyDescent="0.25">
      <c r="A128" s="442"/>
      <c r="B128" s="442" t="s">
        <v>13</v>
      </c>
      <c r="C128" s="442" t="s">
        <v>14</v>
      </c>
      <c r="D128" s="403" t="s">
        <v>2323</v>
      </c>
      <c r="E128" s="404" t="s">
        <v>16</v>
      </c>
      <c r="F128" s="404" t="s">
        <v>38</v>
      </c>
      <c r="G128" s="404" t="s">
        <v>39</v>
      </c>
      <c r="H128" s="404" t="s">
        <v>783</v>
      </c>
      <c r="I128" s="404" t="s">
        <v>784</v>
      </c>
      <c r="J128" s="404" t="s">
        <v>785</v>
      </c>
      <c r="K128" s="404" t="s">
        <v>786</v>
      </c>
      <c r="L128" s="404" t="s">
        <v>17</v>
      </c>
      <c r="M128" s="404" t="s">
        <v>18</v>
      </c>
      <c r="N128" s="404" t="s">
        <v>19</v>
      </c>
      <c r="O128" s="443">
        <v>43101</v>
      </c>
      <c r="P128" s="443">
        <v>43132</v>
      </c>
      <c r="Q128" s="443">
        <v>43160</v>
      </c>
      <c r="R128" s="443">
        <v>43191</v>
      </c>
      <c r="S128" s="443">
        <v>43221</v>
      </c>
      <c r="T128" s="443">
        <v>43252</v>
      </c>
      <c r="U128" s="443">
        <v>43282</v>
      </c>
      <c r="V128" s="443">
        <v>43313</v>
      </c>
      <c r="W128" s="443">
        <v>43344</v>
      </c>
      <c r="X128" s="443">
        <v>43374</v>
      </c>
      <c r="Y128" s="443">
        <v>43405</v>
      </c>
      <c r="Z128" s="443">
        <v>43435</v>
      </c>
    </row>
    <row r="129" spans="1:28" ht="120" outlineLevel="1" x14ac:dyDescent="0.25">
      <c r="A129" s="508" t="s">
        <v>1747</v>
      </c>
      <c r="B129" s="508" t="s">
        <v>40</v>
      </c>
      <c r="C129" s="508" t="s">
        <v>775</v>
      </c>
      <c r="D129" s="568" t="s">
        <v>2358</v>
      </c>
      <c r="E129" s="496" t="s">
        <v>28</v>
      </c>
      <c r="F129" s="496" t="s">
        <v>819</v>
      </c>
      <c r="G129" s="496"/>
      <c r="H129" s="496" t="s">
        <v>41</v>
      </c>
      <c r="I129" s="496" t="s">
        <v>41</v>
      </c>
      <c r="J129" s="496" t="s">
        <v>41</v>
      </c>
      <c r="K129" s="496" t="s">
        <v>41</v>
      </c>
      <c r="L129" s="496">
        <v>12</v>
      </c>
      <c r="M129" s="496"/>
      <c r="N129" s="496">
        <f>SUM(O129:Z129)</f>
        <v>44776.119402985059</v>
      </c>
      <c r="O129" s="496">
        <v>3731.3432835820895</v>
      </c>
      <c r="P129" s="496">
        <v>3731.3432835820895</v>
      </c>
      <c r="Q129" s="496">
        <v>3731.3432835820895</v>
      </c>
      <c r="R129" s="496">
        <v>3731.3432835820895</v>
      </c>
      <c r="S129" s="496">
        <v>3731.3432835820895</v>
      </c>
      <c r="T129" s="496">
        <v>3731.3432835820895</v>
      </c>
      <c r="U129" s="496">
        <v>3731.3432835820895</v>
      </c>
      <c r="V129" s="496">
        <v>3731.3432835820895</v>
      </c>
      <c r="W129" s="496">
        <v>3731.3432835820895</v>
      </c>
      <c r="X129" s="496">
        <v>3731.3432835820895</v>
      </c>
      <c r="Y129" s="496">
        <v>3731.3432835820895</v>
      </c>
      <c r="Z129" s="496">
        <v>3731.3432835820895</v>
      </c>
      <c r="AB129" s="572"/>
    </row>
    <row r="130" spans="1:28" ht="30" outlineLevel="1" x14ac:dyDescent="0.25">
      <c r="A130" s="508" t="s">
        <v>1748</v>
      </c>
      <c r="B130" s="508" t="s">
        <v>40</v>
      </c>
      <c r="C130" s="508" t="s">
        <v>777</v>
      </c>
      <c r="D130" s="495" t="s">
        <v>2359</v>
      </c>
      <c r="E130" s="496" t="s">
        <v>28</v>
      </c>
      <c r="F130" s="496" t="s">
        <v>819</v>
      </c>
      <c r="G130" s="496"/>
      <c r="H130" s="496" t="s">
        <v>41</v>
      </c>
      <c r="I130" s="496" t="s">
        <v>41</v>
      </c>
      <c r="J130" s="496" t="s">
        <v>41</v>
      </c>
      <c r="K130" s="496" t="s">
        <v>41</v>
      </c>
      <c r="L130" s="496">
        <v>2</v>
      </c>
      <c r="M130" s="496"/>
      <c r="N130" s="496">
        <f>SUM(P130:Z130)</f>
        <v>20000</v>
      </c>
      <c r="O130" s="496"/>
      <c r="P130" s="496"/>
      <c r="Q130" s="496"/>
      <c r="R130" s="496">
        <v>10000</v>
      </c>
      <c r="S130" s="496"/>
      <c r="T130" s="496"/>
      <c r="U130" s="496"/>
      <c r="V130" s="496"/>
      <c r="W130" s="496">
        <v>10000</v>
      </c>
      <c r="X130" s="496"/>
      <c r="Y130" s="496"/>
      <c r="Z130" s="496"/>
      <c r="AB130" s="572"/>
    </row>
    <row r="131" spans="1:28" ht="30" outlineLevel="1" x14ac:dyDescent="0.25">
      <c r="A131" s="508" t="s">
        <v>1749</v>
      </c>
      <c r="B131" s="508" t="s">
        <v>40</v>
      </c>
      <c r="C131" s="508" t="s">
        <v>779</v>
      </c>
      <c r="D131" s="495" t="s">
        <v>2360</v>
      </c>
      <c r="E131" s="496" t="s">
        <v>28</v>
      </c>
      <c r="F131" s="496" t="s">
        <v>447</v>
      </c>
      <c r="G131" s="496"/>
      <c r="H131" s="496" t="s">
        <v>41</v>
      </c>
      <c r="I131" s="496" t="s">
        <v>41</v>
      </c>
      <c r="J131" s="496" t="s">
        <v>41</v>
      </c>
      <c r="K131" s="496" t="s">
        <v>41</v>
      </c>
      <c r="L131" s="496">
        <v>12</v>
      </c>
      <c r="M131" s="496"/>
      <c r="N131" s="496">
        <f t="shared" ref="N131:N132" si="25">SUM(O131:Z131)</f>
        <v>99999.999999999985</v>
      </c>
      <c r="O131" s="496">
        <v>8333.3333333333339</v>
      </c>
      <c r="P131" s="496">
        <v>8333.3333333333339</v>
      </c>
      <c r="Q131" s="496">
        <v>8333.3333333333339</v>
      </c>
      <c r="R131" s="496">
        <v>8333.3333333333339</v>
      </c>
      <c r="S131" s="496">
        <v>8333.3333333333339</v>
      </c>
      <c r="T131" s="496">
        <v>8333.3333333333339</v>
      </c>
      <c r="U131" s="496">
        <v>8333.3333333333339</v>
      </c>
      <c r="V131" s="496">
        <v>8333.3333333333339</v>
      </c>
      <c r="W131" s="496">
        <v>8333.3333333333339</v>
      </c>
      <c r="X131" s="496">
        <v>8333.3333333333339</v>
      </c>
      <c r="Y131" s="496">
        <v>8333.3333333333339</v>
      </c>
      <c r="Z131" s="496">
        <v>8333.3333333333339</v>
      </c>
      <c r="AB131" s="572"/>
    </row>
    <row r="132" spans="1:28" ht="60" outlineLevel="1" x14ac:dyDescent="0.25">
      <c r="A132" s="508" t="s">
        <v>1751</v>
      </c>
      <c r="B132" s="508" t="s">
        <v>40</v>
      </c>
      <c r="C132" s="508" t="s">
        <v>820</v>
      </c>
      <c r="D132" s="495" t="s">
        <v>2361</v>
      </c>
      <c r="E132" s="496" t="s">
        <v>797</v>
      </c>
      <c r="F132" s="496" t="s">
        <v>437</v>
      </c>
      <c r="G132" s="496"/>
      <c r="H132" s="496" t="s">
        <v>41</v>
      </c>
      <c r="I132" s="496" t="s">
        <v>41</v>
      </c>
      <c r="J132" s="496" t="s">
        <v>41</v>
      </c>
      <c r="K132" s="496" t="s">
        <v>41</v>
      </c>
      <c r="L132" s="496">
        <v>4</v>
      </c>
      <c r="M132" s="496"/>
      <c r="N132" s="496">
        <f t="shared" si="25"/>
        <v>101400</v>
      </c>
      <c r="O132" s="496">
        <v>8450</v>
      </c>
      <c r="P132" s="496">
        <v>8450</v>
      </c>
      <c r="Q132" s="496">
        <v>8450</v>
      </c>
      <c r="R132" s="496">
        <v>8450</v>
      </c>
      <c r="S132" s="496">
        <v>8450</v>
      </c>
      <c r="T132" s="496">
        <v>8450</v>
      </c>
      <c r="U132" s="496">
        <v>8450</v>
      </c>
      <c r="V132" s="496">
        <v>8450</v>
      </c>
      <c r="W132" s="496">
        <v>8450</v>
      </c>
      <c r="X132" s="496">
        <v>8450</v>
      </c>
      <c r="Y132" s="496">
        <v>8450</v>
      </c>
      <c r="Z132" s="496">
        <v>8450</v>
      </c>
      <c r="AB132" s="572"/>
    </row>
    <row r="133" spans="1:28" ht="45" outlineLevel="1" x14ac:dyDescent="0.25">
      <c r="A133" s="508" t="s">
        <v>1753</v>
      </c>
      <c r="B133" s="508" t="s">
        <v>40</v>
      </c>
      <c r="C133" s="508" t="s">
        <v>821</v>
      </c>
      <c r="D133" s="495" t="s">
        <v>2362</v>
      </c>
      <c r="E133" s="496" t="s">
        <v>797</v>
      </c>
      <c r="F133" s="496" t="s">
        <v>437</v>
      </c>
      <c r="G133" s="496"/>
      <c r="H133" s="496" t="s">
        <v>41</v>
      </c>
      <c r="I133" s="496" t="s">
        <v>41</v>
      </c>
      <c r="J133" s="496" t="s">
        <v>41</v>
      </c>
      <c r="K133" s="496" t="s">
        <v>41</v>
      </c>
      <c r="L133" s="496">
        <v>4</v>
      </c>
      <c r="M133" s="496"/>
      <c r="N133" s="496">
        <f>SUM(O133:Z133)</f>
        <v>211500</v>
      </c>
      <c r="O133" s="496">
        <v>17625</v>
      </c>
      <c r="P133" s="496">
        <v>17625</v>
      </c>
      <c r="Q133" s="496">
        <v>17625</v>
      </c>
      <c r="R133" s="496">
        <v>17625</v>
      </c>
      <c r="S133" s="496">
        <v>17625</v>
      </c>
      <c r="T133" s="496">
        <v>17625</v>
      </c>
      <c r="U133" s="496">
        <v>17625</v>
      </c>
      <c r="V133" s="496">
        <v>17625</v>
      </c>
      <c r="W133" s="496">
        <v>17625</v>
      </c>
      <c r="X133" s="496">
        <v>17625</v>
      </c>
      <c r="Y133" s="496">
        <v>17625</v>
      </c>
      <c r="Z133" s="496">
        <v>17625</v>
      </c>
      <c r="AB133" s="572"/>
    </row>
    <row r="134" spans="1:28" ht="22.5" customHeight="1" outlineLevel="1" x14ac:dyDescent="0.25">
      <c r="A134" s="537"/>
      <c r="B134" s="538"/>
      <c r="C134" s="538"/>
      <c r="D134" s="538"/>
      <c r="E134" s="519"/>
      <c r="F134" s="519"/>
      <c r="G134" s="519"/>
      <c r="H134" s="519"/>
      <c r="I134" s="519"/>
      <c r="J134" s="516" t="s">
        <v>20</v>
      </c>
      <c r="K134" s="519"/>
      <c r="L134" s="404">
        <v>12</v>
      </c>
      <c r="M134" s="404">
        <f>SUM(M131:M133)</f>
        <v>0</v>
      </c>
      <c r="N134" s="404">
        <f t="shared" ref="N134:Z134" si="26">SUM(N129:N133)</f>
        <v>477676.11940298503</v>
      </c>
      <c r="O134" s="404">
        <f t="shared" si="26"/>
        <v>38139.676616915422</v>
      </c>
      <c r="P134" s="404">
        <f t="shared" si="26"/>
        <v>38139.676616915422</v>
      </c>
      <c r="Q134" s="404">
        <f t="shared" si="26"/>
        <v>38139.676616915422</v>
      </c>
      <c r="R134" s="404">
        <f t="shared" si="26"/>
        <v>48139.676616915422</v>
      </c>
      <c r="S134" s="404">
        <f t="shared" si="26"/>
        <v>38139.676616915422</v>
      </c>
      <c r="T134" s="404">
        <f t="shared" si="26"/>
        <v>38139.676616915422</v>
      </c>
      <c r="U134" s="404">
        <f t="shared" si="26"/>
        <v>38139.676616915422</v>
      </c>
      <c r="V134" s="404">
        <f t="shared" si="26"/>
        <v>38139.676616915422</v>
      </c>
      <c r="W134" s="404">
        <f t="shared" si="26"/>
        <v>48139.676616915422</v>
      </c>
      <c r="X134" s="404">
        <f t="shared" si="26"/>
        <v>38139.676616915422</v>
      </c>
      <c r="Y134" s="404">
        <f t="shared" si="26"/>
        <v>38139.676616915422</v>
      </c>
      <c r="Z134" s="404">
        <f t="shared" si="26"/>
        <v>38139.676616915422</v>
      </c>
    </row>
    <row r="135" spans="1:28" x14ac:dyDescent="0.25">
      <c r="A135" s="441" t="s">
        <v>822</v>
      </c>
      <c r="B135" s="441"/>
      <c r="C135" s="402"/>
      <c r="D135" s="402"/>
      <c r="E135" s="402"/>
      <c r="F135" s="402"/>
      <c r="G135" s="402"/>
      <c r="H135" s="491"/>
      <c r="I135" s="491"/>
      <c r="J135" s="402"/>
      <c r="K135" s="402"/>
      <c r="L135" s="402"/>
      <c r="M135" s="402"/>
      <c r="N135" s="402"/>
      <c r="O135" s="402" t="s">
        <v>5</v>
      </c>
      <c r="P135" s="402"/>
      <c r="Q135" s="402"/>
      <c r="R135" s="402"/>
      <c r="S135" s="402"/>
      <c r="T135" s="402"/>
      <c r="U135" s="402"/>
      <c r="V135" s="402"/>
      <c r="W135" s="402"/>
      <c r="X135" s="402"/>
      <c r="Y135" s="402"/>
      <c r="Z135" s="402"/>
    </row>
    <row r="136" spans="1:28" outlineLevel="1" x14ac:dyDescent="0.25">
      <c r="A136" s="442"/>
      <c r="B136" s="442" t="s">
        <v>13</v>
      </c>
      <c r="C136" s="442" t="s">
        <v>14</v>
      </c>
      <c r="D136" s="403" t="s">
        <v>2312</v>
      </c>
      <c r="E136" s="520"/>
      <c r="F136" s="520"/>
      <c r="G136" s="520"/>
      <c r="H136" s="520"/>
      <c r="I136" s="520"/>
      <c r="J136" s="410"/>
      <c r="K136" s="409"/>
      <c r="L136" s="404" t="s">
        <v>52</v>
      </c>
      <c r="M136" s="404" t="s">
        <v>53</v>
      </c>
      <c r="N136" s="404" t="s">
        <v>54</v>
      </c>
      <c r="O136" s="443">
        <v>43101</v>
      </c>
      <c r="P136" s="443">
        <v>43132</v>
      </c>
      <c r="Q136" s="443">
        <v>43160</v>
      </c>
      <c r="R136" s="443">
        <v>43191</v>
      </c>
      <c r="S136" s="443">
        <v>43221</v>
      </c>
      <c r="T136" s="443">
        <v>43252</v>
      </c>
      <c r="U136" s="443">
        <v>43282</v>
      </c>
      <c r="V136" s="443">
        <v>43313</v>
      </c>
      <c r="W136" s="443">
        <v>43344</v>
      </c>
      <c r="X136" s="443">
        <v>43374</v>
      </c>
      <c r="Y136" s="443">
        <v>43405</v>
      </c>
      <c r="Z136" s="443">
        <v>43435</v>
      </c>
    </row>
    <row r="137" spans="1:28" outlineLevel="1" x14ac:dyDescent="0.25">
      <c r="A137" s="508"/>
      <c r="B137" s="508" t="s">
        <v>27</v>
      </c>
      <c r="C137" s="508" t="str">
        <f>C17</f>
        <v>La Fortuna Drilling Campaign</v>
      </c>
      <c r="D137" s="508" t="s">
        <v>2313</v>
      </c>
      <c r="E137" s="520"/>
      <c r="F137" s="520"/>
      <c r="G137" s="520"/>
      <c r="H137" s="520"/>
      <c r="I137" s="520"/>
      <c r="J137" s="410"/>
      <c r="K137" s="409" t="s">
        <v>5</v>
      </c>
      <c r="L137" s="496" t="s">
        <v>42</v>
      </c>
      <c r="M137" s="496" t="s">
        <v>55</v>
      </c>
      <c r="N137" s="496">
        <v>12</v>
      </c>
      <c r="O137" s="521">
        <f t="shared" ref="O137:Z139" si="27">+O17/SUM($O17:$Z17)</f>
        <v>0.10060968913071446</v>
      </c>
      <c r="P137" s="521">
        <f t="shared" si="27"/>
        <v>0.10060968913071446</v>
      </c>
      <c r="Q137" s="521">
        <f t="shared" si="27"/>
        <v>0.10060968913071446</v>
      </c>
      <c r="R137" s="521">
        <f t="shared" si="27"/>
        <v>0.10060968913071446</v>
      </c>
      <c r="S137" s="521">
        <f t="shared" si="27"/>
        <v>8.1970711073874977E-2</v>
      </c>
      <c r="T137" s="521">
        <f t="shared" si="27"/>
        <v>8.1970711073874977E-2</v>
      </c>
      <c r="U137" s="521">
        <f t="shared" si="27"/>
        <v>8.1970711073874977E-2</v>
      </c>
      <c r="V137" s="521">
        <f t="shared" si="27"/>
        <v>8.1970711073874977E-2</v>
      </c>
      <c r="W137" s="521">
        <f t="shared" si="27"/>
        <v>8.1970711073874977E-2</v>
      </c>
      <c r="X137" s="521">
        <f t="shared" si="27"/>
        <v>6.2569229369255713E-2</v>
      </c>
      <c r="Y137" s="521">
        <f t="shared" si="27"/>
        <v>6.2569229369255713E-2</v>
      </c>
      <c r="Z137" s="521">
        <f t="shared" si="27"/>
        <v>6.2569229369255713E-2</v>
      </c>
    </row>
    <row r="138" spans="1:28" ht="30" outlineLevel="1" x14ac:dyDescent="0.25">
      <c r="A138" s="508"/>
      <c r="B138" s="508" t="s">
        <v>29</v>
      </c>
      <c r="C138" s="508" t="e">
        <f>#REF!</f>
        <v>#REF!</v>
      </c>
      <c r="D138" s="508" t="s">
        <v>2314</v>
      </c>
      <c r="E138" s="520"/>
      <c r="F138" s="520"/>
      <c r="G138" s="520"/>
      <c r="H138" s="520"/>
      <c r="I138" s="520"/>
      <c r="J138" s="410"/>
      <c r="K138" s="409" t="s">
        <v>5</v>
      </c>
      <c r="L138" s="496" t="s">
        <v>42</v>
      </c>
      <c r="M138" s="496" t="s">
        <v>55</v>
      </c>
      <c r="N138" s="496">
        <v>12</v>
      </c>
      <c r="O138" s="521">
        <f t="shared" si="27"/>
        <v>0</v>
      </c>
      <c r="P138" s="521">
        <f t="shared" si="27"/>
        <v>0.39139148804883622</v>
      </c>
      <c r="Q138" s="521">
        <f t="shared" si="27"/>
        <v>0.52655539409754526</v>
      </c>
      <c r="R138" s="521">
        <f t="shared" si="27"/>
        <v>0</v>
      </c>
      <c r="S138" s="521">
        <f t="shared" si="27"/>
        <v>0</v>
      </c>
      <c r="T138" s="521">
        <f t="shared" si="27"/>
        <v>0</v>
      </c>
      <c r="U138" s="521">
        <f t="shared" si="27"/>
        <v>8.205311785361856E-2</v>
      </c>
      <c r="V138" s="521">
        <f t="shared" si="27"/>
        <v>0</v>
      </c>
      <c r="W138" s="521">
        <f t="shared" si="27"/>
        <v>0</v>
      </c>
      <c r="X138" s="521">
        <f t="shared" si="27"/>
        <v>0</v>
      </c>
      <c r="Y138" s="521">
        <f t="shared" si="27"/>
        <v>0</v>
      </c>
      <c r="Z138" s="521">
        <f t="shared" si="27"/>
        <v>0</v>
      </c>
    </row>
    <row r="139" spans="1:28" outlineLevel="1" x14ac:dyDescent="0.25">
      <c r="A139" s="508"/>
      <c r="B139" s="508" t="s">
        <v>30</v>
      </c>
      <c r="C139" s="508" t="str">
        <f>C21</f>
        <v>Hardware &amp; Software</v>
      </c>
      <c r="D139" s="508" t="e">
        <v>#REF!</v>
      </c>
      <c r="E139" s="520"/>
      <c r="F139" s="520"/>
      <c r="G139" s="520"/>
      <c r="H139" s="520"/>
      <c r="I139" s="520"/>
      <c r="J139" s="410"/>
      <c r="K139" s="409" t="s">
        <v>5</v>
      </c>
      <c r="L139" s="496" t="s">
        <v>50</v>
      </c>
      <c r="M139" s="496" t="s">
        <v>55</v>
      </c>
      <c r="N139" s="496">
        <v>4</v>
      </c>
      <c r="O139" s="521">
        <f t="shared" si="27"/>
        <v>5.6828704951942151E-2</v>
      </c>
      <c r="P139" s="521">
        <f t="shared" si="27"/>
        <v>5.6828704951942151E-2</v>
      </c>
      <c r="Q139" s="521">
        <f t="shared" si="27"/>
        <v>0.25609230361007035</v>
      </c>
      <c r="R139" s="521">
        <f t="shared" si="27"/>
        <v>5.6828704951942151E-2</v>
      </c>
      <c r="S139" s="521">
        <f t="shared" si="27"/>
        <v>5.6828704951942151E-2</v>
      </c>
      <c r="T139" s="521">
        <f t="shared" si="27"/>
        <v>5.6828704951942151E-2</v>
      </c>
      <c r="U139" s="521">
        <f t="shared" si="27"/>
        <v>5.6828704951942151E-2</v>
      </c>
      <c r="V139" s="521">
        <f t="shared" si="27"/>
        <v>5.6828704951942151E-2</v>
      </c>
      <c r="W139" s="521">
        <f t="shared" si="27"/>
        <v>0.17562064687050799</v>
      </c>
      <c r="X139" s="521">
        <f t="shared" si="27"/>
        <v>5.6828704951942151E-2</v>
      </c>
      <c r="Y139" s="521">
        <f t="shared" si="27"/>
        <v>5.6828704951942151E-2</v>
      </c>
      <c r="Z139" s="521">
        <f t="shared" si="27"/>
        <v>5.6828704951942151E-2</v>
      </c>
    </row>
    <row r="140" spans="1:28" outlineLevel="1" x14ac:dyDescent="0.25">
      <c r="A140" s="508"/>
      <c r="B140" s="508" t="s">
        <v>31</v>
      </c>
      <c r="C140" s="508" t="s">
        <v>823</v>
      </c>
      <c r="D140" s="495"/>
      <c r="E140" s="520"/>
      <c r="F140" s="520"/>
      <c r="G140" s="520"/>
      <c r="H140" s="520"/>
      <c r="I140" s="520"/>
      <c r="J140" s="410"/>
      <c r="K140" s="409" t="s">
        <v>5</v>
      </c>
      <c r="L140" s="496" t="s">
        <v>42</v>
      </c>
      <c r="M140" s="496" t="s">
        <v>55</v>
      </c>
      <c r="N140" s="496">
        <v>12</v>
      </c>
      <c r="O140" s="409" t="s">
        <v>5</v>
      </c>
      <c r="P140" s="409"/>
      <c r="Q140" s="409"/>
      <c r="R140" s="409"/>
      <c r="S140" s="409"/>
      <c r="T140" s="409"/>
      <c r="U140" s="409"/>
      <c r="V140" s="409"/>
      <c r="W140" s="409"/>
      <c r="X140" s="409"/>
      <c r="Y140" s="409"/>
      <c r="Z140" s="409"/>
    </row>
    <row r="141" spans="1:28" outlineLevel="1" x14ac:dyDescent="0.25">
      <c r="A141" s="508"/>
      <c r="B141" s="508" t="s">
        <v>32</v>
      </c>
      <c r="C141" s="508" t="s">
        <v>824</v>
      </c>
      <c r="D141" s="495"/>
      <c r="E141" s="520"/>
      <c r="F141" s="520"/>
      <c r="G141" s="520"/>
      <c r="H141" s="520"/>
      <c r="I141" s="520"/>
      <c r="J141" s="410"/>
      <c r="K141" s="409" t="s">
        <v>5</v>
      </c>
      <c r="L141" s="496" t="s">
        <v>42</v>
      </c>
      <c r="M141" s="496" t="s">
        <v>55</v>
      </c>
      <c r="N141" s="496">
        <v>12</v>
      </c>
      <c r="O141" s="409" t="s">
        <v>5</v>
      </c>
      <c r="P141" s="409"/>
      <c r="Q141" s="409"/>
      <c r="R141" s="409"/>
      <c r="S141" s="409"/>
      <c r="T141" s="409"/>
      <c r="U141" s="409"/>
      <c r="V141" s="409"/>
      <c r="W141" s="409"/>
      <c r="X141" s="409"/>
      <c r="Y141" s="409"/>
      <c r="Z141" s="409"/>
    </row>
    <row r="142" spans="1:28" ht="22.5" customHeight="1" outlineLevel="1" x14ac:dyDescent="0.25">
      <c r="A142" s="537"/>
      <c r="B142" s="538"/>
      <c r="C142" s="538"/>
      <c r="D142" s="538"/>
      <c r="E142" s="519"/>
      <c r="F142" s="519"/>
      <c r="G142" s="519"/>
      <c r="H142" s="519"/>
      <c r="I142" s="519"/>
      <c r="J142" s="516" t="s">
        <v>20</v>
      </c>
      <c r="K142" s="519"/>
      <c r="L142" s="404" t="s">
        <v>42</v>
      </c>
      <c r="M142" s="404" t="s">
        <v>55</v>
      </c>
      <c r="N142" s="409">
        <f>+N141</f>
        <v>12</v>
      </c>
      <c r="O142" s="521">
        <f t="shared" ref="O142:Z142" si="28">+O23/SUM($O23:$Z23)</f>
        <v>0.18414155254206654</v>
      </c>
      <c r="P142" s="521">
        <f t="shared" si="28"/>
        <v>0.10070425168550516</v>
      </c>
      <c r="Q142" s="521">
        <f t="shared" si="28"/>
        <v>0.10641728477204898</v>
      </c>
      <c r="R142" s="521">
        <f t="shared" si="28"/>
        <v>8.6461241394822877E-2</v>
      </c>
      <c r="S142" s="521">
        <f t="shared" si="28"/>
        <v>7.6742529892516037E-2</v>
      </c>
      <c r="T142" s="521">
        <f t="shared" si="28"/>
        <v>7.9752812920415625E-2</v>
      </c>
      <c r="U142" s="521">
        <f t="shared" si="28"/>
        <v>5.8933687292468277E-2</v>
      </c>
      <c r="V142" s="521">
        <f t="shared" si="28"/>
        <v>6.414662299675733E-2</v>
      </c>
      <c r="W142" s="521">
        <f t="shared" si="28"/>
        <v>7.74847771757982E-2</v>
      </c>
      <c r="X142" s="521">
        <f t="shared" si="28"/>
        <v>5.4835431524638836E-2</v>
      </c>
      <c r="Y142" s="521">
        <f t="shared" si="28"/>
        <v>5.5544376278323267E-2</v>
      </c>
      <c r="Z142" s="521">
        <f t="shared" si="28"/>
        <v>5.4835431524638836E-2</v>
      </c>
    </row>
    <row r="144" spans="1:28" x14ac:dyDescent="0.25">
      <c r="B144" s="445" t="s">
        <v>21</v>
      </c>
      <c r="C144" s="446">
        <v>43102</v>
      </c>
    </row>
    <row r="145" spans="2:3" x14ac:dyDescent="0.25">
      <c r="B145" s="445" t="s">
        <v>23</v>
      </c>
      <c r="C145" s="446">
        <v>42917</v>
      </c>
    </row>
  </sheetData>
  <dataValidations count="1">
    <dataValidation type="list" allowBlank="1" showInputMessage="1" showErrorMessage="1" sqref="E76:E78 E17:E23 E100:E112 E87 E91:E96 E129:E133 E116:E125">
      <formula1>$H$2:$H$33</formula1>
    </dataValidation>
  </dataValidations>
  <printOptions horizontalCentered="1"/>
  <pageMargins left="0.31496062992125984" right="0.31496062992125984" top="0.86614173228346458" bottom="1.1811023622047245" header="0.31496062992125984" footer="0.31496062992125984"/>
  <pageSetup paperSize="17" scale="51" fitToHeight="2" orientation="landscape" r:id="rId1"/>
  <headerFoot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Presupuestos/2018/[1002-40303-PS-SOA-0001 IT.xlsx]Lists'!#REF!</xm:f>
          </x14:formula1>
          <xm:sqref>B8 F76:F78 F100:F112 F82:F87 F91:F96 F129:F133 F116:F125 H76:M78 H129:L133 N137:N141 L17:L23 H82:L87 H91:L96 H100:L112 H116:L125 L137:M142</xm:sqref>
        </x14:dataValidation>
        <x14:dataValidation type="list" allowBlank="1" showInputMessage="1" showErrorMessage="1">
          <x14:formula1>
            <xm:f>'https://nuevaunionspa-my.sharepoint.com/personal/gineva_alcota_nuevaunion_cl/Documents/40300 Cost Control/40303 Presupuestos/2018/[1002-40303-PS-SOA-0001 IT.xlsx]CCs &amp; Accounts'!#REF!</xm:f>
          </x14:formula1>
          <xm:sqref>E82:E86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U22"/>
  <sheetViews>
    <sheetView showGridLines="0" view="pageLayout" topLeftCell="A10" zoomScale="80" zoomScaleNormal="70" zoomScalePageLayoutView="80" workbookViewId="0">
      <selection activeCell="C28" sqref="C28"/>
    </sheetView>
  </sheetViews>
  <sheetFormatPr baseColWidth="10" defaultColWidth="11.42578125" defaultRowHeight="15" outlineLevelRow="1" outlineLevelCol="1" x14ac:dyDescent="0.25"/>
  <cols>
    <col min="1" max="1" width="10.85546875" style="400" customWidth="1"/>
    <col min="2" max="2" width="26.5703125" style="400" customWidth="1"/>
    <col min="3" max="3" width="43.7109375" style="400" customWidth="1"/>
    <col min="4" max="4" width="32.5703125" style="400" customWidth="1"/>
    <col min="5" max="5" width="17.5703125" style="400" customWidth="1"/>
    <col min="6" max="6" width="17.7109375" style="400" customWidth="1"/>
    <col min="7" max="7" width="15.4257812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1435</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tr">
        <f>+Business_Service!B8</f>
        <v xml:space="preserve">2.6 Business Service </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+Business_Service!B10</f>
        <v>682 Administration</v>
      </c>
      <c r="C7" s="433"/>
      <c r="D7" s="423" t="str">
        <f>+Business_Service!D10</f>
        <v>Jeff LaFoy</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+Business_Service!B12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19</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t="s">
        <v>661</v>
      </c>
      <c r="B14" s="444" t="str">
        <f>+Business_Service!B17</f>
        <v>Objective 1</v>
      </c>
      <c r="C14" s="444" t="str">
        <f>+Business_Service!C17</f>
        <v>Audit, Tax Support and misc changes i.e.bank</v>
      </c>
      <c r="D14" s="405">
        <f>+Business_Service!D17</f>
        <v>0</v>
      </c>
      <c r="E14" s="406" t="str">
        <f>+Business_Service!E17</f>
        <v>682 / 51-11-3309</v>
      </c>
      <c r="F14" s="406">
        <f>+Business_Service!L17</f>
        <v>12</v>
      </c>
      <c r="G14" s="407">
        <f>+Business_Service!M17</f>
        <v>12</v>
      </c>
      <c r="H14" s="406">
        <f>+Business_Service!N17</f>
        <v>53000.000000000015</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t="s">
        <v>662</v>
      </c>
      <c r="B15" s="444" t="str">
        <f>+Business_Service!B18</f>
        <v>Objective 2</v>
      </c>
      <c r="C15" s="444" t="str">
        <f>+Business_Service!C18</f>
        <v>External accounting Support</v>
      </c>
      <c r="D15" s="405">
        <f>+Business_Service!D18</f>
        <v>0</v>
      </c>
      <c r="E15" s="406" t="str">
        <f>+Business_Service!E18</f>
        <v>682 / 51-11-3309</v>
      </c>
      <c r="F15" s="406">
        <f>+Business_Service!L18</f>
        <v>12</v>
      </c>
      <c r="G15" s="407">
        <f>+Business_Service!M18</f>
        <v>0</v>
      </c>
      <c r="H15" s="406">
        <f>+Business_Service!N18</f>
        <v>494000</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outlineLevel="1" x14ac:dyDescent="0.25">
      <c r="A16" s="444" t="s">
        <v>663</v>
      </c>
      <c r="B16" s="444" t="str">
        <f>+Business_Service!B19</f>
        <v>Objective 3</v>
      </c>
      <c r="C16" s="444" t="str">
        <f>+Business_Service!C19</f>
        <v>Commercial Support and other consulting</v>
      </c>
      <c r="D16" s="405"/>
      <c r="E16" s="406" t="str">
        <f>IF(Business_Service!E19="","",Business_Service!E19)</f>
        <v>682 / 51-11-3309</v>
      </c>
      <c r="F16" s="406"/>
      <c r="G16" s="410"/>
      <c r="H16" s="406">
        <f>+Business_Service!N19</f>
        <v>198000</v>
      </c>
      <c r="I16" s="409"/>
      <c r="J16" s="409"/>
      <c r="K16" s="409"/>
      <c r="L16" s="409"/>
      <c r="M16" s="409"/>
      <c r="N16" s="409"/>
      <c r="O16" s="409"/>
      <c r="P16" s="409"/>
      <c r="Q16" s="409"/>
      <c r="R16" s="409"/>
      <c r="S16" s="409"/>
      <c r="T16" s="409"/>
    </row>
    <row r="17" spans="1:20" ht="30" outlineLevel="1" x14ac:dyDescent="0.25">
      <c r="A17" s="444" t="s">
        <v>664</v>
      </c>
      <c r="B17" s="444" t="str">
        <f>+Business_Service!B20</f>
        <v>Objective 4</v>
      </c>
      <c r="C17" s="444" t="str">
        <f>+Business_Service!C20</f>
        <v>Operational and organizational design , process and procedures</v>
      </c>
      <c r="D17" s="405" t="s">
        <v>665</v>
      </c>
      <c r="E17" s="406" t="str">
        <f>IF(Business_Service!E20="","",Business_Service!E20)</f>
        <v>682 / 51-11-3309</v>
      </c>
      <c r="F17" s="406" t="str">
        <f>IF(Business_Service!L21="","",Business_Service!L21)</f>
        <v/>
      </c>
      <c r="G17" s="410" t="str">
        <f>IF(Business_Service!M21="","",Business_Service!M21)</f>
        <v/>
      </c>
      <c r="H17" s="406">
        <f>+Business_Service!N20</f>
        <v>1000000</v>
      </c>
      <c r="I17" s="409" t="s">
        <v>5</v>
      </c>
      <c r="J17" s="409"/>
      <c r="K17" s="409"/>
      <c r="L17" s="409"/>
      <c r="M17" s="409"/>
      <c r="N17" s="409"/>
      <c r="O17" s="409"/>
      <c r="P17" s="409"/>
      <c r="Q17" s="409"/>
      <c r="R17" s="409"/>
      <c r="S17" s="409"/>
      <c r="T17" s="409"/>
    </row>
    <row r="18" spans="1:20" outlineLevel="1" x14ac:dyDescent="0.25">
      <c r="A18" s="412"/>
      <c r="B18" s="413"/>
      <c r="C18" s="413"/>
      <c r="D18" s="414"/>
      <c r="E18" s="415"/>
      <c r="F18" s="404">
        <f>+Business_Service!L22</f>
        <v>0</v>
      </c>
      <c r="G18" s="404">
        <f>SUM(G1:G17)</f>
        <v>12</v>
      </c>
      <c r="H18" s="404">
        <f t="shared" ref="H18:T18" si="0">SUM(H13:H17)</f>
        <v>1745000</v>
      </c>
      <c r="I18" s="404" t="e">
        <f t="shared" si="0"/>
        <v>#REF!</v>
      </c>
      <c r="J18" s="404" t="e">
        <f t="shared" si="0"/>
        <v>#REF!</v>
      </c>
      <c r="K18" s="404" t="e">
        <f t="shared" si="0"/>
        <v>#REF!</v>
      </c>
      <c r="L18" s="404" t="e">
        <f t="shared" si="0"/>
        <v>#REF!</v>
      </c>
      <c r="M18" s="404" t="e">
        <f t="shared" si="0"/>
        <v>#REF!</v>
      </c>
      <c r="N18" s="404" t="e">
        <f t="shared" si="0"/>
        <v>#REF!</v>
      </c>
      <c r="O18" s="404" t="e">
        <f t="shared" si="0"/>
        <v>#REF!</v>
      </c>
      <c r="P18" s="404" t="e">
        <f t="shared" si="0"/>
        <v>#REF!</v>
      </c>
      <c r="Q18" s="404" t="e">
        <f t="shared" si="0"/>
        <v>#REF!</v>
      </c>
      <c r="R18" s="404" t="e">
        <f t="shared" si="0"/>
        <v>#REF!</v>
      </c>
      <c r="S18" s="404" t="e">
        <f t="shared" si="0"/>
        <v>#REF!</v>
      </c>
      <c r="T18" s="404" t="e">
        <f t="shared" si="0"/>
        <v>#REF!</v>
      </c>
    </row>
    <row r="19" spans="1:20" ht="6.75" customHeight="1" x14ac:dyDescent="0.25">
      <c r="A19" s="414"/>
      <c r="B19" s="414"/>
      <c r="C19" s="414"/>
      <c r="D19" s="414"/>
      <c r="E19" s="414"/>
    </row>
    <row r="21" spans="1:20" ht="24.75" customHeight="1" x14ac:dyDescent="0.25">
      <c r="B21" s="445" t="s">
        <v>21</v>
      </c>
      <c r="C21" s="446">
        <v>43102</v>
      </c>
      <c r="F21" s="445" t="s">
        <v>22</v>
      </c>
      <c r="G21" s="447"/>
      <c r="H21" s="448"/>
    </row>
    <row r="22" spans="1:20" ht="24.75" customHeight="1" x14ac:dyDescent="0.25">
      <c r="B22" s="445" t="s">
        <v>23</v>
      </c>
      <c r="C22" s="446">
        <v>42917</v>
      </c>
      <c r="F22" s="445" t="s">
        <v>24</v>
      </c>
      <c r="G22" s="447"/>
      <c r="H22"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'https://nuevaunionspa-my.sharepoint.com/personal/gineva_alcota_nuevaunion_cl/Documents/40300 Cost Control/40303 Presupuestos/2018/Finanzas/[1002-40303-PS-SOA-0001_Finance.xlsx]Lists'!#REF!</xm:f>
          </x14:formula1>
          <xm:sqref>F18 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AA164"/>
  <sheetViews>
    <sheetView showGridLines="0" tabSelected="1" topLeftCell="A20" zoomScale="60" zoomScaleNormal="60" zoomScalePageLayoutView="70" workbookViewId="0">
      <selection activeCell="T107" sqref="T107"/>
    </sheetView>
  </sheetViews>
  <sheetFormatPr baseColWidth="10" defaultColWidth="11.42578125" defaultRowHeight="15" outlineLevelRow="1" outlineLevelCol="1" x14ac:dyDescent="0.25"/>
  <cols>
    <col min="1" max="1" width="24.140625" style="449" customWidth="1"/>
    <col min="2" max="2" width="26.28515625" style="449" customWidth="1"/>
    <col min="3" max="3" width="58.7109375" style="449" customWidth="1"/>
    <col min="4" max="4" width="79.42578125" style="449" hidden="1" customWidth="1"/>
    <col min="5" max="5" width="17.5703125" style="449" customWidth="1"/>
    <col min="6" max="6" width="23" style="449" hidden="1" customWidth="1"/>
    <col min="7" max="8" width="17.5703125" style="449" hidden="1" customWidth="1"/>
    <col min="9" max="10" width="11.5703125" style="449" hidden="1" customWidth="1"/>
    <col min="11" max="11" width="17.5703125" style="449" hidden="1" customWidth="1"/>
    <col min="12" max="13" width="17.7109375" style="449" hidden="1" customWidth="1"/>
    <col min="14" max="14" width="13.5703125" style="449" customWidth="1"/>
    <col min="15" max="15" width="10.8554687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hidden="1" customHeight="1" x14ac:dyDescent="0.25"/>
    <row r="2" spans="1:26" s="450" customFormat="1" ht="24.75" hidden="1" customHeight="1" x14ac:dyDescent="0.2">
      <c r="B2" s="451"/>
    </row>
    <row r="3" spans="1:26" s="450" customFormat="1" ht="24.75" hidden="1" customHeight="1" x14ac:dyDescent="0.3">
      <c r="B3" s="452"/>
    </row>
    <row r="4" spans="1:26" s="450" customFormat="1" ht="36.6" hidden="1" customHeight="1" x14ac:dyDescent="0.2"/>
    <row r="5" spans="1:26" ht="24.75" customHeight="1" x14ac:dyDescent="0.25"/>
    <row r="6" spans="1:26" ht="36.6" customHeight="1" x14ac:dyDescent="0.25">
      <c r="A6" s="453" t="s">
        <v>25</v>
      </c>
      <c r="B6" s="454"/>
      <c r="C6" s="455"/>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ht="18.75" x14ac:dyDescent="0.3">
      <c r="A7" s="458"/>
      <c r="B7" s="459" t="s">
        <v>6</v>
      </c>
      <c r="C7" s="459"/>
      <c r="D7" s="459"/>
      <c r="E7" s="459"/>
      <c r="F7" s="459"/>
      <c r="G7" s="459"/>
      <c r="H7" s="459"/>
      <c r="I7" s="459"/>
      <c r="J7" s="459"/>
      <c r="K7" s="459"/>
      <c r="L7" s="459"/>
      <c r="M7" s="459"/>
      <c r="N7" s="460"/>
      <c r="O7" s="461"/>
      <c r="P7" s="461"/>
      <c r="Q7" s="461"/>
      <c r="R7" s="461"/>
      <c r="S7" s="461"/>
      <c r="T7" s="461"/>
      <c r="U7" s="461"/>
      <c r="V7" s="461"/>
      <c r="W7" s="461"/>
      <c r="X7" s="461"/>
      <c r="Y7" s="461"/>
      <c r="Z7" s="462"/>
    </row>
    <row r="8" spans="1:26" ht="18.75" x14ac:dyDescent="0.3">
      <c r="A8" s="463"/>
      <c r="B8" s="464" t="s">
        <v>1411</v>
      </c>
      <c r="C8" s="465"/>
      <c r="D8" s="465"/>
      <c r="E8" s="466"/>
      <c r="F8" s="466"/>
      <c r="G8" s="466"/>
      <c r="H8" s="466"/>
      <c r="I8" s="466"/>
      <c r="J8" s="466"/>
      <c r="K8" s="466"/>
      <c r="L8" s="466"/>
      <c r="M8" s="466"/>
      <c r="N8" s="467" t="s">
        <v>7</v>
      </c>
      <c r="O8" s="468"/>
      <c r="P8" s="468"/>
      <c r="Q8" s="468"/>
      <c r="R8" s="468"/>
      <c r="S8" s="468"/>
      <c r="T8" s="468"/>
      <c r="U8" s="468"/>
      <c r="V8" s="468"/>
      <c r="W8" s="468"/>
      <c r="X8" s="468"/>
      <c r="Y8" s="468"/>
      <c r="Z8" s="469"/>
    </row>
    <row r="9" spans="1:26" ht="18.75" x14ac:dyDescent="0.3">
      <c r="A9" s="463"/>
      <c r="B9" s="470" t="s">
        <v>8</v>
      </c>
      <c r="C9" s="466"/>
      <c r="D9" s="470" t="s">
        <v>9</v>
      </c>
      <c r="E9" s="470"/>
      <c r="F9" s="470"/>
      <c r="G9" s="470"/>
      <c r="H9" s="470"/>
      <c r="I9" s="470"/>
      <c r="J9" s="470"/>
      <c r="K9" s="470"/>
      <c r="L9" s="470"/>
      <c r="M9" s="470"/>
      <c r="N9" s="471">
        <v>43102</v>
      </c>
      <c r="O9" s="472"/>
      <c r="P9" s="472"/>
      <c r="Q9" s="472"/>
      <c r="R9" s="472"/>
      <c r="S9" s="472"/>
      <c r="T9" s="472"/>
      <c r="U9" s="472"/>
      <c r="V9" s="472"/>
      <c r="W9" s="472"/>
      <c r="X9" s="472"/>
      <c r="Y9" s="472"/>
      <c r="Z9" s="473"/>
    </row>
    <row r="10" spans="1:26" ht="18.75" x14ac:dyDescent="0.3">
      <c r="A10" s="474"/>
      <c r="B10" s="475" t="str">
        <f>VLOOKUP(B8,Lists!E1:I41,3,FALSE)</f>
        <v>682 Administration</v>
      </c>
      <c r="C10" s="476"/>
      <c r="D10" s="464" t="s">
        <v>328</v>
      </c>
      <c r="E10" s="466"/>
      <c r="F10" s="466"/>
      <c r="G10" s="466"/>
      <c r="H10" s="466"/>
      <c r="I10" s="466"/>
      <c r="J10" s="466"/>
      <c r="K10" s="466"/>
      <c r="L10" s="466"/>
      <c r="M10" s="466"/>
      <c r="N10" s="477"/>
      <c r="O10" s="468"/>
      <c r="P10" s="468"/>
      <c r="Q10" s="468"/>
      <c r="R10" s="468"/>
      <c r="S10" s="468"/>
      <c r="T10" s="468"/>
      <c r="U10" s="468"/>
      <c r="V10" s="468"/>
      <c r="W10" s="468"/>
      <c r="X10" s="468"/>
      <c r="Y10" s="468"/>
      <c r="Z10" s="469"/>
    </row>
    <row r="11" spans="1:26" ht="18.75" x14ac:dyDescent="0.3">
      <c r="A11" s="474"/>
      <c r="B11" s="478" t="s">
        <v>10</v>
      </c>
      <c r="C11" s="476"/>
      <c r="D11" s="478"/>
      <c r="E11" s="478"/>
      <c r="F11" s="478"/>
      <c r="G11" s="478"/>
      <c r="H11" s="478"/>
      <c r="I11" s="478"/>
      <c r="J11" s="478"/>
      <c r="K11" s="478"/>
      <c r="L11" s="478"/>
      <c r="M11" s="478"/>
      <c r="N11" s="479" t="s">
        <v>11</v>
      </c>
      <c r="O11" s="480"/>
      <c r="P11" s="480"/>
      <c r="Q11" s="480"/>
      <c r="R11" s="480"/>
      <c r="S11" s="480"/>
      <c r="T11" s="480"/>
      <c r="U11" s="480"/>
      <c r="V11" s="480"/>
      <c r="W11" s="480"/>
      <c r="X11" s="480"/>
      <c r="Y11" s="480"/>
      <c r="Z11" s="481"/>
    </row>
    <row r="12" spans="1:26" ht="18.75" x14ac:dyDescent="0.3">
      <c r="A12" s="474"/>
      <c r="B12" s="482">
        <v>43313</v>
      </c>
      <c r="C12" s="476"/>
      <c r="D12" s="478"/>
      <c r="E12" s="466"/>
      <c r="F12" s="466"/>
      <c r="G12" s="466"/>
      <c r="H12" s="466"/>
      <c r="I12" s="466"/>
      <c r="J12" s="466"/>
      <c r="K12" s="466"/>
      <c r="L12" s="466"/>
      <c r="M12" s="466"/>
      <c r="N12" s="471">
        <v>43465</v>
      </c>
      <c r="O12" s="468"/>
      <c r="P12" s="468"/>
      <c r="Q12" s="468"/>
      <c r="R12" s="468"/>
      <c r="S12" s="468"/>
      <c r="T12" s="468"/>
      <c r="U12" s="468"/>
      <c r="V12" s="468"/>
      <c r="W12" s="468"/>
      <c r="X12" s="468"/>
      <c r="Y12" s="468"/>
      <c r="Z12" s="481"/>
    </row>
    <row r="13" spans="1:26" ht="18.75" x14ac:dyDescent="0.3">
      <c r="A13" s="483"/>
      <c r="B13" s="484"/>
      <c r="C13" s="485"/>
      <c r="D13" s="485"/>
      <c r="E13" s="485"/>
      <c r="F13" s="485"/>
      <c r="G13" s="485"/>
      <c r="H13" s="485"/>
      <c r="I13" s="485"/>
      <c r="J13" s="485"/>
      <c r="K13" s="485"/>
      <c r="L13" s="485"/>
      <c r="M13" s="485"/>
      <c r="N13" s="486"/>
      <c r="O13" s="487"/>
      <c r="P13" s="487"/>
      <c r="Q13" s="487"/>
      <c r="R13" s="487"/>
      <c r="S13" s="487"/>
      <c r="T13" s="487"/>
      <c r="U13" s="487"/>
      <c r="V13" s="487"/>
      <c r="W13" s="487"/>
      <c r="X13" s="487"/>
      <c r="Y13" s="487"/>
      <c r="Z13" s="488"/>
    </row>
    <row r="14" spans="1:26" ht="6.75" customHeight="1" x14ac:dyDescent="0.25"/>
    <row r="15" spans="1:26" ht="18.75" x14ac:dyDescent="0.25">
      <c r="A15" s="489" t="s">
        <v>12</v>
      </c>
      <c r="B15" s="489"/>
      <c r="C15" s="490"/>
      <c r="D15" s="490"/>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ht="15.75" x14ac:dyDescent="0.25">
      <c r="A16" s="492" t="s">
        <v>261</v>
      </c>
      <c r="B16" s="492" t="s">
        <v>13</v>
      </c>
      <c r="C16" s="492" t="s">
        <v>14</v>
      </c>
      <c r="D16" s="403" t="s">
        <v>15</v>
      </c>
      <c r="E16" s="404" t="s">
        <v>16</v>
      </c>
      <c r="F16" s="410"/>
      <c r="G16" s="410"/>
      <c r="H16" s="410"/>
      <c r="I16" s="410"/>
      <c r="J16" s="410"/>
      <c r="K16" s="410"/>
      <c r="L16" s="404" t="s">
        <v>17</v>
      </c>
      <c r="M16" s="404" t="s">
        <v>18</v>
      </c>
      <c r="N16" s="404" t="s">
        <v>19</v>
      </c>
      <c r="O16" s="493">
        <v>43101</v>
      </c>
      <c r="P16" s="493">
        <v>43132</v>
      </c>
      <c r="Q16" s="493">
        <v>43160</v>
      </c>
      <c r="R16" s="493">
        <v>43191</v>
      </c>
      <c r="S16" s="493">
        <v>43221</v>
      </c>
      <c r="T16" s="493">
        <v>43252</v>
      </c>
      <c r="U16" s="493">
        <v>43282</v>
      </c>
      <c r="V16" s="493">
        <v>43313</v>
      </c>
      <c r="W16" s="493">
        <v>43344</v>
      </c>
      <c r="X16" s="493">
        <v>43374</v>
      </c>
      <c r="Y16" s="493">
        <v>43405</v>
      </c>
      <c r="Z16" s="493">
        <v>43435</v>
      </c>
    </row>
    <row r="17" spans="1:26" ht="15.75" x14ac:dyDescent="0.25">
      <c r="A17" s="494"/>
      <c r="B17" s="494" t="s">
        <v>27</v>
      </c>
      <c r="C17" s="636" t="s">
        <v>1548</v>
      </c>
      <c r="D17" s="719"/>
      <c r="E17" s="512" t="s">
        <v>199</v>
      </c>
      <c r="F17" s="720"/>
      <c r="G17" s="720"/>
      <c r="H17" s="720"/>
      <c r="I17" s="720"/>
      <c r="J17" s="720"/>
      <c r="K17" s="720"/>
      <c r="L17" s="512">
        <v>12</v>
      </c>
      <c r="M17" s="721">
        <f>+M88</f>
        <v>12</v>
      </c>
      <c r="N17" s="512">
        <f>SUM(O17:Z17)</f>
        <v>53000.000000000015</v>
      </c>
      <c r="O17" s="498">
        <f>+O88</f>
        <v>83.333333333333329</v>
      </c>
      <c r="P17" s="498">
        <f t="shared" ref="P17:Z17" si="0">+P88</f>
        <v>83.333333333333329</v>
      </c>
      <c r="Q17" s="498">
        <f t="shared" si="0"/>
        <v>83.333333333333329</v>
      </c>
      <c r="R17" s="498">
        <f t="shared" si="0"/>
        <v>10083.333333333334</v>
      </c>
      <c r="S17" s="498">
        <f t="shared" si="0"/>
        <v>10083.333333333334</v>
      </c>
      <c r="T17" s="498">
        <f t="shared" si="0"/>
        <v>10083.333333333334</v>
      </c>
      <c r="U17" s="498">
        <f t="shared" si="0"/>
        <v>3783.3333333333335</v>
      </c>
      <c r="V17" s="498">
        <f t="shared" si="0"/>
        <v>3783.3333333333335</v>
      </c>
      <c r="W17" s="498">
        <f t="shared" si="0"/>
        <v>3733.3333333333335</v>
      </c>
      <c r="X17" s="498">
        <f t="shared" si="0"/>
        <v>3733.3333333333335</v>
      </c>
      <c r="Y17" s="498">
        <f t="shared" si="0"/>
        <v>3733.3333333333335</v>
      </c>
      <c r="Z17" s="498">
        <f t="shared" si="0"/>
        <v>3733.3333333333335</v>
      </c>
    </row>
    <row r="18" spans="1:26" ht="15.75" x14ac:dyDescent="0.25">
      <c r="A18" s="494"/>
      <c r="B18" s="494" t="s">
        <v>29</v>
      </c>
      <c r="C18" s="636" t="s">
        <v>1547</v>
      </c>
      <c r="D18" s="719"/>
      <c r="E18" s="512" t="s">
        <v>199</v>
      </c>
      <c r="F18" s="720"/>
      <c r="G18" s="720"/>
      <c r="H18" s="720"/>
      <c r="I18" s="720"/>
      <c r="J18" s="720"/>
      <c r="K18" s="720"/>
      <c r="L18" s="512">
        <v>12</v>
      </c>
      <c r="M18" s="721">
        <f>+M91</f>
        <v>0</v>
      </c>
      <c r="N18" s="512">
        <f>SUM(O18:Z18)</f>
        <v>494000</v>
      </c>
      <c r="O18" s="498">
        <f t="shared" ref="O18:Z18" si="1">+O102</f>
        <v>16000</v>
      </c>
      <c r="P18" s="498">
        <f t="shared" si="1"/>
        <v>16000</v>
      </c>
      <c r="Q18" s="498">
        <f t="shared" si="1"/>
        <v>63500</v>
      </c>
      <c r="R18" s="498">
        <f t="shared" si="1"/>
        <v>66000</v>
      </c>
      <c r="S18" s="498">
        <f t="shared" si="1"/>
        <v>51500</v>
      </c>
      <c r="T18" s="498">
        <f t="shared" si="1"/>
        <v>51500</v>
      </c>
      <c r="U18" s="498">
        <f t="shared" si="1"/>
        <v>54000</v>
      </c>
      <c r="V18" s="498">
        <f t="shared" si="1"/>
        <v>49500</v>
      </c>
      <c r="W18" s="498">
        <f t="shared" si="1"/>
        <v>36500</v>
      </c>
      <c r="X18" s="498">
        <f t="shared" si="1"/>
        <v>39000</v>
      </c>
      <c r="Y18" s="498">
        <f t="shared" si="1"/>
        <v>24000</v>
      </c>
      <c r="Z18" s="498">
        <f t="shared" si="1"/>
        <v>26500</v>
      </c>
    </row>
    <row r="19" spans="1:26" ht="15.75" x14ac:dyDescent="0.25">
      <c r="A19" s="494"/>
      <c r="B19" s="494" t="s">
        <v>30</v>
      </c>
      <c r="C19" s="636" t="s">
        <v>1546</v>
      </c>
      <c r="D19" s="719"/>
      <c r="E19" s="512" t="s">
        <v>199</v>
      </c>
      <c r="F19" s="720"/>
      <c r="G19" s="720"/>
      <c r="H19" s="720"/>
      <c r="I19" s="720"/>
      <c r="J19" s="720"/>
      <c r="K19" s="720"/>
      <c r="L19" s="512"/>
      <c r="M19" s="720"/>
      <c r="N19" s="512">
        <f>SUM(O19:Z19)</f>
        <v>198000</v>
      </c>
      <c r="O19" s="498">
        <f>+O121</f>
        <v>21250</v>
      </c>
      <c r="P19" s="498">
        <f t="shared" ref="P19:Z19" si="2">+P121</f>
        <v>21250</v>
      </c>
      <c r="Q19" s="498">
        <f t="shared" si="2"/>
        <v>21250</v>
      </c>
      <c r="R19" s="498">
        <f t="shared" si="2"/>
        <v>22950</v>
      </c>
      <c r="S19" s="498">
        <f t="shared" si="2"/>
        <v>15200</v>
      </c>
      <c r="T19" s="498">
        <f t="shared" si="2"/>
        <v>15200</v>
      </c>
      <c r="U19" s="498">
        <f t="shared" si="2"/>
        <v>17650</v>
      </c>
      <c r="V19" s="498">
        <f t="shared" si="2"/>
        <v>17650</v>
      </c>
      <c r="W19" s="498">
        <f t="shared" si="2"/>
        <v>17650</v>
      </c>
      <c r="X19" s="498">
        <f t="shared" si="2"/>
        <v>17650</v>
      </c>
      <c r="Y19" s="498">
        <f t="shared" si="2"/>
        <v>5150</v>
      </c>
      <c r="Z19" s="498">
        <f t="shared" si="2"/>
        <v>5150</v>
      </c>
    </row>
    <row r="20" spans="1:26" ht="31.5" x14ac:dyDescent="0.25">
      <c r="A20" s="494"/>
      <c r="B20" s="494" t="s">
        <v>31</v>
      </c>
      <c r="C20" s="636" t="s">
        <v>676</v>
      </c>
      <c r="D20" s="719" t="s">
        <v>665</v>
      </c>
      <c r="E20" s="512" t="s">
        <v>199</v>
      </c>
      <c r="F20" s="720"/>
      <c r="G20" s="720"/>
      <c r="H20" s="720"/>
      <c r="I20" s="720"/>
      <c r="J20" s="720"/>
      <c r="K20" s="720"/>
      <c r="L20" s="512"/>
      <c r="M20" s="720"/>
      <c r="N20" s="512">
        <f>N126</f>
        <v>1000000</v>
      </c>
      <c r="O20" s="498">
        <f>+O126</f>
        <v>0</v>
      </c>
      <c r="P20" s="498">
        <f t="shared" ref="P20:Z20" si="3">+P126</f>
        <v>0</v>
      </c>
      <c r="Q20" s="498">
        <f t="shared" si="3"/>
        <v>0</v>
      </c>
      <c r="R20" s="498">
        <f t="shared" si="3"/>
        <v>0</v>
      </c>
      <c r="S20" s="498">
        <f t="shared" si="3"/>
        <v>0</v>
      </c>
      <c r="T20" s="498">
        <f t="shared" si="3"/>
        <v>200000</v>
      </c>
      <c r="U20" s="498">
        <f t="shared" si="3"/>
        <v>200000</v>
      </c>
      <c r="V20" s="498">
        <f t="shared" si="3"/>
        <v>200000</v>
      </c>
      <c r="W20" s="498">
        <f t="shared" si="3"/>
        <v>200000</v>
      </c>
      <c r="X20" s="498">
        <f t="shared" si="3"/>
        <v>200000</v>
      </c>
      <c r="Y20" s="498">
        <f t="shared" si="3"/>
        <v>0</v>
      </c>
      <c r="Z20" s="498">
        <f t="shared" si="3"/>
        <v>0</v>
      </c>
    </row>
    <row r="21" spans="1:26" ht="15.75" x14ac:dyDescent="0.25">
      <c r="A21" s="494"/>
      <c r="B21" s="494"/>
      <c r="C21" s="494"/>
      <c r="D21" s="495"/>
      <c r="E21" s="496"/>
      <c r="F21" s="410"/>
      <c r="G21" s="410"/>
      <c r="H21" s="410"/>
      <c r="I21" s="410"/>
      <c r="J21" s="410"/>
      <c r="K21" s="410"/>
      <c r="L21" s="496"/>
      <c r="M21" s="410"/>
      <c r="N21" s="496">
        <f t="shared" ref="N21:Z21" si="4">+N113</f>
        <v>0</v>
      </c>
      <c r="O21" s="496">
        <f t="shared" si="4"/>
        <v>0</v>
      </c>
      <c r="P21" s="496">
        <f t="shared" si="4"/>
        <v>0</v>
      </c>
      <c r="Q21" s="496">
        <f t="shared" si="4"/>
        <v>0</v>
      </c>
      <c r="R21" s="496">
        <f t="shared" si="4"/>
        <v>0</v>
      </c>
      <c r="S21" s="496">
        <f t="shared" si="4"/>
        <v>0</v>
      </c>
      <c r="T21" s="496">
        <f t="shared" si="4"/>
        <v>0</v>
      </c>
      <c r="U21" s="496">
        <f t="shared" si="4"/>
        <v>0</v>
      </c>
      <c r="V21" s="496">
        <f t="shared" si="4"/>
        <v>0</v>
      </c>
      <c r="W21" s="496">
        <f t="shared" si="4"/>
        <v>0</v>
      </c>
      <c r="X21" s="496">
        <f t="shared" si="4"/>
        <v>0</v>
      </c>
      <c r="Y21" s="496">
        <f t="shared" si="4"/>
        <v>0</v>
      </c>
      <c r="Z21" s="496">
        <f t="shared" si="4"/>
        <v>0</v>
      </c>
    </row>
    <row r="22" spans="1:26" x14ac:dyDescent="0.25">
      <c r="A22" s="499"/>
      <c r="B22" s="500"/>
      <c r="C22" s="500"/>
      <c r="D22" s="501"/>
      <c r="E22" s="415"/>
      <c r="F22" s="415"/>
      <c r="G22" s="415"/>
      <c r="H22" s="415"/>
      <c r="I22" s="415"/>
      <c r="J22" s="502" t="s">
        <v>20</v>
      </c>
      <c r="K22" s="503"/>
      <c r="L22" s="404"/>
      <c r="M22" s="404">
        <f>SUM(M2:M21)</f>
        <v>12</v>
      </c>
      <c r="N22" s="404">
        <f t="shared" ref="N22:Z22" si="5">SUM(N17:N21)</f>
        <v>1745000</v>
      </c>
      <c r="O22" s="404">
        <f t="shared" si="5"/>
        <v>37333.333333333336</v>
      </c>
      <c r="P22" s="404">
        <f t="shared" si="5"/>
        <v>37333.333333333336</v>
      </c>
      <c r="Q22" s="404">
        <f t="shared" si="5"/>
        <v>84833.333333333343</v>
      </c>
      <c r="R22" s="404">
        <f t="shared" si="5"/>
        <v>99033.333333333328</v>
      </c>
      <c r="S22" s="404">
        <f t="shared" si="5"/>
        <v>76783.333333333343</v>
      </c>
      <c r="T22" s="404">
        <f t="shared" si="5"/>
        <v>276783.33333333337</v>
      </c>
      <c r="U22" s="404">
        <f t="shared" si="5"/>
        <v>275433.33333333337</v>
      </c>
      <c r="V22" s="404">
        <f t="shared" si="5"/>
        <v>270933.33333333337</v>
      </c>
      <c r="W22" s="404">
        <f t="shared" si="5"/>
        <v>257883.33333333334</v>
      </c>
      <c r="X22" s="404">
        <f t="shared" si="5"/>
        <v>260383.33333333334</v>
      </c>
      <c r="Y22" s="404">
        <f t="shared" si="5"/>
        <v>32883.333333333328</v>
      </c>
      <c r="Z22" s="404">
        <f t="shared" si="5"/>
        <v>35383.333333333328</v>
      </c>
    </row>
    <row r="23" spans="1:26" ht="6.75" customHeight="1" x14ac:dyDescent="0.25">
      <c r="A23" s="501"/>
      <c r="B23" s="501"/>
      <c r="C23" s="501"/>
      <c r="D23" s="501"/>
      <c r="E23" s="501"/>
      <c r="F23" s="501"/>
      <c r="G23" s="501"/>
      <c r="H23" s="501"/>
      <c r="I23" s="501"/>
      <c r="J23" s="501"/>
      <c r="K23" s="501"/>
    </row>
    <row r="24" spans="1:26" ht="18.75" hidden="1" x14ac:dyDescent="0.25">
      <c r="A24" s="489" t="s">
        <v>33</v>
      </c>
      <c r="B24" s="489"/>
      <c r="C24" s="490"/>
      <c r="D24" s="490"/>
      <c r="E24" s="402"/>
      <c r="F24" s="402"/>
      <c r="G24" s="402"/>
      <c r="H24" s="491"/>
      <c r="I24" s="491"/>
      <c r="J24" s="402"/>
      <c r="K24" s="402"/>
      <c r="L24" s="402"/>
      <c r="M24" s="402"/>
      <c r="N24" s="402"/>
      <c r="O24" s="402" t="s">
        <v>5</v>
      </c>
      <c r="P24" s="402"/>
      <c r="Q24" s="402"/>
      <c r="R24" s="402"/>
      <c r="S24" s="402"/>
      <c r="T24" s="402"/>
      <c r="U24" s="402"/>
      <c r="V24" s="402"/>
      <c r="W24" s="402"/>
      <c r="X24" s="402"/>
      <c r="Y24" s="402"/>
      <c r="Z24" s="402"/>
    </row>
    <row r="25" spans="1:26" ht="15.75" hidden="1" x14ac:dyDescent="0.25">
      <c r="A25" s="492" t="s">
        <v>261</v>
      </c>
      <c r="B25" s="442" t="s">
        <v>13</v>
      </c>
      <c r="C25" s="442" t="s">
        <v>14</v>
      </c>
      <c r="D25" s="403" t="s">
        <v>15</v>
      </c>
      <c r="E25" s="410" t="s">
        <v>5</v>
      </c>
      <c r="F25" s="410" t="s">
        <v>5</v>
      </c>
      <c r="G25" s="410" t="s">
        <v>5</v>
      </c>
      <c r="H25" s="410"/>
      <c r="I25" s="410"/>
      <c r="J25" s="410"/>
      <c r="K25" s="410" t="s">
        <v>5</v>
      </c>
      <c r="L25" s="504" t="s">
        <v>287</v>
      </c>
      <c r="M25" s="410"/>
      <c r="N25" s="409"/>
      <c r="O25" s="409" t="s">
        <v>5</v>
      </c>
      <c r="P25" s="409"/>
      <c r="Q25" s="409"/>
      <c r="R25" s="409"/>
      <c r="S25" s="409"/>
      <c r="T25" s="409"/>
      <c r="U25" s="409"/>
      <c r="V25" s="409"/>
      <c r="W25" s="409"/>
      <c r="X25" s="409"/>
      <c r="Y25" s="409"/>
      <c r="Z25" s="409"/>
    </row>
    <row r="26" spans="1:26" ht="18.75" hidden="1" x14ac:dyDescent="0.25">
      <c r="A26" s="505" t="str">
        <f>CONCATENATE(B17," ",C17)</f>
        <v>Objective 1 Audit, Tax Support and misc changes i.e.bank</v>
      </c>
      <c r="B26" s="505"/>
      <c r="C26" s="506"/>
      <c r="D26" s="506"/>
      <c r="E26" s="507"/>
      <c r="F26" s="507"/>
      <c r="G26" s="507"/>
      <c r="H26" s="507"/>
      <c r="I26" s="507"/>
      <c r="J26" s="507"/>
      <c r="K26" s="507"/>
      <c r="L26" s="507"/>
      <c r="M26" s="507"/>
      <c r="N26" s="507"/>
      <c r="O26" s="507" t="s">
        <v>5</v>
      </c>
      <c r="P26" s="507"/>
      <c r="Q26" s="507"/>
      <c r="R26" s="507"/>
      <c r="S26" s="507"/>
      <c r="T26" s="507"/>
      <c r="U26" s="507"/>
      <c r="V26" s="507"/>
      <c r="W26" s="507"/>
      <c r="X26" s="507"/>
      <c r="Y26" s="507"/>
      <c r="Z26" s="507"/>
    </row>
    <row r="27" spans="1:26" ht="15.75" hidden="1" x14ac:dyDescent="0.25">
      <c r="A27" s="494"/>
      <c r="B27" s="508" t="s">
        <v>34</v>
      </c>
      <c r="C27" s="508"/>
      <c r="D27" s="510" t="s">
        <v>666</v>
      </c>
      <c r="E27" s="999"/>
      <c r="F27" s="999"/>
      <c r="G27" s="999"/>
      <c r="H27" s="999"/>
      <c r="I27" s="999"/>
      <c r="J27" s="999"/>
      <c r="K27" s="1000"/>
      <c r="L27" s="496"/>
      <c r="M27" s="410"/>
      <c r="N27" s="409"/>
      <c r="O27" s="409" t="s">
        <v>5</v>
      </c>
      <c r="P27" s="409"/>
      <c r="Q27" s="409"/>
      <c r="R27" s="409"/>
      <c r="S27" s="409"/>
      <c r="T27" s="409"/>
      <c r="U27" s="409"/>
      <c r="V27" s="409"/>
      <c r="W27" s="409"/>
      <c r="X27" s="409"/>
      <c r="Y27" s="409"/>
      <c r="Z27" s="409"/>
    </row>
    <row r="28" spans="1:26" ht="15.75" hidden="1" x14ac:dyDescent="0.25">
      <c r="A28" s="494"/>
      <c r="B28" s="508"/>
      <c r="C28" s="508"/>
      <c r="D28" s="495"/>
      <c r="E28" s="999"/>
      <c r="F28" s="999"/>
      <c r="G28" s="999"/>
      <c r="H28" s="999"/>
      <c r="I28" s="999"/>
      <c r="J28" s="999"/>
      <c r="K28" s="1000"/>
      <c r="L28" s="496"/>
      <c r="M28" s="410"/>
      <c r="N28" s="409"/>
      <c r="O28" s="409" t="s">
        <v>5</v>
      </c>
      <c r="P28" s="409"/>
      <c r="Q28" s="409"/>
      <c r="R28" s="409"/>
      <c r="S28" s="409"/>
      <c r="T28" s="409"/>
      <c r="U28" s="409"/>
      <c r="V28" s="409"/>
      <c r="W28" s="409"/>
      <c r="X28" s="409"/>
      <c r="Y28" s="409"/>
      <c r="Z28" s="409"/>
    </row>
    <row r="29" spans="1:26" ht="15.75" hidden="1" x14ac:dyDescent="0.25">
      <c r="A29" s="494"/>
      <c r="B29" s="508"/>
      <c r="C29" s="508"/>
      <c r="D29" s="495"/>
      <c r="E29" s="999" t="s">
        <v>5</v>
      </c>
      <c r="F29" s="999" t="s">
        <v>5</v>
      </c>
      <c r="G29" s="999" t="s">
        <v>5</v>
      </c>
      <c r="H29" s="999"/>
      <c r="I29" s="999"/>
      <c r="J29" s="999"/>
      <c r="K29" s="1000" t="s">
        <v>5</v>
      </c>
      <c r="L29" s="496"/>
      <c r="M29" s="410"/>
      <c r="N29" s="409"/>
      <c r="O29" s="409" t="s">
        <v>5</v>
      </c>
      <c r="P29" s="409"/>
      <c r="Q29" s="409"/>
      <c r="R29" s="409"/>
      <c r="S29" s="409"/>
      <c r="T29" s="409"/>
      <c r="U29" s="409"/>
      <c r="V29" s="409"/>
      <c r="W29" s="409"/>
      <c r="X29" s="409"/>
      <c r="Y29" s="409"/>
      <c r="Z29" s="409"/>
    </row>
    <row r="30" spans="1:26" ht="18.75" hidden="1" x14ac:dyDescent="0.25">
      <c r="A30" s="505" t="str">
        <f>CONCATENATE(B18," ",C18)</f>
        <v>Objective 2 External accounting Support</v>
      </c>
      <c r="B30" s="505"/>
      <c r="C30" s="506"/>
      <c r="D30" s="506"/>
      <c r="E30" s="507"/>
      <c r="F30" s="507"/>
      <c r="G30" s="507"/>
      <c r="H30" s="507"/>
      <c r="I30" s="507"/>
      <c r="J30" s="507"/>
      <c r="K30" s="507"/>
      <c r="L30" s="507"/>
      <c r="M30" s="507"/>
      <c r="N30" s="507"/>
      <c r="O30" s="507" t="s">
        <v>5</v>
      </c>
      <c r="P30" s="507"/>
      <c r="Q30" s="507"/>
      <c r="R30" s="507"/>
      <c r="S30" s="507"/>
      <c r="T30" s="507"/>
      <c r="U30" s="507"/>
      <c r="V30" s="507"/>
      <c r="W30" s="507"/>
      <c r="X30" s="507"/>
      <c r="Y30" s="507"/>
      <c r="Z30" s="507"/>
    </row>
    <row r="31" spans="1:26" ht="15.75" hidden="1" x14ac:dyDescent="0.25">
      <c r="A31" s="494"/>
      <c r="B31" s="508" t="s">
        <v>36</v>
      </c>
      <c r="C31" s="508"/>
      <c r="D31" s="495"/>
      <c r="E31" s="999"/>
      <c r="F31" s="999"/>
      <c r="G31" s="999"/>
      <c r="H31" s="999"/>
      <c r="I31" s="999"/>
      <c r="J31" s="999"/>
      <c r="K31" s="1000"/>
      <c r="L31" s="496"/>
      <c r="M31" s="410"/>
      <c r="N31" s="409"/>
      <c r="O31" s="409" t="s">
        <v>5</v>
      </c>
      <c r="P31" s="409"/>
      <c r="Q31" s="409"/>
      <c r="R31" s="409"/>
      <c r="S31" s="409"/>
      <c r="T31" s="409"/>
      <c r="U31" s="409"/>
      <c r="V31" s="409"/>
      <c r="W31" s="409"/>
      <c r="X31" s="409"/>
      <c r="Y31" s="409"/>
      <c r="Z31" s="409"/>
    </row>
    <row r="32" spans="1:26" ht="15.75" hidden="1" x14ac:dyDescent="0.25">
      <c r="A32" s="494"/>
      <c r="B32" s="508"/>
      <c r="C32" s="508"/>
      <c r="D32" s="495"/>
      <c r="E32" s="999" t="s">
        <v>5</v>
      </c>
      <c r="F32" s="999" t="s">
        <v>5</v>
      </c>
      <c r="G32" s="999" t="s">
        <v>5</v>
      </c>
      <c r="H32" s="999"/>
      <c r="I32" s="999"/>
      <c r="J32" s="999"/>
      <c r="K32" s="1000" t="s">
        <v>5</v>
      </c>
      <c r="L32" s="496"/>
      <c r="M32" s="410"/>
      <c r="N32" s="409"/>
      <c r="O32" s="409" t="s">
        <v>5</v>
      </c>
      <c r="P32" s="409"/>
      <c r="Q32" s="409"/>
      <c r="R32" s="409"/>
      <c r="S32" s="409"/>
      <c r="T32" s="409"/>
      <c r="U32" s="409"/>
      <c r="V32" s="409"/>
      <c r="W32" s="409"/>
      <c r="X32" s="409"/>
      <c r="Y32" s="409"/>
      <c r="Z32" s="409"/>
    </row>
    <row r="33" spans="1:26" ht="15.75" hidden="1" x14ac:dyDescent="0.25">
      <c r="A33" s="494"/>
      <c r="B33" s="508"/>
      <c r="C33" s="508"/>
      <c r="D33" s="495"/>
      <c r="E33" s="999" t="s">
        <v>5</v>
      </c>
      <c r="F33" s="999" t="s">
        <v>5</v>
      </c>
      <c r="G33" s="999" t="s">
        <v>5</v>
      </c>
      <c r="H33" s="999"/>
      <c r="I33" s="999"/>
      <c r="J33" s="999"/>
      <c r="K33" s="1000" t="s">
        <v>5</v>
      </c>
      <c r="L33" s="496"/>
      <c r="M33" s="410"/>
      <c r="N33" s="409"/>
      <c r="O33" s="409" t="s">
        <v>5</v>
      </c>
      <c r="P33" s="409"/>
      <c r="Q33" s="409"/>
      <c r="R33" s="409"/>
      <c r="S33" s="409"/>
      <c r="T33" s="409"/>
      <c r="U33" s="409"/>
      <c r="V33" s="409"/>
      <c r="W33" s="409"/>
      <c r="X33" s="409"/>
      <c r="Y33" s="409"/>
      <c r="Z33" s="409"/>
    </row>
    <row r="34" spans="1:26" ht="18.75" hidden="1" x14ac:dyDescent="0.25">
      <c r="A34" s="505" t="e">
        <f>CONCATENATE(#REF!," ",#REF!)</f>
        <v>#REF!</v>
      </c>
      <c r="B34" s="505"/>
      <c r="C34" s="506"/>
      <c r="D34" s="506"/>
      <c r="E34" s="507"/>
      <c r="F34" s="507"/>
      <c r="G34" s="507"/>
      <c r="H34" s="507"/>
      <c r="I34" s="507"/>
      <c r="J34" s="507"/>
      <c r="K34" s="507"/>
      <c r="L34" s="507"/>
      <c r="M34" s="507"/>
      <c r="N34" s="507"/>
      <c r="O34" s="507" t="s">
        <v>5</v>
      </c>
      <c r="P34" s="507"/>
      <c r="Q34" s="507"/>
      <c r="R34" s="507"/>
      <c r="S34" s="507"/>
      <c r="T34" s="507"/>
      <c r="U34" s="507"/>
      <c r="V34" s="507"/>
      <c r="W34" s="507"/>
      <c r="X34" s="507"/>
      <c r="Y34" s="507"/>
      <c r="Z34" s="507"/>
    </row>
    <row r="35" spans="1:26" ht="15.75" hidden="1" x14ac:dyDescent="0.25">
      <c r="A35" s="494"/>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ht="15.75" hidden="1" x14ac:dyDescent="0.25">
      <c r="A36" s="494"/>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t="18.75" hidden="1" outlineLevel="1" x14ac:dyDescent="0.25">
      <c r="A37" s="505" t="e">
        <f>CONCATENATE(#REF!," ",#REF!)</f>
        <v>#REF!</v>
      </c>
      <c r="B37" s="505"/>
      <c r="C37" s="506"/>
      <c r="D37" s="50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t="15.75" hidden="1" outlineLevel="1" x14ac:dyDescent="0.25">
      <c r="A38" s="494" t="s">
        <v>267</v>
      </c>
      <c r="B38" s="508"/>
      <c r="C38" s="508"/>
      <c r="D38" s="495"/>
      <c r="E38" s="999" t="s">
        <v>5</v>
      </c>
      <c r="F38" s="999" t="s">
        <v>5</v>
      </c>
      <c r="G38" s="999" t="s">
        <v>5</v>
      </c>
      <c r="H38" s="999"/>
      <c r="I38" s="999"/>
      <c r="J38" s="999"/>
      <c r="K38" s="1000" t="s">
        <v>5</v>
      </c>
      <c r="L38" s="496"/>
      <c r="M38" s="410"/>
      <c r="N38" s="409"/>
      <c r="O38" s="409" t="s">
        <v>5</v>
      </c>
      <c r="P38" s="409"/>
      <c r="Q38" s="409"/>
      <c r="R38" s="409"/>
      <c r="S38" s="409"/>
      <c r="T38" s="409"/>
      <c r="U38" s="409"/>
      <c r="V38" s="409"/>
      <c r="W38" s="409"/>
      <c r="X38" s="409"/>
      <c r="Y38" s="409"/>
      <c r="Z38" s="409"/>
    </row>
    <row r="39" spans="1:26" ht="15.75" hidden="1" outlineLevel="1" x14ac:dyDescent="0.25">
      <c r="A39" s="494" t="s">
        <v>268</v>
      </c>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t="15.75" hidden="1" outlineLevel="1" x14ac:dyDescent="0.25">
      <c r="A40" s="494"/>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t="15.75" hidden="1" outlineLevel="1" x14ac:dyDescent="0.25">
      <c r="A41" s="494"/>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t="15.75" hidden="1" outlineLevel="1" x14ac:dyDescent="0.25">
      <c r="A42" s="494"/>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t="18.75" hidden="1" outlineLevel="1" x14ac:dyDescent="0.25">
      <c r="A43" s="505" t="str">
        <f>CONCATENATE(B19," ",C19)</f>
        <v>Objective 3 Commercial Support and other consulting</v>
      </c>
      <c r="B43" s="505"/>
      <c r="C43" s="506"/>
      <c r="D43" s="50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t="15.75" hidden="1" outlineLevel="1" x14ac:dyDescent="0.25">
      <c r="A44" s="494" t="s">
        <v>269</v>
      </c>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t="15.75" hidden="1" outlineLevel="1" x14ac:dyDescent="0.25">
      <c r="A45" s="494" t="s">
        <v>270</v>
      </c>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t="15.75" hidden="1" outlineLevel="1" x14ac:dyDescent="0.25">
      <c r="A46" s="494"/>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t="15.75" hidden="1" outlineLevel="1" x14ac:dyDescent="0.25">
      <c r="A47" s="494"/>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t="15.75" hidden="1" outlineLevel="1" x14ac:dyDescent="0.25">
      <c r="A48" s="494"/>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t="18.75" hidden="1" outlineLevel="1" x14ac:dyDescent="0.25">
      <c r="A49" s="505" t="e">
        <f>CONCATENATE(#REF!," ",#REF!)</f>
        <v>#REF!</v>
      </c>
      <c r="B49" s="505"/>
      <c r="C49" s="506"/>
      <c r="D49" s="50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t="15.75" hidden="1" outlineLevel="1" x14ac:dyDescent="0.25">
      <c r="A50" s="494" t="s">
        <v>271</v>
      </c>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t="15.75" hidden="1" outlineLevel="1" x14ac:dyDescent="0.25">
      <c r="A51" s="494" t="s">
        <v>272</v>
      </c>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t="15.75" hidden="1" outlineLevel="1" x14ac:dyDescent="0.25">
      <c r="A52" s="494"/>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t="15.75" hidden="1" outlineLevel="1" x14ac:dyDescent="0.25">
      <c r="A53" s="494"/>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t="15.75" hidden="1" outlineLevel="1" x14ac:dyDescent="0.25">
      <c r="A54" s="494"/>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t="18.75" hidden="1" outlineLevel="1" x14ac:dyDescent="0.25">
      <c r="A55" s="505" t="e">
        <f>CONCATENATE(#REF!," ",#REF!)</f>
        <v>#REF!</v>
      </c>
      <c r="B55" s="505"/>
      <c r="C55" s="506"/>
      <c r="D55" s="50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t="15.75" hidden="1" outlineLevel="1" x14ac:dyDescent="0.25">
      <c r="A56" s="494" t="s">
        <v>273</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t="15.75" hidden="1" outlineLevel="1" x14ac:dyDescent="0.25">
      <c r="A57" s="494" t="s">
        <v>274</v>
      </c>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t="15.75" hidden="1" outlineLevel="1" x14ac:dyDescent="0.25">
      <c r="A58" s="494"/>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t="15.75" hidden="1" outlineLevel="1" x14ac:dyDescent="0.25">
      <c r="A59" s="494"/>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t="15.75" hidden="1" outlineLevel="1" x14ac:dyDescent="0.25">
      <c r="A60" s="494"/>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t="18.75" hidden="1" outlineLevel="1" x14ac:dyDescent="0.25">
      <c r="A61" s="505" t="e">
        <f>CONCATENATE(#REF!," ",#REF!)</f>
        <v>#REF!</v>
      </c>
      <c r="B61" s="505"/>
      <c r="C61" s="506"/>
      <c r="D61" s="50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t="15.75" hidden="1" outlineLevel="1" x14ac:dyDescent="0.25">
      <c r="A62" s="494" t="s">
        <v>275</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t="15.75" hidden="1" outlineLevel="1" x14ac:dyDescent="0.25">
      <c r="A63" s="494" t="s">
        <v>276</v>
      </c>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t="15.75" hidden="1" outlineLevel="1" x14ac:dyDescent="0.25">
      <c r="A64" s="494"/>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t="15.75" hidden="1" outlineLevel="1" x14ac:dyDescent="0.25">
      <c r="A65" s="494"/>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t="15.75" hidden="1" outlineLevel="1" x14ac:dyDescent="0.25">
      <c r="A66" s="494"/>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t="18.75" hidden="1" outlineLevel="1" x14ac:dyDescent="0.25">
      <c r="A67" s="505" t="str">
        <f>CONCATENATE(B20," ",C20)</f>
        <v>Objective 4 Operational and organizational design , process and procedures</v>
      </c>
      <c r="B67" s="505"/>
      <c r="C67" s="506"/>
      <c r="D67" s="50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15.75" hidden="1" outlineLevel="1" x14ac:dyDescent="0.25">
      <c r="A68" s="494" t="s">
        <v>277</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t="15.75" hidden="1" outlineLevel="1" x14ac:dyDescent="0.25">
      <c r="A69" s="494" t="s">
        <v>278</v>
      </c>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t="15.75" hidden="1" outlineLevel="1" x14ac:dyDescent="0.25">
      <c r="A70" s="494"/>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t="15.75" hidden="1" outlineLevel="1" x14ac:dyDescent="0.25">
      <c r="A71" s="494"/>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t="15.75" hidden="1" outlineLevel="1" x14ac:dyDescent="0.25">
      <c r="A72" s="494"/>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t="18.75" hidden="1" outlineLevel="1" x14ac:dyDescent="0.25">
      <c r="A73" s="505" t="str">
        <f>CONCATENATE(B21," ",C21)</f>
        <v xml:space="preserve"> </v>
      </c>
      <c r="B73" s="505"/>
      <c r="C73" s="506"/>
      <c r="D73" s="50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t="15.75" hidden="1" outlineLevel="1" x14ac:dyDescent="0.25">
      <c r="A74" s="494" t="s">
        <v>279</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t="15.75" hidden="1" outlineLevel="1" x14ac:dyDescent="0.25">
      <c r="A75" s="494" t="s">
        <v>280</v>
      </c>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t="15.75" hidden="1" outlineLevel="1" x14ac:dyDescent="0.25">
      <c r="A76" s="494"/>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t="15.75" hidden="1" outlineLevel="1" x14ac:dyDescent="0.25">
      <c r="A77" s="494"/>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t="15.75" hidden="1" outlineLevel="1" x14ac:dyDescent="0.25">
      <c r="A78" s="494"/>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79" spans="1:26" ht="6.75" customHeight="1" collapsed="1" x14ac:dyDescent="0.25"/>
    <row r="80" spans="1:26" ht="16.149999999999999" customHeight="1" x14ac:dyDescent="0.25">
      <c r="A80" s="489" t="s">
        <v>37</v>
      </c>
      <c r="B80" s="489"/>
      <c r="C80" s="490"/>
      <c r="D80" s="490"/>
      <c r="E80" s="402"/>
      <c r="F80" s="402"/>
      <c r="G80" s="402"/>
      <c r="H80" s="491"/>
      <c r="I80" s="491"/>
      <c r="J80" s="402"/>
      <c r="K80" s="402"/>
      <c r="L80" s="402"/>
      <c r="M80" s="402"/>
      <c r="N80" s="402"/>
      <c r="O80" s="402" t="s">
        <v>5</v>
      </c>
      <c r="P80" s="402"/>
      <c r="Q80" s="402"/>
      <c r="R80" s="402"/>
      <c r="S80" s="402"/>
      <c r="T80" s="402"/>
      <c r="U80" s="402"/>
      <c r="V80" s="402"/>
      <c r="W80" s="402"/>
      <c r="X80" s="402"/>
      <c r="Y80" s="402"/>
      <c r="Z80" s="402"/>
    </row>
    <row r="81" spans="1:26" ht="18.75" x14ac:dyDescent="0.25">
      <c r="A81" s="505" t="str">
        <f>CONCATENATE(B17," ",C17)</f>
        <v>Objective 1 Audit, Tax Support and misc changes i.e.bank</v>
      </c>
      <c r="B81" s="505"/>
      <c r="C81" s="506"/>
      <c r="D81" s="506"/>
      <c r="E81" s="507"/>
      <c r="F81" s="507"/>
      <c r="G81" s="507"/>
      <c r="H81" s="507"/>
      <c r="I81" s="507"/>
      <c r="J81" s="507"/>
      <c r="K81" s="507"/>
      <c r="L81" s="507"/>
      <c r="M81" s="507"/>
      <c r="N81" s="507"/>
      <c r="O81" s="507" t="s">
        <v>5</v>
      </c>
      <c r="P81" s="507"/>
      <c r="Q81" s="507"/>
      <c r="R81" s="507"/>
      <c r="S81" s="507"/>
      <c r="T81" s="507"/>
      <c r="U81" s="507"/>
      <c r="V81" s="507"/>
      <c r="W81" s="507"/>
      <c r="X81" s="507"/>
      <c r="Y81" s="507"/>
      <c r="Z81" s="507"/>
    </row>
    <row r="82" spans="1:26" ht="45" x14ac:dyDescent="0.25">
      <c r="A82" s="492" t="s">
        <v>261</v>
      </c>
      <c r="B82" s="492" t="s">
        <v>13</v>
      </c>
      <c r="C82" s="492" t="s">
        <v>14</v>
      </c>
      <c r="D82" s="509" t="s">
        <v>286</v>
      </c>
      <c r="E82" s="404" t="s">
        <v>16</v>
      </c>
      <c r="F82" s="404" t="s">
        <v>295</v>
      </c>
      <c r="G82" s="404" t="s">
        <v>39</v>
      </c>
      <c r="H82" s="404" t="s">
        <v>297</v>
      </c>
      <c r="I82" s="404" t="s">
        <v>298</v>
      </c>
      <c r="J82" s="404" t="s">
        <v>299</v>
      </c>
      <c r="K82" s="404" t="s">
        <v>300</v>
      </c>
      <c r="L82" s="404" t="s">
        <v>17</v>
      </c>
      <c r="M82" s="404" t="s">
        <v>18</v>
      </c>
      <c r="N82" s="404" t="s">
        <v>19</v>
      </c>
      <c r="O82" s="493">
        <v>43101</v>
      </c>
      <c r="P82" s="493">
        <v>43132</v>
      </c>
      <c r="Q82" s="493">
        <v>43160</v>
      </c>
      <c r="R82" s="493">
        <v>43191</v>
      </c>
      <c r="S82" s="493">
        <v>43221</v>
      </c>
      <c r="T82" s="493">
        <v>43252</v>
      </c>
      <c r="U82" s="493">
        <v>43282</v>
      </c>
      <c r="V82" s="493">
        <v>43313</v>
      </c>
      <c r="W82" s="493">
        <v>43344</v>
      </c>
      <c r="X82" s="493">
        <v>43374</v>
      </c>
      <c r="Y82" s="493">
        <v>43405</v>
      </c>
      <c r="Z82" s="493">
        <v>43435</v>
      </c>
    </row>
    <row r="83" spans="1:26" ht="15" customHeight="1" x14ac:dyDescent="0.25">
      <c r="A83" s="494" t="s">
        <v>1754</v>
      </c>
      <c r="B83" s="494">
        <v>1</v>
      </c>
      <c r="C83" s="573" t="s">
        <v>667</v>
      </c>
      <c r="D83" s="510"/>
      <c r="E83" s="496" t="s">
        <v>199</v>
      </c>
      <c r="F83" s="496"/>
      <c r="G83" s="496"/>
      <c r="H83" s="496"/>
      <c r="I83" s="496"/>
      <c r="J83" s="496"/>
      <c r="K83" s="496"/>
      <c r="L83" s="496"/>
      <c r="M83" s="496">
        <v>12</v>
      </c>
      <c r="N83" s="512">
        <f t="shared" ref="N83:N85" si="6">SUM(O83:Z83)</f>
        <v>52000</v>
      </c>
      <c r="O83" s="1019">
        <v>0</v>
      </c>
      <c r="P83" s="1019">
        <v>0</v>
      </c>
      <c r="Q83" s="1019">
        <v>0</v>
      </c>
      <c r="R83" s="1019">
        <v>10000</v>
      </c>
      <c r="S83" s="1019">
        <v>10000</v>
      </c>
      <c r="T83" s="1019">
        <v>10000</v>
      </c>
      <c r="U83" s="1019">
        <v>3700</v>
      </c>
      <c r="V83" s="1019">
        <v>3700</v>
      </c>
      <c r="W83" s="1019">
        <v>3650</v>
      </c>
      <c r="X83" s="1019">
        <v>3650</v>
      </c>
      <c r="Y83" s="1019">
        <v>3650</v>
      </c>
      <c r="Z83" s="1019">
        <v>3650</v>
      </c>
    </row>
    <row r="84" spans="1:26" ht="31.5" x14ac:dyDescent="0.25">
      <c r="A84" s="494" t="s">
        <v>1758</v>
      </c>
      <c r="B84" s="494">
        <v>5</v>
      </c>
      <c r="C84" s="573" t="s">
        <v>671</v>
      </c>
      <c r="D84" s="510"/>
      <c r="E84" s="496" t="s">
        <v>199</v>
      </c>
      <c r="F84" s="496"/>
      <c r="G84" s="496"/>
      <c r="H84" s="496"/>
      <c r="I84" s="496"/>
      <c r="J84" s="496"/>
      <c r="K84" s="496"/>
      <c r="L84" s="496"/>
      <c r="M84" s="496"/>
      <c r="N84" s="512">
        <f t="shared" si="6"/>
        <v>1000.0000000000001</v>
      </c>
      <c r="O84" s="496">
        <v>83.333333333333329</v>
      </c>
      <c r="P84" s="496">
        <v>83.333333333333329</v>
      </c>
      <c r="Q84" s="496">
        <v>83.333333333333329</v>
      </c>
      <c r="R84" s="496">
        <v>83.333333333333329</v>
      </c>
      <c r="S84" s="496">
        <v>83.333333333333329</v>
      </c>
      <c r="T84" s="496">
        <v>83.333333333333329</v>
      </c>
      <c r="U84" s="496">
        <v>83.333333333333329</v>
      </c>
      <c r="V84" s="496">
        <v>83.333333333333329</v>
      </c>
      <c r="W84" s="496">
        <v>83.333333333333329</v>
      </c>
      <c r="X84" s="496">
        <v>83.333333333333329</v>
      </c>
      <c r="Y84" s="496">
        <v>83.333333333333329</v>
      </c>
      <c r="Z84" s="496">
        <v>83.333333333333329</v>
      </c>
    </row>
    <row r="85" spans="1:26" ht="38.450000000000003" customHeight="1" x14ac:dyDescent="0.25">
      <c r="A85" s="494" t="s">
        <v>1759</v>
      </c>
      <c r="B85" s="494">
        <v>10</v>
      </c>
      <c r="C85" s="573" t="s">
        <v>675</v>
      </c>
      <c r="D85" s="510"/>
      <c r="E85" s="496" t="s">
        <v>199</v>
      </c>
      <c r="F85" s="496"/>
      <c r="G85" s="496"/>
      <c r="H85" s="496"/>
      <c r="I85" s="496"/>
      <c r="J85" s="496"/>
      <c r="K85" s="496"/>
      <c r="L85" s="496"/>
      <c r="M85" s="496"/>
      <c r="N85" s="512">
        <f t="shared" si="6"/>
        <v>0</v>
      </c>
      <c r="O85" s="496"/>
      <c r="P85" s="496"/>
      <c r="Q85" s="496"/>
      <c r="R85" s="496"/>
      <c r="S85" s="496"/>
      <c r="T85" s="496"/>
      <c r="U85" s="496"/>
      <c r="V85" s="496"/>
      <c r="W85" s="496"/>
      <c r="X85" s="496"/>
      <c r="Y85" s="496"/>
      <c r="Z85" s="496"/>
    </row>
    <row r="87" spans="1:26" ht="15.75" x14ac:dyDescent="0.25">
      <c r="A87" s="494"/>
      <c r="B87" s="494">
        <v>12</v>
      </c>
      <c r="C87" s="494" t="s">
        <v>677</v>
      </c>
      <c r="D87" s="510"/>
      <c r="E87" s="496" t="s">
        <v>199</v>
      </c>
      <c r="F87" s="496"/>
      <c r="G87" s="496"/>
      <c r="H87" s="496"/>
      <c r="I87" s="496"/>
      <c r="J87" s="496"/>
      <c r="K87" s="496"/>
      <c r="L87" s="496"/>
      <c r="M87" s="496"/>
      <c r="N87" s="496">
        <f>SUM(O87:Z87)</f>
        <v>0</v>
      </c>
      <c r="O87" s="496"/>
      <c r="P87" s="496"/>
      <c r="Q87" s="496"/>
      <c r="R87" s="496"/>
      <c r="S87" s="496"/>
      <c r="T87" s="496"/>
      <c r="U87" s="496"/>
      <c r="V87" s="496"/>
      <c r="W87" s="496"/>
      <c r="X87" s="496"/>
      <c r="Y87" s="496"/>
      <c r="Z87" s="496"/>
    </row>
    <row r="88" spans="1:26" s="517" customFormat="1" ht="22.5" customHeight="1" x14ac:dyDescent="0.25">
      <c r="A88" s="513"/>
      <c r="B88" s="514"/>
      <c r="C88" s="514"/>
      <c r="D88" s="514"/>
      <c r="E88" s="515"/>
      <c r="F88" s="515"/>
      <c r="G88" s="515"/>
      <c r="H88" s="515"/>
      <c r="I88" s="515"/>
      <c r="J88" s="516" t="s">
        <v>20</v>
      </c>
      <c r="K88" s="515"/>
      <c r="L88" s="404">
        <f t="shared" ref="L88:Z88" si="7">SUM(L83:L87)</f>
        <v>0</v>
      </c>
      <c r="M88" s="404">
        <f t="shared" si="7"/>
        <v>12</v>
      </c>
      <c r="N88" s="404">
        <f t="shared" si="7"/>
        <v>53000</v>
      </c>
      <c r="O88" s="404">
        <f t="shared" si="7"/>
        <v>83.333333333333329</v>
      </c>
      <c r="P88" s="404">
        <f t="shared" si="7"/>
        <v>83.333333333333329</v>
      </c>
      <c r="Q88" s="404">
        <f t="shared" si="7"/>
        <v>83.333333333333329</v>
      </c>
      <c r="R88" s="404">
        <f t="shared" si="7"/>
        <v>10083.333333333334</v>
      </c>
      <c r="S88" s="404">
        <f t="shared" si="7"/>
        <v>10083.333333333334</v>
      </c>
      <c r="T88" s="404">
        <f t="shared" si="7"/>
        <v>10083.333333333334</v>
      </c>
      <c r="U88" s="404">
        <f t="shared" si="7"/>
        <v>3783.3333333333335</v>
      </c>
      <c r="V88" s="404">
        <f t="shared" si="7"/>
        <v>3783.3333333333335</v>
      </c>
      <c r="W88" s="404">
        <f t="shared" si="7"/>
        <v>3733.3333333333335</v>
      </c>
      <c r="X88" s="404">
        <f t="shared" si="7"/>
        <v>3733.3333333333335</v>
      </c>
      <c r="Y88" s="404">
        <f t="shared" si="7"/>
        <v>3733.3333333333335</v>
      </c>
      <c r="Z88" s="404">
        <f t="shared" si="7"/>
        <v>3733.3333333333335</v>
      </c>
    </row>
    <row r="89" spans="1:26" ht="18.75" x14ac:dyDescent="0.25">
      <c r="A89" s="505" t="str">
        <f>CONCATENATE(B18," ",C18)</f>
        <v>Objective 2 External accounting Support</v>
      </c>
      <c r="B89" s="505"/>
      <c r="C89" s="506"/>
      <c r="D89" s="506"/>
      <c r="E89" s="507"/>
      <c r="F89" s="507"/>
      <c r="G89" s="507"/>
      <c r="H89" s="507"/>
      <c r="I89" s="507"/>
      <c r="J89" s="507"/>
      <c r="K89" s="507"/>
      <c r="L89" s="507"/>
      <c r="M89" s="507"/>
      <c r="N89" s="507"/>
      <c r="O89" s="507" t="s">
        <v>5</v>
      </c>
      <c r="P89" s="507"/>
      <c r="Q89" s="507"/>
      <c r="R89" s="507"/>
      <c r="S89" s="507"/>
      <c r="T89" s="507"/>
      <c r="U89" s="507"/>
      <c r="V89" s="507"/>
      <c r="W89" s="507"/>
      <c r="X89" s="507"/>
      <c r="Y89" s="507"/>
      <c r="Z89" s="507"/>
    </row>
    <row r="90" spans="1:26" ht="45" x14ac:dyDescent="0.25">
      <c r="A90" s="492" t="s">
        <v>261</v>
      </c>
      <c r="B90" s="492" t="s">
        <v>13</v>
      </c>
      <c r="C90" s="492" t="s">
        <v>14</v>
      </c>
      <c r="D90" s="509" t="s">
        <v>286</v>
      </c>
      <c r="E90" s="404" t="s">
        <v>16</v>
      </c>
      <c r="F90" s="404" t="s">
        <v>295</v>
      </c>
      <c r="G90" s="404" t="s">
        <v>39</v>
      </c>
      <c r="H90" s="404" t="s">
        <v>297</v>
      </c>
      <c r="I90" s="404" t="s">
        <v>298</v>
      </c>
      <c r="J90" s="404" t="s">
        <v>299</v>
      </c>
      <c r="K90" s="404" t="s">
        <v>300</v>
      </c>
      <c r="L90" s="404" t="s">
        <v>17</v>
      </c>
      <c r="M90" s="404" t="s">
        <v>18</v>
      </c>
      <c r="N90" s="404" t="s">
        <v>19</v>
      </c>
      <c r="O90" s="493">
        <v>43101</v>
      </c>
      <c r="P90" s="493">
        <v>43132</v>
      </c>
      <c r="Q90" s="493">
        <v>43160</v>
      </c>
      <c r="R90" s="493">
        <v>43191</v>
      </c>
      <c r="S90" s="493">
        <v>43221</v>
      </c>
      <c r="T90" s="493">
        <v>43252</v>
      </c>
      <c r="U90" s="493">
        <v>43282</v>
      </c>
      <c r="V90" s="493">
        <v>43313</v>
      </c>
      <c r="W90" s="493">
        <v>43344</v>
      </c>
      <c r="X90" s="493">
        <v>43374</v>
      </c>
      <c r="Y90" s="493">
        <v>43405</v>
      </c>
      <c r="Z90" s="493">
        <v>43435</v>
      </c>
    </row>
    <row r="91" spans="1:26" ht="15.75" x14ac:dyDescent="0.25">
      <c r="A91" s="494" t="s">
        <v>1760</v>
      </c>
      <c r="B91" s="494"/>
      <c r="C91" s="573" t="s">
        <v>678</v>
      </c>
      <c r="D91" s="510"/>
      <c r="E91" s="496" t="s">
        <v>199</v>
      </c>
      <c r="F91" s="496"/>
      <c r="G91" s="496"/>
      <c r="H91" s="496"/>
      <c r="I91" s="496"/>
      <c r="J91" s="496"/>
      <c r="K91" s="496"/>
      <c r="L91" s="496"/>
      <c r="M91" s="496"/>
      <c r="N91" s="512">
        <f>SUM(O91:Z91)</f>
        <v>10000</v>
      </c>
      <c r="O91" s="1019">
        <v>0</v>
      </c>
      <c r="P91" s="1019">
        <v>0</v>
      </c>
      <c r="Q91" s="1019">
        <v>0</v>
      </c>
      <c r="R91" s="1019">
        <v>2500</v>
      </c>
      <c r="S91" s="1019">
        <v>0</v>
      </c>
      <c r="T91" s="1019">
        <v>0</v>
      </c>
      <c r="U91" s="1019">
        <v>2500</v>
      </c>
      <c r="V91" s="1019">
        <v>0</v>
      </c>
      <c r="W91" s="1019">
        <v>0</v>
      </c>
      <c r="X91" s="1019">
        <v>2500</v>
      </c>
      <c r="Y91" s="1019">
        <v>0</v>
      </c>
      <c r="Z91" s="1019">
        <v>2500</v>
      </c>
    </row>
    <row r="92" spans="1:26" ht="15.75" x14ac:dyDescent="0.25">
      <c r="A92" s="494" t="s">
        <v>1762</v>
      </c>
      <c r="B92" s="494"/>
      <c r="C92" s="573" t="s">
        <v>679</v>
      </c>
      <c r="D92" s="510"/>
      <c r="E92" s="496" t="s">
        <v>199</v>
      </c>
      <c r="F92" s="496"/>
      <c r="G92" s="496"/>
      <c r="H92" s="496"/>
      <c r="I92" s="496"/>
      <c r="J92" s="496"/>
      <c r="K92" s="496"/>
      <c r="L92" s="496"/>
      <c r="M92" s="496"/>
      <c r="N92" s="512">
        <f>SUM(O92:Z92)</f>
        <v>100000</v>
      </c>
      <c r="O92" s="496"/>
      <c r="P92" s="496"/>
      <c r="Q92" s="496">
        <v>12500</v>
      </c>
      <c r="R92" s="496">
        <v>12500</v>
      </c>
      <c r="S92" s="496">
        <v>12500</v>
      </c>
      <c r="T92" s="496">
        <v>12500</v>
      </c>
      <c r="U92" s="496">
        <v>12500</v>
      </c>
      <c r="V92" s="496">
        <v>12500</v>
      </c>
      <c r="W92" s="496">
        <v>12500</v>
      </c>
      <c r="X92" s="496">
        <v>12500</v>
      </c>
      <c r="Y92" s="496"/>
      <c r="Z92" s="496"/>
    </row>
    <row r="93" spans="1:26" ht="31.5" x14ac:dyDescent="0.25">
      <c r="A93" s="494" t="s">
        <v>1764</v>
      </c>
      <c r="B93" s="494">
        <v>2</v>
      </c>
      <c r="C93" s="573" t="s">
        <v>668</v>
      </c>
      <c r="D93" s="510"/>
      <c r="E93" s="496" t="s">
        <v>199</v>
      </c>
      <c r="F93" s="496"/>
      <c r="G93" s="496"/>
      <c r="H93" s="496"/>
      <c r="I93" s="496"/>
      <c r="J93" s="496"/>
      <c r="K93" s="496"/>
      <c r="L93" s="496"/>
      <c r="M93" s="496"/>
      <c r="N93" s="512">
        <f>SUM(O93:Z93)</f>
        <v>48000</v>
      </c>
      <c r="O93" s="1019">
        <v>12000</v>
      </c>
      <c r="P93" s="1019">
        <v>12000</v>
      </c>
      <c r="Q93" s="1019">
        <v>12000</v>
      </c>
      <c r="R93" s="496">
        <v>12000</v>
      </c>
      <c r="S93" s="496"/>
      <c r="T93" s="496"/>
      <c r="U93" s="496"/>
      <c r="V93" s="496"/>
      <c r="W93" s="496"/>
      <c r="X93" s="496"/>
      <c r="Y93" s="496"/>
      <c r="Z93" s="496"/>
    </row>
    <row r="94" spans="1:26" ht="15.75" x14ac:dyDescent="0.25">
      <c r="A94" s="494" t="s">
        <v>1765</v>
      </c>
      <c r="B94" s="494">
        <v>3</v>
      </c>
      <c r="C94" s="573" t="s">
        <v>669</v>
      </c>
      <c r="D94" s="510"/>
      <c r="E94" s="496" t="s">
        <v>199</v>
      </c>
      <c r="F94" s="496"/>
      <c r="G94" s="496"/>
      <c r="H94" s="496"/>
      <c r="I94" s="496"/>
      <c r="J94" s="496"/>
      <c r="K94" s="496"/>
      <c r="L94" s="496"/>
      <c r="M94" s="496"/>
      <c r="N94" s="512">
        <f>SUM(O94:Z94)</f>
        <v>24000</v>
      </c>
      <c r="O94" s="496">
        <v>2000</v>
      </c>
      <c r="P94" s="496">
        <v>2000</v>
      </c>
      <c r="Q94" s="496">
        <v>2000</v>
      </c>
      <c r="R94" s="496">
        <v>2000</v>
      </c>
      <c r="S94" s="496">
        <v>2000</v>
      </c>
      <c r="T94" s="496">
        <v>2000</v>
      </c>
      <c r="U94" s="496">
        <v>2000</v>
      </c>
      <c r="V94" s="496">
        <v>2000</v>
      </c>
      <c r="W94" s="496">
        <v>2000</v>
      </c>
      <c r="X94" s="496">
        <v>2000</v>
      </c>
      <c r="Y94" s="496">
        <v>2000</v>
      </c>
      <c r="Z94" s="496">
        <v>2000</v>
      </c>
    </row>
    <row r="95" spans="1:26" ht="15.75" x14ac:dyDescent="0.25">
      <c r="A95" s="494" t="s">
        <v>1767</v>
      </c>
      <c r="B95" s="494">
        <v>4</v>
      </c>
      <c r="C95" s="573" t="s">
        <v>670</v>
      </c>
      <c r="D95" s="510"/>
      <c r="E95" s="496" t="s">
        <v>199</v>
      </c>
      <c r="F95" s="496"/>
      <c r="G95" s="496"/>
      <c r="H95" s="496"/>
      <c r="I95" s="496"/>
      <c r="J95" s="496"/>
      <c r="K95" s="496"/>
      <c r="L95" s="496"/>
      <c r="M95" s="496"/>
      <c r="N95" s="512">
        <f>SUM(O95:Z95)</f>
        <v>24000</v>
      </c>
      <c r="O95" s="496">
        <v>2000</v>
      </c>
      <c r="P95" s="496">
        <v>2000</v>
      </c>
      <c r="Q95" s="496">
        <v>2000</v>
      </c>
      <c r="R95" s="496">
        <v>2000</v>
      </c>
      <c r="S95" s="496">
        <v>2000</v>
      </c>
      <c r="T95" s="496">
        <v>2000</v>
      </c>
      <c r="U95" s="496">
        <v>2000</v>
      </c>
      <c r="V95" s="496">
        <v>2000</v>
      </c>
      <c r="W95" s="496">
        <v>2000</v>
      </c>
      <c r="X95" s="496">
        <v>2000</v>
      </c>
      <c r="Y95" s="496">
        <v>2000</v>
      </c>
      <c r="Z95" s="496">
        <v>2000</v>
      </c>
    </row>
    <row r="96" spans="1:26" ht="28.9" customHeight="1" x14ac:dyDescent="0.25">
      <c r="A96" s="494" t="s">
        <v>1768</v>
      </c>
      <c r="B96" s="494">
        <v>7</v>
      </c>
      <c r="C96" s="573" t="s">
        <v>673</v>
      </c>
      <c r="D96" s="510"/>
      <c r="E96" s="496" t="s">
        <v>199</v>
      </c>
      <c r="F96" s="496"/>
      <c r="G96" s="496"/>
      <c r="H96" s="496"/>
      <c r="I96" s="496"/>
      <c r="J96" s="496"/>
      <c r="K96" s="496"/>
      <c r="L96" s="496"/>
      <c r="M96" s="496"/>
      <c r="N96" s="512">
        <f>SUM(O96:Z96)</f>
        <v>288000</v>
      </c>
      <c r="O96" s="496">
        <v>0</v>
      </c>
      <c r="P96" s="496">
        <v>0</v>
      </c>
      <c r="Q96" s="1019">
        <v>35000</v>
      </c>
      <c r="R96" s="1019">
        <v>35000</v>
      </c>
      <c r="S96" s="1019">
        <v>35000</v>
      </c>
      <c r="T96" s="1019">
        <v>35000</v>
      </c>
      <c r="U96" s="1019">
        <v>35000</v>
      </c>
      <c r="V96" s="1019">
        <v>33000</v>
      </c>
      <c r="W96" s="1019">
        <v>20000</v>
      </c>
      <c r="X96" s="1019">
        <v>20000</v>
      </c>
      <c r="Y96" s="1019">
        <v>20000</v>
      </c>
      <c r="Z96" s="1019">
        <v>20000</v>
      </c>
    </row>
    <row r="97" spans="1:27" ht="15.75" x14ac:dyDescent="0.25">
      <c r="A97" s="494"/>
      <c r="B97" s="494"/>
      <c r="C97" s="573"/>
      <c r="D97" s="510"/>
      <c r="E97" s="496"/>
      <c r="F97" s="496"/>
      <c r="G97" s="496"/>
      <c r="H97" s="496"/>
      <c r="I97" s="496"/>
      <c r="J97" s="496"/>
      <c r="K97" s="496"/>
      <c r="L97" s="496"/>
      <c r="M97" s="496"/>
      <c r="N97" s="512">
        <f>SUM(O97:Z97)</f>
        <v>0</v>
      </c>
      <c r="O97" s="496"/>
      <c r="P97" s="496"/>
      <c r="Q97" s="496"/>
      <c r="R97" s="496"/>
      <c r="S97" s="496"/>
      <c r="T97" s="496"/>
      <c r="U97" s="496"/>
      <c r="V97" s="496"/>
      <c r="W97" s="496"/>
      <c r="X97" s="496"/>
      <c r="Y97" s="496"/>
      <c r="Z97" s="496"/>
    </row>
    <row r="98" spans="1:27" ht="15.75" hidden="1" x14ac:dyDescent="0.25">
      <c r="A98" s="494"/>
      <c r="B98" s="494"/>
      <c r="C98" s="494"/>
      <c r="D98" s="510"/>
      <c r="E98" s="496"/>
      <c r="F98" s="496"/>
      <c r="G98" s="510"/>
      <c r="H98" s="496"/>
      <c r="I98" s="496"/>
      <c r="J98" s="496"/>
      <c r="K98" s="496"/>
      <c r="L98" s="496"/>
      <c r="M98" s="496"/>
      <c r="N98" s="512">
        <f t="shared" ref="N98:N100" si="8">SUM(O98:Z98)</f>
        <v>0</v>
      </c>
      <c r="O98" s="496"/>
      <c r="P98" s="496"/>
      <c r="Q98" s="496"/>
      <c r="R98" s="496"/>
      <c r="S98" s="496"/>
      <c r="T98" s="496"/>
      <c r="U98" s="496"/>
      <c r="V98" s="496"/>
      <c r="W98" s="496"/>
      <c r="X98" s="496"/>
      <c r="Y98" s="496"/>
      <c r="Z98" s="496"/>
    </row>
    <row r="99" spans="1:27" ht="15.75" hidden="1" x14ac:dyDescent="0.25">
      <c r="A99" s="494"/>
      <c r="B99" s="494"/>
      <c r="C99" s="494"/>
      <c r="D99" s="510"/>
      <c r="E99" s="496"/>
      <c r="F99" s="496"/>
      <c r="G99" s="510"/>
      <c r="H99" s="496"/>
      <c r="I99" s="496"/>
      <c r="J99" s="496"/>
      <c r="K99" s="496"/>
      <c r="L99" s="496"/>
      <c r="M99" s="496"/>
      <c r="N99" s="512">
        <f t="shared" si="8"/>
        <v>0</v>
      </c>
      <c r="O99" s="496"/>
      <c r="P99" s="496"/>
      <c r="Q99" s="496"/>
      <c r="R99" s="496"/>
      <c r="S99" s="496"/>
      <c r="T99" s="496"/>
      <c r="U99" s="496"/>
      <c r="V99" s="496"/>
      <c r="W99" s="496"/>
      <c r="X99" s="496"/>
      <c r="Y99" s="496"/>
      <c r="Z99" s="496"/>
    </row>
    <row r="100" spans="1:27" ht="15.75" hidden="1" x14ac:dyDescent="0.25">
      <c r="A100" s="494"/>
      <c r="B100" s="494"/>
      <c r="C100" s="494"/>
      <c r="D100" s="510"/>
      <c r="E100" s="496"/>
      <c r="F100" s="496"/>
      <c r="G100" s="496"/>
      <c r="H100" s="496"/>
      <c r="I100" s="496"/>
      <c r="J100" s="496"/>
      <c r="K100" s="496"/>
      <c r="L100" s="496"/>
      <c r="M100" s="496"/>
      <c r="N100" s="512">
        <f t="shared" si="8"/>
        <v>0</v>
      </c>
      <c r="O100" s="496"/>
      <c r="P100" s="496"/>
      <c r="Q100" s="496"/>
      <c r="R100" s="496"/>
      <c r="S100" s="496"/>
      <c r="T100" s="496"/>
      <c r="U100" s="496"/>
      <c r="V100" s="496"/>
      <c r="W100" s="496"/>
      <c r="X100" s="496"/>
      <c r="Y100" s="496"/>
      <c r="Z100" s="496"/>
    </row>
    <row r="101" spans="1:27" ht="15.75" hidden="1" x14ac:dyDescent="0.25">
      <c r="A101" s="494"/>
      <c r="B101" s="494"/>
      <c r="C101" s="494"/>
      <c r="D101" s="510"/>
      <c r="E101" s="496"/>
      <c r="F101" s="496"/>
      <c r="G101" s="496"/>
      <c r="H101" s="496"/>
      <c r="I101" s="496"/>
      <c r="J101" s="496"/>
      <c r="K101" s="496"/>
      <c r="L101" s="496"/>
      <c r="M101" s="496"/>
      <c r="N101" s="512">
        <f>SUM(O101:Z101)</f>
        <v>0</v>
      </c>
      <c r="O101" s="496"/>
      <c r="P101" s="496"/>
      <c r="Q101" s="496"/>
      <c r="R101" s="496"/>
      <c r="S101" s="496"/>
      <c r="T101" s="496"/>
      <c r="U101" s="496"/>
      <c r="V101" s="496"/>
      <c r="W101" s="496"/>
      <c r="X101" s="496"/>
      <c r="Y101" s="496"/>
      <c r="Z101" s="496"/>
    </row>
    <row r="102" spans="1:27" s="517" customFormat="1" ht="22.5" customHeight="1" x14ac:dyDescent="0.25">
      <c r="A102" s="513"/>
      <c r="B102" s="514"/>
      <c r="C102" s="514"/>
      <c r="D102" s="514"/>
      <c r="E102" s="515"/>
      <c r="F102" s="515"/>
      <c r="G102" s="515"/>
      <c r="H102" s="515"/>
      <c r="I102" s="515"/>
      <c r="J102" s="516" t="s">
        <v>20</v>
      </c>
      <c r="K102" s="515"/>
      <c r="L102" s="404" t="e">
        <f>SUM(#REF!)</f>
        <v>#REF!</v>
      </c>
      <c r="M102" s="404" t="e">
        <f>SUM(#REF!)</f>
        <v>#REF!</v>
      </c>
      <c r="N102" s="404">
        <f>SUM(N91:N101)</f>
        <v>494000</v>
      </c>
      <c r="O102" s="404">
        <f t="shared" ref="O102:Z102" si="9">SUM(O91:O101)</f>
        <v>16000</v>
      </c>
      <c r="P102" s="404">
        <f t="shared" si="9"/>
        <v>16000</v>
      </c>
      <c r="Q102" s="404">
        <f t="shared" si="9"/>
        <v>63500</v>
      </c>
      <c r="R102" s="404">
        <f t="shared" si="9"/>
        <v>66000</v>
      </c>
      <c r="S102" s="404">
        <f t="shared" si="9"/>
        <v>51500</v>
      </c>
      <c r="T102" s="404">
        <f t="shared" si="9"/>
        <v>51500</v>
      </c>
      <c r="U102" s="404">
        <f t="shared" si="9"/>
        <v>54000</v>
      </c>
      <c r="V102" s="404">
        <f t="shared" si="9"/>
        <v>49500</v>
      </c>
      <c r="W102" s="404">
        <f t="shared" si="9"/>
        <v>36500</v>
      </c>
      <c r="X102" s="404">
        <f t="shared" si="9"/>
        <v>39000</v>
      </c>
      <c r="Y102" s="404">
        <f t="shared" si="9"/>
        <v>24000</v>
      </c>
      <c r="Z102" s="404">
        <f t="shared" si="9"/>
        <v>26500</v>
      </c>
    </row>
    <row r="103" spans="1:27" ht="18.75" x14ac:dyDescent="0.25">
      <c r="A103" s="505" t="e">
        <f>CONCATENATE(#REF!," ",#REF!)</f>
        <v>#REF!</v>
      </c>
      <c r="B103" s="505"/>
      <c r="C103" s="506"/>
      <c r="D103" s="506"/>
      <c r="E103" s="507"/>
      <c r="F103" s="507"/>
      <c r="G103" s="507"/>
      <c r="H103" s="507"/>
      <c r="I103" s="507"/>
      <c r="J103" s="507"/>
      <c r="K103" s="507"/>
      <c r="L103" s="507"/>
      <c r="M103" s="507"/>
      <c r="N103" s="507"/>
      <c r="O103" s="507" t="s">
        <v>5</v>
      </c>
      <c r="P103" s="507"/>
      <c r="Q103" s="507"/>
      <c r="R103" s="507"/>
      <c r="S103" s="507"/>
      <c r="T103" s="507"/>
      <c r="U103" s="507"/>
      <c r="V103" s="507"/>
      <c r="W103" s="507"/>
      <c r="X103" s="507"/>
      <c r="Y103" s="507"/>
      <c r="Z103" s="507"/>
    </row>
    <row r="104" spans="1:27" ht="45" x14ac:dyDescent="0.25">
      <c r="A104" s="492" t="s">
        <v>261</v>
      </c>
      <c r="B104" s="492" t="s">
        <v>13</v>
      </c>
      <c r="C104" s="492" t="s">
        <v>14</v>
      </c>
      <c r="D104" s="509" t="s">
        <v>286</v>
      </c>
      <c r="E104" s="404" t="s">
        <v>16</v>
      </c>
      <c r="F104" s="404" t="s">
        <v>295</v>
      </c>
      <c r="G104" s="404" t="s">
        <v>39</v>
      </c>
      <c r="H104" s="404" t="s">
        <v>297</v>
      </c>
      <c r="I104" s="404" t="s">
        <v>298</v>
      </c>
      <c r="J104" s="404" t="s">
        <v>299</v>
      </c>
      <c r="K104" s="404" t="s">
        <v>300</v>
      </c>
      <c r="L104" s="404" t="s">
        <v>17</v>
      </c>
      <c r="M104" s="404" t="s">
        <v>18</v>
      </c>
      <c r="N104" s="404" t="s">
        <v>19</v>
      </c>
      <c r="O104" s="493">
        <v>43101</v>
      </c>
      <c r="P104" s="493">
        <v>43132</v>
      </c>
      <c r="Q104" s="493">
        <v>43160</v>
      </c>
      <c r="R104" s="493">
        <v>43191</v>
      </c>
      <c r="S104" s="493">
        <v>43221</v>
      </c>
      <c r="T104" s="493">
        <v>43252</v>
      </c>
      <c r="U104" s="493">
        <v>43282</v>
      </c>
      <c r="V104" s="493">
        <v>43313</v>
      </c>
      <c r="W104" s="493">
        <v>43344</v>
      </c>
      <c r="X104" s="493">
        <v>43374</v>
      </c>
      <c r="Y104" s="493">
        <v>43405</v>
      </c>
      <c r="Z104" s="493">
        <v>43435</v>
      </c>
    </row>
    <row r="105" spans="1:27" ht="15.75" x14ac:dyDescent="0.25">
      <c r="A105" s="494"/>
      <c r="B105" s="494"/>
      <c r="C105" s="494"/>
      <c r="D105" s="510"/>
      <c r="E105" s="496"/>
      <c r="F105" s="496"/>
      <c r="G105" s="496"/>
      <c r="H105" s="496"/>
      <c r="I105" s="496"/>
      <c r="J105" s="496"/>
      <c r="K105" s="496"/>
      <c r="L105" s="496"/>
      <c r="M105" s="496"/>
      <c r="N105" s="512">
        <f t="shared" ref="N105:N107" si="10">SUM(O105:Z105)</f>
        <v>0</v>
      </c>
      <c r="O105" s="496"/>
      <c r="P105" s="496"/>
      <c r="Q105" s="496"/>
      <c r="R105" s="496"/>
      <c r="S105" s="496"/>
      <c r="T105" s="496"/>
      <c r="U105" s="496"/>
      <c r="V105" s="496"/>
      <c r="W105" s="496"/>
      <c r="X105" s="496"/>
      <c r="Y105" s="496"/>
      <c r="Z105" s="496"/>
    </row>
    <row r="106" spans="1:27" ht="15.75" x14ac:dyDescent="0.25">
      <c r="A106" s="494"/>
      <c r="B106" s="494"/>
      <c r="C106" s="494"/>
      <c r="D106" s="510"/>
      <c r="E106" s="496"/>
      <c r="F106" s="496"/>
      <c r="G106" s="496"/>
      <c r="H106" s="496"/>
      <c r="I106" s="496"/>
      <c r="J106" s="496"/>
      <c r="K106" s="496"/>
      <c r="L106" s="496"/>
      <c r="M106" s="496"/>
      <c r="N106" s="512">
        <f t="shared" si="10"/>
        <v>0</v>
      </c>
      <c r="O106" s="496"/>
      <c r="P106" s="496"/>
      <c r="Q106" s="496"/>
      <c r="R106" s="496"/>
      <c r="S106" s="496"/>
      <c r="T106" s="496"/>
      <c r="U106" s="496"/>
      <c r="V106" s="496"/>
      <c r="W106" s="496"/>
      <c r="X106" s="496"/>
      <c r="Y106" s="496"/>
      <c r="Z106" s="496"/>
    </row>
    <row r="107" spans="1:27" ht="15.75" x14ac:dyDescent="0.25">
      <c r="A107" s="494"/>
      <c r="B107" s="494"/>
      <c r="C107" s="494"/>
      <c r="D107" s="510"/>
      <c r="E107" s="496"/>
      <c r="F107" s="496"/>
      <c r="G107" s="496"/>
      <c r="H107" s="496"/>
      <c r="I107" s="496"/>
      <c r="J107" s="496"/>
      <c r="K107" s="496"/>
      <c r="L107" s="496"/>
      <c r="M107" s="496"/>
      <c r="N107" s="512">
        <f t="shared" si="10"/>
        <v>0</v>
      </c>
      <c r="O107" s="496"/>
      <c r="P107" s="496"/>
      <c r="Q107" s="496"/>
      <c r="R107" s="496"/>
      <c r="S107" s="496"/>
      <c r="T107" s="496"/>
      <c r="U107" s="496"/>
      <c r="V107" s="496"/>
      <c r="W107" s="496"/>
      <c r="X107" s="496"/>
      <c r="Y107" s="496"/>
      <c r="Z107" s="496"/>
    </row>
    <row r="108" spans="1:27" ht="21" x14ac:dyDescent="0.25">
      <c r="A108" s="494"/>
      <c r="B108" s="494"/>
      <c r="C108" s="494"/>
      <c r="D108" s="510"/>
      <c r="E108" s="496"/>
      <c r="F108" s="496"/>
      <c r="G108" s="518"/>
      <c r="H108" s="496"/>
      <c r="I108" s="496"/>
      <c r="J108" s="496"/>
      <c r="K108" s="519" t="s">
        <v>20</v>
      </c>
      <c r="L108" s="404">
        <f>SUM(L104:L106)</f>
        <v>0</v>
      </c>
      <c r="M108" s="404">
        <f>SUM(M104:M106)</f>
        <v>0</v>
      </c>
      <c r="N108" s="496">
        <f t="shared" ref="N108:Z108" si="11">SUM(N105:N107)</f>
        <v>0</v>
      </c>
      <c r="O108" s="511">
        <f t="shared" si="11"/>
        <v>0</v>
      </c>
      <c r="P108" s="511">
        <f t="shared" si="11"/>
        <v>0</v>
      </c>
      <c r="Q108" s="511">
        <f t="shared" si="11"/>
        <v>0</v>
      </c>
      <c r="R108" s="511">
        <f t="shared" si="11"/>
        <v>0</v>
      </c>
      <c r="S108" s="511">
        <f t="shared" si="11"/>
        <v>0</v>
      </c>
      <c r="T108" s="511">
        <f t="shared" si="11"/>
        <v>0</v>
      </c>
      <c r="U108" s="511">
        <f t="shared" si="11"/>
        <v>0</v>
      </c>
      <c r="V108" s="511">
        <f t="shared" si="11"/>
        <v>0</v>
      </c>
      <c r="W108" s="511">
        <f t="shared" si="11"/>
        <v>0</v>
      </c>
      <c r="X108" s="511">
        <f t="shared" si="11"/>
        <v>0</v>
      </c>
      <c r="Y108" s="511">
        <f t="shared" si="11"/>
        <v>0</v>
      </c>
      <c r="Z108" s="511">
        <f t="shared" si="11"/>
        <v>0</v>
      </c>
      <c r="AA108" s="517"/>
    </row>
    <row r="109" spans="1:27" ht="18.75" outlineLevel="1" x14ac:dyDescent="0.25">
      <c r="A109" s="505" t="e">
        <f>CONCATENATE(#REF!," ",#REF!)</f>
        <v>#REF!</v>
      </c>
      <c r="B109" s="505"/>
      <c r="C109" s="506"/>
      <c r="D109" s="506"/>
      <c r="E109" s="507"/>
      <c r="F109" s="507"/>
      <c r="G109" s="507"/>
      <c r="H109" s="507"/>
      <c r="I109" s="507"/>
      <c r="J109" s="507"/>
      <c r="K109" s="507"/>
      <c r="L109" s="507"/>
      <c r="M109" s="507"/>
      <c r="N109" s="507"/>
      <c r="O109" s="507" t="s">
        <v>5</v>
      </c>
      <c r="P109" s="507"/>
      <c r="Q109" s="507"/>
      <c r="R109" s="507"/>
      <c r="S109" s="507"/>
      <c r="T109" s="507"/>
      <c r="U109" s="507"/>
      <c r="V109" s="507"/>
      <c r="W109" s="507"/>
      <c r="X109" s="507"/>
      <c r="Y109" s="507"/>
      <c r="Z109" s="507"/>
    </row>
    <row r="110" spans="1:27" ht="41.45" customHeight="1" outlineLevel="1" x14ac:dyDescent="0.25">
      <c r="A110" s="492" t="s">
        <v>261</v>
      </c>
      <c r="B110" s="492" t="s">
        <v>13</v>
      </c>
      <c r="C110" s="492" t="s">
        <v>14</v>
      </c>
      <c r="D110" s="509" t="s">
        <v>286</v>
      </c>
      <c r="E110" s="404" t="s">
        <v>16</v>
      </c>
      <c r="F110" s="404" t="s">
        <v>295</v>
      </c>
      <c r="G110" s="404" t="s">
        <v>39</v>
      </c>
      <c r="H110" s="404" t="s">
        <v>297</v>
      </c>
      <c r="I110" s="404" t="s">
        <v>298</v>
      </c>
      <c r="J110" s="404" t="s">
        <v>299</v>
      </c>
      <c r="K110" s="404" t="s">
        <v>300</v>
      </c>
      <c r="L110" s="404" t="s">
        <v>17</v>
      </c>
      <c r="M110" s="404" t="s">
        <v>18</v>
      </c>
      <c r="N110" s="404" t="s">
        <v>19</v>
      </c>
      <c r="O110" s="493">
        <v>43101</v>
      </c>
      <c r="P110" s="493">
        <v>43132</v>
      </c>
      <c r="Q110" s="493">
        <v>43160</v>
      </c>
      <c r="R110" s="493">
        <v>43191</v>
      </c>
      <c r="S110" s="493">
        <v>43221</v>
      </c>
      <c r="T110" s="493">
        <v>43252</v>
      </c>
      <c r="U110" s="493">
        <v>43282</v>
      </c>
      <c r="V110" s="493">
        <v>43313</v>
      </c>
      <c r="W110" s="493">
        <v>43344</v>
      </c>
      <c r="X110" s="493">
        <v>43374</v>
      </c>
      <c r="Y110" s="493">
        <v>43405</v>
      </c>
      <c r="Z110" s="493">
        <v>43435</v>
      </c>
    </row>
    <row r="111" spans="1:27" ht="15" customHeight="1" outlineLevel="1" x14ac:dyDescent="0.25">
      <c r="A111" s="494"/>
      <c r="B111" s="494"/>
      <c r="C111" s="494"/>
      <c r="D111" s="510"/>
      <c r="E111" s="496"/>
      <c r="F111" s="496"/>
      <c r="G111" s="496"/>
      <c r="H111" s="496"/>
      <c r="I111" s="496"/>
      <c r="J111" s="496"/>
      <c r="K111" s="496"/>
      <c r="L111" s="496"/>
      <c r="M111" s="496"/>
      <c r="N111" s="496">
        <f>SUM(O111:Z111)</f>
        <v>0</v>
      </c>
      <c r="O111" s="496"/>
      <c r="P111" s="496"/>
      <c r="Q111" s="496"/>
      <c r="R111" s="496"/>
      <c r="S111" s="496"/>
      <c r="T111" s="496"/>
      <c r="U111" s="496"/>
      <c r="V111" s="496"/>
      <c r="W111" s="496"/>
      <c r="X111" s="496"/>
      <c r="Y111" s="496"/>
      <c r="Z111" s="496"/>
    </row>
    <row r="112" spans="1:27" ht="15" customHeight="1" outlineLevel="1" x14ac:dyDescent="0.25">
      <c r="A112" s="494"/>
      <c r="B112" s="494"/>
      <c r="C112" s="494"/>
      <c r="D112" s="510"/>
      <c r="E112" s="496"/>
      <c r="F112" s="496"/>
      <c r="G112" s="496"/>
      <c r="H112" s="496"/>
      <c r="I112" s="496"/>
      <c r="J112" s="496"/>
      <c r="K112" s="496"/>
      <c r="L112" s="496"/>
      <c r="M112" s="496"/>
      <c r="N112" s="496">
        <f>SUM(O112:Z112)</f>
        <v>0</v>
      </c>
      <c r="O112" s="496"/>
      <c r="P112" s="496"/>
      <c r="Q112" s="496"/>
      <c r="R112" s="496"/>
      <c r="S112" s="496"/>
      <c r="T112" s="496"/>
      <c r="U112" s="496"/>
      <c r="V112" s="496"/>
      <c r="W112" s="496"/>
      <c r="X112" s="496"/>
      <c r="Y112" s="496"/>
      <c r="Z112" s="496"/>
    </row>
    <row r="113" spans="1:27" ht="21" customHeight="1" outlineLevel="1" x14ac:dyDescent="0.25">
      <c r="A113" s="494"/>
      <c r="B113" s="494"/>
      <c r="C113" s="494"/>
      <c r="D113" s="510"/>
      <c r="E113" s="496"/>
      <c r="F113" s="496"/>
      <c r="G113" s="518"/>
      <c r="H113" s="496"/>
      <c r="I113" s="496"/>
      <c r="J113" s="496"/>
      <c r="K113" s="519" t="s">
        <v>20</v>
      </c>
      <c r="L113" s="404">
        <f>SUM(L110:L112)</f>
        <v>0</v>
      </c>
      <c r="M113" s="404">
        <f>SUM(M110:M112)</f>
        <v>0</v>
      </c>
      <c r="N113" s="496">
        <f t="shared" ref="N113:Z113" si="12">SUM(N111:N112)</f>
        <v>0</v>
      </c>
      <c r="O113" s="496">
        <f t="shared" si="12"/>
        <v>0</v>
      </c>
      <c r="P113" s="496">
        <f t="shared" si="12"/>
        <v>0</v>
      </c>
      <c r="Q113" s="496">
        <f t="shared" si="12"/>
        <v>0</v>
      </c>
      <c r="R113" s="496">
        <f t="shared" si="12"/>
        <v>0</v>
      </c>
      <c r="S113" s="496">
        <f t="shared" si="12"/>
        <v>0</v>
      </c>
      <c r="T113" s="496">
        <f t="shared" si="12"/>
        <v>0</v>
      </c>
      <c r="U113" s="496">
        <f t="shared" si="12"/>
        <v>0</v>
      </c>
      <c r="V113" s="496">
        <f t="shared" si="12"/>
        <v>0</v>
      </c>
      <c r="W113" s="496">
        <f t="shared" si="12"/>
        <v>0</v>
      </c>
      <c r="X113" s="496">
        <f t="shared" si="12"/>
        <v>0</v>
      </c>
      <c r="Y113" s="496">
        <f t="shared" si="12"/>
        <v>0</v>
      </c>
      <c r="Z113" s="496">
        <f t="shared" si="12"/>
        <v>0</v>
      </c>
      <c r="AA113" s="517"/>
    </row>
    <row r="114" spans="1:27" ht="18.75" outlineLevel="1" x14ac:dyDescent="0.25">
      <c r="A114" s="505" t="str">
        <f>CONCATENATE(B19," ",C19)</f>
        <v>Objective 3 Commercial Support and other consulting</v>
      </c>
      <c r="B114" s="505"/>
      <c r="C114" s="506"/>
      <c r="D114" s="506"/>
      <c r="E114" s="507"/>
      <c r="F114" s="507"/>
      <c r="G114" s="507"/>
      <c r="H114" s="507"/>
      <c r="I114" s="507"/>
      <c r="J114" s="507"/>
      <c r="K114" s="507"/>
      <c r="L114" s="507"/>
      <c r="M114" s="507"/>
      <c r="N114" s="507"/>
      <c r="O114" s="507" t="s">
        <v>5</v>
      </c>
      <c r="P114" s="507"/>
      <c r="Q114" s="507"/>
      <c r="R114" s="507"/>
      <c r="S114" s="507"/>
      <c r="T114" s="507"/>
      <c r="U114" s="507"/>
      <c r="V114" s="507"/>
      <c r="W114" s="507"/>
      <c r="X114" s="507"/>
      <c r="Y114" s="507"/>
      <c r="Z114" s="507"/>
    </row>
    <row r="115" spans="1:27" ht="41.45" customHeight="1" outlineLevel="1" x14ac:dyDescent="0.25">
      <c r="A115" s="492" t="s">
        <v>261</v>
      </c>
      <c r="B115" s="492" t="s">
        <v>13</v>
      </c>
      <c r="C115" s="492" t="s">
        <v>14</v>
      </c>
      <c r="D115" s="509" t="s">
        <v>286</v>
      </c>
      <c r="E115" s="404" t="s">
        <v>16</v>
      </c>
      <c r="F115" s="404" t="s">
        <v>295</v>
      </c>
      <c r="G115" s="404" t="s">
        <v>39</v>
      </c>
      <c r="H115" s="404" t="s">
        <v>297</v>
      </c>
      <c r="I115" s="404" t="s">
        <v>298</v>
      </c>
      <c r="J115" s="404" t="s">
        <v>299</v>
      </c>
      <c r="K115" s="404" t="s">
        <v>300</v>
      </c>
      <c r="L115" s="404" t="s">
        <v>17</v>
      </c>
      <c r="M115" s="404" t="s">
        <v>18</v>
      </c>
      <c r="N115" s="404" t="s">
        <v>19</v>
      </c>
      <c r="O115" s="493">
        <v>43101</v>
      </c>
      <c r="P115" s="493">
        <v>43132</v>
      </c>
      <c r="Q115" s="493">
        <v>43160</v>
      </c>
      <c r="R115" s="493">
        <v>43191</v>
      </c>
      <c r="S115" s="493">
        <v>43221</v>
      </c>
      <c r="T115" s="493">
        <v>43252</v>
      </c>
      <c r="U115" s="493">
        <v>43282</v>
      </c>
      <c r="V115" s="493">
        <v>43313</v>
      </c>
      <c r="W115" s="493">
        <v>43344</v>
      </c>
      <c r="X115" s="493">
        <v>43374</v>
      </c>
      <c r="Y115" s="493">
        <v>43405</v>
      </c>
      <c r="Z115" s="493">
        <v>43435</v>
      </c>
    </row>
    <row r="116" spans="1:27" ht="15.75" x14ac:dyDescent="0.25">
      <c r="A116" s="494" t="s">
        <v>1770</v>
      </c>
      <c r="B116" s="494">
        <v>6</v>
      </c>
      <c r="C116" s="573" t="s">
        <v>672</v>
      </c>
      <c r="D116" s="510"/>
      <c r="E116" s="496" t="s">
        <v>199</v>
      </c>
      <c r="F116" s="496"/>
      <c r="G116" s="496"/>
      <c r="H116" s="496"/>
      <c r="I116" s="496"/>
      <c r="J116" s="496"/>
      <c r="K116" s="496"/>
      <c r="L116" s="496"/>
      <c r="M116" s="496"/>
      <c r="N116" s="512">
        <f>SUM(O116:Z116)</f>
        <v>15000</v>
      </c>
      <c r="O116" s="496">
        <v>0</v>
      </c>
      <c r="P116" s="496">
        <v>0</v>
      </c>
      <c r="Q116" s="496">
        <v>0</v>
      </c>
      <c r="R116" s="1019">
        <v>1700</v>
      </c>
      <c r="S116" s="1019">
        <v>1700</v>
      </c>
      <c r="T116" s="1019">
        <v>1700</v>
      </c>
      <c r="U116" s="1019">
        <v>1650</v>
      </c>
      <c r="V116" s="1019">
        <v>1650</v>
      </c>
      <c r="W116" s="1019">
        <v>1650</v>
      </c>
      <c r="X116" s="1019">
        <v>1650</v>
      </c>
      <c r="Y116" s="1019">
        <v>1650</v>
      </c>
      <c r="Z116" s="1019">
        <v>1650</v>
      </c>
    </row>
    <row r="117" spans="1:27" ht="15.75" x14ac:dyDescent="0.25">
      <c r="A117" s="494" t="s">
        <v>1775</v>
      </c>
      <c r="B117" s="494">
        <v>8</v>
      </c>
      <c r="C117" s="573" t="s">
        <v>674</v>
      </c>
      <c r="D117" s="510"/>
      <c r="E117" s="496" t="s">
        <v>199</v>
      </c>
      <c r="F117" s="496"/>
      <c r="G117" s="496"/>
      <c r="H117" s="496"/>
      <c r="I117" s="496"/>
      <c r="J117" s="496"/>
      <c r="K117" s="496"/>
      <c r="L117" s="496"/>
      <c r="M117" s="496"/>
      <c r="N117" s="512">
        <f>SUM(O117:Z117)</f>
        <v>83000</v>
      </c>
      <c r="O117" s="1019">
        <v>11250</v>
      </c>
      <c r="P117" s="1019">
        <v>11250</v>
      </c>
      <c r="Q117" s="1019">
        <v>11250</v>
      </c>
      <c r="R117" s="1019">
        <v>11250</v>
      </c>
      <c r="S117" s="1019">
        <v>3500</v>
      </c>
      <c r="T117" s="1019">
        <v>3500</v>
      </c>
      <c r="U117" s="1019">
        <v>6000</v>
      </c>
      <c r="V117" s="1019">
        <v>6000</v>
      </c>
      <c r="W117" s="1019">
        <v>6000</v>
      </c>
      <c r="X117" s="1019">
        <v>6000</v>
      </c>
      <c r="Y117" s="1019">
        <v>3500</v>
      </c>
      <c r="Z117" s="1019">
        <v>3500</v>
      </c>
    </row>
    <row r="118" spans="1:27" ht="15.75" x14ac:dyDescent="0.25">
      <c r="A118" s="494" t="s">
        <v>1777</v>
      </c>
      <c r="B118" s="494"/>
      <c r="C118" s="573" t="s">
        <v>680</v>
      </c>
      <c r="D118" s="510"/>
      <c r="E118" s="496" t="s">
        <v>199</v>
      </c>
      <c r="F118" s="496"/>
      <c r="G118" s="496"/>
      <c r="H118" s="496"/>
      <c r="I118" s="496"/>
      <c r="J118" s="496"/>
      <c r="K118" s="496"/>
      <c r="L118" s="496"/>
      <c r="M118" s="496"/>
      <c r="N118" s="512">
        <f>SUM(O118:Z118)</f>
        <v>100000</v>
      </c>
      <c r="O118" s="1019">
        <v>10000</v>
      </c>
      <c r="P118" s="1019">
        <v>10000</v>
      </c>
      <c r="Q118" s="1019">
        <v>10000</v>
      </c>
      <c r="R118" s="1019">
        <v>10000</v>
      </c>
      <c r="S118" s="1019">
        <v>10000</v>
      </c>
      <c r="T118" s="1019">
        <v>10000</v>
      </c>
      <c r="U118" s="1019">
        <v>10000</v>
      </c>
      <c r="V118" s="1019">
        <v>10000</v>
      </c>
      <c r="W118" s="1019">
        <v>10000</v>
      </c>
      <c r="X118" s="1019">
        <v>10000</v>
      </c>
      <c r="Y118" s="1019">
        <v>0</v>
      </c>
      <c r="Z118" s="1019">
        <v>0</v>
      </c>
    </row>
    <row r="119" spans="1:27" ht="15" customHeight="1" outlineLevel="1" x14ac:dyDescent="0.25">
      <c r="A119" s="494"/>
      <c r="B119" s="494"/>
      <c r="C119" s="494"/>
      <c r="D119" s="510"/>
      <c r="E119" s="496"/>
      <c r="F119" s="496"/>
      <c r="G119" s="496"/>
      <c r="H119" s="496"/>
      <c r="I119" s="496"/>
      <c r="J119" s="496"/>
      <c r="K119" s="496"/>
      <c r="L119" s="496"/>
      <c r="M119" s="496"/>
      <c r="N119" s="496">
        <f>SUM(O119:Z119)</f>
        <v>0</v>
      </c>
      <c r="O119" s="496"/>
      <c r="P119" s="496"/>
      <c r="Q119" s="496"/>
      <c r="R119" s="496"/>
      <c r="S119" s="496"/>
      <c r="T119" s="496"/>
      <c r="U119" s="496"/>
      <c r="V119" s="496"/>
      <c r="W119" s="496"/>
      <c r="X119" s="496"/>
      <c r="Y119" s="496"/>
      <c r="Z119" s="496"/>
    </row>
    <row r="120" spans="1:27" ht="15" customHeight="1" outlineLevel="1" x14ac:dyDescent="0.25">
      <c r="A120" s="494"/>
      <c r="B120" s="494"/>
      <c r="C120" s="494"/>
      <c r="D120" s="510"/>
      <c r="E120" s="496"/>
      <c r="F120" s="496"/>
      <c r="G120" s="496"/>
      <c r="H120" s="496"/>
      <c r="I120" s="496"/>
      <c r="J120" s="496"/>
      <c r="K120" s="496"/>
      <c r="L120" s="496"/>
      <c r="M120" s="496"/>
      <c r="N120" s="496">
        <f>SUM(O120:Z120)</f>
        <v>0</v>
      </c>
      <c r="O120" s="496"/>
      <c r="P120" s="496"/>
      <c r="Q120" s="496"/>
      <c r="R120" s="496"/>
      <c r="S120" s="496"/>
      <c r="T120" s="496"/>
      <c r="U120" s="496"/>
      <c r="V120" s="496"/>
      <c r="W120" s="496"/>
      <c r="X120" s="496"/>
      <c r="Y120" s="496"/>
      <c r="Z120" s="496"/>
    </row>
    <row r="121" spans="1:27" ht="21" customHeight="1" outlineLevel="1" x14ac:dyDescent="0.25">
      <c r="A121" s="494"/>
      <c r="B121" s="494"/>
      <c r="C121" s="494"/>
      <c r="D121" s="510"/>
      <c r="E121" s="496"/>
      <c r="F121" s="496"/>
      <c r="G121" s="518"/>
      <c r="H121" s="496"/>
      <c r="I121" s="496"/>
      <c r="J121" s="496"/>
      <c r="K121" s="519" t="s">
        <v>20</v>
      </c>
      <c r="L121" s="404">
        <f>SUM(L115:L120)</f>
        <v>0</v>
      </c>
      <c r="M121" s="404">
        <f>SUM(M115:M120)</f>
        <v>0</v>
      </c>
      <c r="N121" s="496">
        <f>SUM(N116:N120)</f>
        <v>198000</v>
      </c>
      <c r="O121" s="496">
        <f t="shared" ref="O121:Z121" si="13">SUM(O116:O120)</f>
        <v>21250</v>
      </c>
      <c r="P121" s="496">
        <f t="shared" si="13"/>
        <v>21250</v>
      </c>
      <c r="Q121" s="496">
        <f t="shared" si="13"/>
        <v>21250</v>
      </c>
      <c r="R121" s="496">
        <f t="shared" si="13"/>
        <v>22950</v>
      </c>
      <c r="S121" s="496">
        <f t="shared" si="13"/>
        <v>15200</v>
      </c>
      <c r="T121" s="496">
        <f t="shared" si="13"/>
        <v>15200</v>
      </c>
      <c r="U121" s="496">
        <f t="shared" si="13"/>
        <v>17650</v>
      </c>
      <c r="V121" s="496">
        <f t="shared" si="13"/>
        <v>17650</v>
      </c>
      <c r="W121" s="496">
        <f t="shared" si="13"/>
        <v>17650</v>
      </c>
      <c r="X121" s="496">
        <f t="shared" si="13"/>
        <v>17650</v>
      </c>
      <c r="Y121" s="496">
        <f t="shared" si="13"/>
        <v>5150</v>
      </c>
      <c r="Z121" s="496">
        <f t="shared" si="13"/>
        <v>5150</v>
      </c>
      <c r="AA121" s="517"/>
    </row>
    <row r="122" spans="1:27" ht="21" hidden="1" customHeight="1" outlineLevel="1" x14ac:dyDescent="0.25">
      <c r="A122" s="494" t="s">
        <v>285</v>
      </c>
      <c r="B122" s="494"/>
      <c r="C122" s="494"/>
      <c r="D122" s="510"/>
      <c r="E122" s="496"/>
      <c r="F122" s="496"/>
      <c r="G122" s="518"/>
      <c r="H122" s="496"/>
      <c r="I122" s="496"/>
      <c r="J122" s="496"/>
      <c r="K122" s="519" t="s">
        <v>20</v>
      </c>
      <c r="L122" s="404" t="e">
        <f>SUM(#REF!)</f>
        <v>#REF!</v>
      </c>
      <c r="M122" s="404" t="e">
        <f>SUM(#REF!)</f>
        <v>#REF!</v>
      </c>
      <c r="N122" s="496" t="e">
        <f>SUM(#REF!)</f>
        <v>#REF!</v>
      </c>
      <c r="O122" s="496" t="e">
        <f>SUM(#REF!)</f>
        <v>#REF!</v>
      </c>
      <c r="P122" s="496" t="e">
        <f>SUM(#REF!)</f>
        <v>#REF!</v>
      </c>
      <c r="Q122" s="496" t="e">
        <f>SUM(#REF!)</f>
        <v>#REF!</v>
      </c>
      <c r="R122" s="496" t="e">
        <f>SUM(#REF!)</f>
        <v>#REF!</v>
      </c>
      <c r="S122" s="496" t="e">
        <f>SUM(#REF!)</f>
        <v>#REF!</v>
      </c>
      <c r="T122" s="496" t="e">
        <f>SUM(#REF!)</f>
        <v>#REF!</v>
      </c>
      <c r="U122" s="496" t="e">
        <f>SUM(#REF!)</f>
        <v>#REF!</v>
      </c>
      <c r="V122" s="496" t="e">
        <f>SUM(#REF!)</f>
        <v>#REF!</v>
      </c>
      <c r="W122" s="496" t="e">
        <f>SUM(#REF!)</f>
        <v>#REF!</v>
      </c>
      <c r="X122" s="496" t="e">
        <f>SUM(#REF!)</f>
        <v>#REF!</v>
      </c>
      <c r="Y122" s="496" t="e">
        <f>SUM(#REF!)</f>
        <v>#REF!</v>
      </c>
      <c r="Z122" s="496" t="e">
        <f>SUM(#REF!)</f>
        <v>#REF!</v>
      </c>
      <c r="AA122" s="517"/>
    </row>
    <row r="123" spans="1:27" ht="18.75" outlineLevel="1" x14ac:dyDescent="0.25">
      <c r="A123" s="505" t="str">
        <f>CONCATENATE(B20," ",C20)</f>
        <v>Objective 4 Operational and organizational design , process and procedures</v>
      </c>
      <c r="B123" s="505"/>
      <c r="C123" s="506"/>
      <c r="D123" s="506"/>
      <c r="E123" s="507"/>
      <c r="F123" s="507"/>
      <c r="G123" s="507"/>
      <c r="H123" s="507"/>
      <c r="I123" s="507"/>
      <c r="J123" s="507"/>
      <c r="K123" s="507"/>
      <c r="L123" s="507"/>
      <c r="M123" s="507"/>
      <c r="N123" s="507"/>
      <c r="O123" s="507" t="s">
        <v>5</v>
      </c>
      <c r="P123" s="507"/>
      <c r="Q123" s="507"/>
      <c r="R123" s="507"/>
      <c r="S123" s="507"/>
      <c r="T123" s="507"/>
      <c r="U123" s="507"/>
      <c r="V123" s="507"/>
      <c r="W123" s="507"/>
      <c r="X123" s="507"/>
      <c r="Y123" s="507"/>
      <c r="Z123" s="507"/>
    </row>
    <row r="124" spans="1:27" ht="41.45" customHeight="1" outlineLevel="1" x14ac:dyDescent="0.25">
      <c r="A124" s="492" t="s">
        <v>261</v>
      </c>
      <c r="B124" s="492" t="s">
        <v>13</v>
      </c>
      <c r="C124" s="492" t="s">
        <v>14</v>
      </c>
      <c r="D124" s="509" t="s">
        <v>286</v>
      </c>
      <c r="E124" s="404" t="s">
        <v>16</v>
      </c>
      <c r="F124" s="404" t="s">
        <v>295</v>
      </c>
      <c r="G124" s="404" t="s">
        <v>39</v>
      </c>
      <c r="H124" s="404" t="s">
        <v>297</v>
      </c>
      <c r="I124" s="404" t="s">
        <v>298</v>
      </c>
      <c r="J124" s="404" t="s">
        <v>299</v>
      </c>
      <c r="K124" s="404" t="s">
        <v>300</v>
      </c>
      <c r="L124" s="404" t="s">
        <v>17</v>
      </c>
      <c r="M124" s="404" t="s">
        <v>18</v>
      </c>
      <c r="N124" s="404" t="s">
        <v>19</v>
      </c>
      <c r="O124" s="493">
        <v>43101</v>
      </c>
      <c r="P124" s="493">
        <v>43132</v>
      </c>
      <c r="Q124" s="493">
        <v>43160</v>
      </c>
      <c r="R124" s="493">
        <v>43191</v>
      </c>
      <c r="S124" s="493">
        <v>43221</v>
      </c>
      <c r="T124" s="493">
        <v>43252</v>
      </c>
      <c r="U124" s="493">
        <v>43282</v>
      </c>
      <c r="V124" s="493">
        <v>43313</v>
      </c>
      <c r="W124" s="493">
        <v>43344</v>
      </c>
      <c r="X124" s="493">
        <v>43374</v>
      </c>
      <c r="Y124" s="493">
        <v>43405</v>
      </c>
      <c r="Z124" s="493">
        <v>43435</v>
      </c>
    </row>
    <row r="125" spans="1:27" ht="31.5" x14ac:dyDescent="0.25">
      <c r="A125" s="494" t="s">
        <v>1780</v>
      </c>
      <c r="B125" s="494">
        <v>11</v>
      </c>
      <c r="C125" s="573" t="s">
        <v>676</v>
      </c>
      <c r="D125" s="510"/>
      <c r="E125" s="496" t="s">
        <v>199</v>
      </c>
      <c r="F125" s="496"/>
      <c r="G125" s="496"/>
      <c r="H125" s="496"/>
      <c r="I125" s="496"/>
      <c r="J125" s="496"/>
      <c r="K125" s="496"/>
      <c r="L125" s="496"/>
      <c r="M125" s="496"/>
      <c r="N125" s="512">
        <f>SUM(O125:Z125)</f>
        <v>1000000</v>
      </c>
      <c r="O125" s="1019">
        <v>0</v>
      </c>
      <c r="P125" s="1019">
        <v>0</v>
      </c>
      <c r="Q125" s="1019">
        <v>0</v>
      </c>
      <c r="R125" s="1019">
        <v>0</v>
      </c>
      <c r="S125" s="1019">
        <v>0</v>
      </c>
      <c r="T125" s="1019">
        <v>200000</v>
      </c>
      <c r="U125" s="1019">
        <v>200000</v>
      </c>
      <c r="V125" s="1019">
        <v>200000</v>
      </c>
      <c r="W125" s="1019">
        <v>200000</v>
      </c>
      <c r="X125" s="1019">
        <v>200000</v>
      </c>
      <c r="Y125" s="1019">
        <v>0</v>
      </c>
      <c r="Z125" s="1019">
        <v>0</v>
      </c>
    </row>
    <row r="126" spans="1:27" ht="21" customHeight="1" outlineLevel="1" x14ac:dyDescent="0.25">
      <c r="A126" s="494"/>
      <c r="B126" s="494"/>
      <c r="C126" s="494"/>
      <c r="D126" s="510"/>
      <c r="E126" s="496"/>
      <c r="F126" s="496"/>
      <c r="G126" s="518"/>
      <c r="H126" s="496"/>
      <c r="I126" s="496"/>
      <c r="J126" s="496"/>
      <c r="K126" s="519" t="s">
        <v>20</v>
      </c>
      <c r="L126" s="404">
        <f>SUM(L124:L125)</f>
        <v>0</v>
      </c>
      <c r="M126" s="404">
        <f>SUM(M124:M125)</f>
        <v>0</v>
      </c>
      <c r="N126" s="496">
        <f>SUM(N125)</f>
        <v>1000000</v>
      </c>
      <c r="O126" s="496">
        <f t="shared" ref="O126:Z126" si="14">SUM(O125)</f>
        <v>0</v>
      </c>
      <c r="P126" s="496">
        <f t="shared" si="14"/>
        <v>0</v>
      </c>
      <c r="Q126" s="496">
        <f t="shared" si="14"/>
        <v>0</v>
      </c>
      <c r="R126" s="496">
        <f t="shared" si="14"/>
        <v>0</v>
      </c>
      <c r="S126" s="496">
        <f t="shared" si="14"/>
        <v>0</v>
      </c>
      <c r="T126" s="496">
        <f t="shared" si="14"/>
        <v>200000</v>
      </c>
      <c r="U126" s="496">
        <f t="shared" si="14"/>
        <v>200000</v>
      </c>
      <c r="V126" s="496">
        <f t="shared" si="14"/>
        <v>200000</v>
      </c>
      <c r="W126" s="496">
        <f t="shared" si="14"/>
        <v>200000</v>
      </c>
      <c r="X126" s="496">
        <f t="shared" si="14"/>
        <v>200000</v>
      </c>
      <c r="Y126" s="496">
        <f t="shared" si="14"/>
        <v>0</v>
      </c>
      <c r="Z126" s="496">
        <f t="shared" si="14"/>
        <v>0</v>
      </c>
      <c r="AA126" s="517"/>
    </row>
    <row r="127" spans="1:27" ht="18.75" outlineLevel="1" x14ac:dyDescent="0.25">
      <c r="A127" s="505" t="str">
        <f>CONCATENATE(B21," ",C21)</f>
        <v xml:space="preserve"> </v>
      </c>
      <c r="B127" s="505"/>
      <c r="C127" s="506"/>
      <c r="D127" s="506"/>
      <c r="E127" s="507"/>
      <c r="F127" s="507"/>
      <c r="G127" s="507"/>
      <c r="H127" s="507"/>
      <c r="I127" s="507"/>
      <c r="J127" s="507"/>
      <c r="K127" s="507"/>
      <c r="L127" s="507"/>
      <c r="M127" s="507"/>
      <c r="N127" s="507"/>
      <c r="O127" s="507" t="s">
        <v>5</v>
      </c>
      <c r="P127" s="507"/>
      <c r="Q127" s="507"/>
      <c r="R127" s="507"/>
      <c r="S127" s="507"/>
      <c r="T127" s="507"/>
      <c r="U127" s="507"/>
      <c r="V127" s="507"/>
      <c r="W127" s="507"/>
      <c r="X127" s="507"/>
      <c r="Y127" s="507"/>
      <c r="Z127" s="507"/>
    </row>
    <row r="128" spans="1:27" ht="6.75" customHeight="1" x14ac:dyDescent="0.25"/>
    <row r="129" spans="1:26" ht="18.75" x14ac:dyDescent="0.25">
      <c r="A129" s="489" t="s">
        <v>324</v>
      </c>
      <c r="B129" s="489"/>
      <c r="C129" s="490"/>
      <c r="D129" s="490"/>
      <c r="E129" s="402"/>
      <c r="F129" s="402"/>
      <c r="G129" s="402"/>
      <c r="H129" s="491"/>
      <c r="I129" s="491"/>
      <c r="J129" s="402"/>
      <c r="K129" s="402"/>
      <c r="L129" s="402"/>
      <c r="M129" s="402"/>
      <c r="N129" s="402"/>
      <c r="O129" s="402" t="s">
        <v>5</v>
      </c>
      <c r="P129" s="402"/>
      <c r="Q129" s="402"/>
      <c r="R129" s="402"/>
      <c r="S129" s="402"/>
      <c r="T129" s="402"/>
      <c r="U129" s="402"/>
      <c r="V129" s="402"/>
      <c r="W129" s="402"/>
      <c r="X129" s="402"/>
      <c r="Y129" s="402"/>
      <c r="Z129" s="402"/>
    </row>
    <row r="130" spans="1:26" ht="15.75" outlineLevel="1" x14ac:dyDescent="0.25">
      <c r="A130" s="492" t="s">
        <v>261</v>
      </c>
      <c r="B130" s="492" t="s">
        <v>13</v>
      </c>
      <c r="C130" s="492" t="s">
        <v>14</v>
      </c>
      <c r="D130" s="403" t="s">
        <v>15</v>
      </c>
      <c r="E130" s="520"/>
      <c r="F130" s="520"/>
      <c r="G130" s="520"/>
      <c r="H130" s="520"/>
      <c r="I130" s="520"/>
      <c r="J130" s="410"/>
      <c r="K130" s="409"/>
      <c r="L130" s="404" t="s">
        <v>52</v>
      </c>
      <c r="M130" s="404" t="s">
        <v>53</v>
      </c>
      <c r="N130" s="404" t="s">
        <v>54</v>
      </c>
      <c r="O130" s="493">
        <v>43101</v>
      </c>
      <c r="P130" s="493">
        <v>43132</v>
      </c>
      <c r="Q130" s="493">
        <v>43160</v>
      </c>
      <c r="R130" s="493">
        <v>43191</v>
      </c>
      <c r="S130" s="493">
        <v>43221</v>
      </c>
      <c r="T130" s="493">
        <v>43252</v>
      </c>
      <c r="U130" s="493">
        <v>43282</v>
      </c>
      <c r="V130" s="493">
        <v>43313</v>
      </c>
      <c r="W130" s="493">
        <v>43344</v>
      </c>
      <c r="X130" s="493">
        <v>43374</v>
      </c>
      <c r="Y130" s="493">
        <v>43405</v>
      </c>
      <c r="Z130" s="493">
        <v>43435</v>
      </c>
    </row>
    <row r="131" spans="1:26" ht="15.75" outlineLevel="1" x14ac:dyDescent="0.25">
      <c r="A131" s="494">
        <f>+A17</f>
        <v>0</v>
      </c>
      <c r="B131" s="494" t="s">
        <v>27</v>
      </c>
      <c r="C131" s="494" t="str">
        <f>C17</f>
        <v>Audit, Tax Support and misc changes i.e.bank</v>
      </c>
      <c r="D131" s="508">
        <f>D17</f>
        <v>0</v>
      </c>
      <c r="E131" s="520"/>
      <c r="F131" s="520"/>
      <c r="G131" s="520"/>
      <c r="H131" s="520"/>
      <c r="I131" s="520"/>
      <c r="J131" s="410"/>
      <c r="K131" s="409" t="s">
        <v>5</v>
      </c>
      <c r="L131" s="496"/>
      <c r="M131" s="496"/>
      <c r="N131" s="496"/>
      <c r="O131" s="521">
        <f t="shared" ref="O131:Z131" si="15">+O17/SUM($O17:$Z17)</f>
        <v>1.5723270440251567E-3</v>
      </c>
      <c r="P131" s="521">
        <f t="shared" si="15"/>
        <v>1.5723270440251567E-3</v>
      </c>
      <c r="Q131" s="521">
        <f t="shared" si="15"/>
        <v>1.5723270440251567E-3</v>
      </c>
      <c r="R131" s="521">
        <f t="shared" si="15"/>
        <v>0.19025157232704398</v>
      </c>
      <c r="S131" s="521">
        <f t="shared" si="15"/>
        <v>0.19025157232704398</v>
      </c>
      <c r="T131" s="521">
        <f t="shared" si="15"/>
        <v>0.19025157232704398</v>
      </c>
      <c r="U131" s="521">
        <f t="shared" si="15"/>
        <v>7.1383647798742123E-2</v>
      </c>
      <c r="V131" s="521">
        <f t="shared" si="15"/>
        <v>7.1383647798742123E-2</v>
      </c>
      <c r="W131" s="521">
        <f t="shared" si="15"/>
        <v>7.0440251572327028E-2</v>
      </c>
      <c r="X131" s="521">
        <f t="shared" si="15"/>
        <v>7.0440251572327028E-2</v>
      </c>
      <c r="Y131" s="521">
        <f t="shared" si="15"/>
        <v>7.0440251572327028E-2</v>
      </c>
      <c r="Z131" s="521">
        <f t="shared" si="15"/>
        <v>7.0440251572327028E-2</v>
      </c>
    </row>
    <row r="132" spans="1:26" ht="15.75" hidden="1" outlineLevel="1" x14ac:dyDescent="0.25">
      <c r="A132" s="494">
        <f>+A18</f>
        <v>0</v>
      </c>
      <c r="B132" s="494" t="s">
        <v>29</v>
      </c>
      <c r="C132" s="494" t="str">
        <f>C18</f>
        <v>External accounting Support</v>
      </c>
      <c r="D132" s="508">
        <f>D18</f>
        <v>0</v>
      </c>
      <c r="E132" s="520"/>
      <c r="F132" s="520"/>
      <c r="G132" s="520"/>
      <c r="H132" s="520"/>
      <c r="I132" s="520"/>
      <c r="J132" s="410"/>
      <c r="K132" s="409" t="s">
        <v>5</v>
      </c>
      <c r="L132" s="496" t="s">
        <v>48</v>
      </c>
      <c r="M132" s="496" t="s">
        <v>55</v>
      </c>
      <c r="N132" s="496">
        <v>6</v>
      </c>
      <c r="O132" s="521">
        <f t="shared" ref="O132:Z132" si="16">+O18/SUM($O18:$Z18)</f>
        <v>3.2388663967611336E-2</v>
      </c>
      <c r="P132" s="521">
        <f t="shared" si="16"/>
        <v>3.2388663967611336E-2</v>
      </c>
      <c r="Q132" s="521">
        <f t="shared" si="16"/>
        <v>0.12854251012145748</v>
      </c>
      <c r="R132" s="521">
        <f t="shared" si="16"/>
        <v>0.13360323886639677</v>
      </c>
      <c r="S132" s="521">
        <f t="shared" si="16"/>
        <v>0.10425101214574899</v>
      </c>
      <c r="T132" s="521">
        <f t="shared" si="16"/>
        <v>0.10425101214574899</v>
      </c>
      <c r="U132" s="521">
        <f t="shared" si="16"/>
        <v>0.10931174089068826</v>
      </c>
      <c r="V132" s="521">
        <f t="shared" si="16"/>
        <v>0.10020242914979757</v>
      </c>
      <c r="W132" s="521">
        <f t="shared" si="16"/>
        <v>7.3886639676113364E-2</v>
      </c>
      <c r="X132" s="521">
        <f t="shared" si="16"/>
        <v>7.8947368421052627E-2</v>
      </c>
      <c r="Y132" s="521">
        <f t="shared" si="16"/>
        <v>4.8582995951417005E-2</v>
      </c>
      <c r="Z132" s="521">
        <f t="shared" si="16"/>
        <v>5.3643724696356275E-2</v>
      </c>
    </row>
    <row r="133" spans="1:26" ht="15.75" hidden="1" outlineLevel="1" x14ac:dyDescent="0.25">
      <c r="A133" s="494" t="e">
        <f>+#REF!</f>
        <v>#REF!</v>
      </c>
      <c r="B133" s="494" t="s">
        <v>30</v>
      </c>
      <c r="C133" s="494" t="e">
        <f>#REF!</f>
        <v>#REF!</v>
      </c>
      <c r="D133" s="508" t="e">
        <f>#REF!</f>
        <v>#REF!</v>
      </c>
      <c r="E133" s="520"/>
      <c r="F133" s="520"/>
      <c r="G133" s="520"/>
      <c r="H133" s="520"/>
      <c r="I133" s="520"/>
      <c r="J133" s="410"/>
      <c r="K133" s="409" t="s">
        <v>5</v>
      </c>
      <c r="L133" s="496"/>
      <c r="M133" s="496"/>
      <c r="N133" s="496"/>
      <c r="O133" s="521" t="e">
        <f>+#REF!/SUM(#REF!)</f>
        <v>#REF!</v>
      </c>
      <c r="P133" s="521" t="e">
        <f>+#REF!/SUM(#REF!)</f>
        <v>#REF!</v>
      </c>
      <c r="Q133" s="521" t="e">
        <f>+#REF!/SUM(#REF!)</f>
        <v>#REF!</v>
      </c>
      <c r="R133" s="521" t="e">
        <f>+#REF!/SUM(#REF!)</f>
        <v>#REF!</v>
      </c>
      <c r="S133" s="521" t="e">
        <f>+#REF!/SUM(#REF!)</f>
        <v>#REF!</v>
      </c>
      <c r="T133" s="521" t="e">
        <f>+#REF!/SUM(#REF!)</f>
        <v>#REF!</v>
      </c>
      <c r="U133" s="521" t="e">
        <f>+#REF!/SUM(#REF!)</f>
        <v>#REF!</v>
      </c>
      <c r="V133" s="521" t="e">
        <f>+#REF!/SUM(#REF!)</f>
        <v>#REF!</v>
      </c>
      <c r="W133" s="521" t="e">
        <f>+#REF!/SUM(#REF!)</f>
        <v>#REF!</v>
      </c>
      <c r="X133" s="521" t="e">
        <f>+#REF!/SUM(#REF!)</f>
        <v>#REF!</v>
      </c>
      <c r="Y133" s="521" t="e">
        <f>+#REF!/SUM(#REF!)</f>
        <v>#REF!</v>
      </c>
      <c r="Z133" s="521" t="e">
        <f>+#REF!/SUM(#REF!)</f>
        <v>#REF!</v>
      </c>
    </row>
    <row r="134" spans="1:26" ht="15.75" hidden="1" outlineLevel="1" x14ac:dyDescent="0.25">
      <c r="A134" s="494" t="e">
        <f>+#REF!</f>
        <v>#REF!</v>
      </c>
      <c r="B134" s="494" t="s">
        <v>31</v>
      </c>
      <c r="C134" s="494" t="e">
        <f>#REF!</f>
        <v>#REF!</v>
      </c>
      <c r="D134" s="510" t="e">
        <f>#REF!</f>
        <v>#REF!</v>
      </c>
      <c r="E134" s="520"/>
      <c r="F134" s="520"/>
      <c r="G134" s="520"/>
      <c r="H134" s="520"/>
      <c r="I134" s="520"/>
      <c r="J134" s="410"/>
      <c r="K134" s="409" t="s">
        <v>5</v>
      </c>
      <c r="L134" s="496"/>
      <c r="M134" s="496"/>
      <c r="N134" s="496"/>
      <c r="O134" s="521" t="e">
        <f>+#REF!/SUM(#REF!)</f>
        <v>#REF!</v>
      </c>
      <c r="P134" s="521" t="e">
        <f>+#REF!/SUM(#REF!)</f>
        <v>#REF!</v>
      </c>
      <c r="Q134" s="521" t="e">
        <f>+#REF!/SUM(#REF!)</f>
        <v>#REF!</v>
      </c>
      <c r="R134" s="521" t="e">
        <f>+#REF!/SUM(#REF!)</f>
        <v>#REF!</v>
      </c>
      <c r="S134" s="521" t="e">
        <f>+#REF!/SUM(#REF!)</f>
        <v>#REF!</v>
      </c>
      <c r="T134" s="521" t="e">
        <f>+#REF!/SUM(#REF!)</f>
        <v>#REF!</v>
      </c>
      <c r="U134" s="521" t="e">
        <f>+#REF!/SUM(#REF!)</f>
        <v>#REF!</v>
      </c>
      <c r="V134" s="521" t="e">
        <f>+#REF!/SUM(#REF!)</f>
        <v>#REF!</v>
      </c>
      <c r="W134" s="521" t="e">
        <f>+#REF!/SUM(#REF!)</f>
        <v>#REF!</v>
      </c>
      <c r="X134" s="521" t="e">
        <f>+#REF!/SUM(#REF!)</f>
        <v>#REF!</v>
      </c>
      <c r="Y134" s="521" t="e">
        <f>+#REF!/SUM(#REF!)</f>
        <v>#REF!</v>
      </c>
      <c r="Z134" s="521" t="e">
        <f>+#REF!/SUM(#REF!)</f>
        <v>#REF!</v>
      </c>
    </row>
    <row r="135" spans="1:26" ht="15.75" hidden="1" outlineLevel="1" x14ac:dyDescent="0.25">
      <c r="A135" s="494">
        <f>+A19</f>
        <v>0</v>
      </c>
      <c r="B135" s="494" t="s">
        <v>32</v>
      </c>
      <c r="C135" s="494" t="str">
        <f>C19</f>
        <v>Commercial Support and other consulting</v>
      </c>
      <c r="D135" s="510">
        <f>D19</f>
        <v>0</v>
      </c>
      <c r="E135" s="520"/>
      <c r="F135" s="520"/>
      <c r="G135" s="520"/>
      <c r="H135" s="520"/>
      <c r="I135" s="520"/>
      <c r="J135" s="410"/>
      <c r="K135" s="409"/>
      <c r="L135" s="496"/>
      <c r="M135" s="496"/>
      <c r="N135" s="496"/>
      <c r="O135" s="521">
        <f t="shared" ref="O135:Z135" si="17">+O19/SUM($O19:$Z19)</f>
        <v>0.10732323232323232</v>
      </c>
      <c r="P135" s="521">
        <f t="shared" si="17"/>
        <v>0.10732323232323232</v>
      </c>
      <c r="Q135" s="521">
        <f t="shared" si="17"/>
        <v>0.10732323232323232</v>
      </c>
      <c r="R135" s="521">
        <f t="shared" si="17"/>
        <v>0.11590909090909091</v>
      </c>
      <c r="S135" s="521">
        <f t="shared" si="17"/>
        <v>7.6767676767676762E-2</v>
      </c>
      <c r="T135" s="521">
        <f t="shared" si="17"/>
        <v>7.6767676767676762E-2</v>
      </c>
      <c r="U135" s="521">
        <f t="shared" si="17"/>
        <v>8.9141414141414146E-2</v>
      </c>
      <c r="V135" s="521">
        <f t="shared" si="17"/>
        <v>8.9141414141414146E-2</v>
      </c>
      <c r="W135" s="521">
        <f t="shared" si="17"/>
        <v>8.9141414141414146E-2</v>
      </c>
      <c r="X135" s="521">
        <f t="shared" si="17"/>
        <v>8.9141414141414146E-2</v>
      </c>
      <c r="Y135" s="521">
        <f t="shared" si="17"/>
        <v>2.6010101010101011E-2</v>
      </c>
      <c r="Z135" s="521">
        <f t="shared" si="17"/>
        <v>2.6010101010101011E-2</v>
      </c>
    </row>
    <row r="136" spans="1:26" ht="15.75" hidden="1" outlineLevel="1" x14ac:dyDescent="0.25">
      <c r="A136" s="494" t="e">
        <f>+#REF!</f>
        <v>#REF!</v>
      </c>
      <c r="B136" s="494" t="s">
        <v>256</v>
      </c>
      <c r="C136" s="494" t="e">
        <f>#REF!</f>
        <v>#REF!</v>
      </c>
      <c r="D136" s="510" t="e">
        <f>#REF!</f>
        <v>#REF!</v>
      </c>
      <c r="E136" s="520"/>
      <c r="F136" s="520"/>
      <c r="G136" s="520"/>
      <c r="H136" s="520"/>
      <c r="I136" s="520"/>
      <c r="J136" s="410"/>
      <c r="K136" s="409"/>
      <c r="L136" s="496"/>
      <c r="M136" s="496"/>
      <c r="N136" s="496"/>
      <c r="O136" s="521" t="e">
        <f>+#REF!/SUM(#REF!)</f>
        <v>#REF!</v>
      </c>
      <c r="P136" s="521" t="e">
        <f>+#REF!/SUM(#REF!)</f>
        <v>#REF!</v>
      </c>
      <c r="Q136" s="521" t="e">
        <f>+#REF!/SUM(#REF!)</f>
        <v>#REF!</v>
      </c>
      <c r="R136" s="521" t="e">
        <f>+#REF!/SUM(#REF!)</f>
        <v>#REF!</v>
      </c>
      <c r="S136" s="521" t="e">
        <f>+#REF!/SUM(#REF!)</f>
        <v>#REF!</v>
      </c>
      <c r="T136" s="521" t="e">
        <f>+#REF!/SUM(#REF!)</f>
        <v>#REF!</v>
      </c>
      <c r="U136" s="521" t="e">
        <f>+#REF!/SUM(#REF!)</f>
        <v>#REF!</v>
      </c>
      <c r="V136" s="521" t="e">
        <f>+#REF!/SUM(#REF!)</f>
        <v>#REF!</v>
      </c>
      <c r="W136" s="521" t="e">
        <f>+#REF!/SUM(#REF!)</f>
        <v>#REF!</v>
      </c>
      <c r="X136" s="521" t="e">
        <f>+#REF!/SUM(#REF!)</f>
        <v>#REF!</v>
      </c>
      <c r="Y136" s="521" t="e">
        <f>+#REF!/SUM(#REF!)</f>
        <v>#REF!</v>
      </c>
      <c r="Z136" s="521" t="e">
        <f>+#REF!/SUM(#REF!)</f>
        <v>#REF!</v>
      </c>
    </row>
    <row r="137" spans="1:26" ht="15.75" hidden="1" outlineLevel="1" x14ac:dyDescent="0.25">
      <c r="A137" s="494" t="e">
        <f>+#REF!</f>
        <v>#REF!</v>
      </c>
      <c r="B137" s="494" t="s">
        <v>257</v>
      </c>
      <c r="C137" s="494" t="e">
        <f>#REF!</f>
        <v>#REF!</v>
      </c>
      <c r="D137" s="510" t="e">
        <f>#REF!</f>
        <v>#REF!</v>
      </c>
      <c r="E137" s="520"/>
      <c r="F137" s="520"/>
      <c r="G137" s="520"/>
      <c r="H137" s="520"/>
      <c r="I137" s="520"/>
      <c r="J137" s="410"/>
      <c r="K137" s="409"/>
      <c r="L137" s="496"/>
      <c r="M137" s="496"/>
      <c r="N137" s="496"/>
      <c r="O137" s="521" t="e">
        <f>+#REF!/SUM(#REF!)</f>
        <v>#REF!</v>
      </c>
      <c r="P137" s="521" t="e">
        <f>+#REF!/SUM(#REF!)</f>
        <v>#REF!</v>
      </c>
      <c r="Q137" s="521" t="e">
        <f>+#REF!/SUM(#REF!)</f>
        <v>#REF!</v>
      </c>
      <c r="R137" s="521" t="e">
        <f>+#REF!/SUM(#REF!)</f>
        <v>#REF!</v>
      </c>
      <c r="S137" s="521" t="e">
        <f>+#REF!/SUM(#REF!)</f>
        <v>#REF!</v>
      </c>
      <c r="T137" s="521" t="e">
        <f>+#REF!/SUM(#REF!)</f>
        <v>#REF!</v>
      </c>
      <c r="U137" s="521" t="e">
        <f>+#REF!/SUM(#REF!)</f>
        <v>#REF!</v>
      </c>
      <c r="V137" s="521" t="e">
        <f>+#REF!/SUM(#REF!)</f>
        <v>#REF!</v>
      </c>
      <c r="W137" s="521" t="e">
        <f>+#REF!/SUM(#REF!)</f>
        <v>#REF!</v>
      </c>
      <c r="X137" s="521" t="e">
        <f>+#REF!/SUM(#REF!)</f>
        <v>#REF!</v>
      </c>
      <c r="Y137" s="521" t="e">
        <f>+#REF!/SUM(#REF!)</f>
        <v>#REF!</v>
      </c>
      <c r="Z137" s="521" t="e">
        <f>+#REF!/SUM(#REF!)</f>
        <v>#REF!</v>
      </c>
    </row>
    <row r="138" spans="1:26" ht="15.75" hidden="1" outlineLevel="1" x14ac:dyDescent="0.25">
      <c r="A138" s="494" t="e">
        <f>+#REF!</f>
        <v>#REF!</v>
      </c>
      <c r="B138" s="494" t="s">
        <v>258</v>
      </c>
      <c r="C138" s="494" t="e">
        <f>#REF!</f>
        <v>#REF!</v>
      </c>
      <c r="D138" s="510" t="e">
        <f>#REF!</f>
        <v>#REF!</v>
      </c>
      <c r="E138" s="520"/>
      <c r="F138" s="520"/>
      <c r="G138" s="520"/>
      <c r="H138" s="520"/>
      <c r="I138" s="520"/>
      <c r="J138" s="410"/>
      <c r="K138" s="409"/>
      <c r="L138" s="496"/>
      <c r="M138" s="496"/>
      <c r="N138" s="496"/>
      <c r="O138" s="521" t="e">
        <f>+#REF!/SUM(#REF!)</f>
        <v>#REF!</v>
      </c>
      <c r="P138" s="521" t="e">
        <f>+#REF!/SUM(#REF!)</f>
        <v>#REF!</v>
      </c>
      <c r="Q138" s="521" t="e">
        <f>+#REF!/SUM(#REF!)</f>
        <v>#REF!</v>
      </c>
      <c r="R138" s="521" t="e">
        <f>+#REF!/SUM(#REF!)</f>
        <v>#REF!</v>
      </c>
      <c r="S138" s="521" t="e">
        <f>+#REF!/SUM(#REF!)</f>
        <v>#REF!</v>
      </c>
      <c r="T138" s="521" t="e">
        <f>+#REF!/SUM(#REF!)</f>
        <v>#REF!</v>
      </c>
      <c r="U138" s="521" t="e">
        <f>+#REF!/SUM(#REF!)</f>
        <v>#REF!</v>
      </c>
      <c r="V138" s="521" t="e">
        <f>+#REF!/SUM(#REF!)</f>
        <v>#REF!</v>
      </c>
      <c r="W138" s="521" t="e">
        <f>+#REF!/SUM(#REF!)</f>
        <v>#REF!</v>
      </c>
      <c r="X138" s="521" t="e">
        <f>+#REF!/SUM(#REF!)</f>
        <v>#REF!</v>
      </c>
      <c r="Y138" s="521" t="e">
        <f>+#REF!/SUM(#REF!)</f>
        <v>#REF!</v>
      </c>
      <c r="Z138" s="521" t="e">
        <f>+#REF!/SUM(#REF!)</f>
        <v>#REF!</v>
      </c>
    </row>
    <row r="139" spans="1:26" ht="31.5" hidden="1" outlineLevel="1" x14ac:dyDescent="0.25">
      <c r="A139" s="494">
        <f t="shared" ref="A139:A140" si="18">+A20</f>
        <v>0</v>
      </c>
      <c r="B139" s="494" t="s">
        <v>259</v>
      </c>
      <c r="C139" s="494" t="str">
        <f t="shared" ref="C139:D140" si="19">C20</f>
        <v>Operational and organizational design , process and procedures</v>
      </c>
      <c r="D139" s="510" t="str">
        <f t="shared" si="19"/>
        <v>NO Budget for this subject</v>
      </c>
      <c r="E139" s="520"/>
      <c r="F139" s="520"/>
      <c r="G139" s="520"/>
      <c r="H139" s="520"/>
      <c r="I139" s="520"/>
      <c r="J139" s="410"/>
      <c r="K139" s="409"/>
      <c r="L139" s="496"/>
      <c r="M139" s="496"/>
      <c r="N139" s="496"/>
      <c r="O139" s="521">
        <f t="shared" ref="O139:Z141" si="20">+O20/SUM($O20:$Z20)</f>
        <v>0</v>
      </c>
      <c r="P139" s="521">
        <f t="shared" si="20"/>
        <v>0</v>
      </c>
      <c r="Q139" s="521">
        <f t="shared" si="20"/>
        <v>0</v>
      </c>
      <c r="R139" s="521">
        <f t="shared" si="20"/>
        <v>0</v>
      </c>
      <c r="S139" s="521">
        <f t="shared" si="20"/>
        <v>0</v>
      </c>
      <c r="T139" s="521">
        <f t="shared" si="20"/>
        <v>0.2</v>
      </c>
      <c r="U139" s="521">
        <f t="shared" si="20"/>
        <v>0.2</v>
      </c>
      <c r="V139" s="521">
        <f t="shared" si="20"/>
        <v>0.2</v>
      </c>
      <c r="W139" s="521">
        <f t="shared" si="20"/>
        <v>0.2</v>
      </c>
      <c r="X139" s="521">
        <f t="shared" si="20"/>
        <v>0.2</v>
      </c>
      <c r="Y139" s="521">
        <f t="shared" si="20"/>
        <v>0</v>
      </c>
      <c r="Z139" s="521">
        <f t="shared" si="20"/>
        <v>0</v>
      </c>
    </row>
    <row r="140" spans="1:26" ht="15.75" hidden="1" outlineLevel="1" x14ac:dyDescent="0.25">
      <c r="A140" s="494">
        <f t="shared" si="18"/>
        <v>0</v>
      </c>
      <c r="B140" s="494" t="s">
        <v>260</v>
      </c>
      <c r="C140" s="494">
        <f t="shared" si="19"/>
        <v>0</v>
      </c>
      <c r="D140" s="510">
        <f t="shared" si="19"/>
        <v>0</v>
      </c>
      <c r="E140" s="520"/>
      <c r="F140" s="520"/>
      <c r="G140" s="520"/>
      <c r="H140" s="520"/>
      <c r="I140" s="520"/>
      <c r="J140" s="410"/>
      <c r="K140" s="409" t="s">
        <v>5</v>
      </c>
      <c r="L140" s="496"/>
      <c r="M140" s="496"/>
      <c r="N140" s="496"/>
      <c r="O140" s="521" t="e">
        <f t="shared" si="20"/>
        <v>#DIV/0!</v>
      </c>
      <c r="P140" s="521" t="e">
        <f t="shared" si="20"/>
        <v>#DIV/0!</v>
      </c>
      <c r="Q140" s="521" t="e">
        <f t="shared" si="20"/>
        <v>#DIV/0!</v>
      </c>
      <c r="R140" s="521" t="e">
        <f t="shared" si="20"/>
        <v>#DIV/0!</v>
      </c>
      <c r="S140" s="521" t="e">
        <f t="shared" si="20"/>
        <v>#DIV/0!</v>
      </c>
      <c r="T140" s="521" t="e">
        <f t="shared" si="20"/>
        <v>#DIV/0!</v>
      </c>
      <c r="U140" s="521" t="e">
        <f t="shared" si="20"/>
        <v>#DIV/0!</v>
      </c>
      <c r="V140" s="521" t="e">
        <f t="shared" si="20"/>
        <v>#DIV/0!</v>
      </c>
      <c r="W140" s="521" t="e">
        <f t="shared" si="20"/>
        <v>#DIV/0!</v>
      </c>
      <c r="X140" s="521" t="e">
        <f t="shared" si="20"/>
        <v>#DIV/0!</v>
      </c>
      <c r="Y140" s="521" t="e">
        <f t="shared" si="20"/>
        <v>#DIV/0!</v>
      </c>
      <c r="Z140" s="521" t="e">
        <f t="shared" si="20"/>
        <v>#DIV/0!</v>
      </c>
    </row>
    <row r="141" spans="1:26" s="517" customFormat="1" ht="22.5" customHeight="1" outlineLevel="1" x14ac:dyDescent="0.25">
      <c r="A141" s="513"/>
      <c r="B141" s="514"/>
      <c r="C141" s="514"/>
      <c r="D141" s="514"/>
      <c r="E141" s="515"/>
      <c r="F141" s="515"/>
      <c r="G141" s="515"/>
      <c r="H141" s="515"/>
      <c r="I141" s="515"/>
      <c r="J141" s="516" t="s">
        <v>20</v>
      </c>
      <c r="K141" s="519"/>
      <c r="L141" s="404"/>
      <c r="M141" s="404"/>
      <c r="N141" s="522"/>
      <c r="O141" s="521">
        <f t="shared" si="20"/>
        <v>2.1394460362941743E-2</v>
      </c>
      <c r="P141" s="521">
        <f t="shared" si="20"/>
        <v>2.1394460362941743E-2</v>
      </c>
      <c r="Q141" s="521">
        <f t="shared" si="20"/>
        <v>4.8615090735434588E-2</v>
      </c>
      <c r="R141" s="521">
        <f t="shared" si="20"/>
        <v>5.6752626552053494E-2</v>
      </c>
      <c r="S141" s="521">
        <f t="shared" si="20"/>
        <v>4.4001910219675276E-2</v>
      </c>
      <c r="T141" s="521">
        <f t="shared" si="20"/>
        <v>0.15861509073543462</v>
      </c>
      <c r="U141" s="521">
        <f t="shared" si="20"/>
        <v>0.15784145176695324</v>
      </c>
      <c r="V141" s="521">
        <f t="shared" si="20"/>
        <v>0.15526265520534865</v>
      </c>
      <c r="W141" s="521">
        <f t="shared" si="20"/>
        <v>0.14778414517669536</v>
      </c>
      <c r="X141" s="521">
        <f t="shared" si="20"/>
        <v>0.14921680993314235</v>
      </c>
      <c r="Y141" s="521">
        <f t="shared" si="20"/>
        <v>1.8844317096466095E-2</v>
      </c>
      <c r="Z141" s="521">
        <f t="shared" si="20"/>
        <v>2.0276981852913083E-2</v>
      </c>
    </row>
    <row r="143" spans="1:26" x14ac:dyDescent="0.25">
      <c r="B143" s="523" t="s">
        <v>21</v>
      </c>
      <c r="C143" s="524">
        <v>43102</v>
      </c>
    </row>
    <row r="144" spans="1:26" x14ac:dyDescent="0.25">
      <c r="B144" s="523" t="s">
        <v>23</v>
      </c>
      <c r="C144" s="524">
        <v>42917</v>
      </c>
    </row>
    <row r="146" spans="1:3" ht="18.75" x14ac:dyDescent="0.25">
      <c r="A146" s="527" t="s">
        <v>262</v>
      </c>
    </row>
    <row r="147" spans="1:3" ht="18.75" x14ac:dyDescent="0.25">
      <c r="A147" s="528" t="s">
        <v>1398</v>
      </c>
      <c r="B147" s="529"/>
    </row>
    <row r="148" spans="1:3" ht="18.75" x14ac:dyDescent="0.25">
      <c r="A148" s="528" t="s">
        <v>323</v>
      </c>
      <c r="B148" s="529"/>
    </row>
    <row r="150" spans="1:3" ht="18.75" x14ac:dyDescent="0.25">
      <c r="A150" s="529" t="s">
        <v>1399</v>
      </c>
      <c r="B150" s="530" t="s">
        <v>288</v>
      </c>
      <c r="C150" s="530" t="s">
        <v>320</v>
      </c>
    </row>
    <row r="151" spans="1:3" ht="56.25" x14ac:dyDescent="0.25">
      <c r="A151" s="531" t="s">
        <v>310</v>
      </c>
      <c r="B151" s="530" t="s">
        <v>289</v>
      </c>
      <c r="C151" s="530" t="s">
        <v>321</v>
      </c>
    </row>
    <row r="152" spans="1:3" ht="37.5" x14ac:dyDescent="0.25">
      <c r="A152" s="531" t="s">
        <v>311</v>
      </c>
      <c r="B152" s="530" t="s">
        <v>290</v>
      </c>
      <c r="C152" s="530" t="s">
        <v>319</v>
      </c>
    </row>
    <row r="153" spans="1:3" ht="56.25" x14ac:dyDescent="0.25">
      <c r="A153" s="531" t="s">
        <v>312</v>
      </c>
      <c r="B153" s="530" t="s">
        <v>291</v>
      </c>
      <c r="C153" s="530" t="s">
        <v>322</v>
      </c>
    </row>
    <row r="154" spans="1:3" ht="37.5" x14ac:dyDescent="0.25">
      <c r="A154" s="531" t="s">
        <v>313</v>
      </c>
      <c r="B154" s="530" t="s">
        <v>292</v>
      </c>
      <c r="C154" s="530" t="s">
        <v>327</v>
      </c>
    </row>
    <row r="155" spans="1:3" ht="56.25" x14ac:dyDescent="0.25">
      <c r="A155" s="531" t="s">
        <v>314</v>
      </c>
      <c r="B155" s="530" t="s">
        <v>293</v>
      </c>
      <c r="C155" s="530" t="s">
        <v>317</v>
      </c>
    </row>
    <row r="156" spans="1:3" ht="56.25" x14ac:dyDescent="0.25">
      <c r="A156" s="531" t="s">
        <v>315</v>
      </c>
      <c r="B156" s="530" t="s">
        <v>296</v>
      </c>
      <c r="C156" s="530" t="s">
        <v>318</v>
      </c>
    </row>
    <row r="158" spans="1:3" ht="75" x14ac:dyDescent="0.25">
      <c r="A158" s="532" t="s">
        <v>301</v>
      </c>
      <c r="B158" s="529" t="s">
        <v>1400</v>
      </c>
    </row>
    <row r="160" spans="1:3" ht="56.25" x14ac:dyDescent="0.25">
      <c r="A160" s="532" t="s">
        <v>303</v>
      </c>
      <c r="B160" s="529" t="s">
        <v>1401</v>
      </c>
    </row>
    <row r="161" spans="1:2" ht="18.75" x14ac:dyDescent="0.25">
      <c r="A161" s="529"/>
    </row>
    <row r="162" spans="1:2" ht="75" x14ac:dyDescent="0.25">
      <c r="A162" s="532" t="s">
        <v>304</v>
      </c>
      <c r="B162" s="449" t="s">
        <v>1402</v>
      </c>
    </row>
    <row r="163" spans="1:2" ht="18.75" x14ac:dyDescent="0.25">
      <c r="A163" s="529"/>
    </row>
    <row r="164" spans="1:2" ht="56.25" x14ac:dyDescent="0.25">
      <c r="A164" s="529" t="s">
        <v>308</v>
      </c>
      <c r="B164" s="529" t="s">
        <v>1403</v>
      </c>
    </row>
  </sheetData>
  <mergeCells count="43">
    <mergeCell ref="E78:K78"/>
    <mergeCell ref="E71:K71"/>
    <mergeCell ref="E72:K72"/>
    <mergeCell ref="E74:K74"/>
    <mergeCell ref="E75:K75"/>
    <mergeCell ref="E76:K76"/>
    <mergeCell ref="E77:K77"/>
    <mergeCell ref="E70:K70"/>
    <mergeCell ref="E57:K57"/>
    <mergeCell ref="E58:K58"/>
    <mergeCell ref="E59:K59"/>
    <mergeCell ref="E60:K60"/>
    <mergeCell ref="E62:K62"/>
    <mergeCell ref="E63:K63"/>
    <mergeCell ref="E64:K64"/>
    <mergeCell ref="E65:K65"/>
    <mergeCell ref="E66:K66"/>
    <mergeCell ref="E68:K68"/>
    <mergeCell ref="E69:K69"/>
    <mergeCell ref="E56:K56"/>
    <mergeCell ref="E42:K42"/>
    <mergeCell ref="E44:K44"/>
    <mergeCell ref="E45:K45"/>
    <mergeCell ref="E46:K46"/>
    <mergeCell ref="E47:K47"/>
    <mergeCell ref="E48:K48"/>
    <mergeCell ref="E50:K50"/>
    <mergeCell ref="E51:K51"/>
    <mergeCell ref="E52:K52"/>
    <mergeCell ref="E53:K53"/>
    <mergeCell ref="E54:K54"/>
    <mergeCell ref="E41:K41"/>
    <mergeCell ref="E27:K27"/>
    <mergeCell ref="E28:K28"/>
    <mergeCell ref="E29:K29"/>
    <mergeCell ref="E31:K31"/>
    <mergeCell ref="E32:K32"/>
    <mergeCell ref="E33:K33"/>
    <mergeCell ref="E35:K35"/>
    <mergeCell ref="E36:K36"/>
    <mergeCell ref="E38:K38"/>
    <mergeCell ref="E39:K39"/>
    <mergeCell ref="E40:K40"/>
  </mergeCells>
  <dataValidations count="5">
    <dataValidation type="list" allowBlank="1" showInputMessage="1" showErrorMessage="1" sqref="F108 F111:F113 F126 F119:F122">
      <formula1>$A$3:$A$9</formula1>
    </dataValidation>
    <dataValidation type="list" allowBlank="1" showInputMessage="1" showErrorMessage="1" sqref="L132:L140 H121:I121 H108:J108 H113:J113 H111:K112 H122:J122 H126:J126 M132:M141 H119:K120">
      <formula1>$C$3:$C$15</formula1>
    </dataValidation>
    <dataValidation type="list" allowBlank="1" showInputMessage="1" showErrorMessage="1" sqref="L22">
      <formula1>$D$4:$D$15</formula1>
    </dataValidation>
    <dataValidation type="list" allowBlank="1" showInputMessage="1" showErrorMessage="1" sqref="J121 L141">
      <formula1>$C$3:$C$14</formula1>
    </dataValidation>
    <dataValidation type="list" allowBlank="1" showInputMessage="1" showErrorMessage="1" sqref="L74:L78 L38:L42 L44:L48 L50:L54 L56:L60 L62:L66 L68:L72">
      <formula1>$G$2:$G$8</formula1>
    </dataValidation>
  </dataValidations>
  <printOptions horizontalCentered="1"/>
  <pageMargins left="0.31496062992125984" right="0.31496062992125984" top="1.1811023622047245" bottom="1.1811023622047245" header="0.31496062992125984" footer="0.31496062992125984"/>
  <pageSetup paperSize="17" scale="4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Lists!$H$2:$H$9</xm:f>
          </x14:formula1>
          <xm:sqref>L27:L29 L31:L33 L35:L36</xm:sqref>
        </x14:dataValidation>
        <x14:dataValidation type="list" allowBlank="1" showInputMessage="1" showErrorMessage="1">
          <x14:formula1>
            <xm:f>'https://nuevaunionspa-my.sharepoint.com/personal/gineva_alcota_nuevaunion_cl/Documents/40300 Cost Control/40303 Presupuestos/2018/Finanzas/[1002-40303-PS-SOA-0001_Finance.xlsx]Lists'!#REF!</xm:f>
          </x14:formula1>
          <xm:sqref>L111:M112 M105:M107 L119:M120 N132:N140 M97:M101 H98:L101 F98:F101</xm:sqref>
        </x14:dataValidation>
        <x14:dataValidation type="list" allowBlank="1" showInputMessage="1" showErrorMessage="1">
          <x14:formula1>
            <xm:f>Lists!$E$3:$E$41</xm:f>
          </x14:formula1>
          <xm:sqref>B8</xm:sqref>
        </x14:dataValidation>
        <x14:dataValidation type="list" allowBlank="1" showInputMessage="1" showErrorMessage="1">
          <x14:formula1>
            <xm:f>'https://nuevaunionspa-my.sharepoint.com/personal/gineva_alcota_nuevaunion_cl/Documents/40300 Cost Control/40303 Presupuestos/2018/Finanzas/[1002-40303-PS-SOA-0001_Finance.xlsx]CCs &amp; Accounts'!#REF!</xm:f>
          </x14:formula1>
          <xm:sqref>E97:E101 E21 E111:E113 E126 E119:E122</xm:sqref>
        </x14:dataValidation>
        <x14:dataValidation type="list" allowBlank="1" showInputMessage="1" showErrorMessage="1">
          <x14:formula1>
            <xm:f>Lists!$B$3:$B$41</xm:f>
          </x14:formula1>
          <xm:sqref>E87 E125 E91:E96 E83:E85 E116:E118 E105:E108 E17:E20</xm:sqref>
        </x14:dataValidation>
        <x14:dataValidation type="list" allowBlank="1" showInputMessage="1" showErrorMessage="1">
          <x14:formula1>
            <xm:f>Lists!$D$2:$D$14</xm:f>
          </x14:formula1>
          <xm:sqref>N131 L87 L125 L91:L97 L83:L85 L116:L118 L105:L107 L17:L21</xm:sqref>
        </x14:dataValidation>
        <x14:dataValidation type="list" allowBlank="1" showInputMessage="1" showErrorMessage="1">
          <x14:formula1>
            <xm:f>Lists!$A$3:$A$8</xm:f>
          </x14:formula1>
          <xm:sqref>F87 F125 F91:F97 F83:F85 F116:F118 F105:F107</xm:sqref>
        </x14:dataValidation>
        <x14:dataValidation type="list" allowBlank="1" showInputMessage="1" showErrorMessage="1">
          <x14:formula1>
            <xm:f>Lists!$C$2:$C$14</xm:f>
          </x14:formula1>
          <xm:sqref>L131:M131 H87:K87 H125:K125 H91:K97 H83:K85 H116:K118 H105:K107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Z33"/>
  <sheetViews>
    <sheetView showGridLines="0" topLeftCell="B10" zoomScale="90" zoomScaleNormal="90" workbookViewId="0">
      <selection activeCell="M25" sqref="M25"/>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8" width="17.5703125" style="9" hidden="1" customWidth="1"/>
    <col min="9" max="10" width="11.5703125" style="9" hidden="1" customWidth="1"/>
    <col min="11" max="11" width="17.5703125" style="9" hidden="1" customWidth="1"/>
    <col min="12" max="12" width="17.7109375" style="9" customWidth="1"/>
    <col min="13" max="13" width="15.7109375" style="9" customWidth="1"/>
    <col min="14" max="14" width="11.5703125" style="9" hidden="1" customWidth="1" outlineLevel="1"/>
    <col min="15" max="16" width="16.42578125" style="9" hidden="1" customWidth="1" outlineLevel="1"/>
    <col min="17" max="17" width="16.85546875" style="9" hidden="1" customWidth="1" outlineLevel="1"/>
    <col min="18" max="18" width="16.42578125" style="9" hidden="1" customWidth="1" outlineLevel="1"/>
    <col min="19" max="22" width="16.85546875" style="9" hidden="1" customWidth="1" outlineLevel="1"/>
    <col min="23" max="24" width="16.42578125" style="9" hidden="1" customWidth="1" outlineLevel="1"/>
    <col min="25" max="25" width="16.85546875" style="9" hidden="1" customWidth="1" outlineLevel="1"/>
    <col min="26" max="26" width="11.42578125" style="9" collapsed="1"/>
    <col min="27" max="16384" width="11.42578125" style="9"/>
  </cols>
  <sheetData>
    <row r="1" spans="1:25" s="1" customFormat="1" ht="12.75" x14ac:dyDescent="0.2"/>
    <row r="3" spans="1:25" ht="23.25" x14ac:dyDescent="0.25">
      <c r="A3" s="40" t="s">
        <v>1436</v>
      </c>
      <c r="B3" s="36"/>
      <c r="C3" s="37"/>
      <c r="D3" s="38"/>
      <c r="E3" s="38"/>
      <c r="F3" s="38"/>
      <c r="G3" s="38"/>
      <c r="H3" s="39"/>
      <c r="I3" s="39"/>
      <c r="J3" s="46"/>
      <c r="K3" s="38"/>
      <c r="L3" s="43"/>
      <c r="M3" s="43"/>
      <c r="N3" s="43" t="s">
        <v>5</v>
      </c>
      <c r="O3" s="43"/>
      <c r="P3" s="43"/>
      <c r="Q3" s="43"/>
      <c r="R3" s="43"/>
      <c r="S3" s="43"/>
      <c r="T3" s="43"/>
      <c r="U3" s="43"/>
      <c r="V3" s="43"/>
      <c r="W3" s="43"/>
      <c r="X3" s="43"/>
      <c r="Y3" s="43"/>
    </row>
    <row r="4" spans="1:25" ht="18" x14ac:dyDescent="0.25">
      <c r="A4" s="17"/>
      <c r="B4" s="75" t="s">
        <v>6</v>
      </c>
      <c r="C4" s="75"/>
      <c r="D4" s="75"/>
      <c r="E4" s="75"/>
      <c r="F4" s="75"/>
      <c r="G4" s="75"/>
      <c r="H4" s="75"/>
      <c r="I4" s="75"/>
      <c r="J4" s="75"/>
      <c r="K4" s="75"/>
      <c r="L4" s="75"/>
      <c r="M4" s="76"/>
      <c r="N4" s="16"/>
      <c r="O4" s="16"/>
      <c r="P4" s="16"/>
      <c r="Q4" s="16"/>
      <c r="R4" s="16"/>
      <c r="S4" s="16"/>
      <c r="T4" s="16"/>
      <c r="U4" s="16"/>
      <c r="V4" s="16"/>
      <c r="W4" s="16"/>
      <c r="X4" s="16"/>
      <c r="Y4" s="18"/>
    </row>
    <row r="5" spans="1:25" ht="18" x14ac:dyDescent="0.25">
      <c r="A5" s="19"/>
      <c r="B5" s="77" t="str">
        <f>+[12]Legal!B8</f>
        <v>Legal</v>
      </c>
      <c r="C5" s="78"/>
      <c r="D5" s="78"/>
      <c r="E5" s="79"/>
      <c r="F5" s="79"/>
      <c r="G5" s="79"/>
      <c r="H5" s="79"/>
      <c r="I5" s="79"/>
      <c r="J5" s="79"/>
      <c r="K5" s="79"/>
      <c r="L5" s="79"/>
      <c r="M5" s="80" t="s">
        <v>7</v>
      </c>
      <c r="N5" s="13"/>
      <c r="O5" s="13"/>
      <c r="P5" s="13"/>
      <c r="Q5" s="13"/>
      <c r="R5" s="13"/>
      <c r="S5" s="13"/>
      <c r="T5" s="13"/>
      <c r="U5" s="13"/>
      <c r="V5" s="13"/>
      <c r="W5" s="13"/>
      <c r="X5" s="13"/>
      <c r="Y5" s="25"/>
    </row>
    <row r="6" spans="1:25" ht="18" x14ac:dyDescent="0.25">
      <c r="A6" s="19"/>
      <c r="B6" s="81" t="s">
        <v>8</v>
      </c>
      <c r="C6" s="79"/>
      <c r="D6" s="81" t="s">
        <v>9</v>
      </c>
      <c r="E6" s="81"/>
      <c r="F6" s="81"/>
      <c r="G6" s="81"/>
      <c r="H6" s="81"/>
      <c r="I6" s="81"/>
      <c r="J6" s="81"/>
      <c r="K6" s="81"/>
      <c r="L6" s="81"/>
      <c r="M6" s="678">
        <f>+[12]Legal!N9</f>
        <v>43101</v>
      </c>
      <c r="N6" s="14"/>
      <c r="O6" s="14"/>
      <c r="P6" s="14"/>
      <c r="Q6" s="14"/>
      <c r="R6" s="14"/>
      <c r="S6" s="14"/>
      <c r="T6" s="14"/>
      <c r="U6" s="14"/>
      <c r="V6" s="14"/>
      <c r="W6" s="14"/>
      <c r="X6" s="14"/>
      <c r="Y6" s="26"/>
    </row>
    <row r="7" spans="1:25" ht="18" x14ac:dyDescent="0.25">
      <c r="A7" s="20"/>
      <c r="B7" s="83" t="str">
        <f>+[12]Legal!B10</f>
        <v>683 Legal</v>
      </c>
      <c r="C7" s="84"/>
      <c r="D7" s="77" t="str">
        <f>+[12]Legal!D10</f>
        <v>Ariel Scharfstein</v>
      </c>
      <c r="E7" s="79"/>
      <c r="F7" s="79"/>
      <c r="G7" s="79"/>
      <c r="H7" s="79"/>
      <c r="I7" s="79"/>
      <c r="J7" s="79"/>
      <c r="K7" s="79"/>
      <c r="L7" s="79"/>
      <c r="M7" s="85"/>
      <c r="N7" s="13"/>
      <c r="O7" s="13"/>
      <c r="P7" s="13"/>
      <c r="Q7" s="13"/>
      <c r="R7" s="13"/>
      <c r="S7" s="13"/>
      <c r="T7" s="13"/>
      <c r="U7" s="13"/>
      <c r="V7" s="13"/>
      <c r="W7" s="13"/>
      <c r="X7" s="13"/>
      <c r="Y7" s="25"/>
    </row>
    <row r="8" spans="1:25" ht="18" x14ac:dyDescent="0.25">
      <c r="A8" s="20"/>
      <c r="B8" s="86" t="s">
        <v>10</v>
      </c>
      <c r="C8" s="84"/>
      <c r="D8" s="86"/>
      <c r="E8" s="86"/>
      <c r="F8" s="86"/>
      <c r="G8" s="86"/>
      <c r="H8" s="86"/>
      <c r="I8" s="86"/>
      <c r="J8" s="86"/>
      <c r="K8" s="86"/>
      <c r="L8" s="86"/>
      <c r="M8" s="87" t="s">
        <v>11</v>
      </c>
      <c r="N8" s="15"/>
      <c r="O8" s="15"/>
      <c r="P8" s="15"/>
      <c r="Q8" s="15"/>
      <c r="R8" s="15"/>
      <c r="S8" s="15"/>
      <c r="T8" s="15"/>
      <c r="U8" s="15"/>
      <c r="V8" s="15"/>
      <c r="W8" s="15"/>
      <c r="X8" s="15"/>
      <c r="Y8" s="24"/>
    </row>
    <row r="9" spans="1:25" ht="18" x14ac:dyDescent="0.25">
      <c r="A9" s="20"/>
      <c r="B9" s="88">
        <v>43003</v>
      </c>
      <c r="C9" s="84"/>
      <c r="D9" s="86"/>
      <c r="E9" s="79"/>
      <c r="F9" s="79"/>
      <c r="G9" s="79"/>
      <c r="H9" s="79"/>
      <c r="I9" s="79"/>
      <c r="J9" s="79"/>
      <c r="K9" s="79"/>
      <c r="L9" s="79"/>
      <c r="M9" s="678">
        <f>+[12]Legal!N12</f>
        <v>43465</v>
      </c>
      <c r="N9" s="13"/>
      <c r="O9" s="13"/>
      <c r="P9" s="13"/>
      <c r="Q9" s="13"/>
      <c r="R9" s="13"/>
      <c r="S9" s="13"/>
      <c r="T9" s="13"/>
      <c r="U9" s="13"/>
      <c r="V9" s="13"/>
      <c r="W9" s="13"/>
      <c r="X9" s="13"/>
      <c r="Y9" s="24"/>
    </row>
    <row r="10" spans="1:25" ht="18" x14ac:dyDescent="0.25">
      <c r="A10" s="21"/>
      <c r="B10" s="89"/>
      <c r="C10" s="90"/>
      <c r="D10" s="90"/>
      <c r="E10" s="90"/>
      <c r="F10" s="90"/>
      <c r="G10" s="90"/>
      <c r="H10" s="90"/>
      <c r="I10" s="90"/>
      <c r="J10" s="90"/>
      <c r="K10" s="90"/>
      <c r="L10" s="90"/>
      <c r="M10" s="91"/>
      <c r="N10" s="22"/>
      <c r="O10" s="22"/>
      <c r="P10" s="22"/>
      <c r="Q10" s="22"/>
      <c r="R10" s="22"/>
      <c r="S10" s="22"/>
      <c r="T10" s="22"/>
      <c r="U10" s="22"/>
      <c r="V10" s="22"/>
      <c r="W10" s="22"/>
      <c r="X10" s="22"/>
      <c r="Y10" s="23"/>
    </row>
    <row r="12" spans="1:25" ht="18" x14ac:dyDescent="0.25">
      <c r="A12" s="41" t="s">
        <v>12</v>
      </c>
      <c r="B12" s="41"/>
      <c r="C12" s="42"/>
      <c r="D12" s="42"/>
      <c r="E12" s="43"/>
      <c r="F12" s="43"/>
      <c r="G12" s="43"/>
      <c r="H12" s="44"/>
      <c r="I12" s="44"/>
      <c r="J12" s="46"/>
      <c r="K12" s="43"/>
      <c r="L12" s="43"/>
      <c r="M12" s="43"/>
      <c r="N12" s="43" t="s">
        <v>5</v>
      </c>
      <c r="O12" s="43"/>
      <c r="P12" s="43"/>
      <c r="Q12" s="43"/>
      <c r="R12" s="43"/>
      <c r="S12" s="43"/>
      <c r="T12" s="43"/>
      <c r="U12" s="43"/>
      <c r="V12" s="43"/>
      <c r="W12" s="43"/>
      <c r="X12" s="43"/>
      <c r="Y12" s="43"/>
    </row>
    <row r="13" spans="1:25" ht="30" outlineLevel="1" x14ac:dyDescent="0.25">
      <c r="A13" s="92"/>
      <c r="B13" s="92" t="s">
        <v>13</v>
      </c>
      <c r="C13" s="92" t="s">
        <v>14</v>
      </c>
      <c r="D13" s="8" t="s">
        <v>15</v>
      </c>
      <c r="E13" s="32" t="s">
        <v>16</v>
      </c>
      <c r="F13" s="48"/>
      <c r="G13" s="48"/>
      <c r="H13" s="48"/>
      <c r="I13" s="48"/>
      <c r="J13" s="48"/>
      <c r="K13" s="48"/>
      <c r="L13" s="32" t="s">
        <v>17</v>
      </c>
      <c r="M13" s="32" t="s">
        <v>825</v>
      </c>
      <c r="N13" s="66">
        <v>43101</v>
      </c>
      <c r="O13" s="66">
        <v>43132</v>
      </c>
      <c r="P13" s="66">
        <v>43160</v>
      </c>
      <c r="Q13" s="66">
        <v>43191</v>
      </c>
      <c r="R13" s="66">
        <v>43221</v>
      </c>
      <c r="S13" s="66">
        <v>43252</v>
      </c>
      <c r="T13" s="66">
        <v>43282</v>
      </c>
      <c r="U13" s="66">
        <v>43313</v>
      </c>
      <c r="V13" s="66">
        <v>43344</v>
      </c>
      <c r="W13" s="66">
        <v>43374</v>
      </c>
      <c r="X13" s="66">
        <v>43405</v>
      </c>
      <c r="Y13" s="66">
        <v>43435</v>
      </c>
    </row>
    <row r="14" spans="1:25" ht="15" outlineLevel="1" x14ac:dyDescent="0.25">
      <c r="A14" s="93" t="str">
        <f>+[12]Legal!A17</f>
        <v>3.1</v>
      </c>
      <c r="B14" s="93" t="str">
        <f>+Legal_1!B17</f>
        <v>Objective 1</v>
      </c>
      <c r="C14" s="93" t="str">
        <f>+Legal_1!C17</f>
        <v>RE Mine Property</v>
      </c>
      <c r="D14" s="10" t="str">
        <f>+Legal_1!D17</f>
        <v>Tramitación, Mantención y Resguardo de la Propiedad Minera Relincho</v>
      </c>
      <c r="E14" s="11" t="str">
        <f>+[12]Legal!E17</f>
        <v>683 / 51-11-3337</v>
      </c>
      <c r="F14" s="48"/>
      <c r="G14" s="48"/>
      <c r="H14" s="48"/>
      <c r="I14" s="48"/>
      <c r="J14" s="48"/>
      <c r="K14" s="48"/>
      <c r="L14" s="11">
        <f>+[12]Legal!L17</f>
        <v>12</v>
      </c>
      <c r="M14" s="136">
        <f>+Legal_1!N17</f>
        <v>734828.13316176471</v>
      </c>
      <c r="N14" s="52" t="e">
        <f>+#REF!</f>
        <v>#REF!</v>
      </c>
      <c r="O14" s="52" t="e">
        <f>+#REF!</f>
        <v>#REF!</v>
      </c>
      <c r="P14" s="52" t="e">
        <f>+#REF!</f>
        <v>#REF!</v>
      </c>
      <c r="Q14" s="52" t="e">
        <f>+#REF!</f>
        <v>#REF!</v>
      </c>
      <c r="R14" s="52" t="e">
        <f>+#REF!</f>
        <v>#REF!</v>
      </c>
      <c r="S14" s="52" t="e">
        <f>+#REF!</f>
        <v>#REF!</v>
      </c>
      <c r="T14" s="52" t="e">
        <f>+#REF!</f>
        <v>#REF!</v>
      </c>
      <c r="U14" s="52" t="e">
        <f>+#REF!</f>
        <v>#REF!</v>
      </c>
      <c r="V14" s="52" t="e">
        <f>+#REF!</f>
        <v>#REF!</v>
      </c>
      <c r="W14" s="52" t="e">
        <f>+#REF!</f>
        <v>#REF!</v>
      </c>
      <c r="X14" s="52" t="e">
        <f>+#REF!</f>
        <v>#REF!</v>
      </c>
      <c r="Y14" s="52" t="e">
        <f>+#REF!</f>
        <v>#REF!</v>
      </c>
    </row>
    <row r="15" spans="1:25" ht="15" outlineLevel="1" x14ac:dyDescent="0.25">
      <c r="A15" s="93" t="str">
        <f>+[12]Legal!A18</f>
        <v>3.2</v>
      </c>
      <c r="B15" s="93" t="str">
        <f>+Legal_1!B18</f>
        <v>Objective 2</v>
      </c>
      <c r="C15" s="93" t="str">
        <f>+Legal_1!C18</f>
        <v>EM Mine Property</v>
      </c>
      <c r="D15" s="10" t="str">
        <f>+Legal_1!D18</f>
        <v>Tramitación, Mantención y Resguardo de la Propiedad Minera El Morro</v>
      </c>
      <c r="E15" s="11" t="str">
        <f>+[12]Legal!E18</f>
        <v>683 / 51-11-3338</v>
      </c>
      <c r="F15" s="48"/>
      <c r="G15" s="48"/>
      <c r="H15" s="48"/>
      <c r="I15" s="48"/>
      <c r="J15" s="48"/>
      <c r="K15" s="48"/>
      <c r="L15" s="11">
        <f>+[12]Legal!L18</f>
        <v>12</v>
      </c>
      <c r="M15" s="136">
        <f>+Legal_1!N18</f>
        <v>853671.81036764709</v>
      </c>
      <c r="N15" s="52" t="e">
        <f>+#REF!</f>
        <v>#REF!</v>
      </c>
      <c r="O15" s="52" t="e">
        <f>+#REF!</f>
        <v>#REF!</v>
      </c>
      <c r="P15" s="52" t="e">
        <f>+#REF!</f>
        <v>#REF!</v>
      </c>
      <c r="Q15" s="52" t="e">
        <f>+#REF!</f>
        <v>#REF!</v>
      </c>
      <c r="R15" s="52" t="e">
        <f>+#REF!</f>
        <v>#REF!</v>
      </c>
      <c r="S15" s="52" t="e">
        <f>+#REF!</f>
        <v>#REF!</v>
      </c>
      <c r="T15" s="52" t="e">
        <f>+#REF!</f>
        <v>#REF!</v>
      </c>
      <c r="U15" s="52" t="e">
        <f>+#REF!</f>
        <v>#REF!</v>
      </c>
      <c r="V15" s="52" t="e">
        <f>+#REF!</f>
        <v>#REF!</v>
      </c>
      <c r="W15" s="52" t="e">
        <f>+#REF!</f>
        <v>#REF!</v>
      </c>
      <c r="X15" s="52" t="e">
        <f>+#REF!</f>
        <v>#REF!</v>
      </c>
      <c r="Y15" s="52" t="e">
        <f>+#REF!</f>
        <v>#REF!</v>
      </c>
    </row>
    <row r="16" spans="1:25" ht="15" outlineLevel="1" x14ac:dyDescent="0.25">
      <c r="A16" s="93" t="str">
        <f>+[12]Legal!A19</f>
        <v>3.3</v>
      </c>
      <c r="B16" s="93" t="str">
        <f>+Legal_1!B19</f>
        <v>Objective 3.01</v>
      </c>
      <c r="C16" s="93" t="str">
        <f>+Legal_1!C19</f>
        <v xml:space="preserve">Legal/Consulting </v>
      </c>
      <c r="D16" s="10" t="str">
        <f>+Legal_1!D19</f>
        <v>Costo Consultores y gastos varios área legal and suport othres areas</v>
      </c>
      <c r="E16" s="11" t="str">
        <f>+[12]Legal!E19</f>
        <v>683 / 51-11-3339</v>
      </c>
      <c r="F16" s="48"/>
      <c r="G16" s="48"/>
      <c r="H16" s="48"/>
      <c r="I16" s="48"/>
      <c r="J16" s="48"/>
      <c r="K16" s="48"/>
      <c r="L16" s="11">
        <f>+[12]Legal!L19</f>
        <v>12</v>
      </c>
      <c r="M16" s="136">
        <f>+Legal_1!N19</f>
        <v>740720.58823529433</v>
      </c>
      <c r="N16" s="52" t="e">
        <f>+#REF!</f>
        <v>#REF!</v>
      </c>
      <c r="O16" s="52" t="e">
        <f>+#REF!</f>
        <v>#REF!</v>
      </c>
      <c r="P16" s="52" t="e">
        <f>+#REF!</f>
        <v>#REF!</v>
      </c>
      <c r="Q16" s="52" t="e">
        <f>+#REF!</f>
        <v>#REF!</v>
      </c>
      <c r="R16" s="52" t="e">
        <f>+#REF!</f>
        <v>#REF!</v>
      </c>
      <c r="S16" s="52" t="e">
        <f>+#REF!</f>
        <v>#REF!</v>
      </c>
      <c r="T16" s="52" t="e">
        <f>+#REF!</f>
        <v>#REF!</v>
      </c>
      <c r="U16" s="52" t="e">
        <f>+#REF!</f>
        <v>#REF!</v>
      </c>
      <c r="V16" s="52" t="e">
        <f>+#REF!</f>
        <v>#REF!</v>
      </c>
      <c r="W16" s="52" t="e">
        <f>+#REF!</f>
        <v>#REF!</v>
      </c>
      <c r="X16" s="52" t="e">
        <f>+#REF!</f>
        <v>#REF!</v>
      </c>
      <c r="Y16" s="52" t="e">
        <f>+#REF!</f>
        <v>#REF!</v>
      </c>
    </row>
    <row r="17" spans="1:25" ht="15" outlineLevel="1" x14ac:dyDescent="0.25">
      <c r="A17" s="93"/>
      <c r="B17" s="93" t="str">
        <f>+Legal_1!B20</f>
        <v>Objective 3.02</v>
      </c>
      <c r="C17" s="93" t="str">
        <f>+Legal_1!C20</f>
        <v>Legal/Consulting Land Access</v>
      </c>
      <c r="D17" s="10" t="str">
        <f>+Legal_1!D20</f>
        <v xml:space="preserve">Costo Consultores y gastos varios área legal Land Access </v>
      </c>
      <c r="E17" s="11"/>
      <c r="F17" s="48"/>
      <c r="G17" s="48"/>
      <c r="H17" s="48"/>
      <c r="I17" s="48"/>
      <c r="J17" s="48"/>
      <c r="K17" s="48"/>
      <c r="L17" s="11"/>
      <c r="M17" s="136">
        <f>+Legal_1!N20</f>
        <v>1995969.4117647058</v>
      </c>
      <c r="N17" s="52"/>
      <c r="O17" s="52"/>
      <c r="P17" s="52"/>
      <c r="Q17" s="52"/>
      <c r="R17" s="52"/>
      <c r="S17" s="52"/>
      <c r="T17" s="52"/>
      <c r="U17" s="52"/>
      <c r="V17" s="52"/>
      <c r="W17" s="52"/>
      <c r="X17" s="52"/>
      <c r="Y17" s="52"/>
    </row>
    <row r="18" spans="1:25" ht="15" outlineLevel="1" x14ac:dyDescent="0.25">
      <c r="A18" s="93" t="str">
        <f>+[12]Legal!A20</f>
        <v>3.3.1</v>
      </c>
      <c r="B18" s="93" t="str">
        <f>+Legal_1!B21</f>
        <v>Objective 3.1</v>
      </c>
      <c r="C18" s="93" t="str">
        <f>+Legal_1!C21</f>
        <v>Easments Firm commitment</v>
      </c>
      <c r="D18" s="10" t="str">
        <f>+Legal_1!D21</f>
        <v xml:space="preserve">Costo Servidumbres y/o contratos vigentes </v>
      </c>
      <c r="E18" s="11" t="str">
        <f>+[12]Legal!E20</f>
        <v>683 / 51-11-3339</v>
      </c>
      <c r="F18" s="48"/>
      <c r="G18" s="48"/>
      <c r="H18" s="48"/>
      <c r="I18" s="48"/>
      <c r="J18" s="48"/>
      <c r="K18" s="48"/>
      <c r="L18" s="11">
        <f>+[12]Legal!L20</f>
        <v>12</v>
      </c>
      <c r="M18" s="136">
        <f>+Legal_1!N21</f>
        <v>1068000</v>
      </c>
      <c r="N18" s="52" t="e">
        <f>+#REF!</f>
        <v>#REF!</v>
      </c>
      <c r="O18" s="52" t="e">
        <f>+#REF!</f>
        <v>#REF!</v>
      </c>
      <c r="P18" s="52" t="e">
        <f>+#REF!</f>
        <v>#REF!</v>
      </c>
      <c r="Q18" s="52" t="e">
        <f>+#REF!</f>
        <v>#REF!</v>
      </c>
      <c r="R18" s="52" t="e">
        <f>+#REF!</f>
        <v>#REF!</v>
      </c>
      <c r="S18" s="52" t="e">
        <f>+#REF!</f>
        <v>#REF!</v>
      </c>
      <c r="T18" s="52" t="e">
        <f>+#REF!</f>
        <v>#REF!</v>
      </c>
      <c r="U18" s="52" t="e">
        <f>+#REF!</f>
        <v>#REF!</v>
      </c>
      <c r="V18" s="52" t="e">
        <f>+#REF!</f>
        <v>#REF!</v>
      </c>
      <c r="W18" s="52" t="e">
        <f>+#REF!</f>
        <v>#REF!</v>
      </c>
      <c r="X18" s="52" t="e">
        <f>+#REF!</f>
        <v>#REF!</v>
      </c>
      <c r="Y18" s="52" t="e">
        <f>+#REF!</f>
        <v>#REF!</v>
      </c>
    </row>
    <row r="19" spans="1:25" ht="15" outlineLevel="1" x14ac:dyDescent="0.25">
      <c r="A19" s="93" t="str">
        <f>+[12]Legal!A21</f>
        <v>3.3.2</v>
      </c>
      <c r="B19" s="93" t="str">
        <f>+Legal_1!B22</f>
        <v>Objective 3.2</v>
      </c>
      <c r="C19" s="93" t="str">
        <f>+Legal_1!C22</f>
        <v xml:space="preserve">NSR Purchases </v>
      </c>
      <c r="D19" s="10" t="str">
        <f>+Legal_1!D22</f>
        <v>NSR Cantarito - Tronquito</v>
      </c>
      <c r="E19" s="11" t="str">
        <f>+[12]Legal!E21</f>
        <v>683 / 51-11-3339</v>
      </c>
      <c r="F19" s="48"/>
      <c r="G19" s="48"/>
      <c r="H19" s="48"/>
      <c r="I19" s="48"/>
      <c r="J19" s="48"/>
      <c r="K19" s="48"/>
      <c r="L19" s="11">
        <f>+[12]Legal!L21</f>
        <v>12</v>
      </c>
      <c r="M19" s="136">
        <f>+Legal_1!N22</f>
        <v>3500000</v>
      </c>
      <c r="N19" s="52" t="e">
        <f>+#REF!</f>
        <v>#REF!</v>
      </c>
      <c r="O19" s="52" t="e">
        <f>+#REF!</f>
        <v>#REF!</v>
      </c>
      <c r="P19" s="52" t="e">
        <f>+#REF!</f>
        <v>#REF!</v>
      </c>
      <c r="Q19" s="52" t="e">
        <f>+#REF!</f>
        <v>#REF!</v>
      </c>
      <c r="R19" s="52" t="e">
        <f>+#REF!</f>
        <v>#REF!</v>
      </c>
      <c r="S19" s="52" t="e">
        <f>+#REF!</f>
        <v>#REF!</v>
      </c>
      <c r="T19" s="52" t="e">
        <f>+#REF!</f>
        <v>#REF!</v>
      </c>
      <c r="U19" s="52" t="e">
        <f>+#REF!</f>
        <v>#REF!</v>
      </c>
      <c r="V19" s="52" t="e">
        <f>+#REF!</f>
        <v>#REF!</v>
      </c>
      <c r="W19" s="52" t="e">
        <f>+#REF!</f>
        <v>#REF!</v>
      </c>
      <c r="X19" s="52" t="e">
        <f>+#REF!</f>
        <v>#REF!</v>
      </c>
      <c r="Y19" s="52" t="e">
        <f>+#REF!</f>
        <v>#REF!</v>
      </c>
    </row>
    <row r="20" spans="1:25" ht="15" outlineLevel="1" x14ac:dyDescent="0.25">
      <c r="A20" s="93" t="str">
        <f>+[12]Legal!A22</f>
        <v>3.3.3</v>
      </c>
      <c r="B20" s="93" t="str">
        <f>+Legal_1!B23</f>
        <v>Objective 3.3</v>
      </c>
      <c r="C20" s="93" t="str">
        <f>+Legal_1!C23</f>
        <v xml:space="preserve">Mining Rights Purchases </v>
      </c>
      <c r="D20" s="10" t="str">
        <f>+Legal_1!D23</f>
        <v>Costo adquisicion concesiones mineras de terceros</v>
      </c>
      <c r="E20" s="11" t="str">
        <f>+[12]Legal!E22</f>
        <v>683 / 51-11-3339</v>
      </c>
      <c r="F20" s="48"/>
      <c r="G20" s="48"/>
      <c r="H20" s="48"/>
      <c r="I20" s="48"/>
      <c r="J20" s="48"/>
      <c r="K20" s="48"/>
      <c r="L20" s="11">
        <f>+[12]Legal!L22</f>
        <v>12</v>
      </c>
      <c r="M20" s="136">
        <f>+Legal_1!N23</f>
        <v>2715200</v>
      </c>
      <c r="N20" s="12" t="s">
        <v>5</v>
      </c>
      <c r="O20" s="12"/>
      <c r="P20" s="12"/>
      <c r="Q20" s="12"/>
      <c r="R20" s="12"/>
      <c r="S20" s="12"/>
      <c r="T20" s="12"/>
      <c r="U20" s="12"/>
      <c r="V20" s="12"/>
      <c r="W20" s="12"/>
      <c r="X20" s="12"/>
      <c r="Y20" s="12"/>
    </row>
    <row r="21" spans="1:25" ht="28.5" outlineLevel="1" x14ac:dyDescent="0.25">
      <c r="A21" s="93" t="str">
        <f>+[12]Legal!A23</f>
        <v>3.3.4</v>
      </c>
      <c r="B21" s="93" t="str">
        <f>+Legal_1!B24</f>
        <v>Objective 3.4</v>
      </c>
      <c r="C21" s="93" t="str">
        <f>+Legal_1!C24</f>
        <v>Land Access (Ingreso Enero 2018)</v>
      </c>
      <c r="D21" s="10" t="str">
        <f>+Legal_1!D24</f>
        <v>Tramitación e indemnizacion Servidumbres Fiscales/Arriendos Delano/Conveyor Lote B</v>
      </c>
      <c r="E21" s="11" t="str">
        <f>+[12]Legal!E23</f>
        <v>683 / 51-11-3339</v>
      </c>
      <c r="F21" s="48"/>
      <c r="G21" s="48"/>
      <c r="H21" s="48"/>
      <c r="I21" s="48"/>
      <c r="J21" s="48"/>
      <c r="K21" s="48"/>
      <c r="L21" s="11">
        <f>+[12]Legal!L23</f>
        <v>12</v>
      </c>
      <c r="M21" s="136">
        <f>+Legal_1!N24</f>
        <v>5991072.9686823534</v>
      </c>
      <c r="N21" s="12" t="s">
        <v>5</v>
      </c>
      <c r="O21" s="12"/>
      <c r="P21" s="12"/>
      <c r="Q21" s="12"/>
      <c r="R21" s="12"/>
      <c r="S21" s="12"/>
      <c r="T21" s="12"/>
      <c r="U21" s="12"/>
      <c r="V21" s="12"/>
      <c r="W21" s="12"/>
      <c r="X21" s="12"/>
      <c r="Y21" s="12"/>
    </row>
    <row r="22" spans="1:25" ht="31.15" customHeight="1" outlineLevel="1" x14ac:dyDescent="0.25">
      <c r="A22" s="93" t="str">
        <f>+[12]Legal!A24</f>
        <v>3.3.5</v>
      </c>
      <c r="B22" s="93" t="str">
        <f>+Legal_1!B25</f>
        <v>Objective 3.5</v>
      </c>
      <c r="C22" s="93" t="str">
        <f>+Legal_1!C25</f>
        <v>Land Access (Ingreso EIA)</v>
      </c>
      <c r="D22" s="10" t="str">
        <f>+Legal_1!D25</f>
        <v xml:space="preserve">Tramitación e indemnizacion Servidumbres </v>
      </c>
      <c r="E22" s="11" t="str">
        <f>+[12]Legal!E24</f>
        <v>683 / 51-11-3339</v>
      </c>
      <c r="F22" s="48"/>
      <c r="G22" s="48"/>
      <c r="H22" s="48"/>
      <c r="I22" s="48"/>
      <c r="J22" s="48"/>
      <c r="K22" s="48"/>
      <c r="L22" s="11">
        <f>+[12]Legal!L24</f>
        <v>12</v>
      </c>
      <c r="M22" s="136">
        <f>+Legal_1!N25</f>
        <v>6831319.9980395306</v>
      </c>
      <c r="N22" s="12"/>
      <c r="O22" s="12"/>
      <c r="P22" s="12"/>
      <c r="Q22" s="12"/>
      <c r="R22" s="12"/>
      <c r="S22" s="12"/>
      <c r="T22" s="12"/>
      <c r="U22" s="12"/>
      <c r="V22" s="12"/>
      <c r="W22" s="12"/>
      <c r="X22" s="12"/>
      <c r="Y22" s="12"/>
    </row>
    <row r="23" spans="1:25" ht="15" outlineLevel="1" x14ac:dyDescent="0.25">
      <c r="A23" s="93" t="str">
        <f>+[12]Legal!A25</f>
        <v>3.3.6</v>
      </c>
      <c r="B23" s="93" t="str">
        <f>+Legal_1!B26</f>
        <v>Objective 3.6</v>
      </c>
      <c r="C23" s="93" t="str">
        <f>+Legal_1!C26</f>
        <v xml:space="preserve">Otros Predios </v>
      </c>
      <c r="D23" s="10" t="str">
        <f>+Legal_1!D26</f>
        <v xml:space="preserve">Adquisición de otros predios </v>
      </c>
      <c r="E23" s="11" t="str">
        <f>+[12]Legal!E25</f>
        <v>683 / 51-11-3339</v>
      </c>
      <c r="F23" s="48"/>
      <c r="G23" s="48"/>
      <c r="H23" s="48"/>
      <c r="I23" s="48"/>
      <c r="J23" s="48"/>
      <c r="K23" s="48"/>
      <c r="L23" s="11">
        <f>+[12]Legal!L25</f>
        <v>12</v>
      </c>
      <c r="M23" s="136">
        <f>+Legal_1!N26</f>
        <v>738459.12</v>
      </c>
      <c r="N23" s="12"/>
      <c r="O23" s="12"/>
      <c r="P23" s="12"/>
      <c r="Q23" s="12"/>
      <c r="R23" s="12"/>
      <c r="S23" s="12"/>
      <c r="T23" s="12"/>
      <c r="U23" s="12"/>
      <c r="V23" s="12"/>
      <c r="W23" s="12"/>
      <c r="X23" s="12"/>
      <c r="Y23" s="12"/>
    </row>
    <row r="24" spans="1:25" ht="15" outlineLevel="1" x14ac:dyDescent="0.25">
      <c r="A24" s="93" t="str">
        <f>+[12]Legal!A26</f>
        <v>3.4</v>
      </c>
      <c r="B24" s="93" t="str">
        <f>+Legal_1!B27</f>
        <v>Objective 4</v>
      </c>
      <c r="C24" s="93" t="str">
        <f>+Legal_1!C27</f>
        <v>Agua Construcción</v>
      </c>
      <c r="D24" s="10" t="str">
        <f>+Legal_1!D27</f>
        <v>Adquisición de agua para construcción</v>
      </c>
      <c r="E24" s="11" t="str">
        <f>+[12]Legal!E26</f>
        <v>683 / 51-11-3339</v>
      </c>
      <c r="F24" s="48"/>
      <c r="G24" s="48"/>
      <c r="H24" s="48"/>
      <c r="I24" s="48"/>
      <c r="J24" s="48"/>
      <c r="K24" s="48"/>
      <c r="L24" s="11">
        <f>+[12]Legal!L26</f>
        <v>12</v>
      </c>
      <c r="M24" s="136">
        <f>+Legal_1!N27</f>
        <v>0</v>
      </c>
      <c r="N24" s="12"/>
      <c r="O24" s="12"/>
      <c r="P24" s="12"/>
      <c r="Q24" s="12"/>
      <c r="R24" s="12"/>
      <c r="S24" s="12"/>
      <c r="T24" s="12"/>
      <c r="U24" s="12"/>
      <c r="V24" s="12"/>
      <c r="W24" s="12"/>
      <c r="X24" s="12"/>
      <c r="Y24" s="12"/>
    </row>
    <row r="25" spans="1:25" ht="15" outlineLevel="1" x14ac:dyDescent="0.25">
      <c r="A25" s="93" t="str">
        <f>+[12]Legal!A27</f>
        <v>3.5</v>
      </c>
      <c r="B25" s="93" t="str">
        <f>+Legal_1!B28</f>
        <v>Objective 5</v>
      </c>
      <c r="C25" s="93" t="str">
        <f>+Legal_1!C28</f>
        <v>Permits Licences</v>
      </c>
      <c r="D25" s="10" t="str">
        <f>+Legal_1!D28</f>
        <v>Pago de Contribuciones predios superficiales de propiedad del proyecto</v>
      </c>
      <c r="E25" s="11" t="str">
        <f>+[12]Legal!E27</f>
        <v>683 / 51-11-3340</v>
      </c>
      <c r="F25" s="48"/>
      <c r="G25" s="48"/>
      <c r="H25" s="48"/>
      <c r="I25" s="48"/>
      <c r="J25" s="48"/>
      <c r="K25" s="48"/>
      <c r="L25" s="11">
        <f>+[12]Legal!L27</f>
        <v>12</v>
      </c>
      <c r="M25" s="136">
        <f>+Legal_1!N28</f>
        <v>40000</v>
      </c>
      <c r="N25" s="12" t="s">
        <v>5</v>
      </c>
      <c r="O25" s="12"/>
      <c r="P25" s="12"/>
      <c r="Q25" s="12"/>
      <c r="R25" s="12"/>
      <c r="S25" s="12"/>
      <c r="T25" s="12"/>
      <c r="U25" s="12"/>
      <c r="V25" s="12"/>
      <c r="W25" s="12"/>
      <c r="X25" s="12"/>
      <c r="Y25" s="12"/>
    </row>
    <row r="26" spans="1:25" ht="15" outlineLevel="1" x14ac:dyDescent="0.25">
      <c r="A26" s="69"/>
      <c r="B26" s="70"/>
      <c r="C26" s="70"/>
      <c r="D26" s="71"/>
      <c r="E26" s="72"/>
      <c r="F26" s="72"/>
      <c r="G26" s="72"/>
      <c r="H26" s="72"/>
      <c r="I26" s="72"/>
      <c r="J26" s="74" t="s">
        <v>20</v>
      </c>
      <c r="K26" s="73"/>
      <c r="L26" s="32">
        <f>+[12]Legal!L29</f>
        <v>12</v>
      </c>
      <c r="M26" s="32">
        <f>SUM(M14:M25)</f>
        <v>25209242.030251298</v>
      </c>
      <c r="N26" s="32" t="e">
        <f t="shared" ref="N26:Y26" si="0">SUM(N13:N25)</f>
        <v>#REF!</v>
      </c>
      <c r="O26" s="32" t="e">
        <f t="shared" si="0"/>
        <v>#REF!</v>
      </c>
      <c r="P26" s="32" t="e">
        <f t="shared" si="0"/>
        <v>#REF!</v>
      </c>
      <c r="Q26" s="32" t="e">
        <f t="shared" si="0"/>
        <v>#REF!</v>
      </c>
      <c r="R26" s="32" t="e">
        <f t="shared" si="0"/>
        <v>#REF!</v>
      </c>
      <c r="S26" s="32" t="e">
        <f t="shared" si="0"/>
        <v>#REF!</v>
      </c>
      <c r="T26" s="32" t="e">
        <f t="shared" si="0"/>
        <v>#REF!</v>
      </c>
      <c r="U26" s="32" t="e">
        <f t="shared" si="0"/>
        <v>#REF!</v>
      </c>
      <c r="V26" s="32" t="e">
        <f t="shared" si="0"/>
        <v>#REF!</v>
      </c>
      <c r="W26" s="32" t="e">
        <f t="shared" si="0"/>
        <v>#REF!</v>
      </c>
      <c r="X26" s="32" t="e">
        <f t="shared" si="0"/>
        <v>#REF!</v>
      </c>
      <c r="Y26" s="32" t="e">
        <f t="shared" si="0"/>
        <v>#REF!</v>
      </c>
    </row>
    <row r="27" spans="1:25" x14ac:dyDescent="0.25">
      <c r="A27" s="71"/>
      <c r="B27" s="71"/>
      <c r="C27" s="71"/>
      <c r="D27" s="71"/>
      <c r="E27" s="71"/>
      <c r="F27" s="71"/>
      <c r="G27" s="71"/>
      <c r="H27" s="71"/>
      <c r="I27" s="71"/>
      <c r="J27" s="71"/>
      <c r="K27" s="71"/>
    </row>
    <row r="29" spans="1:25" ht="15.75" x14ac:dyDescent="0.25">
      <c r="B29" s="27" t="s">
        <v>21</v>
      </c>
      <c r="C29" s="28">
        <v>43101</v>
      </c>
      <c r="L29" s="112" t="s">
        <v>22</v>
      </c>
      <c r="M29" s="111"/>
    </row>
    <row r="30" spans="1:25" ht="15.75" x14ac:dyDescent="0.25">
      <c r="B30" s="27" t="s">
        <v>23</v>
      </c>
      <c r="C30" s="28">
        <v>43003</v>
      </c>
      <c r="L30" s="112" t="s">
        <v>24</v>
      </c>
      <c r="M30" s="111"/>
    </row>
    <row r="32" spans="1:25" x14ac:dyDescent="0.25">
      <c r="L32" s="718"/>
      <c r="M32" s="162"/>
    </row>
    <row r="33" spans="13:13" x14ac:dyDescent="0.25">
      <c r="M33" s="162"/>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'C:\Users\gineva.alcota\AppData\Local\Microsoft\Windows\INetCache\Content.Outlook\YCN3EFJG\[Budget Legal 2018_25sep2017.xlsx]Lists'!#REF!</xm:f>
          </x14:formula1>
          <xm:sqref>L26 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Z33"/>
  <sheetViews>
    <sheetView showGridLines="0" view="pageLayout" topLeftCell="A4" zoomScale="60" zoomScaleNormal="70" zoomScalePageLayoutView="60" workbookViewId="0">
      <selection activeCell="M26" sqref="M26"/>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8" width="17.5703125" style="9" hidden="1" customWidth="1"/>
    <col min="9" max="10" width="11.5703125" style="9" hidden="1" customWidth="1"/>
    <col min="11" max="11" width="17.5703125" style="9" hidden="1" customWidth="1"/>
    <col min="12" max="12" width="17.7109375" style="9" customWidth="1"/>
    <col min="13" max="13" width="15.7109375" style="9" customWidth="1"/>
    <col min="14" max="14" width="11.5703125" style="9" hidden="1" customWidth="1" outlineLevel="1"/>
    <col min="15" max="16" width="16.42578125" style="9" hidden="1" customWidth="1" outlineLevel="1"/>
    <col min="17" max="17" width="16.85546875" style="9" hidden="1" customWidth="1" outlineLevel="1"/>
    <col min="18" max="18" width="16.42578125" style="9" hidden="1" customWidth="1" outlineLevel="1"/>
    <col min="19" max="22" width="16.85546875" style="9" hidden="1" customWidth="1" outlineLevel="1"/>
    <col min="23" max="24" width="16.42578125" style="9" hidden="1" customWidth="1" outlineLevel="1"/>
    <col min="25" max="25" width="16.85546875" style="9" hidden="1" customWidth="1" outlineLevel="1"/>
    <col min="26" max="26" width="11.42578125" style="9" collapsed="1"/>
    <col min="27" max="16384" width="11.42578125" style="9"/>
  </cols>
  <sheetData>
    <row r="1" spans="1:25" s="1" customFormat="1" ht="36.6" customHeight="1" x14ac:dyDescent="0.2"/>
    <row r="2" spans="1:25" ht="24.75" customHeight="1" x14ac:dyDescent="0.25"/>
    <row r="3" spans="1:25" ht="36.6" customHeight="1" x14ac:dyDescent="0.25">
      <c r="A3" s="40" t="s">
        <v>4</v>
      </c>
      <c r="B3" s="36"/>
      <c r="C3" s="37"/>
      <c r="D3" s="38"/>
      <c r="E3" s="38"/>
      <c r="F3" s="38"/>
      <c r="G3" s="38"/>
      <c r="H3" s="39"/>
      <c r="I3" s="39"/>
      <c r="J3" s="46"/>
      <c r="K3" s="38"/>
      <c r="L3" s="43"/>
      <c r="M3" s="43"/>
      <c r="N3" s="43" t="s">
        <v>5</v>
      </c>
      <c r="O3" s="43"/>
      <c r="P3" s="43"/>
      <c r="Q3" s="43"/>
      <c r="R3" s="43"/>
      <c r="S3" s="43"/>
      <c r="T3" s="43"/>
      <c r="U3" s="43"/>
      <c r="V3" s="43"/>
      <c r="W3" s="43"/>
      <c r="X3" s="43"/>
      <c r="Y3" s="43"/>
    </row>
    <row r="4" spans="1:25" ht="18" x14ac:dyDescent="0.25">
      <c r="A4" s="17"/>
      <c r="B4" s="75" t="s">
        <v>6</v>
      </c>
      <c r="C4" s="75"/>
      <c r="D4" s="75"/>
      <c r="E4" s="75"/>
      <c r="F4" s="75"/>
      <c r="G4" s="75"/>
      <c r="H4" s="75"/>
      <c r="I4" s="75"/>
      <c r="J4" s="75"/>
      <c r="K4" s="75"/>
      <c r="L4" s="75"/>
      <c r="M4" s="76"/>
      <c r="N4" s="16"/>
      <c r="O4" s="16"/>
      <c r="P4" s="16"/>
      <c r="Q4" s="16"/>
      <c r="R4" s="16"/>
      <c r="S4" s="16"/>
      <c r="T4" s="16"/>
      <c r="U4" s="16"/>
      <c r="V4" s="16"/>
      <c r="W4" s="16"/>
      <c r="X4" s="16"/>
      <c r="Y4" s="18"/>
    </row>
    <row r="5" spans="1:25" ht="18" x14ac:dyDescent="0.25">
      <c r="A5" s="19"/>
      <c r="B5" s="77" t="str">
        <f>+'Legal (2020)'!B8</f>
        <v>Legal</v>
      </c>
      <c r="C5" s="78"/>
      <c r="D5" s="78"/>
      <c r="E5" s="79"/>
      <c r="F5" s="79"/>
      <c r="G5" s="79"/>
      <c r="H5" s="79"/>
      <c r="I5" s="79"/>
      <c r="J5" s="79"/>
      <c r="K5" s="79"/>
      <c r="L5" s="79"/>
      <c r="M5" s="80" t="s">
        <v>7</v>
      </c>
      <c r="N5" s="13"/>
      <c r="O5" s="13"/>
      <c r="P5" s="13"/>
      <c r="Q5" s="13"/>
      <c r="R5" s="13"/>
      <c r="S5" s="13"/>
      <c r="T5" s="13"/>
      <c r="U5" s="13"/>
      <c r="V5" s="13"/>
      <c r="W5" s="13"/>
      <c r="X5" s="13"/>
      <c r="Y5" s="25"/>
    </row>
    <row r="6" spans="1:25" ht="18" x14ac:dyDescent="0.25">
      <c r="A6" s="19"/>
      <c r="B6" s="81" t="s">
        <v>8</v>
      </c>
      <c r="C6" s="79"/>
      <c r="D6" s="81" t="s">
        <v>9</v>
      </c>
      <c r="E6" s="81"/>
      <c r="F6" s="81"/>
      <c r="G6" s="81"/>
      <c r="H6" s="81"/>
      <c r="I6" s="81"/>
      <c r="J6" s="81"/>
      <c r="K6" s="81"/>
      <c r="L6" s="81"/>
      <c r="M6" s="82">
        <f>+'Legal (2020)'!N9</f>
        <v>43831</v>
      </c>
      <c r="N6" s="14"/>
      <c r="O6" s="14"/>
      <c r="P6" s="14"/>
      <c r="Q6" s="14"/>
      <c r="R6" s="14"/>
      <c r="S6" s="14"/>
      <c r="T6" s="14"/>
      <c r="U6" s="14"/>
      <c r="V6" s="14"/>
      <c r="W6" s="14"/>
      <c r="X6" s="14"/>
      <c r="Y6" s="26"/>
    </row>
    <row r="7" spans="1:25" ht="18" x14ac:dyDescent="0.25">
      <c r="A7" s="20"/>
      <c r="B7" s="83" t="str">
        <f>+'Legal (2020)'!B10</f>
        <v>683 Legal</v>
      </c>
      <c r="C7" s="84"/>
      <c r="D7" s="77" t="str">
        <f>+'Legal (2020)'!D10</f>
        <v>Ariel Scharfstein</v>
      </c>
      <c r="E7" s="79"/>
      <c r="F7" s="79"/>
      <c r="G7" s="79"/>
      <c r="H7" s="79"/>
      <c r="I7" s="79"/>
      <c r="J7" s="79"/>
      <c r="K7" s="79"/>
      <c r="L7" s="79"/>
      <c r="M7" s="85"/>
      <c r="N7" s="13"/>
      <c r="O7" s="13"/>
      <c r="P7" s="13"/>
      <c r="Q7" s="13"/>
      <c r="R7" s="13"/>
      <c r="S7" s="13"/>
      <c r="T7" s="13"/>
      <c r="U7" s="13"/>
      <c r="V7" s="13"/>
      <c r="W7" s="13"/>
      <c r="X7" s="13"/>
      <c r="Y7" s="25"/>
    </row>
    <row r="8" spans="1:25" ht="18" x14ac:dyDescent="0.25">
      <c r="A8" s="20"/>
      <c r="B8" s="86" t="s">
        <v>10</v>
      </c>
      <c r="C8" s="84"/>
      <c r="D8" s="86"/>
      <c r="E8" s="86"/>
      <c r="F8" s="86"/>
      <c r="G8" s="86"/>
      <c r="H8" s="86"/>
      <c r="I8" s="86"/>
      <c r="J8" s="86"/>
      <c r="K8" s="86"/>
      <c r="L8" s="86"/>
      <c r="M8" s="87" t="s">
        <v>11</v>
      </c>
      <c r="N8" s="15"/>
      <c r="O8" s="15"/>
      <c r="P8" s="15"/>
      <c r="Q8" s="15"/>
      <c r="R8" s="15"/>
      <c r="S8" s="15"/>
      <c r="T8" s="15"/>
      <c r="U8" s="15"/>
      <c r="V8" s="15"/>
      <c r="W8" s="15"/>
      <c r="X8" s="15"/>
      <c r="Y8" s="24"/>
    </row>
    <row r="9" spans="1:25" ht="18" x14ac:dyDescent="0.25">
      <c r="A9" s="20"/>
      <c r="B9" s="88">
        <v>43003</v>
      </c>
      <c r="C9" s="84"/>
      <c r="D9" s="86"/>
      <c r="E9" s="79"/>
      <c r="F9" s="79"/>
      <c r="G9" s="79"/>
      <c r="H9" s="79"/>
      <c r="I9" s="79"/>
      <c r="J9" s="79"/>
      <c r="K9" s="79"/>
      <c r="L9" s="79"/>
      <c r="M9" s="82">
        <f>+'Legal (2020)'!N12</f>
        <v>44196</v>
      </c>
      <c r="N9" s="13"/>
      <c r="O9" s="13"/>
      <c r="P9" s="13"/>
      <c r="Q9" s="13"/>
      <c r="R9" s="13"/>
      <c r="S9" s="13"/>
      <c r="T9" s="13"/>
      <c r="U9" s="13"/>
      <c r="V9" s="13"/>
      <c r="W9" s="13"/>
      <c r="X9" s="13"/>
      <c r="Y9" s="24"/>
    </row>
    <row r="10" spans="1:25" ht="18" x14ac:dyDescent="0.25">
      <c r="A10" s="21"/>
      <c r="B10" s="89"/>
      <c r="C10" s="90"/>
      <c r="D10" s="90"/>
      <c r="E10" s="90"/>
      <c r="F10" s="90"/>
      <c r="G10" s="90"/>
      <c r="H10" s="90"/>
      <c r="I10" s="90"/>
      <c r="J10" s="90"/>
      <c r="K10" s="90"/>
      <c r="L10" s="90"/>
      <c r="M10" s="91"/>
      <c r="N10" s="22"/>
      <c r="O10" s="22"/>
      <c r="P10" s="22"/>
      <c r="Q10" s="22"/>
      <c r="R10" s="22"/>
      <c r="S10" s="22"/>
      <c r="T10" s="22"/>
      <c r="U10" s="22"/>
      <c r="V10" s="22"/>
      <c r="W10" s="22"/>
      <c r="X10" s="22"/>
      <c r="Y10" s="23"/>
    </row>
    <row r="11" spans="1:25" ht="6.75" customHeight="1" x14ac:dyDescent="0.25"/>
    <row r="12" spans="1:25" ht="18" x14ac:dyDescent="0.25">
      <c r="A12" s="41" t="s">
        <v>12</v>
      </c>
      <c r="B12" s="41"/>
      <c r="C12" s="42"/>
      <c r="D12" s="42"/>
      <c r="E12" s="43"/>
      <c r="F12" s="43"/>
      <c r="G12" s="43"/>
      <c r="H12" s="44"/>
      <c r="I12" s="44"/>
      <c r="J12" s="46"/>
      <c r="K12" s="43"/>
      <c r="L12" s="43"/>
      <c r="M12" s="43"/>
      <c r="N12" s="43" t="s">
        <v>5</v>
      </c>
      <c r="O12" s="43"/>
      <c r="P12" s="43"/>
      <c r="Q12" s="43"/>
      <c r="R12" s="43"/>
      <c r="S12" s="43"/>
      <c r="T12" s="43"/>
      <c r="U12" s="43"/>
      <c r="V12" s="43"/>
      <c r="W12" s="43"/>
      <c r="X12" s="43"/>
      <c r="Y12" s="43"/>
    </row>
    <row r="13" spans="1:25" ht="30" outlineLevel="1" x14ac:dyDescent="0.25">
      <c r="A13" s="92"/>
      <c r="B13" s="92" t="s">
        <v>13</v>
      </c>
      <c r="C13" s="92" t="s">
        <v>14</v>
      </c>
      <c r="D13" s="8" t="s">
        <v>15</v>
      </c>
      <c r="E13" s="32" t="s">
        <v>16</v>
      </c>
      <c r="F13" s="48"/>
      <c r="G13" s="48"/>
      <c r="H13" s="48"/>
      <c r="I13" s="48"/>
      <c r="J13" s="48"/>
      <c r="K13" s="48"/>
      <c r="L13" s="32" t="s">
        <v>17</v>
      </c>
      <c r="M13" s="32" t="s">
        <v>825</v>
      </c>
      <c r="N13" s="66">
        <v>43101</v>
      </c>
      <c r="O13" s="66">
        <v>43132</v>
      </c>
      <c r="P13" s="66">
        <v>43160</v>
      </c>
      <c r="Q13" s="66">
        <v>43191</v>
      </c>
      <c r="R13" s="66">
        <v>43221</v>
      </c>
      <c r="S13" s="66">
        <v>43252</v>
      </c>
      <c r="T13" s="66">
        <v>43282</v>
      </c>
      <c r="U13" s="66">
        <v>43313</v>
      </c>
      <c r="V13" s="66">
        <v>43344</v>
      </c>
      <c r="W13" s="66">
        <v>43374</v>
      </c>
      <c r="X13" s="66">
        <v>43405</v>
      </c>
      <c r="Y13" s="66">
        <v>43435</v>
      </c>
    </row>
    <row r="14" spans="1:25" ht="15" outlineLevel="1" x14ac:dyDescent="0.25">
      <c r="A14" s="93" t="str">
        <f>+'Legal (2020)'!A17</f>
        <v>3.1</v>
      </c>
      <c r="B14" s="93" t="str">
        <f>+'Legal (2020)'!B17</f>
        <v>Objective 1</v>
      </c>
      <c r="C14" s="93" t="str">
        <f>+'Legal (2020)'!C17</f>
        <v>RE Mine Property</v>
      </c>
      <c r="D14" s="10" t="str">
        <f>+'Legal (2020)'!D17</f>
        <v xml:space="preserve">Tramitación, Mantención y Resguardo de la Propiedad Minera Relincho </v>
      </c>
      <c r="E14" s="11" t="str">
        <f>+'Legal (2020)'!E17</f>
        <v>683 / 51-11-3337</v>
      </c>
      <c r="F14" s="48"/>
      <c r="G14" s="48"/>
      <c r="H14" s="48"/>
      <c r="I14" s="48"/>
      <c r="J14" s="48"/>
      <c r="K14" s="48"/>
      <c r="L14" s="11">
        <f>+'Legal (2020)'!L17</f>
        <v>12</v>
      </c>
      <c r="M14" s="11">
        <f>+'Legal (2020)'!N17</f>
        <v>793426.42441911437</v>
      </c>
      <c r="N14" s="52" t="e">
        <f>+#REF!</f>
        <v>#REF!</v>
      </c>
      <c r="O14" s="52" t="e">
        <f>+#REF!</f>
        <v>#REF!</v>
      </c>
      <c r="P14" s="52" t="e">
        <f>+#REF!</f>
        <v>#REF!</v>
      </c>
      <c r="Q14" s="52" t="e">
        <f>+#REF!</f>
        <v>#REF!</v>
      </c>
      <c r="R14" s="52" t="e">
        <f>+#REF!</f>
        <v>#REF!</v>
      </c>
      <c r="S14" s="52" t="e">
        <f>+#REF!</f>
        <v>#REF!</v>
      </c>
      <c r="T14" s="52" t="e">
        <f>+#REF!</f>
        <v>#REF!</v>
      </c>
      <c r="U14" s="52" t="e">
        <f>+#REF!</f>
        <v>#REF!</v>
      </c>
      <c r="V14" s="52" t="e">
        <f>+#REF!</f>
        <v>#REF!</v>
      </c>
      <c r="W14" s="52" t="e">
        <f>+#REF!</f>
        <v>#REF!</v>
      </c>
      <c r="X14" s="52" t="e">
        <f>+#REF!</f>
        <v>#REF!</v>
      </c>
      <c r="Y14" s="52" t="e">
        <f>+#REF!</f>
        <v>#REF!</v>
      </c>
    </row>
    <row r="15" spans="1:25" ht="15" outlineLevel="1" x14ac:dyDescent="0.25">
      <c r="A15" s="93" t="str">
        <f>+'Legal (2020)'!A18</f>
        <v>3.2</v>
      </c>
      <c r="B15" s="93" t="str">
        <f>+'Legal (2020)'!B18</f>
        <v>Objective 2</v>
      </c>
      <c r="C15" s="93" t="str">
        <f>+'Legal (2020)'!C18</f>
        <v>EM Mine Property</v>
      </c>
      <c r="D15" s="10" t="str">
        <f>+'Legal (2020)'!D18</f>
        <v>Tramitación, Mantención y Resguardo de la Propiedad Minera El Morro</v>
      </c>
      <c r="E15" s="11" t="str">
        <f>+'Legal (2020)'!E18</f>
        <v>683 / 51-11-3338</v>
      </c>
      <c r="F15" s="48"/>
      <c r="G15" s="48"/>
      <c r="H15" s="48"/>
      <c r="I15" s="48"/>
      <c r="J15" s="48"/>
      <c r="K15" s="48"/>
      <c r="L15" s="11">
        <f>+'Legal (2020)'!L18</f>
        <v>12</v>
      </c>
      <c r="M15" s="11">
        <f>+'Legal (2020)'!N18</f>
        <v>932364.72081617685</v>
      </c>
      <c r="N15" s="52" t="e">
        <f>+#REF!</f>
        <v>#REF!</v>
      </c>
      <c r="O15" s="52" t="e">
        <f>+#REF!</f>
        <v>#REF!</v>
      </c>
      <c r="P15" s="52" t="e">
        <f>+#REF!</f>
        <v>#REF!</v>
      </c>
      <c r="Q15" s="52" t="e">
        <f>+#REF!</f>
        <v>#REF!</v>
      </c>
      <c r="R15" s="52" t="e">
        <f>+#REF!</f>
        <v>#REF!</v>
      </c>
      <c r="S15" s="52" t="e">
        <f>+#REF!</f>
        <v>#REF!</v>
      </c>
      <c r="T15" s="52" t="e">
        <f>+#REF!</f>
        <v>#REF!</v>
      </c>
      <c r="U15" s="52" t="e">
        <f>+#REF!</f>
        <v>#REF!</v>
      </c>
      <c r="V15" s="52" t="e">
        <f>+#REF!</f>
        <v>#REF!</v>
      </c>
      <c r="W15" s="52" t="e">
        <f>+#REF!</f>
        <v>#REF!</v>
      </c>
      <c r="X15" s="52" t="e">
        <f>+#REF!</f>
        <v>#REF!</v>
      </c>
      <c r="Y15" s="52" t="e">
        <f>+#REF!</f>
        <v>#REF!</v>
      </c>
    </row>
    <row r="16" spans="1:25" ht="15" outlineLevel="1" x14ac:dyDescent="0.25">
      <c r="A16" s="93" t="str">
        <f>+'Legal (2020)'!A19</f>
        <v>3.3</v>
      </c>
      <c r="B16" s="93" t="str">
        <f>+'Legal (2020)'!B19</f>
        <v>Objective 3.01</v>
      </c>
      <c r="C16" s="93" t="str">
        <f>+'Legal (2020)'!C19</f>
        <v xml:space="preserve">Legal/Consulting </v>
      </c>
      <c r="D16" s="10" t="str">
        <f>+'Legal (2020)'!D19</f>
        <v>Costo Consultores y gastos varios área legal and suport othres areas</v>
      </c>
      <c r="E16" s="11" t="str">
        <f>+'Legal (2020)'!E19</f>
        <v>683 / 51-11-3339</v>
      </c>
      <c r="F16" s="48"/>
      <c r="G16" s="48"/>
      <c r="H16" s="48"/>
      <c r="I16" s="48"/>
      <c r="J16" s="48"/>
      <c r="K16" s="48"/>
      <c r="L16" s="11">
        <f>+'Legal (2020)'!L19</f>
        <v>12</v>
      </c>
      <c r="M16" s="11">
        <f>+'Legal (2020)'!N19</f>
        <v>836420.58823529433</v>
      </c>
      <c r="N16" s="52" t="e">
        <f>+#REF!</f>
        <v>#REF!</v>
      </c>
      <c r="O16" s="52" t="e">
        <f>+#REF!</f>
        <v>#REF!</v>
      </c>
      <c r="P16" s="52" t="e">
        <f>+#REF!</f>
        <v>#REF!</v>
      </c>
      <c r="Q16" s="52" t="e">
        <f>+#REF!</f>
        <v>#REF!</v>
      </c>
      <c r="R16" s="52" t="e">
        <f>+#REF!</f>
        <v>#REF!</v>
      </c>
      <c r="S16" s="52" t="e">
        <f>+#REF!</f>
        <v>#REF!</v>
      </c>
      <c r="T16" s="52" t="e">
        <f>+#REF!</f>
        <v>#REF!</v>
      </c>
      <c r="U16" s="52" t="e">
        <f>+#REF!</f>
        <v>#REF!</v>
      </c>
      <c r="V16" s="52" t="e">
        <f>+#REF!</f>
        <v>#REF!</v>
      </c>
      <c r="W16" s="52" t="e">
        <f>+#REF!</f>
        <v>#REF!</v>
      </c>
      <c r="X16" s="52" t="e">
        <f>+#REF!</f>
        <v>#REF!</v>
      </c>
      <c r="Y16" s="52" t="e">
        <f>+#REF!</f>
        <v>#REF!</v>
      </c>
    </row>
    <row r="17" spans="1:25" ht="15" outlineLevel="1" x14ac:dyDescent="0.25">
      <c r="A17" s="93" t="str">
        <f>+'Legal (2020)'!A20</f>
        <v>3.3</v>
      </c>
      <c r="B17" s="93" t="str">
        <f>+'Legal (2020)'!B20</f>
        <v>Objective 3.02</v>
      </c>
      <c r="C17" s="93" t="str">
        <f>+'Legal (2020)'!C20</f>
        <v>Legal/Consulting Land Access</v>
      </c>
      <c r="D17" s="10" t="str">
        <f>+'Legal (2020)'!D20</f>
        <v xml:space="preserve">Costo Consultores y gastos varios área legal Land Access </v>
      </c>
      <c r="E17" s="11" t="str">
        <f>+'Legal (2020)'!E20</f>
        <v>683 / 51-11-3339</v>
      </c>
      <c r="F17" s="48"/>
      <c r="G17" s="48"/>
      <c r="H17" s="48"/>
      <c r="I17" s="48"/>
      <c r="J17" s="48"/>
      <c r="K17" s="48"/>
      <c r="L17" s="11">
        <f>+'Legal (2020)'!L20</f>
        <v>12</v>
      </c>
      <c r="M17" s="11">
        <f>+'Legal (2020)'!N20</f>
        <v>44000</v>
      </c>
      <c r="N17" s="52" t="e">
        <f>+#REF!</f>
        <v>#REF!</v>
      </c>
      <c r="O17" s="52" t="e">
        <f>+#REF!</f>
        <v>#REF!</v>
      </c>
      <c r="P17" s="52" t="e">
        <f>+#REF!</f>
        <v>#REF!</v>
      </c>
      <c r="Q17" s="52" t="e">
        <f>+#REF!</f>
        <v>#REF!</v>
      </c>
      <c r="R17" s="52" t="e">
        <f>+#REF!</f>
        <v>#REF!</v>
      </c>
      <c r="S17" s="52" t="e">
        <f>+#REF!</f>
        <v>#REF!</v>
      </c>
      <c r="T17" s="52" t="e">
        <f>+#REF!</f>
        <v>#REF!</v>
      </c>
      <c r="U17" s="52" t="e">
        <f>+#REF!</f>
        <v>#REF!</v>
      </c>
      <c r="V17" s="52" t="e">
        <f>+#REF!</f>
        <v>#REF!</v>
      </c>
      <c r="W17" s="52" t="e">
        <f>+#REF!</f>
        <v>#REF!</v>
      </c>
      <c r="X17" s="52" t="e">
        <f>+#REF!</f>
        <v>#REF!</v>
      </c>
      <c r="Y17" s="52" t="e">
        <f>+#REF!</f>
        <v>#REF!</v>
      </c>
    </row>
    <row r="18" spans="1:25" ht="13.5" customHeight="1" outlineLevel="1" x14ac:dyDescent="0.25">
      <c r="A18" s="93" t="str">
        <f>+'Legal (2020)'!A21</f>
        <v>3.3.1</v>
      </c>
      <c r="B18" s="93" t="str">
        <f>+'Legal (2020)'!B21</f>
        <v>Objective 3.1</v>
      </c>
      <c r="C18" s="93" t="str">
        <f>+'Legal (2020)'!C21</f>
        <v>Easments Firm commitment</v>
      </c>
      <c r="D18" s="10" t="str">
        <f>+'Legal (2020)'!D21</f>
        <v xml:space="preserve">Costo Servidumbres y/o contratos vigentes </v>
      </c>
      <c r="E18" s="11" t="str">
        <f>+'Legal (2020)'!E21</f>
        <v>683 / 51-11-3339</v>
      </c>
      <c r="F18" s="48"/>
      <c r="G18" s="48"/>
      <c r="H18" s="48"/>
      <c r="I18" s="48"/>
      <c r="J18" s="48"/>
      <c r="K18" s="48"/>
      <c r="L18" s="11">
        <f>+'Legal (2020)'!L21</f>
        <v>12</v>
      </c>
      <c r="M18" s="11">
        <f>+'Legal (2020)'!N21</f>
        <v>0</v>
      </c>
      <c r="N18" s="52" t="e">
        <f>+#REF!</f>
        <v>#REF!</v>
      </c>
      <c r="O18" s="52" t="e">
        <f>+#REF!</f>
        <v>#REF!</v>
      </c>
      <c r="P18" s="52" t="e">
        <f>+#REF!</f>
        <v>#REF!</v>
      </c>
      <c r="Q18" s="52" t="e">
        <f>+#REF!</f>
        <v>#REF!</v>
      </c>
      <c r="R18" s="52" t="e">
        <f>+#REF!</f>
        <v>#REF!</v>
      </c>
      <c r="S18" s="52" t="e">
        <f>+#REF!</f>
        <v>#REF!</v>
      </c>
      <c r="T18" s="52" t="e">
        <f>+#REF!</f>
        <v>#REF!</v>
      </c>
      <c r="U18" s="52" t="e">
        <f>+#REF!</f>
        <v>#REF!</v>
      </c>
      <c r="V18" s="52" t="e">
        <f>+#REF!</f>
        <v>#REF!</v>
      </c>
      <c r="W18" s="52" t="e">
        <f>+#REF!</f>
        <v>#REF!</v>
      </c>
      <c r="X18" s="52" t="e">
        <f>+#REF!</f>
        <v>#REF!</v>
      </c>
      <c r="Y18" s="52" t="e">
        <f>+#REF!</f>
        <v>#REF!</v>
      </c>
    </row>
    <row r="19" spans="1:25" ht="13.5" customHeight="1" outlineLevel="1" x14ac:dyDescent="0.25">
      <c r="A19" s="93" t="str">
        <f>+'Legal (2020)'!A22</f>
        <v>3.3.2</v>
      </c>
      <c r="B19" s="93" t="str">
        <f>+'Legal (2020)'!B22</f>
        <v>Objective 3.2</v>
      </c>
      <c r="C19" s="93" t="str">
        <f>+'Legal (2020)'!C22</f>
        <v xml:space="preserve">NSR Purchases </v>
      </c>
      <c r="D19" s="10" t="str">
        <f>+'Legal (2020)'!D22</f>
        <v>NSR Cantarito - Tronquito</v>
      </c>
      <c r="E19" s="11" t="str">
        <f>+'Legal (2020)'!E22</f>
        <v>683 / 51-11-3339</v>
      </c>
      <c r="F19" s="48"/>
      <c r="G19" s="48"/>
      <c r="H19" s="48"/>
      <c r="I19" s="48"/>
      <c r="J19" s="48"/>
      <c r="K19" s="48"/>
      <c r="L19" s="11">
        <f>+'Legal (2020)'!L22</f>
        <v>12</v>
      </c>
      <c r="M19" s="11">
        <f>+'Legal (2020)'!N22</f>
        <v>0</v>
      </c>
      <c r="N19" s="52" t="e">
        <f>+#REF!</f>
        <v>#REF!</v>
      </c>
      <c r="O19" s="52" t="e">
        <f>+#REF!</f>
        <v>#REF!</v>
      </c>
      <c r="P19" s="52" t="e">
        <f>+#REF!</f>
        <v>#REF!</v>
      </c>
      <c r="Q19" s="52" t="e">
        <f>+#REF!</f>
        <v>#REF!</v>
      </c>
      <c r="R19" s="52" t="e">
        <f>+#REF!</f>
        <v>#REF!</v>
      </c>
      <c r="S19" s="52" t="e">
        <f>+#REF!</f>
        <v>#REF!</v>
      </c>
      <c r="T19" s="52" t="e">
        <f>+#REF!</f>
        <v>#REF!</v>
      </c>
      <c r="U19" s="52" t="e">
        <f>+#REF!</f>
        <v>#REF!</v>
      </c>
      <c r="V19" s="52" t="e">
        <f>+#REF!</f>
        <v>#REF!</v>
      </c>
      <c r="W19" s="52" t="e">
        <f>+#REF!</f>
        <v>#REF!</v>
      </c>
      <c r="X19" s="52" t="e">
        <f>+#REF!</f>
        <v>#REF!</v>
      </c>
      <c r="Y19" s="52" t="e">
        <f>+#REF!</f>
        <v>#REF!</v>
      </c>
    </row>
    <row r="20" spans="1:25" ht="13.5" customHeight="1" outlineLevel="1" x14ac:dyDescent="0.25">
      <c r="A20" s="93" t="str">
        <f>+'Legal (2020)'!A23</f>
        <v>3.3.3</v>
      </c>
      <c r="B20" s="93" t="str">
        <f>+'Legal (2020)'!B23</f>
        <v>Objective 3.3</v>
      </c>
      <c r="C20" s="93" t="str">
        <f>+'Legal (2020)'!C23</f>
        <v xml:space="preserve">Mining Rights Purchases </v>
      </c>
      <c r="D20" s="10" t="str">
        <f>+'Legal (2020)'!D23</f>
        <v>Costo adquisicion concesiones mineras de terceros</v>
      </c>
      <c r="E20" s="11" t="str">
        <f>+'Legal (2020)'!E23</f>
        <v>683 / 51-11-3339</v>
      </c>
      <c r="F20" s="48"/>
      <c r="G20" s="48"/>
      <c r="H20" s="48"/>
      <c r="I20" s="48"/>
      <c r="J20" s="48"/>
      <c r="K20" s="48"/>
      <c r="L20" s="11">
        <f>+'Legal (2020)'!L23</f>
        <v>12</v>
      </c>
      <c r="M20" s="11">
        <f>+'Legal (2020)'!N23</f>
        <v>1115200</v>
      </c>
      <c r="N20" s="12" t="s">
        <v>5</v>
      </c>
      <c r="O20" s="12"/>
      <c r="P20" s="12"/>
      <c r="Q20" s="12"/>
      <c r="R20" s="12"/>
      <c r="S20" s="12"/>
      <c r="T20" s="12"/>
      <c r="U20" s="12"/>
      <c r="V20" s="12"/>
      <c r="W20" s="12"/>
      <c r="X20" s="12"/>
      <c r="Y20" s="12"/>
    </row>
    <row r="21" spans="1:25" ht="13.5" customHeight="1" outlineLevel="1" x14ac:dyDescent="0.25">
      <c r="A21" s="93" t="str">
        <f>+'Legal (2020)'!A24</f>
        <v>3.3.4</v>
      </c>
      <c r="B21" s="93" t="str">
        <f>+'Legal (2020)'!B24</f>
        <v>Objective 3.4</v>
      </c>
      <c r="C21" s="93" t="str">
        <f>+'Legal (2020)'!C24</f>
        <v>Land Access (Ingreso Enero 2018)</v>
      </c>
      <c r="D21" s="10" t="str">
        <f>+'Legal (2020)'!D24</f>
        <v>Tramitación e indemnizacion Servidumbres Fiscales/Arriendos Delano/Conveyor Lote B</v>
      </c>
      <c r="E21" s="11" t="str">
        <f>+'Legal (2020)'!E24</f>
        <v>683 / 51-11-3339</v>
      </c>
      <c r="F21" s="48"/>
      <c r="G21" s="48"/>
      <c r="H21" s="48"/>
      <c r="I21" s="48"/>
      <c r="J21" s="48"/>
      <c r="K21" s="48"/>
      <c r="L21" s="11">
        <f>+'Legal (2020)'!L24</f>
        <v>12</v>
      </c>
      <c r="M21" s="11">
        <f>+'Legal (2020)'!N24</f>
        <v>1846435.0080000001</v>
      </c>
      <c r="N21" s="12" t="s">
        <v>5</v>
      </c>
      <c r="O21" s="12"/>
      <c r="P21" s="12"/>
      <c r="Q21" s="12"/>
      <c r="R21" s="12"/>
      <c r="S21" s="12"/>
      <c r="T21" s="12"/>
      <c r="U21" s="12"/>
      <c r="V21" s="12"/>
      <c r="W21" s="12"/>
      <c r="X21" s="12"/>
      <c r="Y21" s="12"/>
    </row>
    <row r="22" spans="1:25" ht="13.5" customHeight="1" outlineLevel="1" x14ac:dyDescent="0.25">
      <c r="A22" s="93" t="str">
        <f>+'Legal (2020)'!A25</f>
        <v>3.3.5</v>
      </c>
      <c r="B22" s="93" t="str">
        <f>+'Legal (2020)'!B25</f>
        <v>Objective 3.5</v>
      </c>
      <c r="C22" s="93" t="str">
        <f>+'Legal (2020)'!C25</f>
        <v>Land Access (Ingreso EIA)</v>
      </c>
      <c r="D22" s="10" t="str">
        <f>+'Legal (2020)'!D25</f>
        <v xml:space="preserve">Tramitación e indemnizacion Servidumbres </v>
      </c>
      <c r="E22" s="11" t="str">
        <f>+'Legal (2020)'!E25</f>
        <v>683 / 51-11-3339</v>
      </c>
      <c r="F22" s="48"/>
      <c r="G22" s="48"/>
      <c r="H22" s="48"/>
      <c r="I22" s="48"/>
      <c r="J22" s="48"/>
      <c r="K22" s="48"/>
      <c r="L22" s="11">
        <f>+'Legal (2020)'!L25</f>
        <v>12</v>
      </c>
      <c r="M22" s="11">
        <f>+'Legal (2020)'!N25</f>
        <v>15777809.4</v>
      </c>
      <c r="N22" s="12"/>
      <c r="O22" s="12"/>
      <c r="P22" s="12"/>
      <c r="Q22" s="12"/>
      <c r="R22" s="12"/>
      <c r="S22" s="12"/>
      <c r="T22" s="12"/>
      <c r="U22" s="12"/>
      <c r="V22" s="12"/>
      <c r="W22" s="12"/>
      <c r="X22" s="12"/>
      <c r="Y22" s="12"/>
    </row>
    <row r="23" spans="1:25" ht="13.5" customHeight="1" outlineLevel="1" x14ac:dyDescent="0.25">
      <c r="A23" s="93" t="str">
        <f>+'Legal (2020)'!A26</f>
        <v>3.3.6</v>
      </c>
      <c r="B23" s="93" t="str">
        <f>+'Legal (2020)'!B26</f>
        <v>Objective 3.6</v>
      </c>
      <c r="C23" s="93" t="str">
        <f>+'Legal (2020)'!C26</f>
        <v xml:space="preserve">Otros Predios </v>
      </c>
      <c r="D23" s="10" t="str">
        <f>+'Legal (2020)'!D26</f>
        <v xml:space="preserve">Adquisición de otros predios </v>
      </c>
      <c r="E23" s="11" t="str">
        <f>+'Legal (2020)'!E26</f>
        <v>683 / 51-11-3339</v>
      </c>
      <c r="F23" s="48"/>
      <c r="G23" s="48"/>
      <c r="H23" s="48"/>
      <c r="I23" s="48"/>
      <c r="J23" s="48"/>
      <c r="K23" s="48"/>
      <c r="L23" s="11">
        <f>+'Legal (2020)'!L26</f>
        <v>12</v>
      </c>
      <c r="M23" s="11">
        <f>+'Legal (2020)'!N26</f>
        <v>8518132.0800000001</v>
      </c>
      <c r="N23" s="12"/>
      <c r="O23" s="12"/>
      <c r="P23" s="12"/>
      <c r="Q23" s="12"/>
      <c r="R23" s="12"/>
      <c r="S23" s="12"/>
      <c r="T23" s="12"/>
      <c r="U23" s="12"/>
      <c r="V23" s="12"/>
      <c r="W23" s="12"/>
      <c r="X23" s="12"/>
      <c r="Y23" s="12"/>
    </row>
    <row r="24" spans="1:25" ht="13.5" customHeight="1" outlineLevel="1" x14ac:dyDescent="0.25">
      <c r="A24" s="93" t="str">
        <f>+'Legal (2020)'!A27</f>
        <v>3.4</v>
      </c>
      <c r="B24" s="93" t="str">
        <f>+'Legal (2020)'!B27</f>
        <v>Objective 4</v>
      </c>
      <c r="C24" s="93" t="str">
        <f>+'Legal (2020)'!C27</f>
        <v>Agua Construcción</v>
      </c>
      <c r="D24" s="10" t="str">
        <f>+'Legal (2020)'!D27</f>
        <v>Adquisición de agua para construcción</v>
      </c>
      <c r="E24" s="11" t="str">
        <f>+'Legal (2020)'!E27</f>
        <v>683 / 51-11-3339</v>
      </c>
      <c r="F24" s="48"/>
      <c r="G24" s="48"/>
      <c r="H24" s="48"/>
      <c r="I24" s="48"/>
      <c r="J24" s="48"/>
      <c r="K24" s="48"/>
      <c r="L24" s="11">
        <f>+'Legal (2020)'!L27</f>
        <v>12</v>
      </c>
      <c r="M24" s="11">
        <f>+'Legal (2020)'!N27</f>
        <v>2869992.6800003275</v>
      </c>
      <c r="N24" s="12"/>
      <c r="O24" s="12"/>
      <c r="P24" s="12"/>
      <c r="Q24" s="12"/>
      <c r="R24" s="12"/>
      <c r="S24" s="12"/>
      <c r="T24" s="12"/>
      <c r="U24" s="12"/>
      <c r="V24" s="12"/>
      <c r="W24" s="12"/>
      <c r="X24" s="12"/>
      <c r="Y24" s="12"/>
    </row>
    <row r="25" spans="1:25" ht="13.5" customHeight="1" outlineLevel="1" x14ac:dyDescent="0.25">
      <c r="A25" s="93" t="str">
        <f>+'Legal (2020)'!A28</f>
        <v>3.5</v>
      </c>
      <c r="B25" s="93" t="str">
        <f>+'Legal (2020)'!B28</f>
        <v>Objective 5</v>
      </c>
      <c r="C25" s="93" t="str">
        <f>+'Legal (2020)'!C28</f>
        <v>Permits Licences</v>
      </c>
      <c r="D25" s="10" t="str">
        <f>+'Legal (2020)'!D28</f>
        <v>Pago de Contribuciones predios superficiales de propiedad del proyecto</v>
      </c>
      <c r="E25" s="11" t="str">
        <f>+'Legal (2020)'!E28</f>
        <v>683 / 51-11-3340</v>
      </c>
      <c r="F25" s="48"/>
      <c r="G25" s="48"/>
      <c r="H25" s="48"/>
      <c r="I25" s="48"/>
      <c r="J25" s="48"/>
      <c r="K25" s="48"/>
      <c r="L25" s="11">
        <f>+'Legal (2020)'!L28</f>
        <v>12</v>
      </c>
      <c r="M25" s="11">
        <f>+'Legal (2020)'!N28</f>
        <v>40000</v>
      </c>
      <c r="N25" s="12" t="s">
        <v>5</v>
      </c>
      <c r="O25" s="12"/>
      <c r="P25" s="12"/>
      <c r="Q25" s="12"/>
      <c r="R25" s="12"/>
      <c r="S25" s="12"/>
      <c r="T25" s="12"/>
      <c r="U25" s="12"/>
      <c r="V25" s="12"/>
      <c r="W25" s="12"/>
      <c r="X25" s="12"/>
      <c r="Y25" s="12"/>
    </row>
    <row r="26" spans="1:25" ht="15" outlineLevel="1" x14ac:dyDescent="0.25">
      <c r="A26" s="69"/>
      <c r="B26" s="70"/>
      <c r="C26" s="70"/>
      <c r="D26" s="71"/>
      <c r="E26" s="72"/>
      <c r="F26" s="72"/>
      <c r="G26" s="72"/>
      <c r="H26" s="72"/>
      <c r="I26" s="72"/>
      <c r="J26" s="74" t="s">
        <v>20</v>
      </c>
      <c r="K26" s="73"/>
      <c r="L26" s="32">
        <f>+'Legal (2020)'!L30</f>
        <v>12</v>
      </c>
      <c r="M26" s="32">
        <f>SUM(M14:M25)</f>
        <v>32773780.901470914</v>
      </c>
      <c r="N26" s="32" t="e">
        <f t="shared" ref="N26:Y26" si="0">SUM(N13:N25)</f>
        <v>#REF!</v>
      </c>
      <c r="O26" s="32" t="e">
        <f t="shared" si="0"/>
        <v>#REF!</v>
      </c>
      <c r="P26" s="32" t="e">
        <f t="shared" si="0"/>
        <v>#REF!</v>
      </c>
      <c r="Q26" s="32" t="e">
        <f t="shared" si="0"/>
        <v>#REF!</v>
      </c>
      <c r="R26" s="32" t="e">
        <f t="shared" si="0"/>
        <v>#REF!</v>
      </c>
      <c r="S26" s="32" t="e">
        <f t="shared" si="0"/>
        <v>#REF!</v>
      </c>
      <c r="T26" s="32" t="e">
        <f t="shared" si="0"/>
        <v>#REF!</v>
      </c>
      <c r="U26" s="32" t="e">
        <f t="shared" si="0"/>
        <v>#REF!</v>
      </c>
      <c r="V26" s="32" t="e">
        <f t="shared" si="0"/>
        <v>#REF!</v>
      </c>
      <c r="W26" s="32" t="e">
        <f t="shared" si="0"/>
        <v>#REF!</v>
      </c>
      <c r="X26" s="32" t="e">
        <f t="shared" si="0"/>
        <v>#REF!</v>
      </c>
      <c r="Y26" s="32" t="e">
        <f t="shared" si="0"/>
        <v>#REF!</v>
      </c>
    </row>
    <row r="27" spans="1:25" ht="6.75" customHeight="1" x14ac:dyDescent="0.25">
      <c r="A27" s="71"/>
      <c r="B27" s="71"/>
      <c r="C27" s="71"/>
      <c r="D27" s="71"/>
      <c r="E27" s="71"/>
      <c r="F27" s="71"/>
      <c r="G27" s="71"/>
      <c r="H27" s="71"/>
      <c r="I27" s="71"/>
      <c r="J27" s="71"/>
      <c r="K27" s="71"/>
    </row>
    <row r="29" spans="1:25" ht="24.75" customHeight="1" x14ac:dyDescent="0.25">
      <c r="B29" s="27" t="s">
        <v>21</v>
      </c>
      <c r="C29" s="28">
        <v>43831</v>
      </c>
      <c r="L29" s="112" t="s">
        <v>22</v>
      </c>
      <c r="M29" s="111"/>
    </row>
    <row r="30" spans="1:25" ht="24.75" customHeight="1" x14ac:dyDescent="0.25">
      <c r="B30" s="27" t="s">
        <v>23</v>
      </c>
      <c r="C30" s="28">
        <v>43003</v>
      </c>
      <c r="L30" s="112" t="s">
        <v>24</v>
      </c>
      <c r="M30" s="111"/>
    </row>
    <row r="32" spans="1:25" x14ac:dyDescent="0.25">
      <c r="L32" s="718"/>
      <c r="M32" s="162"/>
    </row>
    <row r="33" spans="13:13" x14ac:dyDescent="0.25">
      <c r="M33" s="162"/>
    </row>
  </sheetData>
  <printOptions horizontalCentered="1"/>
  <pageMargins left="0.31496062992125984" right="0.31496062992125984" top="1.1811023622047245" bottom="1.1811023622047245" header="0.31496062992125984" footer="0.31496062992125984"/>
  <pageSetup paperSize="17" scale="96" orientation="landscape" r:id="rId1"/>
  <headerFooter>
    <oddFooter>&amp;L&amp;"Arial,Normal"&amp;8NuevaUnión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'C:\Users\gineva.alcota\AppData\Local\Microsoft\Windows\INetCache\Content.Outlook\YCN3EFJG\[Budget Legal 2020_29nov2017_mejorado.xlsx]Lists'!#REF!</xm:f>
          </x14:formula1>
          <xm:sqref>L26</xm:sqref>
        </x14:dataValidation>
        <x14:dataValidation type="list" allowBlank="1" showInputMessage="1" showErrorMessage="1">
          <x14:formula1>
            <xm:f>'C:\Users\gineva.alcota\AppData\Local\Microsoft\Windows\INetCache\Content.Outlook\YCN3EFJG\[Budget Legal 2020_29nov2017_mejorado.xlsx]Lists'!#REF!</xm:f>
          </x14:formula1>
          <xm:sqref>B5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pageSetUpPr fitToPage="1"/>
  </sheetPr>
  <dimension ref="A1:AD285"/>
  <sheetViews>
    <sheetView showGridLines="0" topLeftCell="A166" zoomScale="60" zoomScaleNormal="60" workbookViewId="0">
      <selection activeCell="B151" sqref="B151"/>
    </sheetView>
  </sheetViews>
  <sheetFormatPr baseColWidth="10" defaultColWidth="11.42578125" defaultRowHeight="14.25" outlineLevelRow="1" outlineLevelCol="1" x14ac:dyDescent="0.25"/>
  <cols>
    <col min="1" max="1" width="28.28515625" style="9" customWidth="1"/>
    <col min="2" max="2" width="32" style="9" customWidth="1"/>
    <col min="3" max="3" width="43.7109375" style="9" customWidth="1"/>
    <col min="4" max="4" width="86.28515625" style="9" customWidth="1"/>
    <col min="5" max="5" width="17.5703125" style="9" customWidth="1"/>
    <col min="6" max="6" width="35.7109375" style="9" customWidth="1"/>
    <col min="7" max="7" width="17.5703125" style="673" customWidth="1"/>
    <col min="8" max="8" width="17.5703125" style="9" customWidth="1"/>
    <col min="9" max="10" width="11.5703125" style="9" customWidth="1"/>
    <col min="11" max="11" width="17.5703125" style="9" customWidth="1"/>
    <col min="12" max="13" width="17.7109375" style="9" customWidth="1"/>
    <col min="14" max="14" width="17.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28" width="11.42578125" style="9"/>
    <col min="29" max="29" width="12.7109375" style="9" customWidth="1"/>
    <col min="30" max="16384" width="11.42578125" style="9"/>
  </cols>
  <sheetData>
    <row r="1" spans="1:26" ht="24.75" customHeight="1" x14ac:dyDescent="0.25"/>
    <row r="2" spans="1:26" s="1" customFormat="1" ht="24.75" customHeight="1" x14ac:dyDescent="0.2">
      <c r="B2" s="2"/>
      <c r="G2" s="2"/>
    </row>
    <row r="3" spans="1:26" s="1" customFormat="1" ht="24.75" customHeight="1" x14ac:dyDescent="0.25">
      <c r="B3" s="3"/>
      <c r="G3" s="2"/>
    </row>
    <row r="4" spans="1:26" s="1" customFormat="1" ht="36.6" customHeight="1" x14ac:dyDescent="0.2">
      <c r="G4" s="2"/>
    </row>
    <row r="5" spans="1:26" ht="24.75" customHeight="1" x14ac:dyDescent="0.25"/>
    <row r="6" spans="1:26" ht="36.6" customHeight="1" x14ac:dyDescent="0.25">
      <c r="A6" s="40" t="s">
        <v>25</v>
      </c>
      <c r="B6" s="36"/>
      <c r="C6" s="37"/>
      <c r="D6" s="38"/>
      <c r="E6" s="38"/>
      <c r="F6" s="38"/>
      <c r="G6" s="674"/>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675"/>
      <c r="H7" s="75"/>
      <c r="I7" s="75"/>
      <c r="J7" s="75"/>
      <c r="K7" s="75"/>
      <c r="L7" s="75"/>
      <c r="M7" s="75"/>
      <c r="N7" s="76"/>
      <c r="O7" s="16"/>
      <c r="P7" s="16"/>
      <c r="Q7" s="16"/>
      <c r="R7" s="16"/>
      <c r="S7" s="16"/>
      <c r="T7" s="16"/>
      <c r="U7" s="16"/>
      <c r="V7" s="16"/>
      <c r="W7" s="16"/>
      <c r="X7" s="16"/>
      <c r="Y7" s="16"/>
      <c r="Z7" s="18"/>
    </row>
    <row r="8" spans="1:26" ht="18" x14ac:dyDescent="0.25">
      <c r="A8" s="19"/>
      <c r="B8" s="77" t="s">
        <v>332</v>
      </c>
      <c r="C8" s="78"/>
      <c r="D8" s="78"/>
      <c r="E8" s="79"/>
      <c r="F8" s="79"/>
      <c r="G8" s="676"/>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677"/>
      <c r="H9" s="81"/>
      <c r="I9" s="81"/>
      <c r="J9" s="81"/>
      <c r="K9" s="81"/>
      <c r="L9" s="81"/>
      <c r="M9" s="81"/>
      <c r="N9" s="678">
        <v>43101</v>
      </c>
      <c r="O9" s="14"/>
      <c r="P9" s="14"/>
      <c r="Q9" s="14"/>
      <c r="R9" s="14"/>
      <c r="S9" s="14"/>
      <c r="T9" s="14"/>
      <c r="U9" s="14"/>
      <c r="V9" s="14"/>
      <c r="W9" s="14"/>
      <c r="X9" s="14"/>
      <c r="Y9" s="14"/>
      <c r="Z9" s="26"/>
    </row>
    <row r="10" spans="1:26" ht="18" x14ac:dyDescent="0.25">
      <c r="A10" s="20"/>
      <c r="B10" s="83" t="str">
        <f>VLOOKUP(B8,[13]Lists!E2:G41,3,)</f>
        <v>683 Legal</v>
      </c>
      <c r="C10" s="84"/>
      <c r="D10" s="77" t="str">
        <f>VLOOKUP(B8,[13]Lists!$E$3:$F$41,2,)</f>
        <v>Ariel Scharfstein</v>
      </c>
      <c r="E10" s="79"/>
      <c r="F10" s="79"/>
      <c r="G10" s="676"/>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677"/>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43003</v>
      </c>
      <c r="C12" s="84"/>
      <c r="D12" s="86"/>
      <c r="E12" s="79"/>
      <c r="F12" s="79"/>
      <c r="G12" s="676"/>
      <c r="H12" s="79"/>
      <c r="I12" s="79"/>
      <c r="J12" s="79"/>
      <c r="K12" s="79"/>
      <c r="L12" s="79"/>
      <c r="M12" s="79"/>
      <c r="N12" s="678">
        <v>43465</v>
      </c>
      <c r="O12" s="13"/>
      <c r="P12" s="13"/>
      <c r="Q12" s="13"/>
      <c r="R12" s="13"/>
      <c r="S12" s="13"/>
      <c r="T12" s="13"/>
      <c r="U12" s="13"/>
      <c r="V12" s="13"/>
      <c r="W12" s="13"/>
      <c r="X12" s="13"/>
      <c r="Y12" s="13"/>
      <c r="Z12" s="24"/>
    </row>
    <row r="13" spans="1:26" ht="18" x14ac:dyDescent="0.25">
      <c r="A13" s="21"/>
      <c r="B13" s="89"/>
      <c r="C13" s="90"/>
      <c r="D13" s="90"/>
      <c r="E13" s="90"/>
      <c r="F13" s="90"/>
      <c r="G13" s="679"/>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680"/>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681"/>
      <c r="H16" s="48"/>
      <c r="I16" s="48"/>
      <c r="J16" s="48"/>
      <c r="K16" s="48"/>
      <c r="L16" s="32" t="s">
        <v>17</v>
      </c>
      <c r="M16" s="32" t="s">
        <v>18</v>
      </c>
      <c r="N16" s="32" t="s">
        <v>825</v>
      </c>
      <c r="O16" s="66">
        <v>43101</v>
      </c>
      <c r="P16" s="66">
        <v>43132</v>
      </c>
      <c r="Q16" s="66">
        <v>43160</v>
      </c>
      <c r="R16" s="66">
        <v>43191</v>
      </c>
      <c r="S16" s="66">
        <v>43221</v>
      </c>
      <c r="T16" s="66">
        <v>43252</v>
      </c>
      <c r="U16" s="66">
        <v>43282</v>
      </c>
      <c r="V16" s="66">
        <v>43313</v>
      </c>
      <c r="W16" s="66">
        <v>43344</v>
      </c>
      <c r="X16" s="66">
        <v>43374</v>
      </c>
      <c r="Y16" s="66">
        <v>43405</v>
      </c>
      <c r="Z16" s="66">
        <v>43435</v>
      </c>
    </row>
    <row r="17" spans="1:26" s="282" customFormat="1" ht="15" customHeight="1" x14ac:dyDescent="0.25">
      <c r="A17" s="93" t="s">
        <v>102</v>
      </c>
      <c r="B17" s="93" t="s">
        <v>27</v>
      </c>
      <c r="C17" s="93" t="s">
        <v>826</v>
      </c>
      <c r="D17" s="776" t="s">
        <v>827</v>
      </c>
      <c r="E17" s="11" t="s">
        <v>202</v>
      </c>
      <c r="F17" s="292"/>
      <c r="G17" s="682"/>
      <c r="H17" s="292"/>
      <c r="I17" s="292"/>
      <c r="J17" s="292"/>
      <c r="K17" s="292"/>
      <c r="L17" s="295">
        <v>12</v>
      </c>
      <c r="M17" s="296">
        <f>+M115</f>
        <v>0</v>
      </c>
      <c r="N17" s="783">
        <f>SUM(O17:Z17)</f>
        <v>734828.13316176471</v>
      </c>
      <c r="O17" s="297">
        <f t="shared" ref="O17:Z17" si="0">+O115</f>
        <v>20602.941176470587</v>
      </c>
      <c r="P17" s="297">
        <f t="shared" si="0"/>
        <v>23305.147058823532</v>
      </c>
      <c r="Q17" s="297">
        <f t="shared" si="0"/>
        <v>439309.75080882356</v>
      </c>
      <c r="R17" s="297">
        <f t="shared" si="0"/>
        <v>37400.73529411765</v>
      </c>
      <c r="S17" s="297">
        <f t="shared" si="0"/>
        <v>21033.088235294119</v>
      </c>
      <c r="T17" s="297">
        <f t="shared" si="0"/>
        <v>37452.205882352944</v>
      </c>
      <c r="U17" s="297">
        <f t="shared" si="0"/>
        <v>38121.323529411762</v>
      </c>
      <c r="V17" s="297">
        <f t="shared" si="0"/>
        <v>11275.73529411765</v>
      </c>
      <c r="W17" s="297">
        <f t="shared" si="0"/>
        <v>47121.323529411762</v>
      </c>
      <c r="X17" s="297">
        <f t="shared" si="0"/>
        <v>17838.235294117647</v>
      </c>
      <c r="Y17" s="297">
        <f t="shared" si="0"/>
        <v>26805.147058823528</v>
      </c>
      <c r="Z17" s="297">
        <f t="shared" si="0"/>
        <v>14562.5</v>
      </c>
    </row>
    <row r="18" spans="1:26" s="282" customFormat="1" ht="15" customHeight="1" x14ac:dyDescent="0.25">
      <c r="A18" s="93" t="s">
        <v>105</v>
      </c>
      <c r="B18" s="93" t="s">
        <v>29</v>
      </c>
      <c r="C18" s="93" t="s">
        <v>88</v>
      </c>
      <c r="D18" s="776" t="s">
        <v>828</v>
      </c>
      <c r="E18" s="11" t="s">
        <v>204</v>
      </c>
      <c r="F18" s="292"/>
      <c r="G18" s="682"/>
      <c r="H18" s="292"/>
      <c r="I18" s="292"/>
      <c r="J18" s="292"/>
      <c r="K18" s="292"/>
      <c r="L18" s="295">
        <v>12</v>
      </c>
      <c r="M18" s="296">
        <f>+M122</f>
        <v>0</v>
      </c>
      <c r="N18" s="783">
        <f t="shared" ref="N18:N28" si="1">SUM(O18:Z18)</f>
        <v>853671.81036764709</v>
      </c>
      <c r="O18" s="297">
        <f t="shared" ref="O18:Z18" si="2">+O122</f>
        <v>1860.2941176470588</v>
      </c>
      <c r="P18" s="297">
        <f t="shared" si="2"/>
        <v>3433.8235294117649</v>
      </c>
      <c r="Q18" s="297">
        <f t="shared" si="2"/>
        <v>672840.92801470589</v>
      </c>
      <c r="R18" s="297">
        <f t="shared" si="2"/>
        <v>26988.970588235294</v>
      </c>
      <c r="S18" s="297">
        <f t="shared" si="2"/>
        <v>19602.941176470591</v>
      </c>
      <c r="T18" s="297">
        <f t="shared" si="2"/>
        <v>1595.5882352941176</v>
      </c>
      <c r="U18" s="297">
        <f t="shared" si="2"/>
        <v>64661.764705882357</v>
      </c>
      <c r="V18" s="297">
        <f t="shared" si="2"/>
        <v>3433.8235294117649</v>
      </c>
      <c r="W18" s="297">
        <f t="shared" si="2"/>
        <v>1595.5882352941176</v>
      </c>
      <c r="X18" s="297">
        <f t="shared" si="2"/>
        <v>2044.1176470588234</v>
      </c>
      <c r="Y18" s="297">
        <f t="shared" si="2"/>
        <v>54018.382352941175</v>
      </c>
      <c r="Z18" s="297">
        <f t="shared" si="2"/>
        <v>1595.5882352941176</v>
      </c>
    </row>
    <row r="19" spans="1:26" s="282" customFormat="1" ht="15" customHeight="1" x14ac:dyDescent="0.25">
      <c r="A19" s="93" t="s">
        <v>108</v>
      </c>
      <c r="B19" s="93" t="s">
        <v>1557</v>
      </c>
      <c r="C19" s="93" t="s">
        <v>1558</v>
      </c>
      <c r="D19" s="776" t="s">
        <v>1559</v>
      </c>
      <c r="E19" s="11" t="s">
        <v>206</v>
      </c>
      <c r="F19" s="292"/>
      <c r="G19" s="682"/>
      <c r="H19" s="292"/>
      <c r="I19" s="292"/>
      <c r="J19" s="292"/>
      <c r="K19" s="292"/>
      <c r="L19" s="295">
        <v>12</v>
      </c>
      <c r="M19" s="296">
        <f>+M152</f>
        <v>0</v>
      </c>
      <c r="N19" s="310">
        <f t="shared" si="1"/>
        <v>740720.58823529433</v>
      </c>
      <c r="O19" s="297">
        <f t="shared" ref="O19:Z19" si="3">+O137</f>
        <v>50268.382352941175</v>
      </c>
      <c r="P19" s="297">
        <f t="shared" si="3"/>
        <v>50268.382352941175</v>
      </c>
      <c r="Q19" s="297">
        <f t="shared" si="3"/>
        <v>84368.382352941175</v>
      </c>
      <c r="R19" s="297">
        <f t="shared" si="3"/>
        <v>50268.382352941175</v>
      </c>
      <c r="S19" s="297">
        <f t="shared" si="3"/>
        <v>51368.382352941175</v>
      </c>
      <c r="T19" s="297">
        <f t="shared" si="3"/>
        <v>83268.382352941175</v>
      </c>
      <c r="U19" s="297">
        <f t="shared" si="3"/>
        <v>51368.382352941175</v>
      </c>
      <c r="V19" s="297">
        <f t="shared" si="3"/>
        <v>50268.382352941175</v>
      </c>
      <c r="W19" s="297">
        <f t="shared" si="3"/>
        <v>84368.382352941175</v>
      </c>
      <c r="X19" s="297">
        <f t="shared" si="3"/>
        <v>50268.382352941175</v>
      </c>
      <c r="Y19" s="297">
        <f t="shared" si="3"/>
        <v>51368.382352941175</v>
      </c>
      <c r="Z19" s="297">
        <f t="shared" si="3"/>
        <v>83268.382352941175</v>
      </c>
    </row>
    <row r="20" spans="1:26" s="282" customFormat="1" ht="15" customHeight="1" x14ac:dyDescent="0.25">
      <c r="A20" s="93" t="s">
        <v>108</v>
      </c>
      <c r="B20" s="93" t="s">
        <v>1560</v>
      </c>
      <c r="C20" s="93" t="s">
        <v>1561</v>
      </c>
      <c r="D20" s="776" t="s">
        <v>1562</v>
      </c>
      <c r="E20" s="11" t="s">
        <v>206</v>
      </c>
      <c r="F20" s="292"/>
      <c r="G20" s="682"/>
      <c r="H20" s="292"/>
      <c r="I20" s="292"/>
      <c r="J20" s="292"/>
      <c r="K20" s="292"/>
      <c r="L20" s="295">
        <v>12</v>
      </c>
      <c r="M20" s="296">
        <f>+M153</f>
        <v>0</v>
      </c>
      <c r="N20" s="310">
        <f t="shared" si="1"/>
        <v>1995969.4117647058</v>
      </c>
      <c r="O20" s="297">
        <f t="shared" ref="O20:Z20" si="4">+O153</f>
        <v>69406.76470588235</v>
      </c>
      <c r="P20" s="297">
        <f t="shared" si="4"/>
        <v>69406.76470588235</v>
      </c>
      <c r="Q20" s="297">
        <f t="shared" si="4"/>
        <v>69406.76470588235</v>
      </c>
      <c r="R20" s="297">
        <f t="shared" si="4"/>
        <v>69406.76470588235</v>
      </c>
      <c r="S20" s="297">
        <f t="shared" si="4"/>
        <v>127253.82352941178</v>
      </c>
      <c r="T20" s="297">
        <f t="shared" si="4"/>
        <v>127253.82352941178</v>
      </c>
      <c r="U20" s="297">
        <f t="shared" si="4"/>
        <v>170283.23529411765</v>
      </c>
      <c r="V20" s="297">
        <f t="shared" si="4"/>
        <v>170283.23529411765</v>
      </c>
      <c r="W20" s="297">
        <f t="shared" si="4"/>
        <v>181283.23529411765</v>
      </c>
      <c r="X20" s="297">
        <f t="shared" si="4"/>
        <v>170283.23529411765</v>
      </c>
      <c r="Y20" s="297">
        <f t="shared" si="4"/>
        <v>170283.23529411765</v>
      </c>
      <c r="Z20" s="297">
        <f t="shared" si="4"/>
        <v>601418.52941176482</v>
      </c>
    </row>
    <row r="21" spans="1:26" s="282" customFormat="1" ht="15" customHeight="1" x14ac:dyDescent="0.25">
      <c r="A21" s="93" t="s">
        <v>831</v>
      </c>
      <c r="B21" s="93" t="s">
        <v>1297</v>
      </c>
      <c r="C21" s="93" t="s">
        <v>1298</v>
      </c>
      <c r="D21" s="776" t="s">
        <v>1299</v>
      </c>
      <c r="E21" s="11" t="s">
        <v>206</v>
      </c>
      <c r="F21" s="292"/>
      <c r="G21" s="682"/>
      <c r="H21" s="292"/>
      <c r="I21" s="292"/>
      <c r="J21" s="292"/>
      <c r="K21" s="292"/>
      <c r="L21" s="295">
        <v>12</v>
      </c>
      <c r="M21" s="296">
        <f>+M154</f>
        <v>0</v>
      </c>
      <c r="N21" s="310">
        <f t="shared" si="1"/>
        <v>1068000</v>
      </c>
      <c r="O21" s="297">
        <f t="shared" ref="O21:Z21" si="5">+O162</f>
        <v>168000</v>
      </c>
      <c r="P21" s="297">
        <f t="shared" si="5"/>
        <v>0</v>
      </c>
      <c r="Q21" s="297">
        <f t="shared" si="5"/>
        <v>0</v>
      </c>
      <c r="R21" s="297">
        <f t="shared" si="5"/>
        <v>250000</v>
      </c>
      <c r="S21" s="297">
        <f t="shared" si="5"/>
        <v>0</v>
      </c>
      <c r="T21" s="297">
        <f t="shared" si="5"/>
        <v>650000</v>
      </c>
      <c r="U21" s="297">
        <f t="shared" si="5"/>
        <v>0</v>
      </c>
      <c r="V21" s="297">
        <f t="shared" si="5"/>
        <v>0</v>
      </c>
      <c r="W21" s="297">
        <f t="shared" si="5"/>
        <v>0</v>
      </c>
      <c r="X21" s="297">
        <f t="shared" si="5"/>
        <v>0</v>
      </c>
      <c r="Y21" s="297">
        <f t="shared" si="5"/>
        <v>0</v>
      </c>
      <c r="Z21" s="297">
        <f t="shared" si="5"/>
        <v>0</v>
      </c>
    </row>
    <row r="22" spans="1:26" s="282" customFormat="1" ht="15" customHeight="1" x14ac:dyDescent="0.25">
      <c r="A22" s="93" t="s">
        <v>835</v>
      </c>
      <c r="B22" s="93" t="s">
        <v>1300</v>
      </c>
      <c r="C22" s="93" t="s">
        <v>952</v>
      </c>
      <c r="D22" s="776" t="s">
        <v>953</v>
      </c>
      <c r="E22" s="11" t="s">
        <v>206</v>
      </c>
      <c r="F22" s="292"/>
      <c r="G22" s="682"/>
      <c r="H22" s="292"/>
      <c r="I22" s="292"/>
      <c r="J22" s="292"/>
      <c r="K22" s="292"/>
      <c r="L22" s="295">
        <v>12</v>
      </c>
      <c r="M22" s="296">
        <v>0</v>
      </c>
      <c r="N22" s="310">
        <f t="shared" si="1"/>
        <v>3500000</v>
      </c>
      <c r="O22" s="297">
        <f t="shared" ref="O22:Z22" si="6">+O166</f>
        <v>0</v>
      </c>
      <c r="P22" s="297">
        <f t="shared" si="6"/>
        <v>0</v>
      </c>
      <c r="Q22" s="297">
        <f t="shared" si="6"/>
        <v>0</v>
      </c>
      <c r="R22" s="297">
        <f t="shared" si="6"/>
        <v>0</v>
      </c>
      <c r="S22" s="297">
        <f t="shared" si="6"/>
        <v>0</v>
      </c>
      <c r="T22" s="297">
        <f t="shared" si="6"/>
        <v>3500000</v>
      </c>
      <c r="U22" s="297">
        <f t="shared" si="6"/>
        <v>0</v>
      </c>
      <c r="V22" s="297">
        <f t="shared" si="6"/>
        <v>0</v>
      </c>
      <c r="W22" s="297">
        <f t="shared" si="6"/>
        <v>0</v>
      </c>
      <c r="X22" s="297">
        <f t="shared" si="6"/>
        <v>0</v>
      </c>
      <c r="Y22" s="297">
        <f t="shared" si="6"/>
        <v>0</v>
      </c>
      <c r="Z22" s="297">
        <f t="shared" si="6"/>
        <v>0</v>
      </c>
    </row>
    <row r="23" spans="1:26" s="282" customFormat="1" ht="15" customHeight="1" x14ac:dyDescent="0.25">
      <c r="A23" s="93" t="s">
        <v>839</v>
      </c>
      <c r="B23" s="93" t="s">
        <v>1301</v>
      </c>
      <c r="C23" s="93" t="s">
        <v>935</v>
      </c>
      <c r="D23" s="776" t="s">
        <v>1302</v>
      </c>
      <c r="E23" s="11" t="s">
        <v>206</v>
      </c>
      <c r="F23" s="292"/>
      <c r="G23" s="682"/>
      <c r="H23" s="292"/>
      <c r="I23" s="292"/>
      <c r="J23" s="292"/>
      <c r="K23" s="292"/>
      <c r="L23" s="295">
        <v>12</v>
      </c>
      <c r="M23" s="296">
        <f t="shared" ref="M23:M24" si="7">+M156</f>
        <v>0</v>
      </c>
      <c r="N23" s="310">
        <f t="shared" si="1"/>
        <v>2715200</v>
      </c>
      <c r="O23" s="297">
        <f t="shared" ref="O23:Z23" si="8">+O176</f>
        <v>0</v>
      </c>
      <c r="P23" s="297">
        <f t="shared" si="8"/>
        <v>0</v>
      </c>
      <c r="Q23" s="297">
        <f t="shared" si="8"/>
        <v>0</v>
      </c>
      <c r="R23" s="297">
        <f t="shared" si="8"/>
        <v>100000</v>
      </c>
      <c r="S23" s="297">
        <f t="shared" si="8"/>
        <v>44800</v>
      </c>
      <c r="T23" s="297">
        <f t="shared" si="8"/>
        <v>1000000</v>
      </c>
      <c r="U23" s="297">
        <f t="shared" si="8"/>
        <v>70400</v>
      </c>
      <c r="V23" s="297">
        <f t="shared" si="8"/>
        <v>1440000</v>
      </c>
      <c r="W23" s="297">
        <f t="shared" si="8"/>
        <v>0</v>
      </c>
      <c r="X23" s="297">
        <f t="shared" si="8"/>
        <v>0</v>
      </c>
      <c r="Y23" s="297">
        <f t="shared" si="8"/>
        <v>0</v>
      </c>
      <c r="Z23" s="297">
        <f t="shared" si="8"/>
        <v>60000</v>
      </c>
    </row>
    <row r="24" spans="1:26" s="282" customFormat="1" ht="15" customHeight="1" x14ac:dyDescent="0.25">
      <c r="A24" s="93" t="s">
        <v>841</v>
      </c>
      <c r="B24" s="93" t="s">
        <v>1303</v>
      </c>
      <c r="C24" s="93" t="s">
        <v>1304</v>
      </c>
      <c r="D24" s="776" t="s">
        <v>1305</v>
      </c>
      <c r="E24" s="11" t="s">
        <v>206</v>
      </c>
      <c r="F24" s="292"/>
      <c r="G24" s="682"/>
      <c r="H24" s="292"/>
      <c r="I24" s="292"/>
      <c r="J24" s="292"/>
      <c r="K24" s="292"/>
      <c r="L24" s="295">
        <v>12</v>
      </c>
      <c r="M24" s="296">
        <f t="shared" si="7"/>
        <v>0</v>
      </c>
      <c r="N24" s="310">
        <f t="shared" si="1"/>
        <v>5991072.9686823534</v>
      </c>
      <c r="O24" s="297">
        <f t="shared" ref="O24:Z24" si="9">+O182</f>
        <v>154963.23529411765</v>
      </c>
      <c r="P24" s="297">
        <f t="shared" si="9"/>
        <v>152051.4705882353</v>
      </c>
      <c r="Q24" s="297">
        <f t="shared" si="9"/>
        <v>889100.12644235289</v>
      </c>
      <c r="R24" s="297">
        <f t="shared" si="9"/>
        <v>208014.70588235292</v>
      </c>
      <c r="S24" s="297">
        <f t="shared" si="9"/>
        <v>1558189.9835294117</v>
      </c>
      <c r="T24" s="297">
        <f t="shared" si="9"/>
        <v>0</v>
      </c>
      <c r="U24" s="297">
        <f t="shared" si="9"/>
        <v>0</v>
      </c>
      <c r="V24" s="297">
        <f t="shared" si="9"/>
        <v>5691.1764705882342</v>
      </c>
      <c r="W24" s="297">
        <f t="shared" si="9"/>
        <v>2815047.5645929412</v>
      </c>
      <c r="X24" s="297">
        <f t="shared" si="9"/>
        <v>208014.70588235292</v>
      </c>
      <c r="Y24" s="297">
        <f t="shared" si="9"/>
        <v>0</v>
      </c>
      <c r="Z24" s="297">
        <f t="shared" si="9"/>
        <v>0</v>
      </c>
    </row>
    <row r="25" spans="1:26" s="282" customFormat="1" ht="15" customHeight="1" x14ac:dyDescent="0.25">
      <c r="A25" s="93" t="s">
        <v>844</v>
      </c>
      <c r="B25" s="93" t="s">
        <v>1306</v>
      </c>
      <c r="C25" s="93" t="s">
        <v>1307</v>
      </c>
      <c r="D25" s="776" t="s">
        <v>1308</v>
      </c>
      <c r="E25" s="11" t="s">
        <v>206</v>
      </c>
      <c r="F25" s="292"/>
      <c r="G25" s="682"/>
      <c r="H25" s="292"/>
      <c r="I25" s="292"/>
      <c r="J25" s="292"/>
      <c r="K25" s="292"/>
      <c r="L25" s="295">
        <v>12</v>
      </c>
      <c r="M25" s="296">
        <f t="shared" ref="M25:M27" si="10">+M160</f>
        <v>0</v>
      </c>
      <c r="N25" s="310">
        <f t="shared" si="1"/>
        <v>6831319.9980395306</v>
      </c>
      <c r="O25" s="297">
        <f t="shared" ref="O25:Z25" si="11">+O192</f>
        <v>0</v>
      </c>
      <c r="P25" s="297">
        <f t="shared" si="11"/>
        <v>0</v>
      </c>
      <c r="Q25" s="297">
        <f t="shared" si="11"/>
        <v>0</v>
      </c>
      <c r="R25" s="297">
        <f t="shared" si="11"/>
        <v>0</v>
      </c>
      <c r="S25" s="297">
        <f t="shared" si="11"/>
        <v>30882.352941176483</v>
      </c>
      <c r="T25" s="297">
        <f t="shared" si="11"/>
        <v>31764.705882352933</v>
      </c>
      <c r="U25" s="297">
        <f t="shared" si="11"/>
        <v>252758.82352941166</v>
      </c>
      <c r="V25" s="297">
        <f t="shared" si="11"/>
        <v>286539.25058823533</v>
      </c>
      <c r="W25" s="297">
        <f t="shared" si="11"/>
        <v>123176.47058823539</v>
      </c>
      <c r="X25" s="297">
        <f t="shared" si="11"/>
        <v>119437.49999999999</v>
      </c>
      <c r="Y25" s="297">
        <f t="shared" si="11"/>
        <v>5819279.27686306</v>
      </c>
      <c r="Z25" s="297">
        <f t="shared" si="11"/>
        <v>167481.61764705883</v>
      </c>
    </row>
    <row r="26" spans="1:26" s="282" customFormat="1" ht="15" customHeight="1" x14ac:dyDescent="0.25">
      <c r="A26" s="93" t="s">
        <v>848</v>
      </c>
      <c r="B26" s="93" t="s">
        <v>1492</v>
      </c>
      <c r="C26" s="93" t="s">
        <v>1493</v>
      </c>
      <c r="D26" s="776" t="s">
        <v>1494</v>
      </c>
      <c r="E26" s="11" t="s">
        <v>206</v>
      </c>
      <c r="F26" s="292"/>
      <c r="G26" s="682"/>
      <c r="H26" s="292"/>
      <c r="I26" s="292"/>
      <c r="J26" s="292"/>
      <c r="K26" s="292"/>
      <c r="L26" s="295">
        <v>12</v>
      </c>
      <c r="M26" s="296">
        <f t="shared" si="10"/>
        <v>0</v>
      </c>
      <c r="N26" s="310">
        <f t="shared" si="1"/>
        <v>738459.12</v>
      </c>
      <c r="O26" s="297">
        <f t="shared" ref="O26:Z26" si="12">+O201</f>
        <v>0</v>
      </c>
      <c r="P26" s="297">
        <f t="shared" si="12"/>
        <v>0</v>
      </c>
      <c r="Q26" s="297">
        <f t="shared" si="12"/>
        <v>0</v>
      </c>
      <c r="R26" s="297">
        <f t="shared" si="12"/>
        <v>0</v>
      </c>
      <c r="S26" s="297">
        <f t="shared" si="12"/>
        <v>0</v>
      </c>
      <c r="T26" s="297">
        <f t="shared" si="12"/>
        <v>0</v>
      </c>
      <c r="U26" s="297">
        <f t="shared" si="12"/>
        <v>24000</v>
      </c>
      <c r="V26" s="297">
        <f t="shared" si="12"/>
        <v>0</v>
      </c>
      <c r="W26" s="297">
        <f t="shared" si="12"/>
        <v>0</v>
      </c>
      <c r="X26" s="297">
        <f t="shared" si="12"/>
        <v>24000</v>
      </c>
      <c r="Y26" s="297">
        <f t="shared" si="12"/>
        <v>0</v>
      </c>
      <c r="Z26" s="297">
        <f t="shared" si="12"/>
        <v>690459.12</v>
      </c>
    </row>
    <row r="27" spans="1:26" s="282" customFormat="1" ht="15" customHeight="1" x14ac:dyDescent="0.25">
      <c r="A27" s="93" t="s">
        <v>110</v>
      </c>
      <c r="B27" s="93" t="s">
        <v>31</v>
      </c>
      <c r="C27" s="93" t="s">
        <v>1495</v>
      </c>
      <c r="D27" s="776" t="s">
        <v>1496</v>
      </c>
      <c r="E27" s="11" t="s">
        <v>206</v>
      </c>
      <c r="F27" s="292"/>
      <c r="G27" s="682"/>
      <c r="H27" s="292"/>
      <c r="I27" s="292"/>
      <c r="J27" s="292"/>
      <c r="K27" s="292"/>
      <c r="L27" s="295">
        <v>12</v>
      </c>
      <c r="M27" s="296">
        <f t="shared" si="10"/>
        <v>0</v>
      </c>
      <c r="N27" s="310">
        <f t="shared" si="1"/>
        <v>0</v>
      </c>
      <c r="O27" s="297">
        <f>+O208</f>
        <v>0</v>
      </c>
      <c r="P27" s="297">
        <f t="shared" ref="P27:Z27" si="13">+P208</f>
        <v>0</v>
      </c>
      <c r="Q27" s="297">
        <f t="shared" si="13"/>
        <v>0</v>
      </c>
      <c r="R27" s="297">
        <f t="shared" si="13"/>
        <v>0</v>
      </c>
      <c r="S27" s="297">
        <f t="shared" si="13"/>
        <v>0</v>
      </c>
      <c r="T27" s="297">
        <f t="shared" si="13"/>
        <v>0</v>
      </c>
      <c r="U27" s="297">
        <f t="shared" si="13"/>
        <v>0</v>
      </c>
      <c r="V27" s="297">
        <f t="shared" si="13"/>
        <v>0</v>
      </c>
      <c r="W27" s="297">
        <f t="shared" si="13"/>
        <v>0</v>
      </c>
      <c r="X27" s="297">
        <f t="shared" si="13"/>
        <v>0</v>
      </c>
      <c r="Y27" s="297">
        <f t="shared" si="13"/>
        <v>0</v>
      </c>
      <c r="Z27" s="297">
        <f t="shared" si="13"/>
        <v>0</v>
      </c>
    </row>
    <row r="28" spans="1:26" s="282" customFormat="1" ht="15" customHeight="1" x14ac:dyDescent="0.25">
      <c r="A28" s="93" t="s">
        <v>1497</v>
      </c>
      <c r="B28" s="93" t="s">
        <v>32</v>
      </c>
      <c r="C28" s="93" t="s">
        <v>94</v>
      </c>
      <c r="D28" s="776" t="s">
        <v>830</v>
      </c>
      <c r="E28" s="11" t="s">
        <v>209</v>
      </c>
      <c r="F28" s="292"/>
      <c r="G28" s="682"/>
      <c r="H28" s="292"/>
      <c r="I28" s="292"/>
      <c r="J28" s="292"/>
      <c r="K28" s="292"/>
      <c r="L28" s="295">
        <v>12</v>
      </c>
      <c r="M28" s="296">
        <f t="shared" ref="M28" si="14">+M161</f>
        <v>0</v>
      </c>
      <c r="N28" s="310">
        <f t="shared" si="1"/>
        <v>40000</v>
      </c>
      <c r="O28" s="297">
        <f t="shared" ref="O28:Z28" si="15">+O212</f>
        <v>0</v>
      </c>
      <c r="P28" s="297">
        <f t="shared" si="15"/>
        <v>0</v>
      </c>
      <c r="Q28" s="297">
        <f t="shared" si="15"/>
        <v>0</v>
      </c>
      <c r="R28" s="297">
        <f t="shared" si="15"/>
        <v>10000</v>
      </c>
      <c r="S28" s="297">
        <f t="shared" si="15"/>
        <v>0</v>
      </c>
      <c r="T28" s="297">
        <f t="shared" si="15"/>
        <v>10000</v>
      </c>
      <c r="U28" s="297">
        <f t="shared" si="15"/>
        <v>0</v>
      </c>
      <c r="V28" s="297">
        <f t="shared" si="15"/>
        <v>0</v>
      </c>
      <c r="W28" s="297">
        <f t="shared" si="15"/>
        <v>10000</v>
      </c>
      <c r="X28" s="297">
        <f t="shared" si="15"/>
        <v>0</v>
      </c>
      <c r="Y28" s="297">
        <f t="shared" si="15"/>
        <v>10000</v>
      </c>
      <c r="Z28" s="297">
        <f t="shared" si="15"/>
        <v>0</v>
      </c>
    </row>
    <row r="29" spans="1:26" s="282" customFormat="1" ht="15" customHeight="1" x14ac:dyDescent="0.25">
      <c r="A29" s="93"/>
      <c r="B29" s="93"/>
      <c r="C29" s="93"/>
      <c r="D29" s="776"/>
      <c r="E29" s="295"/>
      <c r="F29" s="292"/>
      <c r="G29" s="682"/>
      <c r="H29" s="292"/>
      <c r="I29" s="292"/>
      <c r="J29" s="292"/>
      <c r="K29" s="292"/>
      <c r="L29" s="295"/>
      <c r="M29" s="292"/>
      <c r="N29" s="298"/>
      <c r="O29" s="298" t="s">
        <v>5</v>
      </c>
      <c r="P29" s="298"/>
      <c r="Q29" s="298"/>
      <c r="R29" s="298"/>
      <c r="S29" s="298"/>
      <c r="T29" s="298"/>
      <c r="U29" s="298"/>
      <c r="V29" s="298"/>
      <c r="W29" s="298"/>
      <c r="X29" s="298"/>
      <c r="Y29" s="298"/>
      <c r="Z29" s="298"/>
    </row>
    <row r="30" spans="1:26" ht="15" x14ac:dyDescent="0.25">
      <c r="A30" s="69"/>
      <c r="B30" s="70"/>
      <c r="C30" s="70"/>
      <c r="D30" s="71"/>
      <c r="E30" s="72"/>
      <c r="F30" s="72"/>
      <c r="G30" s="683"/>
      <c r="H30" s="72"/>
      <c r="I30" s="72"/>
      <c r="J30" s="74" t="s">
        <v>20</v>
      </c>
      <c r="K30" s="73"/>
      <c r="L30" s="32">
        <v>12</v>
      </c>
      <c r="M30" s="32">
        <f>SUM(M2:M29)</f>
        <v>0</v>
      </c>
      <c r="N30" s="32">
        <f t="shared" ref="N30:Z30" si="16">SUM(N16:N29)</f>
        <v>25209242.030251298</v>
      </c>
      <c r="O30" s="32">
        <f t="shared" si="16"/>
        <v>508202.61764705885</v>
      </c>
      <c r="P30" s="32">
        <f t="shared" si="16"/>
        <v>341597.5882352941</v>
      </c>
      <c r="Q30" s="32">
        <f t="shared" si="16"/>
        <v>2198185.9523247061</v>
      </c>
      <c r="R30" s="32">
        <f t="shared" si="16"/>
        <v>795270.5588235294</v>
      </c>
      <c r="S30" s="32">
        <f t="shared" si="16"/>
        <v>1896351.5717647057</v>
      </c>
      <c r="T30" s="32">
        <f t="shared" si="16"/>
        <v>5484586.7058823528</v>
      </c>
      <c r="U30" s="32">
        <f t="shared" si="16"/>
        <v>714875.52941176458</v>
      </c>
      <c r="V30" s="32">
        <f t="shared" si="16"/>
        <v>2010804.6035294118</v>
      </c>
      <c r="W30" s="32">
        <f t="shared" si="16"/>
        <v>3305936.5645929412</v>
      </c>
      <c r="X30" s="32">
        <f t="shared" si="16"/>
        <v>635260.17647058819</v>
      </c>
      <c r="Y30" s="32">
        <f t="shared" si="16"/>
        <v>6175159.4239218831</v>
      </c>
      <c r="Z30" s="32">
        <f t="shared" si="16"/>
        <v>1662220.7376470589</v>
      </c>
    </row>
    <row r="31" spans="1:26" ht="6.75" customHeight="1" x14ac:dyDescent="0.25">
      <c r="A31" s="71"/>
      <c r="B31" s="71"/>
      <c r="C31" s="71"/>
      <c r="D31" s="71"/>
      <c r="E31" s="71"/>
      <c r="F31" s="71"/>
      <c r="G31" s="684"/>
      <c r="H31" s="71"/>
      <c r="I31" s="71"/>
      <c r="J31" s="71"/>
      <c r="K31" s="71"/>
    </row>
    <row r="32" spans="1:26" ht="18" x14ac:dyDescent="0.25">
      <c r="A32" s="41" t="s">
        <v>33</v>
      </c>
      <c r="B32" s="41"/>
      <c r="C32" s="42"/>
      <c r="D32" s="42"/>
      <c r="E32" s="43"/>
      <c r="F32" s="43"/>
      <c r="G32" s="680"/>
      <c r="H32" s="44"/>
      <c r="I32" s="44"/>
      <c r="J32" s="43"/>
      <c r="K32" s="43"/>
      <c r="L32" s="43"/>
      <c r="M32" s="43"/>
      <c r="N32" s="43"/>
      <c r="O32" s="43" t="s">
        <v>5</v>
      </c>
      <c r="P32" s="43"/>
      <c r="Q32" s="43"/>
      <c r="R32" s="43"/>
      <c r="S32" s="43"/>
      <c r="T32" s="43"/>
      <c r="U32" s="43"/>
      <c r="V32" s="43"/>
      <c r="W32" s="43"/>
      <c r="X32" s="43"/>
      <c r="Y32" s="43"/>
      <c r="Z32" s="43"/>
    </row>
    <row r="33" spans="1:26" ht="15.75" x14ac:dyDescent="0.25">
      <c r="A33" s="92" t="s">
        <v>261</v>
      </c>
      <c r="B33" s="6" t="s">
        <v>13</v>
      </c>
      <c r="C33" s="6" t="s">
        <v>14</v>
      </c>
      <c r="D33" s="8" t="s">
        <v>15</v>
      </c>
      <c r="E33" s="48" t="s">
        <v>5</v>
      </c>
      <c r="F33" s="48" t="s">
        <v>5</v>
      </c>
      <c r="G33" s="681" t="s">
        <v>5</v>
      </c>
      <c r="H33" s="48"/>
      <c r="I33" s="48"/>
      <c r="J33" s="48"/>
      <c r="K33" s="48" t="s">
        <v>5</v>
      </c>
      <c r="L33" s="125" t="s">
        <v>287</v>
      </c>
      <c r="M33" s="48"/>
      <c r="N33" s="12"/>
      <c r="O33" s="12" t="s">
        <v>5</v>
      </c>
      <c r="P33" s="12"/>
      <c r="Q33" s="12"/>
      <c r="R33" s="12"/>
      <c r="S33" s="12"/>
      <c r="T33" s="12"/>
      <c r="U33" s="12"/>
      <c r="V33" s="12"/>
      <c r="W33" s="12"/>
      <c r="X33" s="12"/>
      <c r="Y33" s="12"/>
      <c r="Z33" s="12"/>
    </row>
    <row r="34" spans="1:26" ht="18" x14ac:dyDescent="0.25">
      <c r="A34" s="30" t="str">
        <f>CONCATENATE(B17," ",C17)</f>
        <v>Objective 1 RE Mine Property</v>
      </c>
      <c r="B34" s="30"/>
      <c r="C34" s="31"/>
      <c r="D34" s="31"/>
      <c r="E34" s="29"/>
      <c r="F34" s="29"/>
      <c r="G34" s="685"/>
      <c r="H34" s="29"/>
      <c r="I34" s="29"/>
      <c r="J34" s="29"/>
      <c r="K34" s="29"/>
      <c r="L34" s="29"/>
      <c r="M34" s="29"/>
      <c r="N34" s="29"/>
      <c r="O34" s="29" t="s">
        <v>5</v>
      </c>
      <c r="P34" s="29"/>
      <c r="Q34" s="29"/>
      <c r="R34" s="29"/>
      <c r="S34" s="29"/>
      <c r="T34" s="29"/>
      <c r="U34" s="29"/>
      <c r="V34" s="29"/>
      <c r="W34" s="29"/>
      <c r="X34" s="29"/>
      <c r="Y34" s="29"/>
      <c r="Z34" s="29"/>
    </row>
    <row r="35" spans="1:26" ht="15" x14ac:dyDescent="0.25">
      <c r="A35" s="93"/>
      <c r="B35" s="7"/>
      <c r="C35" s="7"/>
      <c r="D35" s="10"/>
      <c r="E35" s="1001"/>
      <c r="F35" s="1001"/>
      <c r="G35" s="1001"/>
      <c r="H35" s="1001"/>
      <c r="I35" s="1001"/>
      <c r="J35" s="1001"/>
      <c r="K35" s="1002"/>
      <c r="L35" s="11"/>
      <c r="M35" s="48"/>
      <c r="N35" s="12"/>
      <c r="O35" s="12" t="s">
        <v>5</v>
      </c>
      <c r="P35" s="12"/>
      <c r="Q35" s="12"/>
      <c r="R35" s="12"/>
      <c r="S35" s="12"/>
      <c r="T35" s="12"/>
      <c r="U35" s="12"/>
      <c r="V35" s="12"/>
      <c r="W35" s="12"/>
      <c r="X35" s="12"/>
      <c r="Y35" s="12"/>
      <c r="Z35" s="12"/>
    </row>
    <row r="36" spans="1:26" ht="15" x14ac:dyDescent="0.25">
      <c r="A36" s="93"/>
      <c r="B36" s="7"/>
      <c r="C36" s="7"/>
      <c r="D36" s="10"/>
      <c r="E36" s="1001"/>
      <c r="F36" s="1001"/>
      <c r="G36" s="1001"/>
      <c r="H36" s="1001"/>
      <c r="I36" s="1001"/>
      <c r="J36" s="1001"/>
      <c r="K36" s="1002"/>
      <c r="L36" s="11"/>
      <c r="M36" s="48"/>
      <c r="N36" s="12"/>
      <c r="O36" s="12" t="s">
        <v>5</v>
      </c>
      <c r="P36" s="12"/>
      <c r="Q36" s="12"/>
      <c r="R36" s="12"/>
      <c r="S36" s="12"/>
      <c r="T36" s="12"/>
      <c r="U36" s="12"/>
      <c r="V36" s="12"/>
      <c r="W36" s="12"/>
      <c r="X36" s="12"/>
      <c r="Y36" s="12"/>
      <c r="Z36" s="12"/>
    </row>
    <row r="37" spans="1:26" ht="18" x14ac:dyDescent="0.25">
      <c r="A37" s="30" t="str">
        <f>CONCATENATE(B18," ",C18)</f>
        <v>Objective 2 EM Mine Property</v>
      </c>
      <c r="B37" s="30"/>
      <c r="C37" s="31"/>
      <c r="D37" s="31"/>
      <c r="E37" s="29"/>
      <c r="F37" s="29"/>
      <c r="G37" s="685"/>
      <c r="H37" s="29"/>
      <c r="I37" s="29"/>
      <c r="J37" s="29"/>
      <c r="K37" s="29"/>
      <c r="L37" s="29"/>
      <c r="M37" s="29"/>
      <c r="N37" s="29"/>
      <c r="O37" s="29" t="s">
        <v>5</v>
      </c>
      <c r="P37" s="29"/>
      <c r="Q37" s="29"/>
      <c r="R37" s="29"/>
      <c r="S37" s="29"/>
      <c r="T37" s="29"/>
      <c r="U37" s="29"/>
      <c r="V37" s="29"/>
      <c r="W37" s="29"/>
      <c r="X37" s="29"/>
      <c r="Y37" s="29"/>
      <c r="Z37" s="29"/>
    </row>
    <row r="38" spans="1:26" ht="15" x14ac:dyDescent="0.25">
      <c r="A38" s="93"/>
      <c r="B38" s="7"/>
      <c r="C38" s="7"/>
      <c r="D38" s="10"/>
      <c r="E38" s="1001"/>
      <c r="F38" s="1001"/>
      <c r="G38" s="1001"/>
      <c r="H38" s="1001"/>
      <c r="I38" s="1001"/>
      <c r="J38" s="1001"/>
      <c r="K38" s="1002"/>
      <c r="L38" s="11"/>
      <c r="M38" s="48"/>
      <c r="N38" s="12"/>
      <c r="O38" s="12" t="s">
        <v>5</v>
      </c>
      <c r="P38" s="12"/>
      <c r="Q38" s="12"/>
      <c r="R38" s="12"/>
      <c r="S38" s="12"/>
      <c r="T38" s="12"/>
      <c r="U38" s="12"/>
      <c r="V38" s="12"/>
      <c r="W38" s="12"/>
      <c r="X38" s="12"/>
      <c r="Y38" s="12"/>
      <c r="Z38" s="12"/>
    </row>
    <row r="39" spans="1:26" ht="15" x14ac:dyDescent="0.25">
      <c r="A39" s="93"/>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8" x14ac:dyDescent="0.25">
      <c r="A40" s="30" t="str">
        <f>CONCATENATE(B19," ",C19)</f>
        <v xml:space="preserve">Objective 3.01 Legal/Consulting </v>
      </c>
      <c r="B40" s="30"/>
      <c r="C40" s="31"/>
      <c r="D40" s="31"/>
      <c r="E40" s="29"/>
      <c r="F40" s="29"/>
      <c r="G40" s="685"/>
      <c r="H40" s="29"/>
      <c r="I40" s="29"/>
      <c r="J40" s="29"/>
      <c r="K40" s="29"/>
      <c r="L40" s="29"/>
      <c r="M40" s="29"/>
      <c r="N40" s="29"/>
      <c r="O40" s="29" t="s">
        <v>5</v>
      </c>
      <c r="P40" s="29"/>
      <c r="Q40" s="29"/>
      <c r="R40" s="29"/>
      <c r="S40" s="29"/>
      <c r="T40" s="29"/>
      <c r="U40" s="29"/>
      <c r="V40" s="29"/>
      <c r="W40" s="29"/>
      <c r="X40" s="29"/>
      <c r="Y40" s="29"/>
      <c r="Z40" s="29"/>
    </row>
    <row r="41" spans="1:26" ht="15" x14ac:dyDescent="0.25">
      <c r="A41" s="93"/>
      <c r="B41" s="6"/>
      <c r="C41" s="7"/>
      <c r="D41" s="10"/>
      <c r="E41" s="1001"/>
      <c r="F41" s="1001"/>
      <c r="G41" s="1001"/>
      <c r="H41" s="1001"/>
      <c r="I41" s="1001"/>
      <c r="J41" s="1001"/>
      <c r="K41" s="1002"/>
      <c r="L41" s="155"/>
      <c r="M41" s="48"/>
      <c r="N41" s="12"/>
      <c r="O41" s="12"/>
      <c r="P41" s="12"/>
      <c r="Q41" s="12"/>
      <c r="R41" s="12"/>
      <c r="S41" s="12"/>
      <c r="T41" s="12"/>
      <c r="U41" s="12"/>
      <c r="V41" s="12"/>
      <c r="W41" s="12"/>
      <c r="X41" s="12"/>
      <c r="Y41" s="12"/>
      <c r="Z41" s="12"/>
    </row>
    <row r="42" spans="1:26" ht="14.25" customHeight="1" x14ac:dyDescent="0.25">
      <c r="A42" s="93"/>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x14ac:dyDescent="0.25">
      <c r="A43" s="30" t="str">
        <f>CONCATENATE(B20," ",C20)</f>
        <v>Objective 3.02 Legal/Consulting Land Access</v>
      </c>
      <c r="B43" s="30"/>
      <c r="C43" s="31"/>
      <c r="D43" s="31"/>
      <c r="E43" s="29"/>
      <c r="F43" s="29"/>
      <c r="G43" s="685"/>
      <c r="H43" s="29"/>
      <c r="I43" s="29"/>
      <c r="J43" s="29"/>
      <c r="K43" s="29"/>
      <c r="L43" s="29"/>
      <c r="M43" s="29"/>
      <c r="N43" s="29"/>
      <c r="O43" s="29" t="s">
        <v>5</v>
      </c>
      <c r="P43" s="29"/>
      <c r="Q43" s="29"/>
      <c r="R43" s="29"/>
      <c r="S43" s="29"/>
      <c r="T43" s="29"/>
      <c r="U43" s="29"/>
      <c r="V43" s="29"/>
      <c r="W43" s="29"/>
      <c r="X43" s="29"/>
      <c r="Y43" s="29"/>
      <c r="Z43" s="29"/>
    </row>
    <row r="44" spans="1:26" ht="30" x14ac:dyDescent="0.25">
      <c r="A44" s="93" t="s">
        <v>831</v>
      </c>
      <c r="B44" s="6" t="s">
        <v>845</v>
      </c>
      <c r="C44" s="7" t="s">
        <v>846</v>
      </c>
      <c r="D44" s="10" t="s">
        <v>838</v>
      </c>
      <c r="E44" s="1001" t="s">
        <v>5</v>
      </c>
      <c r="F44" s="1001" t="s">
        <v>5</v>
      </c>
      <c r="G44" s="1001" t="s">
        <v>5</v>
      </c>
      <c r="H44" s="1001"/>
      <c r="I44" s="1001"/>
      <c r="J44" s="1001"/>
      <c r="K44" s="1002" t="s">
        <v>5</v>
      </c>
      <c r="L44" s="686" t="s">
        <v>847</v>
      </c>
      <c r="M44" s="48"/>
      <c r="N44" s="12"/>
      <c r="O44" s="12" t="s">
        <v>5</v>
      </c>
      <c r="P44" s="12"/>
      <c r="Q44" s="12"/>
      <c r="R44" s="12"/>
      <c r="S44" s="12"/>
      <c r="T44" s="12"/>
      <c r="U44" s="12"/>
      <c r="V44" s="12"/>
      <c r="W44" s="12"/>
      <c r="X44" s="12"/>
      <c r="Y44" s="12"/>
      <c r="Z44" s="12"/>
    </row>
    <row r="45" spans="1:26" ht="30" x14ac:dyDescent="0.25">
      <c r="A45" s="93" t="s">
        <v>835</v>
      </c>
      <c r="B45" s="6" t="s">
        <v>849</v>
      </c>
      <c r="C45" s="7" t="s">
        <v>850</v>
      </c>
      <c r="D45" s="10" t="s">
        <v>838</v>
      </c>
      <c r="E45" s="1001" t="s">
        <v>5</v>
      </c>
      <c r="F45" s="1001" t="s">
        <v>5</v>
      </c>
      <c r="G45" s="1001" t="s">
        <v>5</v>
      </c>
      <c r="H45" s="1001"/>
      <c r="I45" s="1001"/>
      <c r="J45" s="1001"/>
      <c r="K45" s="1002" t="s">
        <v>5</v>
      </c>
      <c r="L45" s="155" t="s">
        <v>113</v>
      </c>
      <c r="M45" s="48"/>
      <c r="N45" s="12"/>
      <c r="O45" s="12" t="s">
        <v>5</v>
      </c>
      <c r="P45" s="12"/>
      <c r="Q45" s="12"/>
      <c r="R45" s="12"/>
      <c r="S45" s="12"/>
      <c r="T45" s="12"/>
      <c r="U45" s="12"/>
      <c r="V45" s="12"/>
      <c r="W45" s="12"/>
      <c r="X45" s="12"/>
      <c r="Y45" s="12"/>
      <c r="Z45" s="12"/>
    </row>
    <row r="46" spans="1:26" ht="14.25" customHeight="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8" outlineLevel="1" x14ac:dyDescent="0.25">
      <c r="A47" s="30" t="str">
        <f>CONCATENATE(B22," ",C22)</f>
        <v xml:space="preserve">Objective 3.2 NSR Purchases </v>
      </c>
      <c r="B47" s="30"/>
      <c r="C47" s="31"/>
      <c r="D47" s="31"/>
      <c r="E47" s="29"/>
      <c r="F47" s="29"/>
      <c r="G47" s="685"/>
      <c r="H47" s="29"/>
      <c r="I47" s="29"/>
      <c r="J47" s="29"/>
      <c r="K47" s="29"/>
      <c r="L47" s="29"/>
      <c r="M47" s="29"/>
      <c r="N47" s="29"/>
      <c r="O47" s="29" t="s">
        <v>5</v>
      </c>
      <c r="P47" s="29"/>
      <c r="Q47" s="29"/>
      <c r="R47" s="29"/>
      <c r="S47" s="29"/>
      <c r="T47" s="29"/>
      <c r="U47" s="29"/>
      <c r="V47" s="29"/>
      <c r="W47" s="29"/>
      <c r="X47" s="29"/>
      <c r="Y47" s="29"/>
      <c r="Z47" s="29"/>
    </row>
    <row r="48" spans="1:26" ht="15" outlineLevel="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outlineLevel="1" x14ac:dyDescent="0.25">
      <c r="A49" s="30" t="str">
        <f>CONCATENATE(B23," ",C23)</f>
        <v xml:space="preserve">Objective 3.3 Mining Rights Purchases </v>
      </c>
      <c r="B49" s="30"/>
      <c r="C49" s="31"/>
      <c r="D49" s="31"/>
      <c r="E49" s="29"/>
      <c r="F49" s="29"/>
      <c r="G49" s="685"/>
      <c r="H49" s="29"/>
      <c r="I49" s="29"/>
      <c r="J49" s="29"/>
      <c r="K49" s="29"/>
      <c r="L49" s="29"/>
      <c r="M49" s="29"/>
      <c r="N49" s="29"/>
      <c r="O49" s="29" t="s">
        <v>5</v>
      </c>
      <c r="P49" s="29"/>
      <c r="Q49" s="29"/>
      <c r="R49" s="29"/>
      <c r="S49" s="29"/>
      <c r="T49" s="29"/>
      <c r="U49" s="29"/>
      <c r="V49" s="29"/>
      <c r="W49" s="29"/>
      <c r="X49" s="29"/>
      <c r="Y49" s="29"/>
      <c r="Z49" s="29"/>
    </row>
    <row r="50" spans="1:26" ht="15" outlineLevel="1" x14ac:dyDescent="0.25">
      <c r="A50" s="93"/>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7.25" customHeight="1" outlineLevel="1" x14ac:dyDescent="0.25">
      <c r="A51" s="30" t="str">
        <f>CONCATENATE(B24," ",C24)</f>
        <v>Objective 3.4 Land Access (Ingreso Enero 2018)</v>
      </c>
      <c r="B51" s="30"/>
      <c r="C51" s="31"/>
      <c r="D51" s="31"/>
      <c r="E51" s="29"/>
      <c r="F51" s="29"/>
      <c r="G51" s="685"/>
      <c r="H51" s="29"/>
      <c r="I51" s="29"/>
      <c r="J51" s="29"/>
      <c r="K51" s="29"/>
      <c r="L51" s="29"/>
      <c r="M51" s="29"/>
      <c r="N51" s="29"/>
      <c r="O51" s="29" t="s">
        <v>5</v>
      </c>
      <c r="P51" s="29"/>
      <c r="Q51" s="29"/>
      <c r="R51" s="29"/>
      <c r="S51" s="29"/>
      <c r="T51" s="29"/>
      <c r="U51" s="29"/>
      <c r="V51" s="29"/>
      <c r="W51" s="29"/>
      <c r="X51" s="29"/>
      <c r="Y51" s="29"/>
      <c r="Z51" s="29"/>
    </row>
    <row r="52" spans="1:26" ht="15"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7.25" customHeight="1" outlineLevel="1" x14ac:dyDescent="0.25">
      <c r="A53" s="30" t="str">
        <f>CONCATENATE(B25," ",C25)</f>
        <v>Objective 3.5 Land Access (Ingreso EIA)</v>
      </c>
      <c r="B53" s="30"/>
      <c r="C53" s="31"/>
      <c r="D53" s="31"/>
      <c r="E53" s="29"/>
      <c r="F53" s="29"/>
      <c r="G53" s="685"/>
      <c r="H53" s="29"/>
      <c r="I53" s="29"/>
      <c r="J53" s="29"/>
      <c r="K53" s="29"/>
      <c r="L53" s="29"/>
      <c r="M53" s="29"/>
      <c r="N53" s="29"/>
      <c r="O53" s="29" t="s">
        <v>5</v>
      </c>
      <c r="P53" s="29"/>
      <c r="Q53" s="29"/>
      <c r="R53" s="29"/>
      <c r="S53" s="29"/>
      <c r="T53" s="29"/>
      <c r="U53" s="29"/>
      <c r="V53" s="29"/>
      <c r="W53" s="29"/>
      <c r="X53" s="29"/>
      <c r="Y53" s="29"/>
      <c r="Z53" s="29"/>
    </row>
    <row r="54" spans="1:26" ht="28.5" x14ac:dyDescent="0.25">
      <c r="A54" s="93" t="s">
        <v>1498</v>
      </c>
      <c r="B54" s="6" t="s">
        <v>836</v>
      </c>
      <c r="C54" s="7" t="s">
        <v>1312</v>
      </c>
      <c r="D54" s="10" t="s">
        <v>838</v>
      </c>
      <c r="E54" s="1001" t="s">
        <v>5</v>
      </c>
      <c r="F54" s="1001" t="s">
        <v>5</v>
      </c>
      <c r="G54" s="1001" t="s">
        <v>5</v>
      </c>
      <c r="H54" s="1001"/>
      <c r="I54" s="1001"/>
      <c r="J54" s="1001"/>
      <c r="K54" s="1002" t="s">
        <v>5</v>
      </c>
      <c r="L54" s="155" t="s">
        <v>148</v>
      </c>
      <c r="M54" s="48"/>
      <c r="N54" s="12"/>
      <c r="O54" s="12" t="s">
        <v>5</v>
      </c>
      <c r="P54" s="12"/>
      <c r="Q54" s="12"/>
      <c r="R54" s="12"/>
      <c r="S54" s="12"/>
      <c r="T54" s="12"/>
      <c r="U54" s="12"/>
      <c r="V54" s="12"/>
      <c r="W54" s="12"/>
      <c r="X54" s="12"/>
      <c r="Y54" s="12"/>
      <c r="Z54" s="12"/>
    </row>
    <row r="55" spans="1:26" ht="28.5" x14ac:dyDescent="0.25">
      <c r="A55" s="93" t="s">
        <v>1499</v>
      </c>
      <c r="B55" s="6" t="s">
        <v>842</v>
      </c>
      <c r="C55" s="7" t="s">
        <v>843</v>
      </c>
      <c r="D55" s="10" t="s">
        <v>838</v>
      </c>
      <c r="E55" s="1001" t="s">
        <v>5</v>
      </c>
      <c r="F55" s="1001" t="s">
        <v>5</v>
      </c>
      <c r="G55" s="1001" t="s">
        <v>5</v>
      </c>
      <c r="H55" s="1001"/>
      <c r="I55" s="1001"/>
      <c r="J55" s="1001"/>
      <c r="K55" s="1002" t="s">
        <v>5</v>
      </c>
      <c r="L55" s="154" t="s">
        <v>197</v>
      </c>
      <c r="M55" s="48"/>
      <c r="N55" s="12"/>
      <c r="O55" s="12" t="s">
        <v>5</v>
      </c>
      <c r="P55" s="12"/>
      <c r="Q55" s="12"/>
      <c r="R55" s="12"/>
      <c r="S55" s="12"/>
      <c r="T55" s="12"/>
      <c r="U55" s="12"/>
      <c r="V55" s="12"/>
      <c r="W55" s="12"/>
      <c r="X55" s="12"/>
      <c r="Y55" s="12"/>
      <c r="Z55" s="12"/>
    </row>
    <row r="56" spans="1:26" ht="24" outlineLevel="1" x14ac:dyDescent="0.25">
      <c r="A56" s="93" t="s">
        <v>1500</v>
      </c>
      <c r="B56" s="6" t="s">
        <v>1316</v>
      </c>
      <c r="C56" s="7" t="s">
        <v>1317</v>
      </c>
      <c r="D56" s="10" t="s">
        <v>1318</v>
      </c>
      <c r="E56" s="1001" t="s">
        <v>5</v>
      </c>
      <c r="F56" s="1001" t="s">
        <v>5</v>
      </c>
      <c r="G56" s="1001" t="s">
        <v>5</v>
      </c>
      <c r="H56" s="1001"/>
      <c r="I56" s="1001"/>
      <c r="J56" s="1001"/>
      <c r="K56" s="1002" t="s">
        <v>5</v>
      </c>
      <c r="L56" s="154" t="s">
        <v>197</v>
      </c>
      <c r="M56" s="48"/>
      <c r="N56" s="12"/>
      <c r="O56" s="12" t="s">
        <v>5</v>
      </c>
      <c r="P56" s="12"/>
      <c r="Q56" s="12"/>
      <c r="R56" s="12"/>
      <c r="S56" s="12"/>
      <c r="T56" s="12"/>
      <c r="U56" s="12"/>
      <c r="V56" s="12"/>
      <c r="W56" s="12"/>
      <c r="X56" s="12"/>
      <c r="Y56" s="12"/>
      <c r="Z56" s="12"/>
    </row>
    <row r="57" spans="1:26" ht="28.5" outlineLevel="1" x14ac:dyDescent="0.25">
      <c r="A57" s="93" t="s">
        <v>1501</v>
      </c>
      <c r="B57" s="6" t="s">
        <v>1319</v>
      </c>
      <c r="C57" s="7" t="s">
        <v>1319</v>
      </c>
      <c r="D57" s="10" t="s">
        <v>1320</v>
      </c>
      <c r="E57" s="1001" t="s">
        <v>5</v>
      </c>
      <c r="F57" s="1001" t="s">
        <v>5</v>
      </c>
      <c r="G57" s="1001" t="s">
        <v>5</v>
      </c>
      <c r="H57" s="1001"/>
      <c r="I57" s="1001"/>
      <c r="J57" s="1001"/>
      <c r="K57" s="1002" t="s">
        <v>5</v>
      </c>
      <c r="L57" s="154" t="s">
        <v>148</v>
      </c>
      <c r="M57" s="48"/>
      <c r="N57" s="12"/>
      <c r="O57" s="12" t="s">
        <v>5</v>
      </c>
      <c r="P57" s="12"/>
      <c r="Q57" s="12"/>
      <c r="R57" s="12"/>
      <c r="S57" s="12"/>
      <c r="T57" s="12"/>
      <c r="U57" s="12"/>
      <c r="V57" s="12"/>
      <c r="W57" s="12"/>
      <c r="X57" s="12"/>
      <c r="Y57" s="12"/>
      <c r="Z57" s="12"/>
    </row>
    <row r="58" spans="1:26" ht="28.5" outlineLevel="1" x14ac:dyDescent="0.25">
      <c r="A58" s="93" t="s">
        <v>1502</v>
      </c>
      <c r="B58" s="6" t="s">
        <v>1321</v>
      </c>
      <c r="C58" s="7" t="s">
        <v>1322</v>
      </c>
      <c r="D58" s="10" t="s">
        <v>1323</v>
      </c>
      <c r="E58" s="1001" t="s">
        <v>5</v>
      </c>
      <c r="F58" s="1001" t="s">
        <v>5</v>
      </c>
      <c r="G58" s="1001" t="s">
        <v>5</v>
      </c>
      <c r="H58" s="1001"/>
      <c r="I58" s="1001"/>
      <c r="J58" s="1001"/>
      <c r="K58" s="1002" t="s">
        <v>5</v>
      </c>
      <c r="L58" s="154" t="s">
        <v>148</v>
      </c>
      <c r="M58" s="48"/>
      <c r="N58" s="12"/>
      <c r="O58" s="12" t="s">
        <v>5</v>
      </c>
      <c r="P58" s="12"/>
      <c r="Q58" s="12"/>
      <c r="R58" s="12"/>
      <c r="S58" s="12"/>
      <c r="T58" s="12"/>
      <c r="U58" s="12"/>
      <c r="V58" s="12"/>
      <c r="W58" s="12"/>
      <c r="X58" s="12"/>
      <c r="Y58" s="12"/>
      <c r="Z58" s="12"/>
    </row>
    <row r="59" spans="1:26" ht="15"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7.25" customHeight="1" outlineLevel="1" x14ac:dyDescent="0.25">
      <c r="A60" s="30" t="str">
        <f>CONCATENATE(B26," ",C26)</f>
        <v xml:space="preserve">Objective 3.6 Otros Predios </v>
      </c>
      <c r="B60" s="30"/>
      <c r="C60" s="31"/>
      <c r="D60" s="31"/>
      <c r="E60" s="29"/>
      <c r="F60" s="29"/>
      <c r="G60" s="685"/>
      <c r="H60" s="29"/>
      <c r="I60" s="29"/>
      <c r="J60" s="29"/>
      <c r="K60" s="29"/>
      <c r="L60" s="29"/>
      <c r="M60" s="29"/>
      <c r="N60" s="29"/>
      <c r="O60" s="29" t="s">
        <v>5</v>
      </c>
      <c r="P60" s="29"/>
      <c r="Q60" s="29"/>
      <c r="R60" s="29"/>
      <c r="S60" s="29"/>
      <c r="T60" s="29"/>
      <c r="U60" s="29"/>
      <c r="V60" s="29"/>
      <c r="W60" s="29"/>
      <c r="X60" s="29"/>
      <c r="Y60" s="29"/>
      <c r="Z60" s="29"/>
    </row>
    <row r="61" spans="1:26" ht="28.5" x14ac:dyDescent="0.25">
      <c r="A61" s="93" t="s">
        <v>1503</v>
      </c>
      <c r="B61" s="6" t="s">
        <v>840</v>
      </c>
      <c r="C61" s="7" t="s">
        <v>840</v>
      </c>
      <c r="D61" s="10" t="s">
        <v>838</v>
      </c>
      <c r="E61" s="1001" t="s">
        <v>5</v>
      </c>
      <c r="F61" s="1001" t="s">
        <v>5</v>
      </c>
      <c r="G61" s="1001" t="s">
        <v>5</v>
      </c>
      <c r="H61" s="1001"/>
      <c r="I61" s="1001"/>
      <c r="J61" s="1001"/>
      <c r="K61" s="1002" t="s">
        <v>5</v>
      </c>
      <c r="L61" s="154" t="s">
        <v>197</v>
      </c>
      <c r="M61" s="48"/>
      <c r="N61" s="12"/>
      <c r="O61" s="12" t="s">
        <v>5</v>
      </c>
      <c r="P61" s="12"/>
      <c r="Q61" s="12"/>
      <c r="R61" s="12"/>
      <c r="S61" s="12"/>
      <c r="T61" s="12"/>
      <c r="U61" s="12"/>
      <c r="V61" s="12"/>
      <c r="W61" s="12"/>
      <c r="X61" s="12"/>
      <c r="Y61" s="12"/>
      <c r="Z61" s="12"/>
    </row>
    <row r="62" spans="1:26" ht="30" x14ac:dyDescent="0.25">
      <c r="A62" s="93" t="s">
        <v>1504</v>
      </c>
      <c r="B62" s="6" t="s">
        <v>1505</v>
      </c>
      <c r="C62" s="7" t="s">
        <v>1506</v>
      </c>
      <c r="D62" s="10" t="s">
        <v>838</v>
      </c>
      <c r="E62" s="770" t="s">
        <v>5</v>
      </c>
      <c r="F62" s="770" t="s">
        <v>5</v>
      </c>
      <c r="G62" s="687" t="s">
        <v>5</v>
      </c>
      <c r="H62" s="770"/>
      <c r="I62" s="770"/>
      <c r="J62" s="770"/>
      <c r="K62" s="771" t="s">
        <v>5</v>
      </c>
      <c r="L62" s="154" t="s">
        <v>113</v>
      </c>
      <c r="M62" s="681"/>
      <c r="N62" s="688"/>
      <c r="O62" s="688" t="s">
        <v>5</v>
      </c>
      <c r="P62" s="688"/>
      <c r="Q62" s="688"/>
      <c r="R62" s="688"/>
      <c r="S62" s="688"/>
      <c r="T62" s="688"/>
      <c r="U62" s="688"/>
      <c r="V62" s="688"/>
      <c r="W62" s="688"/>
      <c r="X62" s="688"/>
      <c r="Y62" s="688"/>
      <c r="Z62" s="688"/>
    </row>
    <row r="63" spans="1:26" ht="28.5" x14ac:dyDescent="0.25">
      <c r="A63" s="93" t="s">
        <v>1507</v>
      </c>
      <c r="B63" s="6" t="s">
        <v>1508</v>
      </c>
      <c r="C63" s="7" t="s">
        <v>1509</v>
      </c>
      <c r="D63" s="10" t="s">
        <v>838</v>
      </c>
      <c r="E63" s="770" t="s">
        <v>5</v>
      </c>
      <c r="F63" s="770" t="s">
        <v>5</v>
      </c>
      <c r="G63" s="687" t="s">
        <v>5</v>
      </c>
      <c r="H63" s="770"/>
      <c r="I63" s="770"/>
      <c r="J63" s="770"/>
      <c r="K63" s="771" t="s">
        <v>5</v>
      </c>
      <c r="L63" s="154" t="s">
        <v>113</v>
      </c>
      <c r="M63" s="681"/>
      <c r="N63" s="688"/>
      <c r="O63" s="688" t="s">
        <v>5</v>
      </c>
      <c r="P63" s="688"/>
      <c r="Q63" s="688"/>
      <c r="R63" s="688"/>
      <c r="S63" s="688"/>
      <c r="T63" s="688"/>
      <c r="U63" s="688"/>
      <c r="V63" s="688"/>
      <c r="W63" s="688"/>
      <c r="X63" s="688"/>
      <c r="Y63" s="688"/>
      <c r="Z63" s="688"/>
    </row>
    <row r="64" spans="1:26" ht="28.5" x14ac:dyDescent="0.25">
      <c r="A64" s="93" t="s">
        <v>1510</v>
      </c>
      <c r="B64" s="6" t="s">
        <v>1511</v>
      </c>
      <c r="C64" s="7" t="s">
        <v>1511</v>
      </c>
      <c r="D64" s="10" t="s">
        <v>1512</v>
      </c>
      <c r="E64" s="770" t="s">
        <v>5</v>
      </c>
      <c r="F64" s="770" t="s">
        <v>5</v>
      </c>
      <c r="G64" s="687" t="s">
        <v>5</v>
      </c>
      <c r="H64" s="770"/>
      <c r="I64" s="770"/>
      <c r="J64" s="770"/>
      <c r="K64" s="771" t="s">
        <v>5</v>
      </c>
      <c r="L64" s="154" t="s">
        <v>113</v>
      </c>
      <c r="M64" s="681"/>
      <c r="N64" s="688"/>
      <c r="O64" s="688" t="s">
        <v>5</v>
      </c>
      <c r="P64" s="688"/>
      <c r="Q64" s="688"/>
      <c r="R64" s="688"/>
      <c r="S64" s="688"/>
      <c r="T64" s="688"/>
      <c r="U64" s="688"/>
      <c r="V64" s="688"/>
      <c r="W64" s="688"/>
      <c r="X64" s="688"/>
      <c r="Y64" s="688"/>
      <c r="Z64" s="688"/>
    </row>
    <row r="65" spans="1:26" ht="17.25" customHeight="1" outlineLevel="1" x14ac:dyDescent="0.25">
      <c r="A65" s="30" t="str">
        <f>CONCATENATE(B27," ",C27)</f>
        <v>Objective 4 Agua Construcción</v>
      </c>
      <c r="B65" s="30"/>
      <c r="C65" s="31"/>
      <c r="D65" s="31"/>
      <c r="E65" s="29"/>
      <c r="F65" s="29"/>
      <c r="G65" s="685"/>
      <c r="H65" s="29"/>
      <c r="I65" s="29"/>
      <c r="J65" s="29"/>
      <c r="K65" s="29"/>
      <c r="L65" s="29"/>
      <c r="M65" s="29"/>
      <c r="N65" s="29"/>
      <c r="O65" s="29" t="s">
        <v>5</v>
      </c>
      <c r="P65" s="29"/>
      <c r="Q65" s="29"/>
      <c r="R65" s="29"/>
      <c r="S65" s="29"/>
      <c r="T65" s="29"/>
      <c r="U65" s="29"/>
      <c r="V65" s="29"/>
      <c r="W65" s="29"/>
      <c r="X65" s="29"/>
      <c r="Y65" s="29"/>
      <c r="Z65" s="29"/>
    </row>
    <row r="66" spans="1:26" s="695" customFormat="1" ht="15" x14ac:dyDescent="0.25">
      <c r="A66" s="152" t="s">
        <v>831</v>
      </c>
      <c r="B66" s="689" t="s">
        <v>832</v>
      </c>
      <c r="C66" s="690" t="s">
        <v>833</v>
      </c>
      <c r="D66" s="691" t="s">
        <v>1513</v>
      </c>
      <c r="E66" s="1003" t="s">
        <v>5</v>
      </c>
      <c r="F66" s="1003" t="s">
        <v>5</v>
      </c>
      <c r="G66" s="1003" t="s">
        <v>5</v>
      </c>
      <c r="H66" s="1003"/>
      <c r="I66" s="1003"/>
      <c r="J66" s="1003"/>
      <c r="K66" s="1004" t="s">
        <v>5</v>
      </c>
      <c r="L66" s="692" t="s">
        <v>148</v>
      </c>
      <c r="M66" s="693"/>
      <c r="N66" s="694"/>
      <c r="O66" s="694" t="s">
        <v>5</v>
      </c>
      <c r="P66" s="694"/>
      <c r="Q66" s="694"/>
      <c r="R66" s="694"/>
      <c r="S66" s="694"/>
      <c r="T66" s="694"/>
      <c r="U66" s="694"/>
      <c r="V66" s="694"/>
      <c r="W66" s="694"/>
      <c r="X66" s="694"/>
      <c r="Y66" s="694"/>
      <c r="Z66" s="694"/>
    </row>
    <row r="67" spans="1:26" s="695" customFormat="1" ht="28.5" x14ac:dyDescent="0.25">
      <c r="A67" s="152" t="s">
        <v>835</v>
      </c>
      <c r="B67" s="689" t="s">
        <v>1309</v>
      </c>
      <c r="C67" s="690" t="s">
        <v>1310</v>
      </c>
      <c r="D67" s="691" t="s">
        <v>1311</v>
      </c>
      <c r="E67" s="1003" t="s">
        <v>5</v>
      </c>
      <c r="F67" s="1003" t="s">
        <v>5</v>
      </c>
      <c r="G67" s="1003" t="s">
        <v>5</v>
      </c>
      <c r="H67" s="1003"/>
      <c r="I67" s="1003"/>
      <c r="J67" s="1003"/>
      <c r="K67" s="1004" t="s">
        <v>5</v>
      </c>
      <c r="L67" s="692" t="s">
        <v>148</v>
      </c>
      <c r="M67" s="693"/>
      <c r="N67" s="694"/>
      <c r="O67" s="694" t="s">
        <v>5</v>
      </c>
      <c r="P67" s="694"/>
      <c r="Q67" s="694"/>
      <c r="R67" s="694"/>
      <c r="S67" s="694"/>
      <c r="T67" s="694"/>
      <c r="U67" s="694"/>
      <c r="V67" s="694"/>
      <c r="W67" s="694"/>
      <c r="X67" s="694"/>
      <c r="Y67" s="694"/>
      <c r="Z67" s="694"/>
    </row>
    <row r="68" spans="1:26" s="695" customFormat="1" ht="15" x14ac:dyDescent="0.25">
      <c r="A68" s="152"/>
      <c r="B68" s="689"/>
      <c r="C68" s="690"/>
      <c r="D68" s="691"/>
      <c r="E68" s="772"/>
      <c r="F68" s="772"/>
      <c r="G68" s="772"/>
      <c r="H68" s="772"/>
      <c r="I68" s="772"/>
      <c r="J68" s="772"/>
      <c r="K68" s="773"/>
      <c r="L68" s="692"/>
      <c r="M68" s="693"/>
      <c r="N68" s="694"/>
      <c r="O68" s="694"/>
      <c r="P68" s="694"/>
      <c r="Q68" s="694"/>
      <c r="R68" s="694"/>
      <c r="S68" s="694"/>
      <c r="T68" s="694"/>
      <c r="U68" s="694"/>
      <c r="V68" s="694"/>
      <c r="W68" s="694"/>
      <c r="X68" s="694"/>
      <c r="Y68" s="694"/>
      <c r="Z68" s="694"/>
    </row>
    <row r="69" spans="1:26" ht="17.25" customHeight="1" outlineLevel="1" x14ac:dyDescent="0.25">
      <c r="A69" s="30" t="str">
        <f>CONCATENATE(B28," ",C28)</f>
        <v>Objective 5 Permits Licences</v>
      </c>
      <c r="B69" s="30"/>
      <c r="C69" s="31"/>
      <c r="D69" s="31"/>
      <c r="E69" s="29"/>
      <c r="F69" s="29"/>
      <c r="G69" s="685"/>
      <c r="H69" s="29"/>
      <c r="I69" s="29"/>
      <c r="J69" s="29"/>
      <c r="K69" s="29"/>
      <c r="L69" s="29"/>
      <c r="M69" s="29"/>
      <c r="N69" s="29"/>
      <c r="O69" s="29" t="s">
        <v>5</v>
      </c>
      <c r="P69" s="29"/>
      <c r="Q69" s="29"/>
      <c r="R69" s="29"/>
      <c r="S69" s="29"/>
      <c r="T69" s="29"/>
      <c r="U69" s="29"/>
      <c r="V69" s="29"/>
      <c r="W69" s="29"/>
      <c r="X69" s="29"/>
      <c r="Y69" s="29"/>
      <c r="Z69" s="29"/>
    </row>
    <row r="70" spans="1:26" ht="15" customHeight="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8" hidden="1" outlineLevel="1" x14ac:dyDescent="0.25">
      <c r="A71" s="30" t="e">
        <f>CONCATENATE(#REF!," ",#REF!)</f>
        <v>#REF!</v>
      </c>
      <c r="B71" s="30"/>
      <c r="C71" s="31"/>
      <c r="D71" s="31"/>
      <c r="E71" s="29"/>
      <c r="F71" s="29"/>
      <c r="G71" s="685"/>
      <c r="H71" s="29"/>
      <c r="I71" s="29"/>
      <c r="J71" s="29"/>
      <c r="K71" s="29"/>
      <c r="L71" s="29"/>
      <c r="M71" s="29"/>
      <c r="N71" s="29"/>
      <c r="O71" s="29" t="s">
        <v>5</v>
      </c>
      <c r="P71" s="29"/>
      <c r="Q71" s="29"/>
      <c r="R71" s="29"/>
      <c r="S71" s="29"/>
      <c r="T71" s="29"/>
      <c r="U71" s="29"/>
      <c r="V71" s="29"/>
      <c r="W71" s="29"/>
      <c r="X71" s="29"/>
      <c r="Y71" s="29"/>
      <c r="Z71" s="29"/>
    </row>
    <row r="72" spans="1:26" ht="15" hidden="1" outlineLevel="1" x14ac:dyDescent="0.25">
      <c r="A72" s="93" t="s">
        <v>269</v>
      </c>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5" hidden="1" outlineLevel="1" x14ac:dyDescent="0.25">
      <c r="A73" s="93" t="s">
        <v>270</v>
      </c>
      <c r="B73" s="7"/>
      <c r="C73" s="7"/>
      <c r="D73" s="10"/>
      <c r="E73" s="1001" t="s">
        <v>5</v>
      </c>
      <c r="F73" s="1001" t="s">
        <v>5</v>
      </c>
      <c r="G73" s="1001" t="s">
        <v>5</v>
      </c>
      <c r="H73" s="1001"/>
      <c r="I73" s="1001"/>
      <c r="J73" s="1001"/>
      <c r="K73" s="1002" t="s">
        <v>5</v>
      </c>
      <c r="L73" s="11"/>
      <c r="M73" s="48"/>
      <c r="N73" s="12"/>
      <c r="O73" s="12" t="s">
        <v>5</v>
      </c>
      <c r="P73" s="12"/>
      <c r="Q73" s="12"/>
      <c r="R73" s="12"/>
      <c r="S73" s="12"/>
      <c r="T73" s="12"/>
      <c r="U73" s="12"/>
      <c r="V73" s="12"/>
      <c r="W73" s="12"/>
      <c r="X73" s="12"/>
      <c r="Y73" s="12"/>
      <c r="Z73" s="12"/>
    </row>
    <row r="74" spans="1:26" ht="15" hidden="1" outlineLevel="1" x14ac:dyDescent="0.25">
      <c r="A74" s="93"/>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8" hidden="1" outlineLevel="1" x14ac:dyDescent="0.25">
      <c r="A77" s="30" t="e">
        <f>CONCATENATE(#REF!," ",#REF!)</f>
        <v>#REF!</v>
      </c>
      <c r="B77" s="30"/>
      <c r="C77" s="31"/>
      <c r="D77" s="31"/>
      <c r="E77" s="29"/>
      <c r="F77" s="29"/>
      <c r="G77" s="685"/>
      <c r="H77" s="29"/>
      <c r="I77" s="29"/>
      <c r="J77" s="29"/>
      <c r="K77" s="29"/>
      <c r="L77" s="29"/>
      <c r="M77" s="29"/>
      <c r="N77" s="29"/>
      <c r="O77" s="29" t="s">
        <v>5</v>
      </c>
      <c r="P77" s="29"/>
      <c r="Q77" s="29"/>
      <c r="R77" s="29"/>
      <c r="S77" s="29"/>
      <c r="T77" s="29"/>
      <c r="U77" s="29"/>
      <c r="V77" s="29"/>
      <c r="W77" s="29"/>
      <c r="X77" s="29"/>
      <c r="Y77" s="29"/>
      <c r="Z77" s="29"/>
    </row>
    <row r="78" spans="1:26" ht="15" hidden="1" outlineLevel="1" x14ac:dyDescent="0.25">
      <c r="A78" s="93" t="s">
        <v>271</v>
      </c>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5" hidden="1" outlineLevel="1" x14ac:dyDescent="0.25">
      <c r="A79" s="93" t="s">
        <v>272</v>
      </c>
      <c r="B79" s="7"/>
      <c r="C79" s="7"/>
      <c r="D79" s="10"/>
      <c r="E79" s="1001" t="s">
        <v>5</v>
      </c>
      <c r="F79" s="1001" t="s">
        <v>5</v>
      </c>
      <c r="G79" s="1001" t="s">
        <v>5</v>
      </c>
      <c r="H79" s="1001"/>
      <c r="I79" s="1001"/>
      <c r="J79" s="1001"/>
      <c r="K79" s="1002" t="s">
        <v>5</v>
      </c>
      <c r="L79" s="11"/>
      <c r="M79" s="48"/>
      <c r="N79" s="12"/>
      <c r="O79" s="12" t="s">
        <v>5</v>
      </c>
      <c r="P79" s="12"/>
      <c r="Q79" s="12"/>
      <c r="R79" s="12"/>
      <c r="S79" s="12"/>
      <c r="T79" s="12"/>
      <c r="U79" s="12"/>
      <c r="V79" s="12"/>
      <c r="W79" s="12"/>
      <c r="X79" s="12"/>
      <c r="Y79" s="12"/>
      <c r="Z79" s="12"/>
    </row>
    <row r="80" spans="1:26" ht="15" hidden="1" outlineLevel="1" x14ac:dyDescent="0.25">
      <c r="A80" s="93"/>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8" hidden="1" outlineLevel="1" x14ac:dyDescent="0.25">
      <c r="A83" s="30" t="e">
        <f>CONCATENATE(#REF!," ",#REF!)</f>
        <v>#REF!</v>
      </c>
      <c r="B83" s="30"/>
      <c r="C83" s="31"/>
      <c r="D83" s="31"/>
      <c r="E83" s="29"/>
      <c r="F83" s="29"/>
      <c r="G83" s="685"/>
      <c r="H83" s="29"/>
      <c r="I83" s="29"/>
      <c r="J83" s="29"/>
      <c r="K83" s="29"/>
      <c r="L83" s="29"/>
      <c r="M83" s="29"/>
      <c r="N83" s="29"/>
      <c r="O83" s="29" t="s">
        <v>5</v>
      </c>
      <c r="P83" s="29"/>
      <c r="Q83" s="29"/>
      <c r="R83" s="29"/>
      <c r="S83" s="29"/>
      <c r="T83" s="29"/>
      <c r="U83" s="29"/>
      <c r="V83" s="29"/>
      <c r="W83" s="29"/>
      <c r="X83" s="29"/>
      <c r="Y83" s="29"/>
      <c r="Z83" s="29"/>
    </row>
    <row r="84" spans="1:26" ht="15" hidden="1" outlineLevel="1" x14ac:dyDescent="0.25">
      <c r="A84" s="93" t="s">
        <v>273</v>
      </c>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5" hidden="1" outlineLevel="1" x14ac:dyDescent="0.25">
      <c r="A85" s="93" t="s">
        <v>274</v>
      </c>
      <c r="B85" s="7"/>
      <c r="C85" s="7"/>
      <c r="D85" s="10"/>
      <c r="E85" s="1001" t="s">
        <v>5</v>
      </c>
      <c r="F85" s="1001" t="s">
        <v>5</v>
      </c>
      <c r="G85" s="1001" t="s">
        <v>5</v>
      </c>
      <c r="H85" s="1001"/>
      <c r="I85" s="1001"/>
      <c r="J85" s="1001"/>
      <c r="K85" s="1002" t="s">
        <v>5</v>
      </c>
      <c r="L85" s="11"/>
      <c r="M85" s="48"/>
      <c r="N85" s="12"/>
      <c r="O85" s="12" t="s">
        <v>5</v>
      </c>
      <c r="P85" s="12"/>
      <c r="Q85" s="12"/>
      <c r="R85" s="12"/>
      <c r="S85" s="12"/>
      <c r="T85" s="12"/>
      <c r="U85" s="12"/>
      <c r="V85" s="12"/>
      <c r="W85" s="12"/>
      <c r="X85" s="12"/>
      <c r="Y85" s="12"/>
      <c r="Z85" s="12"/>
    </row>
    <row r="86" spans="1:26" ht="15" hidden="1" outlineLevel="1" x14ac:dyDescent="0.25">
      <c r="A86" s="93"/>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8" hidden="1" outlineLevel="1" x14ac:dyDescent="0.25">
      <c r="A89" s="30" t="e">
        <f>CONCATENATE(#REF!," ",#REF!)</f>
        <v>#REF!</v>
      </c>
      <c r="B89" s="30"/>
      <c r="C89" s="31"/>
      <c r="D89" s="31"/>
      <c r="E89" s="29"/>
      <c r="F89" s="29"/>
      <c r="G89" s="685"/>
      <c r="H89" s="29"/>
      <c r="I89" s="29"/>
      <c r="J89" s="29"/>
      <c r="K89" s="29"/>
      <c r="L89" s="29"/>
      <c r="M89" s="29"/>
      <c r="N89" s="29"/>
      <c r="O89" s="29" t="s">
        <v>5</v>
      </c>
      <c r="P89" s="29"/>
      <c r="Q89" s="29"/>
      <c r="R89" s="29"/>
      <c r="S89" s="29"/>
      <c r="T89" s="29"/>
      <c r="U89" s="29"/>
      <c r="V89" s="29"/>
      <c r="W89" s="29"/>
      <c r="X89" s="29"/>
      <c r="Y89" s="29"/>
      <c r="Z89" s="29"/>
    </row>
    <row r="90" spans="1:26" ht="15" hidden="1" outlineLevel="1" x14ac:dyDescent="0.25">
      <c r="A90" s="93" t="s">
        <v>275</v>
      </c>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15" hidden="1" outlineLevel="1" x14ac:dyDescent="0.25">
      <c r="A91" s="93" t="s">
        <v>276</v>
      </c>
      <c r="B91" s="7"/>
      <c r="C91" s="7"/>
      <c r="D91" s="10"/>
      <c r="E91" s="1001" t="s">
        <v>5</v>
      </c>
      <c r="F91" s="1001" t="s">
        <v>5</v>
      </c>
      <c r="G91" s="1001" t="s">
        <v>5</v>
      </c>
      <c r="H91" s="1001"/>
      <c r="I91" s="1001"/>
      <c r="J91" s="1001"/>
      <c r="K91" s="1002" t="s">
        <v>5</v>
      </c>
      <c r="L91" s="11"/>
      <c r="M91" s="48"/>
      <c r="N91" s="12"/>
      <c r="O91" s="12" t="s">
        <v>5</v>
      </c>
      <c r="P91" s="12"/>
      <c r="Q91" s="12"/>
      <c r="R91" s="12"/>
      <c r="S91" s="12"/>
      <c r="T91" s="12"/>
      <c r="U91" s="12"/>
      <c r="V91" s="12"/>
      <c r="W91" s="12"/>
      <c r="X91" s="12"/>
      <c r="Y91" s="12"/>
      <c r="Z91" s="12"/>
    </row>
    <row r="92" spans="1:26" ht="15" hidden="1" outlineLevel="1" x14ac:dyDescent="0.25">
      <c r="A92" s="93"/>
      <c r="B92" s="7"/>
      <c r="C92" s="7"/>
      <c r="D92" s="10"/>
      <c r="E92" s="1001" t="s">
        <v>5</v>
      </c>
      <c r="F92" s="1001" t="s">
        <v>5</v>
      </c>
      <c r="G92" s="1001" t="s">
        <v>5</v>
      </c>
      <c r="H92" s="1001"/>
      <c r="I92" s="1001"/>
      <c r="J92" s="1001"/>
      <c r="K92" s="1002" t="s">
        <v>5</v>
      </c>
      <c r="L92" s="11"/>
      <c r="M92" s="48"/>
      <c r="N92" s="12"/>
      <c r="O92" s="12" t="s">
        <v>5</v>
      </c>
      <c r="P92" s="12"/>
      <c r="Q92" s="12"/>
      <c r="R92" s="12"/>
      <c r="S92" s="12"/>
      <c r="T92" s="12"/>
      <c r="U92" s="12"/>
      <c r="V92" s="12"/>
      <c r="W92" s="12"/>
      <c r="X92" s="12"/>
      <c r="Y92" s="12"/>
      <c r="Z92" s="12"/>
    </row>
    <row r="93" spans="1:26" ht="15" hidden="1" outlineLevel="1" x14ac:dyDescent="0.25">
      <c r="A93" s="93"/>
      <c r="B93" s="7"/>
      <c r="C93" s="7"/>
      <c r="D93" s="10"/>
      <c r="E93" s="1001" t="s">
        <v>5</v>
      </c>
      <c r="F93" s="1001" t="s">
        <v>5</v>
      </c>
      <c r="G93" s="1001" t="s">
        <v>5</v>
      </c>
      <c r="H93" s="1001"/>
      <c r="I93" s="1001"/>
      <c r="J93" s="1001"/>
      <c r="K93" s="1002" t="s">
        <v>5</v>
      </c>
      <c r="L93" s="11"/>
      <c r="M93" s="48"/>
      <c r="N93" s="12"/>
      <c r="O93" s="12" t="s">
        <v>5</v>
      </c>
      <c r="P93" s="12"/>
      <c r="Q93" s="12"/>
      <c r="R93" s="12"/>
      <c r="S93" s="12"/>
      <c r="T93" s="12"/>
      <c r="U93" s="12"/>
      <c r="V93" s="12"/>
      <c r="W93" s="12"/>
      <c r="X93" s="12"/>
      <c r="Y93" s="12"/>
      <c r="Z93" s="12"/>
    </row>
    <row r="94" spans="1:26" ht="15" hidden="1" outlineLevel="1" x14ac:dyDescent="0.25">
      <c r="A94" s="93"/>
      <c r="B94" s="7"/>
      <c r="C94" s="7"/>
      <c r="D94" s="10"/>
      <c r="E94" s="1001" t="s">
        <v>5</v>
      </c>
      <c r="F94" s="1001" t="s">
        <v>5</v>
      </c>
      <c r="G94" s="1001" t="s">
        <v>5</v>
      </c>
      <c r="H94" s="1001"/>
      <c r="I94" s="1001"/>
      <c r="J94" s="1001"/>
      <c r="K94" s="1002" t="s">
        <v>5</v>
      </c>
      <c r="L94" s="11"/>
      <c r="M94" s="48"/>
      <c r="N94" s="12"/>
      <c r="O94" s="12" t="s">
        <v>5</v>
      </c>
      <c r="P94" s="12"/>
      <c r="Q94" s="12"/>
      <c r="R94" s="12"/>
      <c r="S94" s="12"/>
      <c r="T94" s="12"/>
      <c r="U94" s="12"/>
      <c r="V94" s="12"/>
      <c r="W94" s="12"/>
      <c r="X94" s="12"/>
      <c r="Y94" s="12"/>
      <c r="Z94" s="12"/>
    </row>
    <row r="95" spans="1:26" ht="18" hidden="1" outlineLevel="1" x14ac:dyDescent="0.25">
      <c r="A95" s="30" t="str">
        <f>CONCATENATE(B28," ",C28)</f>
        <v>Objective 5 Permits Licences</v>
      </c>
      <c r="B95" s="30"/>
      <c r="C95" s="31"/>
      <c r="D95" s="31"/>
      <c r="E95" s="29"/>
      <c r="F95" s="29"/>
      <c r="G95" s="685"/>
      <c r="H95" s="29"/>
      <c r="I95" s="29"/>
      <c r="J95" s="29"/>
      <c r="K95" s="29"/>
      <c r="L95" s="29"/>
      <c r="M95" s="29"/>
      <c r="N95" s="29"/>
      <c r="O95" s="29" t="s">
        <v>5</v>
      </c>
      <c r="P95" s="29"/>
      <c r="Q95" s="29"/>
      <c r="R95" s="29"/>
      <c r="S95" s="29"/>
      <c r="T95" s="29"/>
      <c r="U95" s="29"/>
      <c r="V95" s="29"/>
      <c r="W95" s="29"/>
      <c r="X95" s="29"/>
      <c r="Y95" s="29"/>
      <c r="Z95" s="29"/>
    </row>
    <row r="96" spans="1:26" ht="15" hidden="1" outlineLevel="1" x14ac:dyDescent="0.25">
      <c r="A96" s="93" t="s">
        <v>277</v>
      </c>
      <c r="B96" s="7"/>
      <c r="C96" s="7"/>
      <c r="D96" s="10"/>
      <c r="E96" s="1001" t="s">
        <v>5</v>
      </c>
      <c r="F96" s="1001" t="s">
        <v>5</v>
      </c>
      <c r="G96" s="1001" t="s">
        <v>5</v>
      </c>
      <c r="H96" s="1001"/>
      <c r="I96" s="1001"/>
      <c r="J96" s="1001"/>
      <c r="K96" s="1002" t="s">
        <v>5</v>
      </c>
      <c r="L96" s="11"/>
      <c r="M96" s="48"/>
      <c r="N96" s="12"/>
      <c r="O96" s="12" t="s">
        <v>5</v>
      </c>
      <c r="P96" s="12"/>
      <c r="Q96" s="12"/>
      <c r="R96" s="12"/>
      <c r="S96" s="12"/>
      <c r="T96" s="12"/>
      <c r="U96" s="12"/>
      <c r="V96" s="12"/>
      <c r="W96" s="12"/>
      <c r="X96" s="12"/>
      <c r="Y96" s="12"/>
      <c r="Z96" s="12"/>
    </row>
    <row r="97" spans="1:26" ht="15" hidden="1" outlineLevel="1" x14ac:dyDescent="0.25">
      <c r="A97" s="93" t="s">
        <v>278</v>
      </c>
      <c r="B97" s="7"/>
      <c r="C97" s="7"/>
      <c r="D97" s="10"/>
      <c r="E97" s="1001" t="s">
        <v>5</v>
      </c>
      <c r="F97" s="1001" t="s">
        <v>5</v>
      </c>
      <c r="G97" s="1001" t="s">
        <v>5</v>
      </c>
      <c r="H97" s="1001"/>
      <c r="I97" s="1001"/>
      <c r="J97" s="1001"/>
      <c r="K97" s="1002" t="s">
        <v>5</v>
      </c>
      <c r="L97" s="11"/>
      <c r="M97" s="48"/>
      <c r="N97" s="12"/>
      <c r="O97" s="12" t="s">
        <v>5</v>
      </c>
      <c r="P97" s="12"/>
      <c r="Q97" s="12"/>
      <c r="R97" s="12"/>
      <c r="S97" s="12"/>
      <c r="T97" s="12"/>
      <c r="U97" s="12"/>
      <c r="V97" s="12"/>
      <c r="W97" s="12"/>
      <c r="X97" s="12"/>
      <c r="Y97" s="12"/>
      <c r="Z97" s="12"/>
    </row>
    <row r="98" spans="1:26" ht="15" hidden="1" outlineLevel="1" x14ac:dyDescent="0.25">
      <c r="A98" s="93"/>
      <c r="B98" s="7"/>
      <c r="C98" s="7"/>
      <c r="D98" s="10"/>
      <c r="E98" s="1001" t="s">
        <v>5</v>
      </c>
      <c r="F98" s="1001" t="s">
        <v>5</v>
      </c>
      <c r="G98" s="1001" t="s">
        <v>5</v>
      </c>
      <c r="H98" s="1001"/>
      <c r="I98" s="1001"/>
      <c r="J98" s="1001"/>
      <c r="K98" s="1002" t="s">
        <v>5</v>
      </c>
      <c r="L98" s="11"/>
      <c r="M98" s="48"/>
      <c r="N98" s="12"/>
      <c r="O98" s="12" t="s">
        <v>5</v>
      </c>
      <c r="P98" s="12"/>
      <c r="Q98" s="12"/>
      <c r="R98" s="12"/>
      <c r="S98" s="12"/>
      <c r="T98" s="12"/>
      <c r="U98" s="12"/>
      <c r="V98" s="12"/>
      <c r="W98" s="12"/>
      <c r="X98" s="12"/>
      <c r="Y98" s="12"/>
      <c r="Z98" s="12"/>
    </row>
    <row r="99" spans="1:26" ht="15" hidden="1" outlineLevel="1" x14ac:dyDescent="0.25">
      <c r="A99" s="93"/>
      <c r="B99" s="7"/>
      <c r="C99" s="7"/>
      <c r="D99" s="10"/>
      <c r="E99" s="1001" t="s">
        <v>5</v>
      </c>
      <c r="F99" s="1001" t="s">
        <v>5</v>
      </c>
      <c r="G99" s="1001" t="s">
        <v>5</v>
      </c>
      <c r="H99" s="1001"/>
      <c r="I99" s="1001"/>
      <c r="J99" s="1001"/>
      <c r="K99" s="1002" t="s">
        <v>5</v>
      </c>
      <c r="L99" s="11"/>
      <c r="M99" s="48"/>
      <c r="N99" s="12"/>
      <c r="O99" s="12" t="s">
        <v>5</v>
      </c>
      <c r="P99" s="12"/>
      <c r="Q99" s="12"/>
      <c r="R99" s="12"/>
      <c r="S99" s="12"/>
      <c r="T99" s="12"/>
      <c r="U99" s="12"/>
      <c r="V99" s="12"/>
      <c r="W99" s="12"/>
      <c r="X99" s="12"/>
      <c r="Y99" s="12"/>
      <c r="Z99" s="12"/>
    </row>
    <row r="100" spans="1:26" ht="15" hidden="1" outlineLevel="1" x14ac:dyDescent="0.25">
      <c r="A100" s="93"/>
      <c r="B100" s="7"/>
      <c r="C100" s="7"/>
      <c r="D100" s="10"/>
      <c r="E100" s="1001" t="s">
        <v>5</v>
      </c>
      <c r="F100" s="1001" t="s">
        <v>5</v>
      </c>
      <c r="G100" s="1001" t="s">
        <v>5</v>
      </c>
      <c r="H100" s="1001"/>
      <c r="I100" s="1001"/>
      <c r="J100" s="1001"/>
      <c r="K100" s="1002" t="s">
        <v>5</v>
      </c>
      <c r="L100" s="11"/>
      <c r="M100" s="48"/>
      <c r="N100" s="12"/>
      <c r="O100" s="12" t="s">
        <v>5</v>
      </c>
      <c r="P100" s="12"/>
      <c r="Q100" s="12"/>
      <c r="R100" s="12"/>
      <c r="S100" s="12"/>
      <c r="T100" s="12"/>
      <c r="U100" s="12"/>
      <c r="V100" s="12"/>
      <c r="W100" s="12"/>
      <c r="X100" s="12"/>
      <c r="Y100" s="12"/>
      <c r="Z100" s="12"/>
    </row>
    <row r="101" spans="1:26" ht="18" hidden="1" outlineLevel="1" x14ac:dyDescent="0.25">
      <c r="A101" s="30" t="str">
        <f>CONCATENATE(B29," ",C29)</f>
        <v xml:space="preserve"> </v>
      </c>
      <c r="B101" s="30"/>
      <c r="C101" s="31"/>
      <c r="D101" s="31"/>
      <c r="E101" s="29"/>
      <c r="F101" s="29"/>
      <c r="G101" s="685"/>
      <c r="H101" s="29"/>
      <c r="I101" s="29"/>
      <c r="J101" s="29"/>
      <c r="K101" s="29"/>
      <c r="L101" s="29"/>
      <c r="M101" s="29"/>
      <c r="N101" s="29"/>
      <c r="O101" s="29" t="s">
        <v>5</v>
      </c>
      <c r="P101" s="29"/>
      <c r="Q101" s="29"/>
      <c r="R101" s="29"/>
      <c r="S101" s="29"/>
      <c r="T101" s="29"/>
      <c r="U101" s="29"/>
      <c r="V101" s="29"/>
      <c r="W101" s="29"/>
      <c r="X101" s="29"/>
      <c r="Y101" s="29"/>
      <c r="Z101" s="29"/>
    </row>
    <row r="102" spans="1:26" ht="15" hidden="1" outlineLevel="1" x14ac:dyDescent="0.25">
      <c r="A102" s="93" t="s">
        <v>279</v>
      </c>
      <c r="B102" s="7"/>
      <c r="C102" s="7"/>
      <c r="D102" s="10"/>
      <c r="E102" s="1001" t="s">
        <v>5</v>
      </c>
      <c r="F102" s="1001" t="s">
        <v>5</v>
      </c>
      <c r="G102" s="1001" t="s">
        <v>5</v>
      </c>
      <c r="H102" s="1001"/>
      <c r="I102" s="1001"/>
      <c r="J102" s="1001"/>
      <c r="K102" s="1002" t="s">
        <v>5</v>
      </c>
      <c r="L102" s="11"/>
      <c r="M102" s="48"/>
      <c r="N102" s="12"/>
      <c r="O102" s="12" t="s">
        <v>5</v>
      </c>
      <c r="P102" s="12"/>
      <c r="Q102" s="12"/>
      <c r="R102" s="12"/>
      <c r="S102" s="12"/>
      <c r="T102" s="12"/>
      <c r="U102" s="12"/>
      <c r="V102" s="12"/>
      <c r="W102" s="12"/>
      <c r="X102" s="12"/>
      <c r="Y102" s="12"/>
      <c r="Z102" s="12"/>
    </row>
    <row r="103" spans="1:26" ht="15" hidden="1" outlineLevel="1" x14ac:dyDescent="0.25">
      <c r="A103" s="93" t="s">
        <v>280</v>
      </c>
      <c r="B103" s="7"/>
      <c r="C103" s="7"/>
      <c r="D103" s="10"/>
      <c r="E103" s="1001" t="s">
        <v>5</v>
      </c>
      <c r="F103" s="1001" t="s">
        <v>5</v>
      </c>
      <c r="G103" s="1001" t="s">
        <v>5</v>
      </c>
      <c r="H103" s="1001"/>
      <c r="I103" s="1001"/>
      <c r="J103" s="1001"/>
      <c r="K103" s="1002" t="s">
        <v>5</v>
      </c>
      <c r="L103" s="11"/>
      <c r="M103" s="48"/>
      <c r="N103" s="12"/>
      <c r="O103" s="12" t="s">
        <v>5</v>
      </c>
      <c r="P103" s="12"/>
      <c r="Q103" s="12"/>
      <c r="R103" s="12"/>
      <c r="S103" s="12"/>
      <c r="T103" s="12"/>
      <c r="U103" s="12"/>
      <c r="V103" s="12"/>
      <c r="W103" s="12"/>
      <c r="X103" s="12"/>
      <c r="Y103" s="12"/>
      <c r="Z103" s="12"/>
    </row>
    <row r="104" spans="1:26" ht="15" hidden="1" outlineLevel="1" x14ac:dyDescent="0.25">
      <c r="A104" s="93"/>
      <c r="B104" s="7"/>
      <c r="C104" s="7"/>
      <c r="D104" s="10"/>
      <c r="E104" s="1001" t="s">
        <v>5</v>
      </c>
      <c r="F104" s="1001" t="s">
        <v>5</v>
      </c>
      <c r="G104" s="1001" t="s">
        <v>5</v>
      </c>
      <c r="H104" s="1001"/>
      <c r="I104" s="1001"/>
      <c r="J104" s="1001"/>
      <c r="K104" s="1002" t="s">
        <v>5</v>
      </c>
      <c r="L104" s="11"/>
      <c r="M104" s="48"/>
      <c r="N104" s="12"/>
      <c r="O104" s="12" t="s">
        <v>5</v>
      </c>
      <c r="P104" s="12"/>
      <c r="Q104" s="12"/>
      <c r="R104" s="12"/>
      <c r="S104" s="12"/>
      <c r="T104" s="12"/>
      <c r="U104" s="12"/>
      <c r="V104" s="12"/>
      <c r="W104" s="12"/>
      <c r="X104" s="12"/>
      <c r="Y104" s="12"/>
      <c r="Z104" s="12"/>
    </row>
    <row r="105" spans="1:26" ht="15" hidden="1" outlineLevel="1" x14ac:dyDescent="0.25">
      <c r="A105" s="93"/>
      <c r="B105" s="7"/>
      <c r="C105" s="7"/>
      <c r="D105" s="10"/>
      <c r="E105" s="1001" t="s">
        <v>5</v>
      </c>
      <c r="F105" s="1001" t="s">
        <v>5</v>
      </c>
      <c r="G105" s="1001" t="s">
        <v>5</v>
      </c>
      <c r="H105" s="1001"/>
      <c r="I105" s="1001"/>
      <c r="J105" s="1001"/>
      <c r="K105" s="1002" t="s">
        <v>5</v>
      </c>
      <c r="L105" s="11"/>
      <c r="M105" s="48"/>
      <c r="N105" s="12"/>
      <c r="O105" s="12" t="s">
        <v>5</v>
      </c>
      <c r="P105" s="12"/>
      <c r="Q105" s="12"/>
      <c r="R105" s="12"/>
      <c r="S105" s="12"/>
      <c r="T105" s="12"/>
      <c r="U105" s="12"/>
      <c r="V105" s="12"/>
      <c r="W105" s="12"/>
      <c r="X105" s="12"/>
      <c r="Y105" s="12"/>
      <c r="Z105" s="12"/>
    </row>
    <row r="106" spans="1:26" ht="15" hidden="1" outlineLevel="1" x14ac:dyDescent="0.25">
      <c r="A106" s="93"/>
      <c r="B106" s="7"/>
      <c r="C106" s="7"/>
      <c r="D106" s="10"/>
      <c r="E106" s="1001" t="s">
        <v>5</v>
      </c>
      <c r="F106" s="1001" t="s">
        <v>5</v>
      </c>
      <c r="G106" s="1001" t="s">
        <v>5</v>
      </c>
      <c r="H106" s="1001"/>
      <c r="I106" s="1001"/>
      <c r="J106" s="1001"/>
      <c r="K106" s="1002" t="s">
        <v>5</v>
      </c>
      <c r="L106" s="11"/>
      <c r="M106" s="48"/>
      <c r="N106" s="12"/>
      <c r="O106" s="12" t="s">
        <v>5</v>
      </c>
      <c r="P106" s="12"/>
      <c r="Q106" s="12"/>
      <c r="R106" s="12"/>
      <c r="S106" s="12"/>
      <c r="T106" s="12"/>
      <c r="U106" s="12"/>
      <c r="V106" s="12"/>
      <c r="W106" s="12"/>
      <c r="X106" s="12"/>
      <c r="Y106" s="12"/>
      <c r="Z106" s="12"/>
    </row>
    <row r="107" spans="1:26" ht="6.75" customHeight="1" x14ac:dyDescent="0.25"/>
    <row r="108" spans="1:26" ht="18" x14ac:dyDescent="0.25">
      <c r="A108" s="41" t="s">
        <v>37</v>
      </c>
      <c r="B108" s="41"/>
      <c r="C108" s="42"/>
      <c r="D108" s="42"/>
      <c r="E108" s="43"/>
      <c r="F108" s="43"/>
      <c r="G108" s="680"/>
      <c r="H108" s="44"/>
      <c r="I108" s="44"/>
      <c r="J108" s="43"/>
      <c r="K108" s="43"/>
      <c r="L108" s="43"/>
      <c r="M108" s="43"/>
      <c r="N108" s="43"/>
      <c r="O108" s="43" t="s">
        <v>5</v>
      </c>
      <c r="P108" s="43"/>
      <c r="Q108" s="43"/>
      <c r="R108" s="43"/>
      <c r="S108" s="43"/>
      <c r="T108" s="43"/>
      <c r="U108" s="43"/>
      <c r="V108" s="43"/>
      <c r="W108" s="43"/>
      <c r="X108" s="43"/>
      <c r="Y108" s="43"/>
      <c r="Z108" s="43"/>
    </row>
    <row r="109" spans="1:26" ht="18" x14ac:dyDescent="0.25">
      <c r="A109" s="30" t="str">
        <f>CONCATENATE(B17," ",C17)</f>
        <v>Objective 1 RE Mine Property</v>
      </c>
      <c r="B109" s="30"/>
      <c r="C109" s="31"/>
      <c r="D109" s="31"/>
      <c r="E109" s="29"/>
      <c r="F109" s="29"/>
      <c r="G109" s="685"/>
      <c r="H109" s="29"/>
      <c r="I109" s="29"/>
      <c r="J109" s="29"/>
      <c r="K109" s="29"/>
      <c r="L109" s="29"/>
      <c r="M109" s="29"/>
      <c r="N109" s="29"/>
      <c r="O109" s="29" t="s">
        <v>5</v>
      </c>
      <c r="P109" s="29"/>
      <c r="Q109" s="29"/>
      <c r="R109" s="29"/>
      <c r="S109" s="29"/>
      <c r="T109" s="29"/>
      <c r="U109" s="29"/>
      <c r="V109" s="29"/>
      <c r="W109" s="29"/>
      <c r="X109" s="29"/>
      <c r="Y109" s="29"/>
      <c r="Z109" s="29"/>
    </row>
    <row r="110" spans="1:26" ht="60" x14ac:dyDescent="0.25">
      <c r="A110" s="92" t="s">
        <v>261</v>
      </c>
      <c r="B110" s="92" t="s">
        <v>13</v>
      </c>
      <c r="C110" s="92" t="s">
        <v>14</v>
      </c>
      <c r="D110" s="133" t="s">
        <v>286</v>
      </c>
      <c r="E110" s="32" t="s">
        <v>16</v>
      </c>
      <c r="F110" s="32" t="s">
        <v>295</v>
      </c>
      <c r="G110" s="32" t="s">
        <v>39</v>
      </c>
      <c r="H110" s="32" t="s">
        <v>297</v>
      </c>
      <c r="I110" s="32" t="s">
        <v>298</v>
      </c>
      <c r="J110" s="32" t="s">
        <v>299</v>
      </c>
      <c r="K110" s="32" t="s">
        <v>300</v>
      </c>
      <c r="L110" s="32" t="s">
        <v>17</v>
      </c>
      <c r="M110" s="32" t="s">
        <v>18</v>
      </c>
      <c r="N110" s="32" t="s">
        <v>825</v>
      </c>
      <c r="O110" s="66">
        <v>43101</v>
      </c>
      <c r="P110" s="66">
        <v>43132</v>
      </c>
      <c r="Q110" s="66">
        <v>43160</v>
      </c>
      <c r="R110" s="66">
        <v>43191</v>
      </c>
      <c r="S110" s="66">
        <v>43221</v>
      </c>
      <c r="T110" s="66">
        <v>43252</v>
      </c>
      <c r="U110" s="66">
        <v>43282</v>
      </c>
      <c r="V110" s="66">
        <v>43313</v>
      </c>
      <c r="W110" s="66">
        <v>43344</v>
      </c>
      <c r="X110" s="66">
        <v>43374</v>
      </c>
      <c r="Y110" s="66">
        <v>43405</v>
      </c>
      <c r="Z110" s="66">
        <v>43435</v>
      </c>
    </row>
    <row r="111" spans="1:26" ht="15" customHeight="1" x14ac:dyDescent="0.25">
      <c r="A111" s="93" t="s">
        <v>1804</v>
      </c>
      <c r="B111" s="7" t="s">
        <v>852</v>
      </c>
      <c r="C111" s="7" t="s">
        <v>852</v>
      </c>
      <c r="D111" s="10" t="s">
        <v>853</v>
      </c>
      <c r="E111" s="154" t="s">
        <v>202</v>
      </c>
      <c r="F111" s="11"/>
      <c r="G111" s="11"/>
      <c r="H111" s="11" t="s">
        <v>41</v>
      </c>
      <c r="I111" s="11" t="s">
        <v>41</v>
      </c>
      <c r="J111" s="11" t="s">
        <v>41</v>
      </c>
      <c r="K111" s="11" t="s">
        <v>41</v>
      </c>
      <c r="L111" s="11">
        <v>12</v>
      </c>
      <c r="M111" s="11"/>
      <c r="N111" s="137">
        <f t="shared" ref="N111:N114" si="17">SUM(O111:Z111)</f>
        <v>391706.80963235296</v>
      </c>
      <c r="O111" s="11">
        <v>0</v>
      </c>
      <c r="P111" s="11">
        <v>0</v>
      </c>
      <c r="Q111" s="11">
        <v>391706.80963235296</v>
      </c>
      <c r="R111" s="11">
        <v>0</v>
      </c>
      <c r="S111" s="11">
        <v>0</v>
      </c>
      <c r="T111" s="11">
        <v>0</v>
      </c>
      <c r="U111" s="11">
        <v>0</v>
      </c>
      <c r="V111" s="11">
        <v>0</v>
      </c>
      <c r="W111" s="11">
        <v>0</v>
      </c>
      <c r="X111" s="11">
        <v>0</v>
      </c>
      <c r="Y111" s="11">
        <v>0</v>
      </c>
      <c r="Z111" s="11">
        <v>0</v>
      </c>
    </row>
    <row r="112" spans="1:26" ht="15" customHeight="1" x14ac:dyDescent="0.25">
      <c r="A112" s="93" t="s">
        <v>1807</v>
      </c>
      <c r="B112" s="93" t="s">
        <v>855</v>
      </c>
      <c r="C112" s="93" t="s">
        <v>856</v>
      </c>
      <c r="D112" s="775" t="s">
        <v>857</v>
      </c>
      <c r="E112" s="154" t="s">
        <v>202</v>
      </c>
      <c r="F112" s="11"/>
      <c r="G112" s="11"/>
      <c r="H112" s="11" t="s">
        <v>41</v>
      </c>
      <c r="I112" s="11" t="s">
        <v>41</v>
      </c>
      <c r="J112" s="11" t="s">
        <v>41</v>
      </c>
      <c r="K112" s="11" t="s">
        <v>41</v>
      </c>
      <c r="L112" s="11">
        <v>12</v>
      </c>
      <c r="M112" s="11"/>
      <c r="N112" s="137">
        <f t="shared" si="17"/>
        <v>295180.1470588235</v>
      </c>
      <c r="O112" s="11">
        <v>17415.441176470587</v>
      </c>
      <c r="P112" s="11">
        <v>15500</v>
      </c>
      <c r="Q112" s="11">
        <v>44415.441176470587</v>
      </c>
      <c r="R112" s="11">
        <v>34375</v>
      </c>
      <c r="S112" s="11">
        <v>17845.588235294119</v>
      </c>
      <c r="T112" s="11">
        <v>34323.529411764706</v>
      </c>
      <c r="U112" s="11">
        <v>34933.823529411762</v>
      </c>
      <c r="V112" s="11">
        <v>8250</v>
      </c>
      <c r="W112" s="11">
        <v>43933.823529411762</v>
      </c>
      <c r="X112" s="11">
        <v>13812.5</v>
      </c>
      <c r="Y112" s="11">
        <v>19838.235294117647</v>
      </c>
      <c r="Z112" s="11">
        <v>10536.764705882353</v>
      </c>
    </row>
    <row r="113" spans="1:26" ht="15" customHeight="1" x14ac:dyDescent="0.25">
      <c r="A113" s="93" t="s">
        <v>1808</v>
      </c>
      <c r="B113" s="93" t="s">
        <v>859</v>
      </c>
      <c r="C113" s="93" t="s">
        <v>860</v>
      </c>
      <c r="D113" s="775" t="s">
        <v>861</v>
      </c>
      <c r="E113" s="154" t="s">
        <v>202</v>
      </c>
      <c r="F113" s="11"/>
      <c r="G113" s="11"/>
      <c r="H113" s="11" t="s">
        <v>41</v>
      </c>
      <c r="I113" s="11" t="s">
        <v>41</v>
      </c>
      <c r="J113" s="11" t="s">
        <v>41</v>
      </c>
      <c r="K113" s="11" t="s">
        <v>41</v>
      </c>
      <c r="L113" s="11">
        <v>12</v>
      </c>
      <c r="M113" s="11"/>
      <c r="N113" s="137">
        <f t="shared" si="17"/>
        <v>15937.176470588245</v>
      </c>
      <c r="O113" s="11">
        <v>520.5</v>
      </c>
      <c r="P113" s="11">
        <v>5138.1470588235297</v>
      </c>
      <c r="Q113" s="11">
        <v>520.5</v>
      </c>
      <c r="R113" s="11">
        <v>358.73529411765003</v>
      </c>
      <c r="S113" s="11">
        <v>520.5</v>
      </c>
      <c r="T113" s="11">
        <v>461.67647058824014</v>
      </c>
      <c r="U113" s="11">
        <v>520.5</v>
      </c>
      <c r="V113" s="11">
        <v>358.73529411765003</v>
      </c>
      <c r="W113" s="11">
        <v>520.5</v>
      </c>
      <c r="X113" s="11">
        <v>1358.7352941176468</v>
      </c>
      <c r="Y113" s="11">
        <v>4299.911764705882</v>
      </c>
      <c r="Z113" s="11">
        <v>1358.7352941176468</v>
      </c>
    </row>
    <row r="114" spans="1:26" ht="15" customHeight="1" x14ac:dyDescent="0.25">
      <c r="A114" s="93" t="s">
        <v>1809</v>
      </c>
      <c r="B114" s="93" t="s">
        <v>863</v>
      </c>
      <c r="C114" s="93" t="s">
        <v>864</v>
      </c>
      <c r="D114" s="775" t="s">
        <v>865</v>
      </c>
      <c r="E114" s="154" t="s">
        <v>202</v>
      </c>
      <c r="F114" s="157" t="s">
        <v>294</v>
      </c>
      <c r="G114" s="157" t="s">
        <v>866</v>
      </c>
      <c r="H114" s="11" t="s">
        <v>41</v>
      </c>
      <c r="I114" s="11" t="s">
        <v>41</v>
      </c>
      <c r="J114" s="11" t="s">
        <v>42</v>
      </c>
      <c r="K114" s="11" t="s">
        <v>42</v>
      </c>
      <c r="L114" s="11">
        <v>12</v>
      </c>
      <c r="M114" s="11"/>
      <c r="N114" s="137">
        <f t="shared" si="17"/>
        <v>32004</v>
      </c>
      <c r="O114" s="11">
        <v>2667</v>
      </c>
      <c r="P114" s="11">
        <v>2667</v>
      </c>
      <c r="Q114" s="11">
        <v>2667</v>
      </c>
      <c r="R114" s="11">
        <v>2667</v>
      </c>
      <c r="S114" s="11">
        <v>2667</v>
      </c>
      <c r="T114" s="11">
        <v>2667</v>
      </c>
      <c r="U114" s="11">
        <v>2667</v>
      </c>
      <c r="V114" s="11">
        <v>2667</v>
      </c>
      <c r="W114" s="11">
        <v>2667</v>
      </c>
      <c r="X114" s="11">
        <v>2667</v>
      </c>
      <c r="Y114" s="11">
        <v>2667</v>
      </c>
      <c r="Z114" s="11">
        <v>2667</v>
      </c>
    </row>
    <row r="115" spans="1:26" s="35" customFormat="1" ht="22.5" customHeight="1" x14ac:dyDescent="0.25">
      <c r="A115" s="33"/>
      <c r="B115" s="34"/>
      <c r="C115" s="34"/>
      <c r="D115" s="34"/>
      <c r="E115" s="50"/>
      <c r="F115" s="50"/>
      <c r="G115" s="696"/>
      <c r="H115" s="50"/>
      <c r="I115" s="50"/>
      <c r="J115" s="51" t="s">
        <v>20</v>
      </c>
      <c r="K115" s="50"/>
      <c r="L115" s="32">
        <f t="shared" ref="L115:Z115" si="18">SUM(L111:L114)</f>
        <v>48</v>
      </c>
      <c r="M115" s="32">
        <f t="shared" si="18"/>
        <v>0</v>
      </c>
      <c r="N115" s="32">
        <f t="shared" si="18"/>
        <v>734828.13316176459</v>
      </c>
      <c r="O115" s="32">
        <f t="shared" si="18"/>
        <v>20602.941176470587</v>
      </c>
      <c r="P115" s="32">
        <f t="shared" si="18"/>
        <v>23305.147058823532</v>
      </c>
      <c r="Q115" s="32">
        <f t="shared" si="18"/>
        <v>439309.75080882356</v>
      </c>
      <c r="R115" s="32">
        <f t="shared" si="18"/>
        <v>37400.73529411765</v>
      </c>
      <c r="S115" s="32">
        <f t="shared" si="18"/>
        <v>21033.088235294119</v>
      </c>
      <c r="T115" s="32">
        <f t="shared" si="18"/>
        <v>37452.205882352944</v>
      </c>
      <c r="U115" s="32">
        <f t="shared" si="18"/>
        <v>38121.323529411762</v>
      </c>
      <c r="V115" s="32">
        <f t="shared" si="18"/>
        <v>11275.73529411765</v>
      </c>
      <c r="W115" s="32">
        <f t="shared" si="18"/>
        <v>47121.323529411762</v>
      </c>
      <c r="X115" s="32">
        <f t="shared" si="18"/>
        <v>17838.235294117647</v>
      </c>
      <c r="Y115" s="32">
        <f t="shared" si="18"/>
        <v>26805.147058823528</v>
      </c>
      <c r="Z115" s="32">
        <f t="shared" si="18"/>
        <v>14562.5</v>
      </c>
    </row>
    <row r="116" spans="1:26" ht="18" x14ac:dyDescent="0.25">
      <c r="A116" s="30" t="str">
        <f>CONCATENATE(B18," ",C18)</f>
        <v>Objective 2 EM Mine Property</v>
      </c>
      <c r="B116" s="30"/>
      <c r="C116" s="31"/>
      <c r="D116" s="31"/>
      <c r="E116" s="29"/>
      <c r="F116" s="29"/>
      <c r="G116" s="685"/>
      <c r="H116" s="29"/>
      <c r="I116" s="29"/>
      <c r="J116" s="29"/>
      <c r="K116" s="29"/>
      <c r="L116" s="29"/>
      <c r="M116" s="29"/>
      <c r="N116" s="29"/>
      <c r="O116" s="29" t="s">
        <v>5</v>
      </c>
      <c r="P116" s="29"/>
      <c r="Q116" s="29"/>
      <c r="R116" s="29"/>
      <c r="S116" s="29"/>
      <c r="T116" s="29"/>
      <c r="U116" s="29"/>
      <c r="V116" s="29"/>
      <c r="W116" s="29"/>
      <c r="X116" s="29"/>
      <c r="Y116" s="29"/>
      <c r="Z116" s="29"/>
    </row>
    <row r="117" spans="1:26" ht="60" x14ac:dyDescent="0.25">
      <c r="A117" s="92" t="s">
        <v>261</v>
      </c>
      <c r="B117" s="92" t="s">
        <v>13</v>
      </c>
      <c r="C117" s="92" t="s">
        <v>14</v>
      </c>
      <c r="D117" s="133" t="s">
        <v>286</v>
      </c>
      <c r="E117" s="32" t="s">
        <v>16</v>
      </c>
      <c r="F117" s="32" t="s">
        <v>295</v>
      </c>
      <c r="G117" s="32" t="s">
        <v>39</v>
      </c>
      <c r="H117" s="32" t="s">
        <v>297</v>
      </c>
      <c r="I117" s="32" t="s">
        <v>298</v>
      </c>
      <c r="J117" s="32" t="s">
        <v>299</v>
      </c>
      <c r="K117" s="32" t="s">
        <v>300</v>
      </c>
      <c r="L117" s="32" t="s">
        <v>17</v>
      </c>
      <c r="M117" s="32" t="s">
        <v>18</v>
      </c>
      <c r="N117" s="32" t="s">
        <v>825</v>
      </c>
      <c r="O117" s="66">
        <v>43101</v>
      </c>
      <c r="P117" s="66">
        <v>43132</v>
      </c>
      <c r="Q117" s="66">
        <v>43160</v>
      </c>
      <c r="R117" s="66">
        <v>43191</v>
      </c>
      <c r="S117" s="66">
        <v>43221</v>
      </c>
      <c r="T117" s="66">
        <v>43252</v>
      </c>
      <c r="U117" s="66">
        <v>43282</v>
      </c>
      <c r="V117" s="66">
        <v>43313</v>
      </c>
      <c r="W117" s="66">
        <v>43344</v>
      </c>
      <c r="X117" s="66">
        <v>43374</v>
      </c>
      <c r="Y117" s="66">
        <v>43405</v>
      </c>
      <c r="Z117" s="66">
        <v>43435</v>
      </c>
    </row>
    <row r="118" spans="1:26" ht="15" customHeight="1" x14ac:dyDescent="0.25">
      <c r="A118" s="93" t="s">
        <v>1811</v>
      </c>
      <c r="B118" s="7" t="s">
        <v>868</v>
      </c>
      <c r="C118" s="7" t="s">
        <v>868</v>
      </c>
      <c r="D118" s="10" t="s">
        <v>869</v>
      </c>
      <c r="E118" s="154" t="s">
        <v>204</v>
      </c>
      <c r="F118" s="11"/>
      <c r="G118" s="11"/>
      <c r="H118" s="11" t="s">
        <v>41</v>
      </c>
      <c r="I118" s="11" t="s">
        <v>41</v>
      </c>
      <c r="J118" s="11" t="s">
        <v>41</v>
      </c>
      <c r="K118" s="11" t="s">
        <v>41</v>
      </c>
      <c r="L118" s="11">
        <v>12</v>
      </c>
      <c r="M118" s="11"/>
      <c r="N118" s="137">
        <f>SUM(O118:Z118)</f>
        <v>663807.83977941179</v>
      </c>
      <c r="O118" s="11">
        <v>0</v>
      </c>
      <c r="P118" s="11">
        <v>0</v>
      </c>
      <c r="Q118" s="11">
        <v>663807.83977941179</v>
      </c>
      <c r="R118" s="11">
        <v>0</v>
      </c>
      <c r="S118" s="11">
        <v>0</v>
      </c>
      <c r="T118" s="11">
        <v>0</v>
      </c>
      <c r="U118" s="11">
        <v>0</v>
      </c>
      <c r="V118" s="11">
        <v>0</v>
      </c>
      <c r="W118" s="11">
        <v>0</v>
      </c>
      <c r="X118" s="11">
        <v>0</v>
      </c>
      <c r="Y118" s="11">
        <v>0</v>
      </c>
      <c r="Z118" s="11">
        <v>0</v>
      </c>
    </row>
    <row r="119" spans="1:26" ht="15" customHeight="1" x14ac:dyDescent="0.25">
      <c r="A119" s="93" t="s">
        <v>1812</v>
      </c>
      <c r="B119" s="93" t="s">
        <v>855</v>
      </c>
      <c r="C119" s="93" t="s">
        <v>871</v>
      </c>
      <c r="D119" s="775" t="s">
        <v>857</v>
      </c>
      <c r="E119" s="154" t="s">
        <v>204</v>
      </c>
      <c r="F119" s="11"/>
      <c r="G119" s="11"/>
      <c r="H119" s="11" t="s">
        <v>41</v>
      </c>
      <c r="I119" s="11" t="s">
        <v>41</v>
      </c>
      <c r="J119" s="11" t="s">
        <v>41</v>
      </c>
      <c r="K119" s="11" t="s">
        <v>41</v>
      </c>
      <c r="L119" s="11">
        <v>12</v>
      </c>
      <c r="M119" s="11"/>
      <c r="N119" s="137">
        <f>SUM(O119:Z119)</f>
        <v>129279.41176470587</v>
      </c>
      <c r="O119" s="11">
        <v>264.70588235294116</v>
      </c>
      <c r="P119" s="11">
        <v>1838.2352941176471</v>
      </c>
      <c r="Q119" s="11">
        <v>0</v>
      </c>
      <c r="R119" s="11">
        <v>2018.3823529411766</v>
      </c>
      <c r="S119" s="11">
        <v>18007.352941176472</v>
      </c>
      <c r="T119" s="11">
        <v>0</v>
      </c>
      <c r="U119" s="11">
        <v>63066.176470588238</v>
      </c>
      <c r="V119" s="11">
        <v>1838.2352941176471</v>
      </c>
      <c r="W119" s="11">
        <v>0</v>
      </c>
      <c r="X119" s="11">
        <v>448.52941176470586</v>
      </c>
      <c r="Y119" s="11">
        <v>41797.794117647056</v>
      </c>
      <c r="Z119" s="11">
        <v>0</v>
      </c>
    </row>
    <row r="120" spans="1:26" ht="15" customHeight="1" x14ac:dyDescent="0.25">
      <c r="A120" s="93" t="s">
        <v>1813</v>
      </c>
      <c r="B120" s="93" t="s">
        <v>859</v>
      </c>
      <c r="C120" s="93" t="s">
        <v>873</v>
      </c>
      <c r="D120" s="775" t="s">
        <v>861</v>
      </c>
      <c r="E120" s="154" t="s">
        <v>204</v>
      </c>
      <c r="F120" s="11"/>
      <c r="G120" s="11"/>
      <c r="H120" s="11" t="s">
        <v>41</v>
      </c>
      <c r="I120" s="11" t="s">
        <v>41</v>
      </c>
      <c r="J120" s="11" t="s">
        <v>41</v>
      </c>
      <c r="K120" s="11" t="s">
        <v>41</v>
      </c>
      <c r="L120" s="11">
        <v>12</v>
      </c>
      <c r="M120" s="11"/>
      <c r="N120" s="137">
        <f>SUM(O120:Z120)</f>
        <v>6397.0588235294135</v>
      </c>
      <c r="O120" s="11">
        <v>533.08823529411768</v>
      </c>
      <c r="P120" s="11">
        <v>533.08823529411768</v>
      </c>
      <c r="Q120" s="11">
        <v>533.08823529411768</v>
      </c>
      <c r="R120" s="11">
        <v>533.08823529411768</v>
      </c>
      <c r="S120" s="11">
        <v>533.08823529411768</v>
      </c>
      <c r="T120" s="11">
        <v>533.08823529411768</v>
      </c>
      <c r="U120" s="11">
        <v>533.08823529411768</v>
      </c>
      <c r="V120" s="11">
        <v>533.08823529411768</v>
      </c>
      <c r="W120" s="11">
        <v>533.08823529411768</v>
      </c>
      <c r="X120" s="11">
        <v>533.08823529411768</v>
      </c>
      <c r="Y120" s="11">
        <v>533.08823529411768</v>
      </c>
      <c r="Z120" s="11">
        <v>533.08823529411768</v>
      </c>
    </row>
    <row r="121" spans="1:26" ht="14.25" customHeight="1" x14ac:dyDescent="0.25">
      <c r="A121" s="93" t="s">
        <v>1814</v>
      </c>
      <c r="B121" s="93" t="s">
        <v>875</v>
      </c>
      <c r="C121" s="93" t="s">
        <v>876</v>
      </c>
      <c r="D121" s="775" t="s">
        <v>877</v>
      </c>
      <c r="E121" s="154" t="s">
        <v>204</v>
      </c>
      <c r="F121" s="11" t="s">
        <v>293</v>
      </c>
      <c r="G121" s="155" t="s">
        <v>878</v>
      </c>
      <c r="H121" s="11" t="s">
        <v>41</v>
      </c>
      <c r="I121" s="11" t="s">
        <v>41</v>
      </c>
      <c r="J121" s="11" t="s">
        <v>41</v>
      </c>
      <c r="K121" s="11" t="s">
        <v>42</v>
      </c>
      <c r="L121" s="11">
        <v>12</v>
      </c>
      <c r="M121" s="11"/>
      <c r="N121" s="137">
        <f t="shared" ref="N121" si="19">SUM(O121:Z121)</f>
        <v>54187.5</v>
      </c>
      <c r="O121" s="11">
        <v>1062.5</v>
      </c>
      <c r="P121" s="11">
        <v>1062.5</v>
      </c>
      <c r="Q121" s="11">
        <v>8500</v>
      </c>
      <c r="R121" s="11">
        <v>24437.5</v>
      </c>
      <c r="S121" s="11">
        <v>1062.5</v>
      </c>
      <c r="T121" s="11">
        <v>1062.5</v>
      </c>
      <c r="U121" s="11">
        <v>1062.5</v>
      </c>
      <c r="V121" s="11">
        <v>1062.5</v>
      </c>
      <c r="W121" s="11">
        <v>1062.5</v>
      </c>
      <c r="X121" s="11">
        <v>1062.5</v>
      </c>
      <c r="Y121" s="11">
        <v>11687.5</v>
      </c>
      <c r="Z121" s="11">
        <v>1062.5</v>
      </c>
    </row>
    <row r="122" spans="1:26" s="35" customFormat="1" ht="22.5" customHeight="1" x14ac:dyDescent="0.25">
      <c r="A122" s="33"/>
      <c r="B122" s="34"/>
      <c r="C122" s="34"/>
      <c r="D122" s="34"/>
      <c r="E122" s="50"/>
      <c r="F122" s="50"/>
      <c r="G122" s="696"/>
      <c r="H122" s="50"/>
      <c r="I122" s="50"/>
      <c r="J122" s="51" t="s">
        <v>20</v>
      </c>
      <c r="K122" s="50"/>
      <c r="L122" s="11">
        <v>12</v>
      </c>
      <c r="M122" s="32">
        <f t="shared" ref="M122:Z122" si="20">SUM(M118:M121)</f>
        <v>0</v>
      </c>
      <c r="N122" s="32">
        <f t="shared" si="20"/>
        <v>853671.81036764709</v>
      </c>
      <c r="O122" s="32">
        <f t="shared" si="20"/>
        <v>1860.2941176470588</v>
      </c>
      <c r="P122" s="32">
        <f t="shared" si="20"/>
        <v>3433.8235294117649</v>
      </c>
      <c r="Q122" s="32">
        <f t="shared" si="20"/>
        <v>672840.92801470589</v>
      </c>
      <c r="R122" s="32">
        <f t="shared" si="20"/>
        <v>26988.970588235294</v>
      </c>
      <c r="S122" s="32">
        <f t="shared" si="20"/>
        <v>19602.941176470591</v>
      </c>
      <c r="T122" s="32">
        <f t="shared" si="20"/>
        <v>1595.5882352941176</v>
      </c>
      <c r="U122" s="32">
        <f t="shared" si="20"/>
        <v>64661.764705882357</v>
      </c>
      <c r="V122" s="32">
        <f t="shared" si="20"/>
        <v>3433.8235294117649</v>
      </c>
      <c r="W122" s="32">
        <f t="shared" si="20"/>
        <v>1595.5882352941176</v>
      </c>
      <c r="X122" s="32">
        <f t="shared" si="20"/>
        <v>2044.1176470588234</v>
      </c>
      <c r="Y122" s="32">
        <f t="shared" si="20"/>
        <v>54018.382352941175</v>
      </c>
      <c r="Z122" s="32">
        <f t="shared" si="20"/>
        <v>1595.5882352941176</v>
      </c>
    </row>
    <row r="123" spans="1:26" ht="18" x14ac:dyDescent="0.25">
      <c r="A123" s="30" t="str">
        <f>CONCATENATE(B19," ",C19)</f>
        <v xml:space="preserve">Objective 3.01 Legal/Consulting </v>
      </c>
      <c r="B123" s="30"/>
      <c r="C123" s="31"/>
      <c r="D123" s="31"/>
      <c r="E123" s="29"/>
      <c r="F123" s="29"/>
      <c r="G123" s="685"/>
      <c r="H123" s="29"/>
      <c r="I123" s="29"/>
      <c r="J123" s="29"/>
      <c r="K123" s="29"/>
      <c r="L123" s="29"/>
      <c r="M123" s="29"/>
      <c r="N123" s="29"/>
      <c r="O123" s="29" t="s">
        <v>5</v>
      </c>
      <c r="P123" s="29"/>
      <c r="Q123" s="29"/>
      <c r="R123" s="29"/>
      <c r="S123" s="29"/>
      <c r="T123" s="29"/>
      <c r="U123" s="29"/>
      <c r="V123" s="29"/>
      <c r="W123" s="29"/>
      <c r="X123" s="29"/>
      <c r="Y123" s="29"/>
      <c r="Z123" s="29"/>
    </row>
    <row r="124" spans="1:26" ht="60" x14ac:dyDescent="0.25">
      <c r="A124" s="92" t="s">
        <v>261</v>
      </c>
      <c r="B124" s="92" t="s">
        <v>13</v>
      </c>
      <c r="C124" s="92" t="s">
        <v>14</v>
      </c>
      <c r="D124" s="133" t="s">
        <v>286</v>
      </c>
      <c r="E124" s="32" t="s">
        <v>16</v>
      </c>
      <c r="F124" s="32" t="s">
        <v>295</v>
      </c>
      <c r="G124" s="32" t="s">
        <v>39</v>
      </c>
      <c r="H124" s="32" t="s">
        <v>297</v>
      </c>
      <c r="I124" s="32" t="s">
        <v>298</v>
      </c>
      <c r="J124" s="32" t="s">
        <v>299</v>
      </c>
      <c r="K124" s="32" t="s">
        <v>300</v>
      </c>
      <c r="L124" s="32" t="s">
        <v>17</v>
      </c>
      <c r="M124" s="32" t="s">
        <v>18</v>
      </c>
      <c r="N124" s="32" t="s">
        <v>825</v>
      </c>
      <c r="O124" s="66">
        <v>43101</v>
      </c>
      <c r="P124" s="66">
        <v>43132</v>
      </c>
      <c r="Q124" s="66">
        <v>43160</v>
      </c>
      <c r="R124" s="66">
        <v>43191</v>
      </c>
      <c r="S124" s="66">
        <v>43221</v>
      </c>
      <c r="T124" s="66">
        <v>43252</v>
      </c>
      <c r="U124" s="66">
        <v>43282</v>
      </c>
      <c r="V124" s="66">
        <v>43313</v>
      </c>
      <c r="W124" s="66">
        <v>43344</v>
      </c>
      <c r="X124" s="66">
        <v>43374</v>
      </c>
      <c r="Y124" s="66">
        <v>43405</v>
      </c>
      <c r="Z124" s="66">
        <v>43435</v>
      </c>
    </row>
    <row r="125" spans="1:26" ht="15" customHeight="1" x14ac:dyDescent="0.25">
      <c r="A125" s="93" t="s">
        <v>1815</v>
      </c>
      <c r="B125" s="93" t="s">
        <v>863</v>
      </c>
      <c r="C125" s="93" t="s">
        <v>879</v>
      </c>
      <c r="D125" s="774" t="s">
        <v>880</v>
      </c>
      <c r="E125" s="154" t="s">
        <v>206</v>
      </c>
      <c r="F125" s="157" t="s">
        <v>294</v>
      </c>
      <c r="G125" s="697" t="s">
        <v>879</v>
      </c>
      <c r="H125" s="11" t="s">
        <v>41</v>
      </c>
      <c r="I125" s="11" t="s">
        <v>41</v>
      </c>
      <c r="J125" s="11" t="s">
        <v>42</v>
      </c>
      <c r="K125" s="11" t="s">
        <v>42</v>
      </c>
      <c r="L125" s="11">
        <v>12</v>
      </c>
      <c r="M125" s="11"/>
      <c r="N125" s="137">
        <f t="shared" ref="N125:N128" si="21">SUM(O125:Z125)</f>
        <v>87000</v>
      </c>
      <c r="O125" s="11">
        <v>7250</v>
      </c>
      <c r="P125" s="11">
        <v>7250</v>
      </c>
      <c r="Q125" s="11">
        <v>7250</v>
      </c>
      <c r="R125" s="11">
        <v>7250</v>
      </c>
      <c r="S125" s="11">
        <v>7250</v>
      </c>
      <c r="T125" s="11">
        <v>7250</v>
      </c>
      <c r="U125" s="11">
        <v>7250</v>
      </c>
      <c r="V125" s="11">
        <v>7250</v>
      </c>
      <c r="W125" s="11">
        <v>7250</v>
      </c>
      <c r="X125" s="11">
        <v>7250</v>
      </c>
      <c r="Y125" s="11">
        <v>7250</v>
      </c>
      <c r="Z125" s="11">
        <v>7250</v>
      </c>
    </row>
    <row r="126" spans="1:26" ht="15" customHeight="1" x14ac:dyDescent="0.25">
      <c r="A126" s="93" t="s">
        <v>1817</v>
      </c>
      <c r="B126" s="93" t="s">
        <v>863</v>
      </c>
      <c r="C126" s="93" t="s">
        <v>881</v>
      </c>
      <c r="D126" s="774" t="s">
        <v>882</v>
      </c>
      <c r="E126" s="154" t="s">
        <v>206</v>
      </c>
      <c r="F126" s="157" t="s">
        <v>294</v>
      </c>
      <c r="G126" s="697" t="s">
        <v>883</v>
      </c>
      <c r="H126" s="11" t="s">
        <v>41</v>
      </c>
      <c r="I126" s="11" t="s">
        <v>41</v>
      </c>
      <c r="J126" s="11" t="s">
        <v>42</v>
      </c>
      <c r="K126" s="11" t="s">
        <v>42</v>
      </c>
      <c r="L126" s="11">
        <v>12</v>
      </c>
      <c r="M126" s="11"/>
      <c r="N126" s="137">
        <f t="shared" si="21"/>
        <v>87000</v>
      </c>
      <c r="O126" s="11">
        <v>7250</v>
      </c>
      <c r="P126" s="11">
        <v>7250</v>
      </c>
      <c r="Q126" s="11">
        <v>7250</v>
      </c>
      <c r="R126" s="11">
        <v>7250</v>
      </c>
      <c r="S126" s="11">
        <v>7250</v>
      </c>
      <c r="T126" s="11">
        <v>7250</v>
      </c>
      <c r="U126" s="11">
        <v>7250</v>
      </c>
      <c r="V126" s="11">
        <v>7250</v>
      </c>
      <c r="W126" s="11">
        <v>7250</v>
      </c>
      <c r="X126" s="11">
        <v>7250</v>
      </c>
      <c r="Y126" s="11">
        <v>7250</v>
      </c>
      <c r="Z126" s="11">
        <v>7250</v>
      </c>
    </row>
    <row r="127" spans="1:26" ht="15" customHeight="1" x14ac:dyDescent="0.25">
      <c r="A127" s="93" t="s">
        <v>1824</v>
      </c>
      <c r="B127" s="93" t="s">
        <v>863</v>
      </c>
      <c r="C127" s="93" t="s">
        <v>889</v>
      </c>
      <c r="D127" s="774" t="s">
        <v>890</v>
      </c>
      <c r="E127" s="154" t="s">
        <v>206</v>
      </c>
      <c r="F127" s="157" t="s">
        <v>294</v>
      </c>
      <c r="G127" s="697" t="s">
        <v>889</v>
      </c>
      <c r="H127" s="11" t="s">
        <v>41</v>
      </c>
      <c r="I127" s="11" t="s">
        <v>41</v>
      </c>
      <c r="J127" s="11" t="s">
        <v>42</v>
      </c>
      <c r="K127" s="11" t="s">
        <v>42</v>
      </c>
      <c r="L127" s="11">
        <v>12</v>
      </c>
      <c r="M127" s="11"/>
      <c r="N127" s="137">
        <f t="shared" si="21"/>
        <v>37500</v>
      </c>
      <c r="O127" s="11">
        <v>3125</v>
      </c>
      <c r="P127" s="11">
        <v>3125</v>
      </c>
      <c r="Q127" s="11">
        <v>3125</v>
      </c>
      <c r="R127" s="11">
        <v>3125</v>
      </c>
      <c r="S127" s="11">
        <v>3125</v>
      </c>
      <c r="T127" s="11">
        <v>3125</v>
      </c>
      <c r="U127" s="11">
        <v>3125</v>
      </c>
      <c r="V127" s="11">
        <v>3125</v>
      </c>
      <c r="W127" s="11">
        <v>3125</v>
      </c>
      <c r="X127" s="11">
        <v>3125</v>
      </c>
      <c r="Y127" s="11">
        <v>3125</v>
      </c>
      <c r="Z127" s="11">
        <v>3125</v>
      </c>
    </row>
    <row r="128" spans="1:26" ht="15" customHeight="1" x14ac:dyDescent="0.25">
      <c r="A128" s="93" t="s">
        <v>1826</v>
      </c>
      <c r="B128" s="93" t="s">
        <v>863</v>
      </c>
      <c r="C128" s="93" t="s">
        <v>892</v>
      </c>
      <c r="D128" s="774" t="s">
        <v>893</v>
      </c>
      <c r="E128" s="154" t="s">
        <v>206</v>
      </c>
      <c r="F128" s="157" t="s">
        <v>294</v>
      </c>
      <c r="G128" s="697" t="s">
        <v>892</v>
      </c>
      <c r="H128" s="11" t="s">
        <v>41</v>
      </c>
      <c r="I128" s="11" t="s">
        <v>41</v>
      </c>
      <c r="J128" s="11" t="s">
        <v>42</v>
      </c>
      <c r="K128" s="11" t="s">
        <v>42</v>
      </c>
      <c r="L128" s="11">
        <v>12</v>
      </c>
      <c r="M128" s="11"/>
      <c r="N128" s="137">
        <f t="shared" si="21"/>
        <v>150000</v>
      </c>
      <c r="O128" s="11">
        <v>12500</v>
      </c>
      <c r="P128" s="11">
        <v>12500</v>
      </c>
      <c r="Q128" s="11">
        <v>12500</v>
      </c>
      <c r="R128" s="11">
        <v>12500</v>
      </c>
      <c r="S128" s="11">
        <v>12500</v>
      </c>
      <c r="T128" s="11">
        <v>12500</v>
      </c>
      <c r="U128" s="11">
        <v>12500</v>
      </c>
      <c r="V128" s="11">
        <v>12500</v>
      </c>
      <c r="W128" s="11">
        <v>12500</v>
      </c>
      <c r="X128" s="11">
        <v>12500</v>
      </c>
      <c r="Y128" s="11">
        <v>12500</v>
      </c>
      <c r="Z128" s="11">
        <v>12500</v>
      </c>
    </row>
    <row r="129" spans="1:27" ht="15" customHeight="1" x14ac:dyDescent="0.25">
      <c r="A129" s="93" t="s">
        <v>1835</v>
      </c>
      <c r="B129" s="93" t="s">
        <v>863</v>
      </c>
      <c r="C129" s="93" t="s">
        <v>908</v>
      </c>
      <c r="D129" s="774" t="s">
        <v>909</v>
      </c>
      <c r="E129" s="154" t="s">
        <v>206</v>
      </c>
      <c r="F129" s="157" t="s">
        <v>294</v>
      </c>
      <c r="G129" s="697" t="s">
        <v>910</v>
      </c>
      <c r="H129" s="11" t="s">
        <v>41</v>
      </c>
      <c r="I129" s="11" t="s">
        <v>41</v>
      </c>
      <c r="J129" s="11" t="s">
        <v>42</v>
      </c>
      <c r="K129" s="11" t="s">
        <v>42</v>
      </c>
      <c r="L129" s="11">
        <v>12</v>
      </c>
      <c r="M129" s="11"/>
      <c r="N129" s="137">
        <f t="shared" ref="N129:N136" si="22">SUM(O129:Z129)</f>
        <v>87000</v>
      </c>
      <c r="O129" s="11">
        <v>7250</v>
      </c>
      <c r="P129" s="11">
        <v>7250</v>
      </c>
      <c r="Q129" s="11">
        <v>7250</v>
      </c>
      <c r="R129" s="11">
        <v>7250</v>
      </c>
      <c r="S129" s="11">
        <v>7250</v>
      </c>
      <c r="T129" s="11">
        <v>7250</v>
      </c>
      <c r="U129" s="11">
        <v>7250</v>
      </c>
      <c r="V129" s="11">
        <v>7250</v>
      </c>
      <c r="W129" s="11">
        <v>7250</v>
      </c>
      <c r="X129" s="11">
        <v>7250</v>
      </c>
      <c r="Y129" s="11">
        <v>7250</v>
      </c>
      <c r="Z129" s="11">
        <v>7250</v>
      </c>
    </row>
    <row r="130" spans="1:27" ht="14.25" customHeight="1" x14ac:dyDescent="0.25">
      <c r="A130" s="93" t="s">
        <v>1838</v>
      </c>
      <c r="B130" s="93" t="s">
        <v>863</v>
      </c>
      <c r="C130" s="361" t="s">
        <v>912</v>
      </c>
      <c r="D130" s="966" t="s">
        <v>913</v>
      </c>
      <c r="E130" s="967" t="s">
        <v>206</v>
      </c>
      <c r="F130" s="968" t="s">
        <v>294</v>
      </c>
      <c r="G130" s="969" t="s">
        <v>914</v>
      </c>
      <c r="H130" s="137" t="s">
        <v>41</v>
      </c>
      <c r="I130" s="137" t="s">
        <v>41</v>
      </c>
      <c r="J130" s="137" t="s">
        <v>42</v>
      </c>
      <c r="K130" s="137" t="s">
        <v>42</v>
      </c>
      <c r="L130" s="137">
        <v>12</v>
      </c>
      <c r="M130" s="973"/>
      <c r="N130" s="137">
        <f t="shared" si="22"/>
        <v>12000</v>
      </c>
      <c r="O130" s="11">
        <v>1000</v>
      </c>
      <c r="P130" s="11">
        <v>1000</v>
      </c>
      <c r="Q130" s="11">
        <v>1000</v>
      </c>
      <c r="R130" s="11">
        <v>1000</v>
      </c>
      <c r="S130" s="11">
        <v>1000</v>
      </c>
      <c r="T130" s="11">
        <v>1000</v>
      </c>
      <c r="U130" s="11">
        <v>1000</v>
      </c>
      <c r="V130" s="11">
        <v>1000</v>
      </c>
      <c r="W130" s="11">
        <v>1000</v>
      </c>
      <c r="X130" s="11">
        <v>1000</v>
      </c>
      <c r="Y130" s="11">
        <v>1000</v>
      </c>
      <c r="Z130" s="11">
        <v>1000</v>
      </c>
      <c r="AA130" s="35"/>
    </row>
    <row r="131" spans="1:27" ht="15" customHeight="1" x14ac:dyDescent="0.25">
      <c r="A131" s="93" t="s">
        <v>1840</v>
      </c>
      <c r="B131" s="93" t="s">
        <v>863</v>
      </c>
      <c r="C131" s="361" t="s">
        <v>916</v>
      </c>
      <c r="D131" s="966" t="s">
        <v>917</v>
      </c>
      <c r="E131" s="967" t="s">
        <v>206</v>
      </c>
      <c r="F131" s="968" t="s">
        <v>294</v>
      </c>
      <c r="G131" s="969" t="s">
        <v>918</v>
      </c>
      <c r="H131" s="137" t="s">
        <v>41</v>
      </c>
      <c r="I131" s="137" t="s">
        <v>41</v>
      </c>
      <c r="J131" s="137" t="s">
        <v>42</v>
      </c>
      <c r="K131" s="137" t="s">
        <v>42</v>
      </c>
      <c r="L131" s="137">
        <v>12</v>
      </c>
      <c r="M131" s="137"/>
      <c r="N131" s="137">
        <f t="shared" si="22"/>
        <v>15882.352941176474</v>
      </c>
      <c r="O131" s="11">
        <v>1323.5294117647059</v>
      </c>
      <c r="P131" s="11">
        <v>1323.5294117647059</v>
      </c>
      <c r="Q131" s="11">
        <v>1323.5294117647059</v>
      </c>
      <c r="R131" s="11">
        <v>1323.5294117647059</v>
      </c>
      <c r="S131" s="11">
        <v>1323.5294117647059</v>
      </c>
      <c r="T131" s="11">
        <v>1323.5294117647059</v>
      </c>
      <c r="U131" s="11">
        <v>1323.5294117647059</v>
      </c>
      <c r="V131" s="11">
        <v>1323.5294117647059</v>
      </c>
      <c r="W131" s="11">
        <v>1323.5294117647059</v>
      </c>
      <c r="X131" s="11">
        <v>1323.5294117647059</v>
      </c>
      <c r="Y131" s="11">
        <v>1323.5294117647059</v>
      </c>
      <c r="Z131" s="11">
        <v>1323.5294117647059</v>
      </c>
    </row>
    <row r="132" spans="1:27" ht="15" customHeight="1" x14ac:dyDescent="0.25">
      <c r="A132" s="93" t="s">
        <v>1842</v>
      </c>
      <c r="B132" s="93" t="s">
        <v>863</v>
      </c>
      <c r="C132" s="361" t="s">
        <v>1324</v>
      </c>
      <c r="D132" s="966" t="s">
        <v>1325</v>
      </c>
      <c r="E132" s="967" t="s">
        <v>206</v>
      </c>
      <c r="F132" s="968"/>
      <c r="G132" s="969"/>
      <c r="H132" s="137" t="s">
        <v>41</v>
      </c>
      <c r="I132" s="137" t="s">
        <v>41</v>
      </c>
      <c r="J132" s="137" t="s">
        <v>42</v>
      </c>
      <c r="K132" s="137" t="s">
        <v>42</v>
      </c>
      <c r="L132" s="137">
        <v>12</v>
      </c>
      <c r="M132" s="137"/>
      <c r="N132" s="137">
        <f t="shared" si="22"/>
        <v>100000</v>
      </c>
      <c r="O132" s="11"/>
      <c r="P132" s="11"/>
      <c r="Q132" s="11">
        <f>100000/4</f>
        <v>25000</v>
      </c>
      <c r="R132" s="11"/>
      <c r="S132" s="11"/>
      <c r="T132" s="11">
        <f>100000/4</f>
        <v>25000</v>
      </c>
      <c r="U132" s="11"/>
      <c r="V132" s="11"/>
      <c r="W132" s="11">
        <f>100000/4</f>
        <v>25000</v>
      </c>
      <c r="X132" s="11"/>
      <c r="Y132" s="11"/>
      <c r="Z132" s="11">
        <f>100000/4</f>
        <v>25000</v>
      </c>
    </row>
    <row r="133" spans="1:27" ht="15" customHeight="1" x14ac:dyDescent="0.25">
      <c r="A133" s="93" t="s">
        <v>1847</v>
      </c>
      <c r="B133" s="93" t="s">
        <v>924</v>
      </c>
      <c r="C133" s="361" t="s">
        <v>924</v>
      </c>
      <c r="D133" s="361" t="s">
        <v>925</v>
      </c>
      <c r="E133" s="967" t="s">
        <v>206</v>
      </c>
      <c r="F133" s="137"/>
      <c r="G133" s="137"/>
      <c r="H133" s="137" t="s">
        <v>41</v>
      </c>
      <c r="I133" s="137" t="s">
        <v>41</v>
      </c>
      <c r="J133" s="137" t="s">
        <v>41</v>
      </c>
      <c r="K133" s="137" t="s">
        <v>41</v>
      </c>
      <c r="L133" s="137">
        <v>12</v>
      </c>
      <c r="M133" s="137"/>
      <c r="N133" s="137">
        <f t="shared" si="22"/>
        <v>60000</v>
      </c>
      <c r="O133" s="11">
        <v>5000</v>
      </c>
      <c r="P133" s="11">
        <v>5000</v>
      </c>
      <c r="Q133" s="11">
        <v>5000</v>
      </c>
      <c r="R133" s="11">
        <v>5000</v>
      </c>
      <c r="S133" s="11">
        <v>5000</v>
      </c>
      <c r="T133" s="11">
        <v>5000</v>
      </c>
      <c r="U133" s="11">
        <v>5000</v>
      </c>
      <c r="V133" s="11">
        <v>5000</v>
      </c>
      <c r="W133" s="11">
        <v>5000</v>
      </c>
      <c r="X133" s="11">
        <v>5000</v>
      </c>
      <c r="Y133" s="11">
        <v>5000</v>
      </c>
      <c r="Z133" s="11">
        <v>5000</v>
      </c>
    </row>
    <row r="134" spans="1:27" ht="15" customHeight="1" x14ac:dyDescent="0.25">
      <c r="A134" s="93" t="s">
        <v>1848</v>
      </c>
      <c r="B134" s="93" t="s">
        <v>924</v>
      </c>
      <c r="C134" s="93" t="s">
        <v>927</v>
      </c>
      <c r="D134" s="93" t="s">
        <v>927</v>
      </c>
      <c r="E134" s="154" t="s">
        <v>206</v>
      </c>
      <c r="F134" s="11"/>
      <c r="G134" s="11"/>
      <c r="H134" s="11" t="s">
        <v>41</v>
      </c>
      <c r="I134" s="11" t="s">
        <v>41</v>
      </c>
      <c r="J134" s="11" t="s">
        <v>41</v>
      </c>
      <c r="K134" s="11" t="s">
        <v>41</v>
      </c>
      <c r="L134" s="11">
        <v>12</v>
      </c>
      <c r="M134" s="11"/>
      <c r="N134" s="137">
        <f t="shared" si="22"/>
        <v>20000</v>
      </c>
      <c r="O134" s="11">
        <v>0</v>
      </c>
      <c r="P134" s="11">
        <v>0</v>
      </c>
      <c r="Q134" s="11">
        <v>5000</v>
      </c>
      <c r="R134" s="11">
        <v>0</v>
      </c>
      <c r="S134" s="11">
        <v>0</v>
      </c>
      <c r="T134" s="11">
        <v>5000</v>
      </c>
      <c r="U134" s="11">
        <v>0</v>
      </c>
      <c r="V134" s="11">
        <v>0</v>
      </c>
      <c r="W134" s="11">
        <v>5000</v>
      </c>
      <c r="X134" s="11">
        <v>0</v>
      </c>
      <c r="Y134" s="11">
        <v>0</v>
      </c>
      <c r="Z134" s="11">
        <v>5000</v>
      </c>
    </row>
    <row r="135" spans="1:27" ht="15" customHeight="1" x14ac:dyDescent="0.25">
      <c r="A135" s="93" t="s">
        <v>1849</v>
      </c>
      <c r="B135" s="93" t="s">
        <v>924</v>
      </c>
      <c r="C135" s="93" t="s">
        <v>929</v>
      </c>
      <c r="D135" s="774" t="s">
        <v>930</v>
      </c>
      <c r="E135" s="154" t="s">
        <v>206</v>
      </c>
      <c r="F135" s="11"/>
      <c r="G135" s="53"/>
      <c r="H135" s="11" t="s">
        <v>41</v>
      </c>
      <c r="I135" s="11" t="s">
        <v>41</v>
      </c>
      <c r="J135" s="11" t="s">
        <v>41</v>
      </c>
      <c r="K135" s="11" t="s">
        <v>41</v>
      </c>
      <c r="L135" s="11">
        <v>12</v>
      </c>
      <c r="M135" s="11"/>
      <c r="N135" s="137">
        <f t="shared" si="22"/>
        <v>17000</v>
      </c>
      <c r="O135" s="11">
        <v>1000</v>
      </c>
      <c r="P135" s="11">
        <v>1000</v>
      </c>
      <c r="Q135" s="11">
        <v>2000</v>
      </c>
      <c r="R135" s="11">
        <v>1000</v>
      </c>
      <c r="S135" s="11">
        <v>2000</v>
      </c>
      <c r="T135" s="11">
        <v>1000</v>
      </c>
      <c r="U135" s="11">
        <v>2000</v>
      </c>
      <c r="V135" s="11">
        <v>1000</v>
      </c>
      <c r="W135" s="11">
        <v>2000</v>
      </c>
      <c r="X135" s="11">
        <v>1000</v>
      </c>
      <c r="Y135" s="11">
        <v>2000</v>
      </c>
      <c r="Z135" s="11">
        <v>1000</v>
      </c>
    </row>
    <row r="136" spans="1:27" ht="15" customHeight="1" x14ac:dyDescent="0.25">
      <c r="A136" s="93" t="s">
        <v>1850</v>
      </c>
      <c r="B136" s="93" t="s">
        <v>924</v>
      </c>
      <c r="C136" s="93" t="s">
        <v>932</v>
      </c>
      <c r="D136" s="774" t="s">
        <v>1328</v>
      </c>
      <c r="E136" s="154" t="s">
        <v>206</v>
      </c>
      <c r="F136" s="11"/>
      <c r="G136" s="53"/>
      <c r="H136" s="11" t="s">
        <v>41</v>
      </c>
      <c r="I136" s="11" t="s">
        <v>41</v>
      </c>
      <c r="J136" s="11" t="s">
        <v>41</v>
      </c>
      <c r="K136" s="11" t="s">
        <v>41</v>
      </c>
      <c r="L136" s="11">
        <v>12</v>
      </c>
      <c r="M136" s="11"/>
      <c r="N136" s="137">
        <f t="shared" si="22"/>
        <v>67338.235294117636</v>
      </c>
      <c r="O136" s="11">
        <f t="shared" ref="O136:Z136" si="23">SUM(O125:O135)*0.1</f>
        <v>4569.8529411764712</v>
      </c>
      <c r="P136" s="11">
        <f t="shared" si="23"/>
        <v>4569.8529411764712</v>
      </c>
      <c r="Q136" s="11">
        <f t="shared" si="23"/>
        <v>7669.8529411764703</v>
      </c>
      <c r="R136" s="11">
        <f t="shared" si="23"/>
        <v>4569.8529411764712</v>
      </c>
      <c r="S136" s="11">
        <f t="shared" si="23"/>
        <v>4669.8529411764712</v>
      </c>
      <c r="T136" s="11">
        <f t="shared" si="23"/>
        <v>7569.8529411764703</v>
      </c>
      <c r="U136" s="11">
        <f t="shared" si="23"/>
        <v>4669.8529411764712</v>
      </c>
      <c r="V136" s="11">
        <f t="shared" si="23"/>
        <v>4569.8529411764712</v>
      </c>
      <c r="W136" s="11">
        <f t="shared" si="23"/>
        <v>7669.8529411764703</v>
      </c>
      <c r="X136" s="11">
        <f t="shared" si="23"/>
        <v>4569.8529411764712</v>
      </c>
      <c r="Y136" s="11">
        <f t="shared" si="23"/>
        <v>4669.8529411764712</v>
      </c>
      <c r="Z136" s="11">
        <f t="shared" si="23"/>
        <v>7569.8529411764703</v>
      </c>
    </row>
    <row r="137" spans="1:27" s="35" customFormat="1" ht="22.5" customHeight="1" x14ac:dyDescent="0.25">
      <c r="A137" s="33"/>
      <c r="B137" s="34"/>
      <c r="C137" s="34"/>
      <c r="D137" s="34"/>
      <c r="E137" s="50"/>
      <c r="F137" s="50"/>
      <c r="G137" s="696"/>
      <c r="H137" s="50"/>
      <c r="I137" s="50"/>
      <c r="J137" s="51" t="s">
        <v>20</v>
      </c>
      <c r="K137" s="50"/>
      <c r="L137" s="11">
        <v>12</v>
      </c>
      <c r="M137" s="32">
        <f t="shared" ref="M137:Z137" si="24">SUM(M125:M136)</f>
        <v>0</v>
      </c>
      <c r="N137" s="32">
        <f t="shared" si="24"/>
        <v>740720.58823529398</v>
      </c>
      <c r="O137" s="32">
        <f t="shared" si="24"/>
        <v>50268.382352941175</v>
      </c>
      <c r="P137" s="32">
        <f t="shared" si="24"/>
        <v>50268.382352941175</v>
      </c>
      <c r="Q137" s="32">
        <f t="shared" si="24"/>
        <v>84368.382352941175</v>
      </c>
      <c r="R137" s="32">
        <f t="shared" si="24"/>
        <v>50268.382352941175</v>
      </c>
      <c r="S137" s="32">
        <f t="shared" si="24"/>
        <v>51368.382352941175</v>
      </c>
      <c r="T137" s="32">
        <f t="shared" si="24"/>
        <v>83268.382352941175</v>
      </c>
      <c r="U137" s="32">
        <f t="shared" si="24"/>
        <v>51368.382352941175</v>
      </c>
      <c r="V137" s="32">
        <f t="shared" si="24"/>
        <v>50268.382352941175</v>
      </c>
      <c r="W137" s="32">
        <f t="shared" si="24"/>
        <v>84368.382352941175</v>
      </c>
      <c r="X137" s="32">
        <f t="shared" si="24"/>
        <v>50268.382352941175</v>
      </c>
      <c r="Y137" s="32">
        <f t="shared" si="24"/>
        <v>51368.382352941175</v>
      </c>
      <c r="Z137" s="32">
        <f t="shared" si="24"/>
        <v>83268.382352941175</v>
      </c>
    </row>
    <row r="138" spans="1:27" ht="18" x14ac:dyDescent="0.25">
      <c r="A138" s="30" t="str">
        <f>CONCATENATE(B20," ",C20)</f>
        <v>Objective 3.02 Legal/Consulting Land Access</v>
      </c>
      <c r="B138" s="30"/>
      <c r="C138" s="31"/>
      <c r="D138" s="31"/>
      <c r="E138" s="29"/>
      <c r="F138" s="29"/>
      <c r="G138" s="685"/>
      <c r="H138" s="29"/>
      <c r="I138" s="29"/>
      <c r="J138" s="29"/>
      <c r="K138" s="29"/>
      <c r="L138" s="29"/>
      <c r="M138" s="29"/>
      <c r="N138" s="29"/>
      <c r="O138" s="29" t="s">
        <v>5</v>
      </c>
      <c r="P138" s="29"/>
      <c r="Q138" s="29"/>
      <c r="R138" s="29"/>
      <c r="S138" s="29"/>
      <c r="T138" s="29"/>
      <c r="U138" s="29"/>
      <c r="V138" s="29"/>
      <c r="W138" s="29"/>
      <c r="X138" s="29"/>
      <c r="Y138" s="29"/>
      <c r="Z138" s="29"/>
    </row>
    <row r="139" spans="1:27" ht="60" x14ac:dyDescent="0.25">
      <c r="A139" s="92" t="s">
        <v>261</v>
      </c>
      <c r="B139" s="92" t="s">
        <v>13</v>
      </c>
      <c r="C139" s="92" t="s">
        <v>14</v>
      </c>
      <c r="D139" s="133" t="s">
        <v>286</v>
      </c>
      <c r="E139" s="32" t="s">
        <v>16</v>
      </c>
      <c r="F139" s="32" t="s">
        <v>295</v>
      </c>
      <c r="G139" s="32" t="s">
        <v>39</v>
      </c>
      <c r="H139" s="32" t="s">
        <v>297</v>
      </c>
      <c r="I139" s="32" t="s">
        <v>298</v>
      </c>
      <c r="J139" s="32" t="s">
        <v>299</v>
      </c>
      <c r="K139" s="32" t="s">
        <v>300</v>
      </c>
      <c r="L139" s="32" t="s">
        <v>17</v>
      </c>
      <c r="M139" s="32" t="s">
        <v>18</v>
      </c>
      <c r="N139" s="32" t="s">
        <v>825</v>
      </c>
      <c r="O139" s="66">
        <v>43101</v>
      </c>
      <c r="P139" s="66">
        <v>43132</v>
      </c>
      <c r="Q139" s="66">
        <v>43160</v>
      </c>
      <c r="R139" s="66">
        <v>43191</v>
      </c>
      <c r="S139" s="66">
        <v>43221</v>
      </c>
      <c r="T139" s="66">
        <v>43252</v>
      </c>
      <c r="U139" s="66">
        <v>43282</v>
      </c>
      <c r="V139" s="66">
        <v>43313</v>
      </c>
      <c r="W139" s="66">
        <v>43344</v>
      </c>
      <c r="X139" s="66">
        <v>43374</v>
      </c>
      <c r="Y139" s="66">
        <v>43405</v>
      </c>
      <c r="Z139" s="66">
        <v>43435</v>
      </c>
    </row>
    <row r="140" spans="1:27" ht="15" customHeight="1" x14ac:dyDescent="0.25">
      <c r="A140" s="93" t="s">
        <v>1819</v>
      </c>
      <c r="B140" s="93" t="s">
        <v>863</v>
      </c>
      <c r="C140" s="361" t="s">
        <v>881</v>
      </c>
      <c r="D140" s="966" t="s">
        <v>884</v>
      </c>
      <c r="E140" s="967" t="s">
        <v>206</v>
      </c>
      <c r="F140" s="968" t="s">
        <v>294</v>
      </c>
      <c r="G140" s="969" t="s">
        <v>883</v>
      </c>
      <c r="H140" s="137" t="s">
        <v>41</v>
      </c>
      <c r="I140" s="137" t="s">
        <v>41</v>
      </c>
      <c r="J140" s="137" t="s">
        <v>42</v>
      </c>
      <c r="K140" s="137" t="s">
        <v>42</v>
      </c>
      <c r="L140" s="137">
        <v>12</v>
      </c>
      <c r="M140" s="137"/>
      <c r="N140" s="137">
        <f t="shared" ref="N140" si="25">SUM(O140:Z140)</f>
        <v>469411.76470588235</v>
      </c>
      <c r="O140" s="11">
        <v>19558.823529411766</v>
      </c>
      <c r="P140" s="11">
        <v>19558.823529411766</v>
      </c>
      <c r="Q140" s="11">
        <v>19558.823529411766</v>
      </c>
      <c r="R140" s="11">
        <v>19558.823529411766</v>
      </c>
      <c r="S140" s="11">
        <v>19558.823529411766</v>
      </c>
      <c r="T140" s="11">
        <v>19558.823529411766</v>
      </c>
      <c r="U140" s="11">
        <v>58676.470588235294</v>
      </c>
      <c r="V140" s="11">
        <v>58676.470588235294</v>
      </c>
      <c r="W140" s="11">
        <v>58676.470588235294</v>
      </c>
      <c r="X140" s="11">
        <v>58676.470588235294</v>
      </c>
      <c r="Y140" s="11">
        <v>58676.470588235294</v>
      </c>
      <c r="Z140" s="11">
        <v>58676.470588235294</v>
      </c>
    </row>
    <row r="141" spans="1:27" ht="15" customHeight="1" x14ac:dyDescent="0.25">
      <c r="A141" s="958" t="s">
        <v>2429</v>
      </c>
      <c r="B141" s="958"/>
      <c r="C141" s="958" t="s">
        <v>2425</v>
      </c>
      <c r="D141" s="959" t="s">
        <v>2426</v>
      </c>
      <c r="E141" s="960" t="s">
        <v>206</v>
      </c>
      <c r="F141" s="961" t="s">
        <v>294</v>
      </c>
      <c r="G141" s="962" t="s">
        <v>883</v>
      </c>
      <c r="H141" s="963" t="s">
        <v>41</v>
      </c>
      <c r="I141" s="963" t="s">
        <v>41</v>
      </c>
      <c r="J141" s="963" t="s">
        <v>42</v>
      </c>
      <c r="K141" s="963" t="s">
        <v>42</v>
      </c>
      <c r="L141" s="963">
        <v>12</v>
      </c>
      <c r="M141" s="963"/>
      <c r="N141" s="963">
        <v>395388.82361764717</v>
      </c>
      <c r="O141" s="963">
        <v>0</v>
      </c>
      <c r="P141" s="963">
        <v>0</v>
      </c>
      <c r="Q141" s="963">
        <v>0</v>
      </c>
      <c r="R141" s="963">
        <v>25978.823529411799</v>
      </c>
      <c r="S141" s="963">
        <v>17838.823529411799</v>
      </c>
      <c r="T141" s="963">
        <v>17838.823529411799</v>
      </c>
      <c r="U141" s="963">
        <v>56956.470588235301</v>
      </c>
      <c r="V141" s="963">
        <v>56956.470588235301</v>
      </c>
      <c r="W141" s="963">
        <v>48950.000088235305</v>
      </c>
      <c r="X141" s="963">
        <v>56956.470588235301</v>
      </c>
      <c r="Y141" s="963">
        <v>56956.470588235301</v>
      </c>
      <c r="Z141" s="963">
        <v>56956.470588235301</v>
      </c>
    </row>
    <row r="142" spans="1:27" ht="15" customHeight="1" x14ac:dyDescent="0.25">
      <c r="A142" s="958" t="s">
        <v>2430</v>
      </c>
      <c r="B142" s="958"/>
      <c r="C142" s="958" t="s">
        <v>881</v>
      </c>
      <c r="D142" s="959" t="s">
        <v>2427</v>
      </c>
      <c r="E142" s="960" t="s">
        <v>206</v>
      </c>
      <c r="F142" s="961" t="s">
        <v>294</v>
      </c>
      <c r="G142" s="962" t="s">
        <v>883</v>
      </c>
      <c r="H142" s="963" t="s">
        <v>41</v>
      </c>
      <c r="I142" s="963" t="s">
        <v>41</v>
      </c>
      <c r="J142" s="963" t="s">
        <v>42</v>
      </c>
      <c r="K142" s="963" t="s">
        <v>42</v>
      </c>
      <c r="L142" s="963">
        <v>12</v>
      </c>
      <c r="M142" s="963"/>
      <c r="N142" s="963">
        <v>20647</v>
      </c>
      <c r="O142" s="963">
        <v>1727</v>
      </c>
      <c r="P142" s="963">
        <v>1720</v>
      </c>
      <c r="Q142" s="963">
        <v>1720</v>
      </c>
      <c r="R142" s="963">
        <v>1720</v>
      </c>
      <c r="S142" s="963">
        <v>1720</v>
      </c>
      <c r="T142" s="963">
        <v>1720</v>
      </c>
      <c r="U142" s="963">
        <v>1720</v>
      </c>
      <c r="V142" s="963">
        <v>1720</v>
      </c>
      <c r="W142" s="963">
        <v>1720</v>
      </c>
      <c r="X142" s="963">
        <v>1720</v>
      </c>
      <c r="Y142" s="963">
        <v>1720</v>
      </c>
      <c r="Z142" s="963">
        <v>1720</v>
      </c>
    </row>
    <row r="143" spans="1:27" ht="15" customHeight="1" x14ac:dyDescent="0.25">
      <c r="A143" s="958" t="s">
        <v>2431</v>
      </c>
      <c r="B143" s="958"/>
      <c r="C143" s="958" t="s">
        <v>2428</v>
      </c>
      <c r="D143" s="959" t="s">
        <v>2427</v>
      </c>
      <c r="E143" s="960" t="s">
        <v>206</v>
      </c>
      <c r="F143" s="961" t="s">
        <v>294</v>
      </c>
      <c r="G143" s="962" t="s">
        <v>883</v>
      </c>
      <c r="H143" s="963" t="s">
        <v>41</v>
      </c>
      <c r="I143" s="963" t="s">
        <v>41</v>
      </c>
      <c r="J143" s="963" t="s">
        <v>42</v>
      </c>
      <c r="K143" s="963" t="s">
        <v>42</v>
      </c>
      <c r="L143" s="963">
        <v>12</v>
      </c>
      <c r="M143" s="963"/>
      <c r="N143" s="963">
        <v>53376.47</v>
      </c>
      <c r="O143" s="963">
        <v>10675.294000000002</v>
      </c>
      <c r="P143" s="963">
        <v>0</v>
      </c>
      <c r="Q143" s="963">
        <v>34694.705500000004</v>
      </c>
      <c r="R143" s="963">
        <v>0</v>
      </c>
      <c r="S143" s="963">
        <v>0</v>
      </c>
      <c r="T143" s="963">
        <v>8006.4704999999994</v>
      </c>
      <c r="U143" s="963">
        <v>0</v>
      </c>
      <c r="V143" s="963">
        <v>0</v>
      </c>
      <c r="W143" s="963">
        <v>0</v>
      </c>
      <c r="X143" s="963">
        <v>0</v>
      </c>
      <c r="Y143" s="963">
        <v>0</v>
      </c>
      <c r="Z143" s="963">
        <v>0</v>
      </c>
    </row>
    <row r="144" spans="1:27" ht="15" customHeight="1" x14ac:dyDescent="0.25">
      <c r="A144" s="93" t="s">
        <v>1820</v>
      </c>
      <c r="B144" s="93" t="s">
        <v>863</v>
      </c>
      <c r="C144" s="361" t="s">
        <v>885</v>
      </c>
      <c r="D144" s="966" t="s">
        <v>886</v>
      </c>
      <c r="E144" s="967" t="s">
        <v>206</v>
      </c>
      <c r="F144" s="968" t="s">
        <v>294</v>
      </c>
      <c r="G144" s="969" t="s">
        <v>885</v>
      </c>
      <c r="H144" s="137" t="s">
        <v>41</v>
      </c>
      <c r="I144" s="137" t="s">
        <v>41</v>
      </c>
      <c r="J144" s="137" t="s">
        <v>42</v>
      </c>
      <c r="K144" s="137" t="s">
        <v>42</v>
      </c>
      <c r="L144" s="137">
        <v>12</v>
      </c>
      <c r="M144" s="137"/>
      <c r="N144" s="137">
        <v>187764.70588235289</v>
      </c>
      <c r="O144" s="11">
        <v>15647.058823529413</v>
      </c>
      <c r="P144" s="11">
        <v>15647.058823529413</v>
      </c>
      <c r="Q144" s="11">
        <v>15647.058823529413</v>
      </c>
      <c r="R144" s="11">
        <v>15647.058823529413</v>
      </c>
      <c r="S144" s="11">
        <v>15647.058823529413</v>
      </c>
      <c r="T144" s="11">
        <v>15647.058823529413</v>
      </c>
      <c r="U144" s="11">
        <v>15647.058823529413</v>
      </c>
      <c r="V144" s="11">
        <v>15647.058823529413</v>
      </c>
      <c r="W144" s="11">
        <v>15647.058823529413</v>
      </c>
      <c r="X144" s="11">
        <v>15647.058823529413</v>
      </c>
      <c r="Y144" s="11">
        <v>15647.058823529413</v>
      </c>
      <c r="Z144" s="11">
        <v>15647.058823529413</v>
      </c>
    </row>
    <row r="145" spans="1:30" ht="15" customHeight="1" x14ac:dyDescent="0.25">
      <c r="A145" s="93" t="s">
        <v>1822</v>
      </c>
      <c r="B145" s="93" t="s">
        <v>863</v>
      </c>
      <c r="C145" s="361" t="s">
        <v>887</v>
      </c>
      <c r="D145" s="966" t="s">
        <v>888</v>
      </c>
      <c r="E145" s="967" t="s">
        <v>206</v>
      </c>
      <c r="F145" s="968" t="s">
        <v>294</v>
      </c>
      <c r="G145" s="969" t="s">
        <v>887</v>
      </c>
      <c r="H145" s="137" t="s">
        <v>41</v>
      </c>
      <c r="I145" s="137" t="s">
        <v>41</v>
      </c>
      <c r="J145" s="137" t="s">
        <v>42</v>
      </c>
      <c r="K145" s="137" t="s">
        <v>42</v>
      </c>
      <c r="L145" s="137">
        <v>12</v>
      </c>
      <c r="M145" s="137"/>
      <c r="N145" s="137">
        <v>233294.1176470588</v>
      </c>
      <c r="O145" s="11">
        <v>13691.176470588236</v>
      </c>
      <c r="P145" s="11">
        <v>13691.176470588236</v>
      </c>
      <c r="Q145" s="11">
        <v>13691.176470588236</v>
      </c>
      <c r="R145" s="11">
        <v>13691.176470588236</v>
      </c>
      <c r="S145" s="11">
        <v>13691.176470588236</v>
      </c>
      <c r="T145" s="11">
        <v>13691.176470588236</v>
      </c>
      <c r="U145" s="11">
        <v>13691.176470588236</v>
      </c>
      <c r="V145" s="11">
        <v>13691.176470588236</v>
      </c>
      <c r="W145" s="11">
        <v>13691.176470588236</v>
      </c>
      <c r="X145" s="11">
        <v>13691.176470588236</v>
      </c>
      <c r="Y145" s="11">
        <v>13691.176470588236</v>
      </c>
      <c r="Z145" s="11">
        <v>82691.176470588238</v>
      </c>
      <c r="AB145" s="9">
        <v>1750</v>
      </c>
      <c r="AC145" s="778">
        <f>+AB145*26600/680</f>
        <v>68455.882352941175</v>
      </c>
      <c r="AD145" s="9" t="s">
        <v>1563</v>
      </c>
    </row>
    <row r="146" spans="1:30" ht="15" customHeight="1" x14ac:dyDescent="0.25">
      <c r="A146" s="93" t="s">
        <v>1828</v>
      </c>
      <c r="B146" s="93" t="s">
        <v>863</v>
      </c>
      <c r="C146" s="970" t="s">
        <v>895</v>
      </c>
      <c r="D146" s="361" t="s">
        <v>896</v>
      </c>
      <c r="E146" s="967" t="s">
        <v>206</v>
      </c>
      <c r="F146" s="968" t="s">
        <v>294</v>
      </c>
      <c r="G146" s="971" t="s">
        <v>895</v>
      </c>
      <c r="H146" s="137" t="s">
        <v>41</v>
      </c>
      <c r="I146" s="137" t="s">
        <v>41</v>
      </c>
      <c r="J146" s="137" t="s">
        <v>42</v>
      </c>
      <c r="K146" s="137" t="s">
        <v>42</v>
      </c>
      <c r="L146" s="137">
        <v>12</v>
      </c>
      <c r="M146" s="137"/>
      <c r="N146" s="137">
        <v>50400</v>
      </c>
      <c r="O146" s="11">
        <v>4200</v>
      </c>
      <c r="P146" s="11">
        <v>4200</v>
      </c>
      <c r="Q146" s="11">
        <v>4200</v>
      </c>
      <c r="R146" s="11">
        <v>4200</v>
      </c>
      <c r="S146" s="11">
        <v>4200</v>
      </c>
      <c r="T146" s="11">
        <v>4200</v>
      </c>
      <c r="U146" s="11">
        <v>4200</v>
      </c>
      <c r="V146" s="11">
        <v>4200</v>
      </c>
      <c r="W146" s="11">
        <v>4200</v>
      </c>
      <c r="X146" s="11">
        <v>4200</v>
      </c>
      <c r="Y146" s="11">
        <v>4200</v>
      </c>
      <c r="Z146" s="11">
        <v>4200</v>
      </c>
    </row>
    <row r="147" spans="1:30" ht="12.75" customHeight="1" x14ac:dyDescent="0.25">
      <c r="A147" s="93" t="s">
        <v>1830</v>
      </c>
      <c r="B147" s="93" t="s">
        <v>863</v>
      </c>
      <c r="C147" s="361" t="s">
        <v>898</v>
      </c>
      <c r="D147" s="966" t="s">
        <v>899</v>
      </c>
      <c r="E147" s="967" t="s">
        <v>206</v>
      </c>
      <c r="F147" s="968" t="s">
        <v>289</v>
      </c>
      <c r="G147" s="972" t="s">
        <v>900</v>
      </c>
      <c r="H147" s="137" t="s">
        <v>41</v>
      </c>
      <c r="I147" s="137" t="s">
        <v>41</v>
      </c>
      <c r="J147" s="137" t="s">
        <v>42</v>
      </c>
      <c r="K147" s="137" t="s">
        <v>42</v>
      </c>
      <c r="L147" s="137">
        <v>12</v>
      </c>
      <c r="M147" s="137"/>
      <c r="N147" s="137">
        <v>213411.76470588235</v>
      </c>
      <c r="O147" s="11">
        <v>2500</v>
      </c>
      <c r="P147" s="11">
        <v>2500</v>
      </c>
      <c r="Q147" s="11">
        <v>2500</v>
      </c>
      <c r="R147" s="11">
        <v>2500</v>
      </c>
      <c r="S147" s="11">
        <v>15647.058823529413</v>
      </c>
      <c r="T147" s="11">
        <v>15647.058823529413</v>
      </c>
      <c r="U147" s="11">
        <v>15647.058823529413</v>
      </c>
      <c r="V147" s="11">
        <v>15647.058823529413</v>
      </c>
      <c r="W147" s="11">
        <v>15647.058823529413</v>
      </c>
      <c r="X147" s="11">
        <v>15647.058823529413</v>
      </c>
      <c r="Y147" s="11">
        <v>15647.058823529413</v>
      </c>
      <c r="Z147" s="11">
        <v>93882.352941176476</v>
      </c>
    </row>
    <row r="148" spans="1:30" ht="15" customHeight="1" x14ac:dyDescent="0.25">
      <c r="A148" s="93" t="s">
        <v>1832</v>
      </c>
      <c r="B148" s="93" t="s">
        <v>863</v>
      </c>
      <c r="C148" s="361" t="s">
        <v>898</v>
      </c>
      <c r="D148" s="966" t="s">
        <v>902</v>
      </c>
      <c r="E148" s="967" t="s">
        <v>206</v>
      </c>
      <c r="F148" s="968" t="s">
        <v>289</v>
      </c>
      <c r="G148" s="972" t="s">
        <v>900</v>
      </c>
      <c r="H148" s="137" t="s">
        <v>41</v>
      </c>
      <c r="I148" s="137" t="s">
        <v>41</v>
      </c>
      <c r="J148" s="137" t="s">
        <v>42</v>
      </c>
      <c r="K148" s="137" t="s">
        <v>42</v>
      </c>
      <c r="L148" s="137">
        <v>12</v>
      </c>
      <c r="M148" s="137"/>
      <c r="N148" s="137">
        <v>213411.76470588235</v>
      </c>
      <c r="O148" s="11">
        <v>2500</v>
      </c>
      <c r="P148" s="11">
        <v>2500</v>
      </c>
      <c r="Q148" s="11">
        <v>2500</v>
      </c>
      <c r="R148" s="11">
        <v>2500</v>
      </c>
      <c r="S148" s="11">
        <v>15647.058823529413</v>
      </c>
      <c r="T148" s="11">
        <v>15647.058823529413</v>
      </c>
      <c r="U148" s="11">
        <v>15647.058823529413</v>
      </c>
      <c r="V148" s="11">
        <v>15647.058823529413</v>
      </c>
      <c r="W148" s="11">
        <v>15647.058823529413</v>
      </c>
      <c r="X148" s="11">
        <v>15647.058823529413</v>
      </c>
      <c r="Y148" s="11">
        <v>15647.058823529413</v>
      </c>
      <c r="Z148" s="11">
        <v>93882.352941176476</v>
      </c>
    </row>
    <row r="149" spans="1:30" ht="15" customHeight="1" x14ac:dyDescent="0.25">
      <c r="A149" s="93" t="s">
        <v>1833</v>
      </c>
      <c r="B149" s="93" t="s">
        <v>863</v>
      </c>
      <c r="C149" s="361" t="s">
        <v>898</v>
      </c>
      <c r="D149" s="966" t="s">
        <v>904</v>
      </c>
      <c r="E149" s="967" t="s">
        <v>206</v>
      </c>
      <c r="F149" s="968" t="s">
        <v>289</v>
      </c>
      <c r="G149" s="972" t="s">
        <v>900</v>
      </c>
      <c r="H149" s="137" t="s">
        <v>41</v>
      </c>
      <c r="I149" s="137" t="s">
        <v>41</v>
      </c>
      <c r="J149" s="137" t="s">
        <v>42</v>
      </c>
      <c r="K149" s="137" t="s">
        <v>42</v>
      </c>
      <c r="L149" s="137">
        <v>12</v>
      </c>
      <c r="M149" s="137"/>
      <c r="N149" s="137">
        <v>213411.76470588235</v>
      </c>
      <c r="O149" s="11">
        <v>2500</v>
      </c>
      <c r="P149" s="11">
        <v>2500</v>
      </c>
      <c r="Q149" s="11">
        <v>2500</v>
      </c>
      <c r="R149" s="11">
        <v>2500</v>
      </c>
      <c r="S149" s="11">
        <v>15647.058823529413</v>
      </c>
      <c r="T149" s="11">
        <v>15647.058823529413</v>
      </c>
      <c r="U149" s="11">
        <v>15647.058823529413</v>
      </c>
      <c r="V149" s="11">
        <v>15647.058823529413</v>
      </c>
      <c r="W149" s="11">
        <v>15647.058823529413</v>
      </c>
      <c r="X149" s="11">
        <v>15647.058823529413</v>
      </c>
      <c r="Y149" s="11">
        <v>15647.058823529413</v>
      </c>
      <c r="Z149" s="11">
        <v>93882.352941176476</v>
      </c>
    </row>
    <row r="150" spans="1:30" ht="15" customHeight="1" x14ac:dyDescent="0.25">
      <c r="A150" s="93" t="s">
        <v>1834</v>
      </c>
      <c r="B150" s="93" t="s">
        <v>863</v>
      </c>
      <c r="C150" s="361" t="s">
        <v>898</v>
      </c>
      <c r="D150" s="966" t="s">
        <v>906</v>
      </c>
      <c r="E150" s="967" t="s">
        <v>206</v>
      </c>
      <c r="F150" s="968" t="s">
        <v>289</v>
      </c>
      <c r="G150" s="972" t="s">
        <v>900</v>
      </c>
      <c r="H150" s="137" t="s">
        <v>41</v>
      </c>
      <c r="I150" s="137" t="s">
        <v>41</v>
      </c>
      <c r="J150" s="137" t="s">
        <v>42</v>
      </c>
      <c r="K150" s="137" t="s">
        <v>42</v>
      </c>
      <c r="L150" s="137">
        <v>12</v>
      </c>
      <c r="M150" s="137"/>
      <c r="N150" s="137">
        <v>213411.76470588235</v>
      </c>
      <c r="O150" s="11">
        <v>2500</v>
      </c>
      <c r="P150" s="11">
        <v>2500</v>
      </c>
      <c r="Q150" s="11">
        <v>2500</v>
      </c>
      <c r="R150" s="11">
        <v>2500</v>
      </c>
      <c r="S150" s="11">
        <v>15647.058823529413</v>
      </c>
      <c r="T150" s="11">
        <v>15647.058823529413</v>
      </c>
      <c r="U150" s="11">
        <v>15647.058823529413</v>
      </c>
      <c r="V150" s="11">
        <v>15647.058823529413</v>
      </c>
      <c r="W150" s="11">
        <v>15647.058823529413</v>
      </c>
      <c r="X150" s="11">
        <v>15647.058823529413</v>
      </c>
      <c r="Y150" s="11">
        <v>15647.058823529413</v>
      </c>
      <c r="Z150" s="11">
        <v>93882.352941176476</v>
      </c>
    </row>
    <row r="151" spans="1:30" ht="15" customHeight="1" x14ac:dyDescent="0.25">
      <c r="A151" s="93" t="s">
        <v>1844</v>
      </c>
      <c r="B151" s="93" t="s">
        <v>863</v>
      </c>
      <c r="C151" s="361" t="s">
        <v>1326</v>
      </c>
      <c r="D151" s="966" t="s">
        <v>1327</v>
      </c>
      <c r="E151" s="967" t="s">
        <v>206</v>
      </c>
      <c r="F151" s="968"/>
      <c r="G151" s="969"/>
      <c r="H151" s="137" t="s">
        <v>41</v>
      </c>
      <c r="I151" s="137" t="s">
        <v>41</v>
      </c>
      <c r="J151" s="137" t="s">
        <v>42</v>
      </c>
      <c r="K151" s="137" t="s">
        <v>42</v>
      </c>
      <c r="L151" s="137">
        <v>12</v>
      </c>
      <c r="M151" s="137"/>
      <c r="N151" s="137">
        <v>20000</v>
      </c>
      <c r="O151" s="11"/>
      <c r="P151" s="11"/>
      <c r="Q151" s="11"/>
      <c r="R151" s="11"/>
      <c r="S151" s="11"/>
      <c r="T151" s="11"/>
      <c r="U151" s="11"/>
      <c r="V151" s="11"/>
      <c r="W151" s="11">
        <v>10000</v>
      </c>
      <c r="X151" s="11"/>
      <c r="Y151" s="11"/>
      <c r="Z151" s="11">
        <v>10000</v>
      </c>
    </row>
    <row r="152" spans="1:30" ht="15" customHeight="1" x14ac:dyDescent="0.25">
      <c r="A152" s="167" t="s">
        <v>2311</v>
      </c>
      <c r="B152" s="93" t="s">
        <v>924</v>
      </c>
      <c r="C152" s="93" t="s">
        <v>932</v>
      </c>
      <c r="D152" s="774" t="s">
        <v>1328</v>
      </c>
      <c r="E152" s="154" t="s">
        <v>206</v>
      </c>
      <c r="F152" s="11"/>
      <c r="G152" s="53"/>
      <c r="H152" s="11" t="s">
        <v>41</v>
      </c>
      <c r="I152" s="11" t="s">
        <v>41</v>
      </c>
      <c r="J152" s="11" t="s">
        <v>41</v>
      </c>
      <c r="K152" s="11" t="s">
        <v>41</v>
      </c>
      <c r="L152" s="11">
        <v>12</v>
      </c>
      <c r="M152" s="11"/>
      <c r="N152" s="137">
        <v>181451.76470588238</v>
      </c>
      <c r="O152" s="11">
        <v>6309.7058823529414</v>
      </c>
      <c r="P152" s="11">
        <v>6309.7058823529414</v>
      </c>
      <c r="Q152" s="11">
        <v>6309.7058823529414</v>
      </c>
      <c r="R152" s="11">
        <v>6309.7058823529414</v>
      </c>
      <c r="S152" s="11">
        <v>11568.529411764706</v>
      </c>
      <c r="T152" s="11">
        <v>11568.529411764706</v>
      </c>
      <c r="U152" s="11">
        <v>15480.294117647061</v>
      </c>
      <c r="V152" s="11">
        <v>15480.294117647061</v>
      </c>
      <c r="W152" s="11">
        <v>16480.294117647059</v>
      </c>
      <c r="X152" s="11">
        <v>15480.294117647061</v>
      </c>
      <c r="Y152" s="11">
        <v>15480.294117647061</v>
      </c>
      <c r="Z152" s="11">
        <v>54674.411764705896</v>
      </c>
    </row>
    <row r="153" spans="1:30" s="35" customFormat="1" ht="22.5" customHeight="1" x14ac:dyDescent="0.25">
      <c r="A153" s="33"/>
      <c r="B153" s="34"/>
      <c r="C153" s="34"/>
      <c r="D153" s="34"/>
      <c r="E153" s="50"/>
      <c r="F153" s="50"/>
      <c r="G153" s="696"/>
      <c r="H153" s="50"/>
      <c r="I153" s="50"/>
      <c r="J153" s="51" t="s">
        <v>20</v>
      </c>
      <c r="K153" s="50"/>
      <c r="L153" s="11">
        <v>12</v>
      </c>
      <c r="M153" s="32">
        <f>SUM(M140:M152)</f>
        <v>0</v>
      </c>
      <c r="N153" s="32">
        <f>N140+N144+N145+N146+N147+N148+N149+N150+N151+N152</f>
        <v>1995969.411764706</v>
      </c>
      <c r="O153" s="32">
        <f t="shared" ref="O153:Z153" si="26">O140+O144+O145+O146+O147+O148+O149+O150+O151+O152</f>
        <v>69406.76470588235</v>
      </c>
      <c r="P153" s="32">
        <f t="shared" si="26"/>
        <v>69406.76470588235</v>
      </c>
      <c r="Q153" s="32">
        <f t="shared" si="26"/>
        <v>69406.76470588235</v>
      </c>
      <c r="R153" s="32">
        <f t="shared" si="26"/>
        <v>69406.76470588235</v>
      </c>
      <c r="S153" s="32">
        <f t="shared" si="26"/>
        <v>127253.82352941178</v>
      </c>
      <c r="T153" s="32">
        <f t="shared" si="26"/>
        <v>127253.82352941178</v>
      </c>
      <c r="U153" s="32">
        <f t="shared" si="26"/>
        <v>170283.23529411765</v>
      </c>
      <c r="V153" s="32">
        <f t="shared" si="26"/>
        <v>170283.23529411765</v>
      </c>
      <c r="W153" s="32">
        <f t="shared" si="26"/>
        <v>181283.23529411765</v>
      </c>
      <c r="X153" s="32">
        <f t="shared" si="26"/>
        <v>170283.23529411765</v>
      </c>
      <c r="Y153" s="32">
        <f t="shared" si="26"/>
        <v>170283.23529411765</v>
      </c>
      <c r="Z153" s="32">
        <f t="shared" si="26"/>
        <v>601418.52941176482</v>
      </c>
    </row>
    <row r="154" spans="1:30" ht="18" x14ac:dyDescent="0.25">
      <c r="A154" s="30" t="str">
        <f>CONCATENATE(B21," ",C21)</f>
        <v>Objective 3.1 Easments Firm commitment</v>
      </c>
      <c r="B154" s="30"/>
      <c r="C154" s="31"/>
      <c r="D154" s="31"/>
      <c r="E154" s="29"/>
      <c r="F154" s="29"/>
      <c r="G154" s="685"/>
      <c r="H154" s="29"/>
      <c r="I154" s="29"/>
      <c r="J154" s="29"/>
      <c r="K154" s="29"/>
      <c r="L154" s="29"/>
      <c r="M154" s="29"/>
      <c r="N154" s="29"/>
      <c r="O154" s="29" t="s">
        <v>5</v>
      </c>
      <c r="P154" s="29"/>
      <c r="Q154" s="29"/>
      <c r="R154" s="29"/>
      <c r="S154" s="29"/>
      <c r="T154" s="29"/>
      <c r="U154" s="29"/>
      <c r="V154" s="29"/>
      <c r="W154" s="29"/>
      <c r="X154" s="29"/>
      <c r="Y154" s="29"/>
      <c r="Z154" s="29"/>
    </row>
    <row r="155" spans="1:30" ht="60" x14ac:dyDescent="0.25">
      <c r="A155" s="92" t="s">
        <v>261</v>
      </c>
      <c r="B155" s="92" t="s">
        <v>13</v>
      </c>
      <c r="C155" s="92" t="s">
        <v>14</v>
      </c>
      <c r="D155" s="133" t="s">
        <v>286</v>
      </c>
      <c r="E155" s="32" t="s">
        <v>16</v>
      </c>
      <c r="F155" s="32" t="s">
        <v>295</v>
      </c>
      <c r="G155" s="32" t="s">
        <v>39</v>
      </c>
      <c r="H155" s="32" t="s">
        <v>297</v>
      </c>
      <c r="I155" s="32" t="s">
        <v>298</v>
      </c>
      <c r="J155" s="32" t="s">
        <v>299</v>
      </c>
      <c r="K155" s="32" t="s">
        <v>300</v>
      </c>
      <c r="L155" s="32" t="s">
        <v>17</v>
      </c>
      <c r="M155" s="32" t="s">
        <v>18</v>
      </c>
      <c r="N155" s="32" t="s">
        <v>825</v>
      </c>
      <c r="O155" s="66">
        <v>43101</v>
      </c>
      <c r="P155" s="66">
        <v>43132</v>
      </c>
      <c r="Q155" s="66">
        <v>43160</v>
      </c>
      <c r="R155" s="66">
        <v>43191</v>
      </c>
      <c r="S155" s="66">
        <v>43221</v>
      </c>
      <c r="T155" s="66">
        <v>43252</v>
      </c>
      <c r="U155" s="66">
        <v>43282</v>
      </c>
      <c r="V155" s="66">
        <v>43313</v>
      </c>
      <c r="W155" s="66">
        <v>43344</v>
      </c>
      <c r="X155" s="66">
        <v>43374</v>
      </c>
      <c r="Y155" s="66">
        <v>43405</v>
      </c>
      <c r="Z155" s="66">
        <v>43435</v>
      </c>
    </row>
    <row r="156" spans="1:30" ht="15" customHeight="1" x14ac:dyDescent="0.25">
      <c r="A156" s="93" t="s">
        <v>1851</v>
      </c>
      <c r="B156" s="93" t="s">
        <v>955</v>
      </c>
      <c r="C156" s="93" t="s">
        <v>956</v>
      </c>
      <c r="D156" s="774" t="s">
        <v>957</v>
      </c>
      <c r="E156" s="154" t="s">
        <v>206</v>
      </c>
      <c r="F156" s="11"/>
      <c r="G156" s="53"/>
      <c r="H156" s="11" t="s">
        <v>41</v>
      </c>
      <c r="I156" s="11" t="s">
        <v>41</v>
      </c>
      <c r="J156" s="11" t="s">
        <v>41</v>
      </c>
      <c r="K156" s="11" t="s">
        <v>41</v>
      </c>
      <c r="L156" s="11">
        <v>12</v>
      </c>
      <c r="M156" s="11"/>
      <c r="N156" s="137">
        <f t="shared" ref="N156:N161" si="27">SUM(O156:Z156)</f>
        <v>550000</v>
      </c>
      <c r="O156" s="11">
        <v>0</v>
      </c>
      <c r="P156" s="11">
        <v>0</v>
      </c>
      <c r="Q156" s="11">
        <v>0</v>
      </c>
      <c r="R156" s="11">
        <v>0</v>
      </c>
      <c r="S156" s="11">
        <v>0</v>
      </c>
      <c r="T156" s="11">
        <v>550000</v>
      </c>
      <c r="U156" s="11">
        <v>0</v>
      </c>
      <c r="V156" s="11">
        <v>0</v>
      </c>
      <c r="W156" s="11">
        <v>0</v>
      </c>
      <c r="X156" s="11">
        <v>0</v>
      </c>
      <c r="Y156" s="11">
        <v>0</v>
      </c>
      <c r="Z156" s="11">
        <v>0</v>
      </c>
    </row>
    <row r="157" spans="1:30" ht="15" customHeight="1" x14ac:dyDescent="0.25">
      <c r="A157" s="93" t="s">
        <v>1853</v>
      </c>
      <c r="B157" s="93" t="s">
        <v>959</v>
      </c>
      <c r="C157" s="93" t="s">
        <v>960</v>
      </c>
      <c r="D157" s="774" t="s">
        <v>961</v>
      </c>
      <c r="E157" s="154" t="s">
        <v>206</v>
      </c>
      <c r="F157" s="11"/>
      <c r="G157" s="53"/>
      <c r="H157" s="11" t="s">
        <v>41</v>
      </c>
      <c r="I157" s="11" t="s">
        <v>41</v>
      </c>
      <c r="J157" s="11" t="s">
        <v>41</v>
      </c>
      <c r="K157" s="11" t="s">
        <v>41</v>
      </c>
      <c r="L157" s="11">
        <v>12</v>
      </c>
      <c r="M157" s="11"/>
      <c r="N157" s="137">
        <f t="shared" si="27"/>
        <v>56000</v>
      </c>
      <c r="O157" s="11">
        <v>56000</v>
      </c>
      <c r="P157" s="11">
        <v>0</v>
      </c>
      <c r="Q157" s="11">
        <v>0</v>
      </c>
      <c r="R157" s="11">
        <v>0</v>
      </c>
      <c r="S157" s="11">
        <v>0</v>
      </c>
      <c r="T157" s="11">
        <v>0</v>
      </c>
      <c r="U157" s="11">
        <v>0</v>
      </c>
      <c r="V157" s="11">
        <v>0</v>
      </c>
      <c r="W157" s="11">
        <v>0</v>
      </c>
      <c r="X157" s="11">
        <v>0</v>
      </c>
      <c r="Y157" s="11">
        <v>0</v>
      </c>
      <c r="Z157" s="11">
        <v>0</v>
      </c>
    </row>
    <row r="158" spans="1:30" ht="15" customHeight="1" x14ac:dyDescent="0.25">
      <c r="A158" s="93" t="s">
        <v>1855</v>
      </c>
      <c r="B158" s="93" t="s">
        <v>959</v>
      </c>
      <c r="C158" s="698" t="s">
        <v>960</v>
      </c>
      <c r="D158" s="699" t="s">
        <v>1393</v>
      </c>
      <c r="E158" s="154" t="s">
        <v>206</v>
      </c>
      <c r="F158" s="11"/>
      <c r="G158" s="53"/>
      <c r="H158" s="11" t="s">
        <v>41</v>
      </c>
      <c r="I158" s="11" t="s">
        <v>41</v>
      </c>
      <c r="J158" s="11" t="s">
        <v>41</v>
      </c>
      <c r="K158" s="11" t="s">
        <v>41</v>
      </c>
      <c r="L158" s="11">
        <v>12</v>
      </c>
      <c r="M158" s="11"/>
      <c r="N158" s="779">
        <f t="shared" ref="N158:N159" si="28">SUM(O158:Z158)</f>
        <v>112000</v>
      </c>
      <c r="O158" s="780">
        <f>56000*2</f>
        <v>112000</v>
      </c>
      <c r="P158" s="781"/>
      <c r="Q158" s="781"/>
      <c r="R158" s="781"/>
      <c r="S158" s="781"/>
      <c r="T158" s="781"/>
      <c r="U158" s="781"/>
      <c r="V158" s="781"/>
      <c r="W158" s="781"/>
      <c r="X158" s="781"/>
      <c r="Y158" s="781"/>
      <c r="Z158" s="781"/>
    </row>
    <row r="159" spans="1:30" ht="15" customHeight="1" x14ac:dyDescent="0.25">
      <c r="A159" s="93" t="s">
        <v>1856</v>
      </c>
      <c r="B159" s="93" t="s">
        <v>959</v>
      </c>
      <c r="C159" s="93" t="s">
        <v>1514</v>
      </c>
      <c r="D159" s="774" t="s">
        <v>1515</v>
      </c>
      <c r="E159" s="154" t="s">
        <v>206</v>
      </c>
      <c r="F159" s="11"/>
      <c r="G159" s="53"/>
      <c r="H159" s="11" t="s">
        <v>41</v>
      </c>
      <c r="I159" s="11" t="s">
        <v>41</v>
      </c>
      <c r="J159" s="11" t="s">
        <v>41</v>
      </c>
      <c r="K159" s="11" t="s">
        <v>41</v>
      </c>
      <c r="L159" s="11">
        <v>12</v>
      </c>
      <c r="M159" s="11"/>
      <c r="N159" s="137">
        <f t="shared" si="28"/>
        <v>0</v>
      </c>
      <c r="O159" s="11">
        <v>0</v>
      </c>
      <c r="P159" s="11">
        <v>0</v>
      </c>
      <c r="Q159" s="11">
        <v>0</v>
      </c>
      <c r="R159" s="11">
        <v>0</v>
      </c>
      <c r="S159" s="11">
        <v>0</v>
      </c>
      <c r="T159" s="11">
        <v>0</v>
      </c>
      <c r="U159" s="11">
        <v>0</v>
      </c>
      <c r="V159" s="11">
        <v>0</v>
      </c>
      <c r="W159" s="11">
        <v>0</v>
      </c>
      <c r="X159" s="11">
        <v>0</v>
      </c>
      <c r="Y159" s="11">
        <v>0</v>
      </c>
      <c r="Z159" s="11">
        <v>0</v>
      </c>
    </row>
    <row r="160" spans="1:30" ht="15" customHeight="1" x14ac:dyDescent="0.25">
      <c r="A160" s="93" t="s">
        <v>1857</v>
      </c>
      <c r="B160" s="93" t="s">
        <v>959</v>
      </c>
      <c r="C160" s="93" t="s">
        <v>963</v>
      </c>
      <c r="D160" s="774" t="s">
        <v>964</v>
      </c>
      <c r="E160" s="154" t="s">
        <v>206</v>
      </c>
      <c r="F160" s="157" t="s">
        <v>294</v>
      </c>
      <c r="G160" s="53"/>
      <c r="H160" s="11" t="s">
        <v>41</v>
      </c>
      <c r="I160" s="11" t="s">
        <v>41</v>
      </c>
      <c r="J160" s="11" t="s">
        <v>41</v>
      </c>
      <c r="K160" s="11" t="s">
        <v>41</v>
      </c>
      <c r="L160" s="11">
        <v>12</v>
      </c>
      <c r="M160" s="11"/>
      <c r="N160" s="137">
        <f t="shared" si="27"/>
        <v>100000</v>
      </c>
      <c r="O160" s="11">
        <v>0</v>
      </c>
      <c r="P160" s="11">
        <v>0</v>
      </c>
      <c r="Q160" s="11">
        <v>0</v>
      </c>
      <c r="R160" s="11">
        <v>0</v>
      </c>
      <c r="S160" s="11">
        <v>0</v>
      </c>
      <c r="T160" s="11">
        <v>100000</v>
      </c>
      <c r="U160" s="11">
        <v>0</v>
      </c>
      <c r="V160" s="11">
        <v>0</v>
      </c>
      <c r="W160" s="11">
        <v>0</v>
      </c>
      <c r="X160" s="11">
        <v>0</v>
      </c>
      <c r="Y160" s="11">
        <v>0</v>
      </c>
      <c r="Z160" s="11">
        <v>0</v>
      </c>
    </row>
    <row r="161" spans="1:26" ht="15" customHeight="1" x14ac:dyDescent="0.25">
      <c r="A161" s="93" t="s">
        <v>1858</v>
      </c>
      <c r="B161" s="93" t="s">
        <v>959</v>
      </c>
      <c r="C161" s="93" t="s">
        <v>966</v>
      </c>
      <c r="D161" s="774" t="s">
        <v>967</v>
      </c>
      <c r="E161" s="154" t="s">
        <v>206</v>
      </c>
      <c r="F161" s="157" t="s">
        <v>294</v>
      </c>
      <c r="G161" s="53"/>
      <c r="H161" s="11" t="s">
        <v>41</v>
      </c>
      <c r="I161" s="11" t="s">
        <v>41</v>
      </c>
      <c r="J161" s="11" t="s">
        <v>41</v>
      </c>
      <c r="K161" s="11" t="s">
        <v>41</v>
      </c>
      <c r="L161" s="11">
        <v>12</v>
      </c>
      <c r="M161" s="11"/>
      <c r="N161" s="137">
        <f t="shared" si="27"/>
        <v>250000</v>
      </c>
      <c r="O161" s="11">
        <v>0</v>
      </c>
      <c r="P161" s="11">
        <v>0</v>
      </c>
      <c r="Q161" s="11">
        <v>0</v>
      </c>
      <c r="R161" s="11">
        <v>250000</v>
      </c>
      <c r="S161" s="11">
        <v>0</v>
      </c>
      <c r="T161" s="11">
        <v>0</v>
      </c>
      <c r="U161" s="11">
        <v>0</v>
      </c>
      <c r="V161" s="11">
        <v>0</v>
      </c>
      <c r="W161" s="11">
        <v>0</v>
      </c>
      <c r="X161" s="11">
        <v>0</v>
      </c>
      <c r="Y161" s="11">
        <v>0</v>
      </c>
      <c r="Z161" s="11">
        <v>0</v>
      </c>
    </row>
    <row r="162" spans="1:26" s="35" customFormat="1" ht="22.5" customHeight="1" x14ac:dyDescent="0.25">
      <c r="A162" s="33"/>
      <c r="B162" s="34"/>
      <c r="C162" s="34"/>
      <c r="D162" s="34"/>
      <c r="E162" s="50"/>
      <c r="F162" s="50"/>
      <c r="G162" s="696"/>
      <c r="H162" s="50"/>
      <c r="I162" s="50"/>
      <c r="J162" s="51" t="s">
        <v>20</v>
      </c>
      <c r="K162" s="50"/>
      <c r="L162" s="11">
        <v>12</v>
      </c>
      <c r="M162" s="32">
        <f>SUM(M161:M161)</f>
        <v>0</v>
      </c>
      <c r="N162" s="32">
        <f>SUM(N156:N161)</f>
        <v>1068000</v>
      </c>
      <c r="O162" s="32">
        <f>SUM(O156:O161)</f>
        <v>168000</v>
      </c>
      <c r="P162" s="32">
        <f t="shared" ref="P162:Z162" si="29">SUM(P156:P161)</f>
        <v>0</v>
      </c>
      <c r="Q162" s="32">
        <f t="shared" si="29"/>
        <v>0</v>
      </c>
      <c r="R162" s="32">
        <f t="shared" si="29"/>
        <v>250000</v>
      </c>
      <c r="S162" s="32">
        <f t="shared" si="29"/>
        <v>0</v>
      </c>
      <c r="T162" s="32">
        <f t="shared" si="29"/>
        <v>650000</v>
      </c>
      <c r="U162" s="32">
        <f t="shared" si="29"/>
        <v>0</v>
      </c>
      <c r="V162" s="32">
        <f t="shared" si="29"/>
        <v>0</v>
      </c>
      <c r="W162" s="32">
        <f t="shared" si="29"/>
        <v>0</v>
      </c>
      <c r="X162" s="32">
        <f t="shared" si="29"/>
        <v>0</v>
      </c>
      <c r="Y162" s="32">
        <f t="shared" si="29"/>
        <v>0</v>
      </c>
      <c r="Z162" s="32">
        <f t="shared" si="29"/>
        <v>0</v>
      </c>
    </row>
    <row r="163" spans="1:26" ht="18" x14ac:dyDescent="0.25">
      <c r="A163" s="30" t="str">
        <f>CONCATENATE(B22," ",C22)</f>
        <v xml:space="preserve">Objective 3.2 NSR Purchases </v>
      </c>
      <c r="B163" s="30"/>
      <c r="C163" s="31"/>
      <c r="D163" s="31"/>
      <c r="E163" s="29"/>
      <c r="F163" s="29"/>
      <c r="G163" s="685"/>
      <c r="H163" s="29"/>
      <c r="I163" s="29"/>
      <c r="J163" s="29"/>
      <c r="K163" s="29"/>
      <c r="L163" s="29"/>
      <c r="M163" s="29"/>
      <c r="N163" s="29"/>
      <c r="O163" s="29" t="s">
        <v>5</v>
      </c>
      <c r="P163" s="29"/>
      <c r="Q163" s="29"/>
      <c r="R163" s="29"/>
      <c r="S163" s="29"/>
      <c r="T163" s="29"/>
      <c r="U163" s="29"/>
      <c r="V163" s="29"/>
      <c r="W163" s="29"/>
      <c r="X163" s="29"/>
      <c r="Y163" s="29"/>
      <c r="Z163" s="29"/>
    </row>
    <row r="164" spans="1:26" ht="60"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825</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6" ht="14.25" customHeight="1" x14ac:dyDescent="0.25">
      <c r="A165" s="93" t="s">
        <v>1859</v>
      </c>
      <c r="B165" s="93" t="s">
        <v>952</v>
      </c>
      <c r="C165" s="93" t="s">
        <v>953</v>
      </c>
      <c r="D165" s="775" t="s">
        <v>937</v>
      </c>
      <c r="E165" s="154" t="s">
        <v>206</v>
      </c>
      <c r="F165" s="11"/>
      <c r="G165" s="53"/>
      <c r="H165" s="11" t="s">
        <v>41</v>
      </c>
      <c r="I165" s="11" t="s">
        <v>41</v>
      </c>
      <c r="J165" s="11" t="s">
        <v>41</v>
      </c>
      <c r="K165" s="11" t="s">
        <v>41</v>
      </c>
      <c r="L165" s="11">
        <v>12</v>
      </c>
      <c r="M165" s="11"/>
      <c r="N165" s="137">
        <f t="shared" ref="N165" si="30">SUM(O165:Z165)</f>
        <v>3500000</v>
      </c>
      <c r="O165" s="11"/>
      <c r="P165" s="11">
        <v>0</v>
      </c>
      <c r="Q165" s="11">
        <v>0</v>
      </c>
      <c r="R165" s="11">
        <v>0</v>
      </c>
      <c r="S165" s="11">
        <v>0</v>
      </c>
      <c r="T165" s="11">
        <v>3500000</v>
      </c>
      <c r="U165" s="11">
        <v>0</v>
      </c>
      <c r="V165" s="11">
        <v>0</v>
      </c>
      <c r="W165" s="11">
        <v>0</v>
      </c>
      <c r="X165" s="11">
        <v>0</v>
      </c>
      <c r="Y165" s="11">
        <v>0</v>
      </c>
      <c r="Z165" s="11">
        <v>0</v>
      </c>
    </row>
    <row r="166" spans="1:26" s="35" customFormat="1" ht="22.5" customHeight="1" x14ac:dyDescent="0.25">
      <c r="A166" s="33"/>
      <c r="B166" s="34"/>
      <c r="C166" s="34"/>
      <c r="D166" s="34"/>
      <c r="E166" s="50"/>
      <c r="F166" s="50"/>
      <c r="G166" s="696"/>
      <c r="H166" s="50"/>
      <c r="I166" s="50"/>
      <c r="J166" s="51" t="s">
        <v>20</v>
      </c>
      <c r="K166" s="50"/>
      <c r="L166" s="11">
        <v>12</v>
      </c>
      <c r="M166" s="32">
        <f t="shared" ref="M166:Z166" si="31">SUM(M165:M165)</f>
        <v>0</v>
      </c>
      <c r="N166" s="32">
        <f t="shared" si="31"/>
        <v>3500000</v>
      </c>
      <c r="O166" s="32">
        <f t="shared" si="31"/>
        <v>0</v>
      </c>
      <c r="P166" s="32">
        <f t="shared" si="31"/>
        <v>0</v>
      </c>
      <c r="Q166" s="32">
        <f t="shared" si="31"/>
        <v>0</v>
      </c>
      <c r="R166" s="32">
        <f t="shared" si="31"/>
        <v>0</v>
      </c>
      <c r="S166" s="32">
        <f t="shared" si="31"/>
        <v>0</v>
      </c>
      <c r="T166" s="32">
        <f t="shared" si="31"/>
        <v>3500000</v>
      </c>
      <c r="U166" s="32">
        <f t="shared" si="31"/>
        <v>0</v>
      </c>
      <c r="V166" s="32">
        <f t="shared" si="31"/>
        <v>0</v>
      </c>
      <c r="W166" s="32">
        <f t="shared" si="31"/>
        <v>0</v>
      </c>
      <c r="X166" s="32">
        <f t="shared" si="31"/>
        <v>0</v>
      </c>
      <c r="Y166" s="32">
        <f t="shared" si="31"/>
        <v>0</v>
      </c>
      <c r="Z166" s="32">
        <f t="shared" si="31"/>
        <v>0</v>
      </c>
    </row>
    <row r="167" spans="1:26" ht="18" x14ac:dyDescent="0.25">
      <c r="A167" s="30" t="str">
        <f>CONCATENATE(B23," ",C23)</f>
        <v xml:space="preserve">Objective 3.3 Mining Rights Purchases </v>
      </c>
      <c r="B167" s="30"/>
      <c r="C167" s="31"/>
      <c r="D167" s="31"/>
      <c r="E167" s="29"/>
      <c r="F167" s="29"/>
      <c r="G167" s="685"/>
      <c r="H167" s="29"/>
      <c r="I167" s="29"/>
      <c r="J167" s="29"/>
      <c r="K167" s="29"/>
      <c r="L167" s="29"/>
      <c r="M167" s="29"/>
      <c r="N167" s="29"/>
      <c r="O167" s="29" t="s">
        <v>5</v>
      </c>
      <c r="P167" s="29"/>
      <c r="Q167" s="29"/>
      <c r="R167" s="29"/>
      <c r="S167" s="29"/>
      <c r="T167" s="29"/>
      <c r="U167" s="29"/>
      <c r="V167" s="29"/>
      <c r="W167" s="29"/>
      <c r="X167" s="29"/>
      <c r="Y167" s="29"/>
      <c r="Z167" s="29"/>
    </row>
    <row r="168" spans="1:26" ht="60" x14ac:dyDescent="0.25">
      <c r="A168" s="92" t="s">
        <v>261</v>
      </c>
      <c r="B168" s="92" t="s">
        <v>13</v>
      </c>
      <c r="C168" s="92" t="s">
        <v>14</v>
      </c>
      <c r="D168" s="133" t="s">
        <v>286</v>
      </c>
      <c r="E168" s="32" t="s">
        <v>16</v>
      </c>
      <c r="F168" s="32" t="s">
        <v>295</v>
      </c>
      <c r="G168" s="32" t="s">
        <v>39</v>
      </c>
      <c r="H168" s="32" t="s">
        <v>297</v>
      </c>
      <c r="I168" s="32" t="s">
        <v>298</v>
      </c>
      <c r="J168" s="32" t="s">
        <v>299</v>
      </c>
      <c r="K168" s="32" t="s">
        <v>300</v>
      </c>
      <c r="L168" s="32" t="s">
        <v>17</v>
      </c>
      <c r="M168" s="32" t="s">
        <v>18</v>
      </c>
      <c r="N168" s="32" t="s">
        <v>825</v>
      </c>
      <c r="O168" s="66">
        <v>43101</v>
      </c>
      <c r="P168" s="66">
        <v>43132</v>
      </c>
      <c r="Q168" s="66">
        <v>43160</v>
      </c>
      <c r="R168" s="66">
        <v>43191</v>
      </c>
      <c r="S168" s="66">
        <v>43221</v>
      </c>
      <c r="T168" s="66">
        <v>43252</v>
      </c>
      <c r="U168" s="66">
        <v>43282</v>
      </c>
      <c r="V168" s="66">
        <v>43313</v>
      </c>
      <c r="W168" s="66">
        <v>43344</v>
      </c>
      <c r="X168" s="66">
        <v>43374</v>
      </c>
      <c r="Y168" s="66">
        <v>43405</v>
      </c>
      <c r="Z168" s="66">
        <v>43435</v>
      </c>
    </row>
    <row r="169" spans="1:26" ht="15" customHeight="1" x14ac:dyDescent="0.25">
      <c r="A169" s="93" t="s">
        <v>1860</v>
      </c>
      <c r="B169" s="93" t="s">
        <v>935</v>
      </c>
      <c r="C169" s="93" t="s">
        <v>936</v>
      </c>
      <c r="D169" s="775" t="s">
        <v>937</v>
      </c>
      <c r="E169" s="154" t="s">
        <v>206</v>
      </c>
      <c r="F169" s="11"/>
      <c r="G169" s="53"/>
      <c r="H169" s="11" t="s">
        <v>41</v>
      </c>
      <c r="I169" s="11" t="s">
        <v>41</v>
      </c>
      <c r="J169" s="11" t="s">
        <v>41</v>
      </c>
      <c r="K169" s="11" t="s">
        <v>41</v>
      </c>
      <c r="L169" s="11">
        <v>12</v>
      </c>
      <c r="M169" s="11"/>
      <c r="N169" s="137">
        <f t="shared" ref="N169:N175" si="32">SUM(O169:Z169)</f>
        <v>400000</v>
      </c>
      <c r="O169" s="11">
        <v>0</v>
      </c>
      <c r="P169" s="11">
        <v>0</v>
      </c>
      <c r="Q169" s="11">
        <v>0</v>
      </c>
      <c r="R169" s="11">
        <v>0</v>
      </c>
      <c r="S169" s="11">
        <v>0</v>
      </c>
      <c r="T169" s="11">
        <v>400000</v>
      </c>
      <c r="U169" s="11">
        <v>0</v>
      </c>
      <c r="V169" s="11">
        <v>0</v>
      </c>
      <c r="W169" s="11">
        <v>0</v>
      </c>
      <c r="X169" s="11">
        <v>0</v>
      </c>
      <c r="Y169" s="11">
        <v>0</v>
      </c>
      <c r="Z169" s="11">
        <v>0</v>
      </c>
    </row>
    <row r="170" spans="1:26" ht="15" customHeight="1" x14ac:dyDescent="0.25">
      <c r="A170" s="93" t="s">
        <v>1862</v>
      </c>
      <c r="B170" s="93" t="s">
        <v>935</v>
      </c>
      <c r="C170" s="782" t="s">
        <v>939</v>
      </c>
      <c r="D170" s="775" t="s">
        <v>937</v>
      </c>
      <c r="E170" s="154" t="s">
        <v>206</v>
      </c>
      <c r="F170" s="11"/>
      <c r="G170" s="53"/>
      <c r="H170" s="11" t="s">
        <v>41</v>
      </c>
      <c r="I170" s="11" t="s">
        <v>41</v>
      </c>
      <c r="J170" s="11" t="s">
        <v>41</v>
      </c>
      <c r="K170" s="11" t="s">
        <v>41</v>
      </c>
      <c r="L170" s="11">
        <v>12</v>
      </c>
      <c r="M170" s="11"/>
      <c r="N170" s="137">
        <f t="shared" si="32"/>
        <v>600000</v>
      </c>
      <c r="O170" s="11">
        <v>0</v>
      </c>
      <c r="P170" s="11">
        <v>0</v>
      </c>
      <c r="Q170" s="11">
        <v>0</v>
      </c>
      <c r="R170" s="11">
        <v>0</v>
      </c>
      <c r="S170" s="11">
        <v>0</v>
      </c>
      <c r="T170" s="11">
        <v>600000</v>
      </c>
      <c r="U170" s="11">
        <v>0</v>
      </c>
      <c r="V170" s="11">
        <v>0</v>
      </c>
      <c r="W170" s="11">
        <v>0</v>
      </c>
      <c r="X170" s="11">
        <v>0</v>
      </c>
      <c r="Y170" s="11">
        <v>0</v>
      </c>
      <c r="Z170" s="11">
        <v>0</v>
      </c>
    </row>
    <row r="171" spans="1:26" ht="15" customHeight="1" x14ac:dyDescent="0.25">
      <c r="A171" s="93" t="s">
        <v>1863</v>
      </c>
      <c r="B171" s="93" t="s">
        <v>935</v>
      </c>
      <c r="C171" s="93" t="s">
        <v>1337</v>
      </c>
      <c r="D171" s="775" t="s">
        <v>937</v>
      </c>
      <c r="E171" s="154" t="s">
        <v>206</v>
      </c>
      <c r="F171" s="11"/>
      <c r="G171" s="53"/>
      <c r="H171" s="11" t="s">
        <v>41</v>
      </c>
      <c r="I171" s="11" t="s">
        <v>41</v>
      </c>
      <c r="J171" s="11" t="s">
        <v>41</v>
      </c>
      <c r="K171" s="11" t="s">
        <v>41</v>
      </c>
      <c r="L171" s="11">
        <v>12</v>
      </c>
      <c r="M171" s="11"/>
      <c r="N171" s="137">
        <f t="shared" si="32"/>
        <v>1440000</v>
      </c>
      <c r="O171" s="11">
        <v>0</v>
      </c>
      <c r="P171" s="11">
        <v>0</v>
      </c>
      <c r="Q171" s="11">
        <v>0</v>
      </c>
      <c r="R171" s="11">
        <v>0</v>
      </c>
      <c r="S171" s="11">
        <v>0</v>
      </c>
      <c r="T171" s="11">
        <v>0</v>
      </c>
      <c r="U171" s="11">
        <v>0</v>
      </c>
      <c r="V171" s="11">
        <v>1440000</v>
      </c>
      <c r="W171" s="11">
        <v>0</v>
      </c>
      <c r="X171" s="11">
        <v>0</v>
      </c>
      <c r="Y171" s="11">
        <v>0</v>
      </c>
      <c r="Z171" s="11">
        <v>0</v>
      </c>
    </row>
    <row r="172" spans="1:26" ht="15" customHeight="1" x14ac:dyDescent="0.25">
      <c r="A172" s="93" t="s">
        <v>1864</v>
      </c>
      <c r="B172" s="93" t="s">
        <v>935</v>
      </c>
      <c r="C172" s="707" t="s">
        <v>943</v>
      </c>
      <c r="D172" s="775" t="s">
        <v>944</v>
      </c>
      <c r="E172" s="154" t="s">
        <v>206</v>
      </c>
      <c r="F172" s="11"/>
      <c r="G172" s="53"/>
      <c r="H172" s="11" t="s">
        <v>41</v>
      </c>
      <c r="I172" s="11" t="s">
        <v>41</v>
      </c>
      <c r="J172" s="11" t="s">
        <v>41</v>
      </c>
      <c r="K172" s="11" t="s">
        <v>41</v>
      </c>
      <c r="L172" s="11">
        <v>12</v>
      </c>
      <c r="M172" s="11"/>
      <c r="N172" s="137">
        <f t="shared" si="32"/>
        <v>60000</v>
      </c>
      <c r="O172" s="11">
        <v>0</v>
      </c>
      <c r="P172" s="11">
        <v>0</v>
      </c>
      <c r="Q172" s="11">
        <v>0</v>
      </c>
      <c r="R172" s="11">
        <v>0</v>
      </c>
      <c r="S172" s="11">
        <v>0</v>
      </c>
      <c r="T172" s="11">
        <v>0</v>
      </c>
      <c r="U172" s="11">
        <v>0</v>
      </c>
      <c r="V172" s="11">
        <v>0</v>
      </c>
      <c r="W172" s="11">
        <v>0</v>
      </c>
      <c r="X172" s="11">
        <v>0</v>
      </c>
      <c r="Y172" s="11">
        <v>0</v>
      </c>
      <c r="Z172" s="11">
        <v>60000</v>
      </c>
    </row>
    <row r="173" spans="1:26" ht="15" customHeight="1" x14ac:dyDescent="0.25">
      <c r="A173" s="93" t="s">
        <v>1865</v>
      </c>
      <c r="B173" s="93" t="s">
        <v>935</v>
      </c>
      <c r="C173" s="93" t="s">
        <v>946</v>
      </c>
      <c r="D173" s="775" t="s">
        <v>937</v>
      </c>
      <c r="E173" s="154" t="s">
        <v>206</v>
      </c>
      <c r="F173" s="11"/>
      <c r="G173" s="53"/>
      <c r="H173" s="11" t="s">
        <v>41</v>
      </c>
      <c r="I173" s="11" t="s">
        <v>41</v>
      </c>
      <c r="J173" s="11" t="s">
        <v>41</v>
      </c>
      <c r="K173" s="11" t="s">
        <v>41</v>
      </c>
      <c r="L173" s="11">
        <v>12</v>
      </c>
      <c r="M173" s="11"/>
      <c r="N173" s="137">
        <f t="shared" si="32"/>
        <v>44800</v>
      </c>
      <c r="O173" s="11">
        <v>0</v>
      </c>
      <c r="P173" s="11">
        <v>0</v>
      </c>
      <c r="Q173" s="11">
        <v>0</v>
      </c>
      <c r="R173" s="11">
        <v>0</v>
      </c>
      <c r="S173" s="11">
        <v>44800</v>
      </c>
      <c r="T173" s="11">
        <v>0</v>
      </c>
      <c r="U173" s="11">
        <v>0</v>
      </c>
      <c r="V173" s="11">
        <v>0</v>
      </c>
      <c r="W173" s="11">
        <v>0</v>
      </c>
      <c r="X173" s="11">
        <v>0</v>
      </c>
      <c r="Y173" s="11">
        <v>0</v>
      </c>
      <c r="Z173" s="11">
        <v>0</v>
      </c>
    </row>
    <row r="174" spans="1:26" ht="15" customHeight="1" x14ac:dyDescent="0.25">
      <c r="A174" s="93" t="s">
        <v>1866</v>
      </c>
      <c r="B174" s="93" t="s">
        <v>935</v>
      </c>
      <c r="C174" s="93" t="s">
        <v>948</v>
      </c>
      <c r="D174" s="775" t="s">
        <v>937</v>
      </c>
      <c r="E174" s="154" t="s">
        <v>206</v>
      </c>
      <c r="F174" s="11"/>
      <c r="G174" s="53"/>
      <c r="H174" s="11" t="s">
        <v>41</v>
      </c>
      <c r="I174" s="11" t="s">
        <v>41</v>
      </c>
      <c r="J174" s="11" t="s">
        <v>41</v>
      </c>
      <c r="K174" s="11" t="s">
        <v>41</v>
      </c>
      <c r="L174" s="11">
        <v>12</v>
      </c>
      <c r="M174" s="11"/>
      <c r="N174" s="137">
        <f t="shared" si="32"/>
        <v>70400</v>
      </c>
      <c r="O174" s="11">
        <v>0</v>
      </c>
      <c r="P174" s="11">
        <v>0</v>
      </c>
      <c r="Q174" s="11">
        <v>0</v>
      </c>
      <c r="R174" s="11">
        <v>0</v>
      </c>
      <c r="S174" s="11">
        <v>0</v>
      </c>
      <c r="T174" s="11">
        <v>0</v>
      </c>
      <c r="U174" s="11">
        <v>70400</v>
      </c>
      <c r="V174" s="11">
        <v>0</v>
      </c>
      <c r="W174" s="11">
        <v>0</v>
      </c>
      <c r="X174" s="11">
        <v>0</v>
      </c>
      <c r="Y174" s="11">
        <v>0</v>
      </c>
      <c r="Z174" s="11">
        <v>0</v>
      </c>
    </row>
    <row r="175" spans="1:26" ht="15" customHeight="1" x14ac:dyDescent="0.25">
      <c r="A175" s="93" t="s">
        <v>1867</v>
      </c>
      <c r="B175" s="93" t="s">
        <v>935</v>
      </c>
      <c r="C175" s="93" t="s">
        <v>950</v>
      </c>
      <c r="D175" s="775" t="s">
        <v>937</v>
      </c>
      <c r="E175" s="154" t="s">
        <v>206</v>
      </c>
      <c r="F175" s="11"/>
      <c r="G175" s="53"/>
      <c r="H175" s="11" t="s">
        <v>41</v>
      </c>
      <c r="I175" s="11" t="s">
        <v>41</v>
      </c>
      <c r="J175" s="11" t="s">
        <v>41</v>
      </c>
      <c r="K175" s="11" t="s">
        <v>41</v>
      </c>
      <c r="L175" s="11">
        <v>12</v>
      </c>
      <c r="M175" s="11"/>
      <c r="N175" s="137">
        <f t="shared" si="32"/>
        <v>100000</v>
      </c>
      <c r="O175" s="11">
        <v>0</v>
      </c>
      <c r="P175" s="11">
        <v>0</v>
      </c>
      <c r="Q175" s="11">
        <v>0</v>
      </c>
      <c r="R175" s="11">
        <v>100000</v>
      </c>
      <c r="S175" s="11">
        <v>0</v>
      </c>
      <c r="T175" s="11">
        <v>0</v>
      </c>
      <c r="U175" s="11">
        <v>0</v>
      </c>
      <c r="V175" s="11">
        <v>0</v>
      </c>
      <c r="W175" s="11">
        <v>0</v>
      </c>
      <c r="X175" s="11">
        <v>0</v>
      </c>
      <c r="Y175" s="11">
        <v>0</v>
      </c>
      <c r="Z175" s="11">
        <v>0</v>
      </c>
    </row>
    <row r="176" spans="1:26" s="35" customFormat="1" ht="22.5" customHeight="1" x14ac:dyDescent="0.25">
      <c r="A176" s="33"/>
      <c r="B176" s="34"/>
      <c r="C176" s="34"/>
      <c r="D176" s="34"/>
      <c r="E176" s="50"/>
      <c r="F176" s="50"/>
      <c r="G176" s="696"/>
      <c r="H176" s="50"/>
      <c r="I176" s="50"/>
      <c r="J176" s="51" t="s">
        <v>20</v>
      </c>
      <c r="K176" s="50"/>
      <c r="L176" s="11">
        <v>12</v>
      </c>
      <c r="M176" s="32">
        <f t="shared" ref="M176:Z176" si="33">SUM(M169:M175)</f>
        <v>0</v>
      </c>
      <c r="N176" s="32">
        <f t="shared" si="33"/>
        <v>2715200</v>
      </c>
      <c r="O176" s="32">
        <f t="shared" si="33"/>
        <v>0</v>
      </c>
      <c r="P176" s="32">
        <f t="shared" si="33"/>
        <v>0</v>
      </c>
      <c r="Q176" s="32">
        <f t="shared" si="33"/>
        <v>0</v>
      </c>
      <c r="R176" s="32">
        <f t="shared" si="33"/>
        <v>100000</v>
      </c>
      <c r="S176" s="32">
        <f t="shared" si="33"/>
        <v>44800</v>
      </c>
      <c r="T176" s="32">
        <f t="shared" si="33"/>
        <v>1000000</v>
      </c>
      <c r="U176" s="32">
        <f t="shared" si="33"/>
        <v>70400</v>
      </c>
      <c r="V176" s="32">
        <f t="shared" si="33"/>
        <v>1440000</v>
      </c>
      <c r="W176" s="32">
        <f t="shared" si="33"/>
        <v>0</v>
      </c>
      <c r="X176" s="32">
        <f t="shared" si="33"/>
        <v>0</v>
      </c>
      <c r="Y176" s="32">
        <f t="shared" si="33"/>
        <v>0</v>
      </c>
      <c r="Z176" s="32">
        <f t="shared" si="33"/>
        <v>60000</v>
      </c>
    </row>
    <row r="177" spans="1:26" ht="18" x14ac:dyDescent="0.25">
      <c r="A177" s="30" t="str">
        <f>CONCATENATE(B24," ",C24)</f>
        <v>Objective 3.4 Land Access (Ingreso Enero 2018)</v>
      </c>
      <c r="B177" s="30"/>
      <c r="C177" s="31"/>
      <c r="D177" s="31"/>
      <c r="E177" s="29"/>
      <c r="F177" s="29"/>
      <c r="G177" s="685"/>
      <c r="H177" s="29"/>
      <c r="I177" s="29"/>
      <c r="J177" s="29"/>
      <c r="K177" s="29"/>
      <c r="L177" s="29"/>
      <c r="M177" s="29"/>
      <c r="N177" s="29"/>
      <c r="O177" s="29" t="s">
        <v>5</v>
      </c>
      <c r="P177" s="29"/>
      <c r="Q177" s="29"/>
      <c r="R177" s="29"/>
      <c r="S177" s="29"/>
      <c r="T177" s="29"/>
      <c r="U177" s="29"/>
      <c r="V177" s="29"/>
      <c r="W177" s="29"/>
      <c r="X177" s="29"/>
      <c r="Y177" s="29"/>
      <c r="Z177" s="29"/>
    </row>
    <row r="178" spans="1:26" ht="60" x14ac:dyDescent="0.25">
      <c r="A178" s="92" t="s">
        <v>261</v>
      </c>
      <c r="B178" s="92" t="s">
        <v>13</v>
      </c>
      <c r="C178" s="92" t="s">
        <v>14</v>
      </c>
      <c r="D178" s="133" t="s">
        <v>286</v>
      </c>
      <c r="E178" s="32" t="s">
        <v>16</v>
      </c>
      <c r="F178" s="32" t="s">
        <v>295</v>
      </c>
      <c r="G178" s="32" t="s">
        <v>39</v>
      </c>
      <c r="H178" s="32" t="s">
        <v>297</v>
      </c>
      <c r="I178" s="32" t="s">
        <v>298</v>
      </c>
      <c r="J178" s="32" t="s">
        <v>299</v>
      </c>
      <c r="K178" s="32" t="s">
        <v>300</v>
      </c>
      <c r="L178" s="32" t="s">
        <v>17</v>
      </c>
      <c r="M178" s="32" t="s">
        <v>18</v>
      </c>
      <c r="N178" s="32" t="s">
        <v>825</v>
      </c>
      <c r="O178" s="66">
        <v>43101</v>
      </c>
      <c r="P178" s="66">
        <v>43132</v>
      </c>
      <c r="Q178" s="66">
        <v>43160</v>
      </c>
      <c r="R178" s="66">
        <v>43191</v>
      </c>
      <c r="S178" s="66">
        <v>43221</v>
      </c>
      <c r="T178" s="66">
        <v>43252</v>
      </c>
      <c r="U178" s="66">
        <v>43282</v>
      </c>
      <c r="V178" s="66">
        <v>43313</v>
      </c>
      <c r="W178" s="66">
        <v>43344</v>
      </c>
      <c r="X178" s="66">
        <v>43374</v>
      </c>
      <c r="Y178" s="66">
        <v>43405</v>
      </c>
      <c r="Z178" s="66">
        <v>43435</v>
      </c>
    </row>
    <row r="179" spans="1:26" ht="15.75" customHeight="1" x14ac:dyDescent="0.25">
      <c r="A179" s="93" t="s">
        <v>1868</v>
      </c>
      <c r="B179" s="93" t="s">
        <v>959</v>
      </c>
      <c r="C179" s="93" t="s">
        <v>1343</v>
      </c>
      <c r="D179" s="775" t="s">
        <v>1517</v>
      </c>
      <c r="E179" s="154" t="s">
        <v>206</v>
      </c>
      <c r="F179" s="11"/>
      <c r="G179" s="53"/>
      <c r="H179" s="11" t="s">
        <v>41</v>
      </c>
      <c r="I179" s="11" t="s">
        <v>41</v>
      </c>
      <c r="J179" s="11" t="s">
        <v>41</v>
      </c>
      <c r="K179" s="11" t="s">
        <v>41</v>
      </c>
      <c r="L179" s="11">
        <v>12</v>
      </c>
      <c r="M179" s="11"/>
      <c r="N179" s="137">
        <f t="shared" ref="N179:N181" si="34">SUM(O179:Z179)</f>
        <v>875790.44117647049</v>
      </c>
      <c r="O179" s="11">
        <v>129136.02941176471</v>
      </c>
      <c r="P179" s="11">
        <v>126709.55882352941</v>
      </c>
      <c r="Q179" s="11">
        <v>154448.52941176467</v>
      </c>
      <c r="R179" s="11">
        <v>173345.5882352941</v>
      </c>
      <c r="S179" s="11">
        <v>114062.50000000001</v>
      </c>
      <c r="T179" s="11">
        <v>0</v>
      </c>
      <c r="U179" s="11">
        <v>0</v>
      </c>
      <c r="V179" s="11">
        <v>4742.6470588235288</v>
      </c>
      <c r="W179" s="11">
        <v>0</v>
      </c>
      <c r="X179" s="11">
        <v>173345.5882352941</v>
      </c>
      <c r="Y179" s="11">
        <v>0</v>
      </c>
      <c r="Z179" s="11">
        <v>0</v>
      </c>
    </row>
    <row r="180" spans="1:26" ht="15.75" customHeight="1" x14ac:dyDescent="0.25">
      <c r="A180" s="93" t="s">
        <v>1869</v>
      </c>
      <c r="B180" s="93" t="s">
        <v>959</v>
      </c>
      <c r="C180" s="93" t="s">
        <v>972</v>
      </c>
      <c r="D180" s="775" t="s">
        <v>973</v>
      </c>
      <c r="E180" s="154" t="s">
        <v>206</v>
      </c>
      <c r="F180" s="11"/>
      <c r="G180" s="53"/>
      <c r="H180" s="11" t="s">
        <v>41</v>
      </c>
      <c r="I180" s="11" t="s">
        <v>41</v>
      </c>
      <c r="J180" s="11" t="s">
        <v>41</v>
      </c>
      <c r="K180" s="11" t="s">
        <v>41</v>
      </c>
      <c r="L180" s="11">
        <v>12</v>
      </c>
      <c r="M180" s="11"/>
      <c r="N180" s="137">
        <f t="shared" si="34"/>
        <v>4116770.3660588237</v>
      </c>
      <c r="O180" s="11">
        <v>0</v>
      </c>
      <c r="P180" s="11">
        <v>0</v>
      </c>
      <c r="Q180" s="11">
        <v>586468.2426235294</v>
      </c>
      <c r="R180" s="11">
        <v>0</v>
      </c>
      <c r="S180" s="11">
        <v>1184429.1529411764</v>
      </c>
      <c r="T180" s="11">
        <v>0</v>
      </c>
      <c r="U180" s="11">
        <v>0</v>
      </c>
      <c r="V180" s="11">
        <v>0</v>
      </c>
      <c r="W180" s="11">
        <v>2345872.9704941176</v>
      </c>
      <c r="X180" s="11">
        <v>0</v>
      </c>
      <c r="Y180" s="11">
        <v>0</v>
      </c>
      <c r="Z180" s="11">
        <v>0</v>
      </c>
    </row>
    <row r="181" spans="1:26" ht="15.75" customHeight="1" x14ac:dyDescent="0.25">
      <c r="A181" s="93" t="s">
        <v>1870</v>
      </c>
      <c r="B181" s="93" t="s">
        <v>959</v>
      </c>
      <c r="C181" s="93" t="s">
        <v>1346</v>
      </c>
      <c r="D181" s="775" t="s">
        <v>982</v>
      </c>
      <c r="E181" s="154" t="s">
        <v>206</v>
      </c>
      <c r="F181" s="11"/>
      <c r="G181" s="53"/>
      <c r="H181" s="11" t="s">
        <v>41</v>
      </c>
      <c r="I181" s="11" t="s">
        <v>41</v>
      </c>
      <c r="J181" s="11" t="s">
        <v>41</v>
      </c>
      <c r="K181" s="11" t="s">
        <v>41</v>
      </c>
      <c r="L181" s="11">
        <v>12</v>
      </c>
      <c r="M181" s="11"/>
      <c r="N181" s="137">
        <f t="shared" si="34"/>
        <v>998512.1614470589</v>
      </c>
      <c r="O181" s="11">
        <f t="shared" ref="O181:Z181" si="35">+(O179+O180)*0.2</f>
        <v>25827.205882352944</v>
      </c>
      <c r="P181" s="11">
        <f t="shared" si="35"/>
        <v>25341.911764705885</v>
      </c>
      <c r="Q181" s="11">
        <f t="shared" si="35"/>
        <v>148183.35440705883</v>
      </c>
      <c r="R181" s="11">
        <f t="shared" si="35"/>
        <v>34669.117647058818</v>
      </c>
      <c r="S181" s="11">
        <f t="shared" si="35"/>
        <v>259698.33058823529</v>
      </c>
      <c r="T181" s="11">
        <f t="shared" si="35"/>
        <v>0</v>
      </c>
      <c r="U181" s="11">
        <f t="shared" si="35"/>
        <v>0</v>
      </c>
      <c r="V181" s="11">
        <f t="shared" si="35"/>
        <v>948.52941176470586</v>
      </c>
      <c r="W181" s="11">
        <f t="shared" si="35"/>
        <v>469174.59409882355</v>
      </c>
      <c r="X181" s="11">
        <f t="shared" si="35"/>
        <v>34669.117647058818</v>
      </c>
      <c r="Y181" s="11">
        <f t="shared" si="35"/>
        <v>0</v>
      </c>
      <c r="Z181" s="11">
        <f t="shared" si="35"/>
        <v>0</v>
      </c>
    </row>
    <row r="182" spans="1:26" s="35" customFormat="1" ht="22.5" customHeight="1" x14ac:dyDescent="0.25">
      <c r="A182" s="33"/>
      <c r="B182" s="34"/>
      <c r="C182" s="34"/>
      <c r="D182" s="34"/>
      <c r="E182" s="50"/>
      <c r="F182" s="50"/>
      <c r="G182" s="696"/>
      <c r="H182" s="50"/>
      <c r="I182" s="50"/>
      <c r="J182" s="51" t="s">
        <v>20</v>
      </c>
      <c r="K182" s="50"/>
      <c r="L182" s="11">
        <v>12</v>
      </c>
      <c r="M182" s="32">
        <f t="shared" ref="M182:Z182" si="36">SUM(M179:M181)</f>
        <v>0</v>
      </c>
      <c r="N182" s="32">
        <f t="shared" si="36"/>
        <v>5991072.9686823525</v>
      </c>
      <c r="O182" s="32">
        <f t="shared" si="36"/>
        <v>154963.23529411765</v>
      </c>
      <c r="P182" s="32">
        <f t="shared" si="36"/>
        <v>152051.4705882353</v>
      </c>
      <c r="Q182" s="32">
        <f t="shared" si="36"/>
        <v>889100.12644235289</v>
      </c>
      <c r="R182" s="32">
        <f t="shared" si="36"/>
        <v>208014.70588235292</v>
      </c>
      <c r="S182" s="32">
        <f t="shared" si="36"/>
        <v>1558189.9835294117</v>
      </c>
      <c r="T182" s="32">
        <f t="shared" si="36"/>
        <v>0</v>
      </c>
      <c r="U182" s="32">
        <f t="shared" si="36"/>
        <v>0</v>
      </c>
      <c r="V182" s="32">
        <f t="shared" si="36"/>
        <v>5691.1764705882342</v>
      </c>
      <c r="W182" s="32">
        <f t="shared" si="36"/>
        <v>2815047.5645929412</v>
      </c>
      <c r="X182" s="32">
        <f t="shared" si="36"/>
        <v>208014.70588235292</v>
      </c>
      <c r="Y182" s="32">
        <f t="shared" si="36"/>
        <v>0</v>
      </c>
      <c r="Z182" s="32">
        <f t="shared" si="36"/>
        <v>0</v>
      </c>
    </row>
    <row r="183" spans="1:26" ht="18" x14ac:dyDescent="0.25">
      <c r="A183" s="30" t="str">
        <f>CONCATENATE(B25," ",C25)</f>
        <v>Objective 3.5 Land Access (Ingreso EIA)</v>
      </c>
      <c r="B183" s="30"/>
      <c r="C183" s="31"/>
      <c r="D183" s="31"/>
      <c r="E183" s="29"/>
      <c r="F183" s="29"/>
      <c r="G183" s="685"/>
      <c r="H183" s="29"/>
      <c r="I183" s="29"/>
      <c r="J183" s="29"/>
      <c r="K183" s="29"/>
      <c r="L183" s="29"/>
      <c r="M183" s="29"/>
      <c r="N183" s="29"/>
      <c r="O183" s="29" t="s">
        <v>5</v>
      </c>
      <c r="P183" s="29"/>
      <c r="Q183" s="29"/>
      <c r="R183" s="29"/>
      <c r="S183" s="29"/>
      <c r="T183" s="29"/>
      <c r="U183" s="29"/>
      <c r="V183" s="29"/>
      <c r="W183" s="29"/>
      <c r="X183" s="29"/>
      <c r="Y183" s="29"/>
      <c r="Z183" s="29"/>
    </row>
    <row r="184" spans="1:26" ht="60" x14ac:dyDescent="0.25">
      <c r="A184" s="92" t="s">
        <v>261</v>
      </c>
      <c r="B184" s="92" t="s">
        <v>13</v>
      </c>
      <c r="C184" s="92" t="s">
        <v>14</v>
      </c>
      <c r="D184" s="133" t="s">
        <v>286</v>
      </c>
      <c r="E184" s="32" t="s">
        <v>16</v>
      </c>
      <c r="F184" s="32" t="s">
        <v>295</v>
      </c>
      <c r="G184" s="32" t="s">
        <v>39</v>
      </c>
      <c r="H184" s="32" t="s">
        <v>297</v>
      </c>
      <c r="I184" s="32" t="s">
        <v>298</v>
      </c>
      <c r="J184" s="32" t="s">
        <v>299</v>
      </c>
      <c r="K184" s="32" t="s">
        <v>300</v>
      </c>
      <c r="L184" s="32" t="s">
        <v>17</v>
      </c>
      <c r="M184" s="32" t="s">
        <v>18</v>
      </c>
      <c r="N184" s="32" t="s">
        <v>825</v>
      </c>
      <c r="O184" s="66">
        <v>43101</v>
      </c>
      <c r="P184" s="66">
        <v>43132</v>
      </c>
      <c r="Q184" s="66">
        <v>43160</v>
      </c>
      <c r="R184" s="66">
        <v>43191</v>
      </c>
      <c r="S184" s="66">
        <v>43221</v>
      </c>
      <c r="T184" s="66">
        <v>43252</v>
      </c>
      <c r="U184" s="66">
        <v>43282</v>
      </c>
      <c r="V184" s="66">
        <v>43313</v>
      </c>
      <c r="W184" s="66">
        <v>43344</v>
      </c>
      <c r="X184" s="66">
        <v>43374</v>
      </c>
      <c r="Y184" s="66">
        <v>43405</v>
      </c>
      <c r="Z184" s="66">
        <v>43435</v>
      </c>
    </row>
    <row r="185" spans="1:26" ht="15.75" customHeight="1" x14ac:dyDescent="0.25">
      <c r="A185" s="93" t="s">
        <v>1871</v>
      </c>
      <c r="B185" s="93" t="s">
        <v>959</v>
      </c>
      <c r="C185" s="93" t="s">
        <v>969</v>
      </c>
      <c r="D185" s="775" t="s">
        <v>970</v>
      </c>
      <c r="E185" s="154" t="s">
        <v>206</v>
      </c>
      <c r="F185" s="11"/>
      <c r="G185" s="53"/>
      <c r="H185" s="11" t="s">
        <v>41</v>
      </c>
      <c r="I185" s="11" t="s">
        <v>41</v>
      </c>
      <c r="J185" s="11" t="s">
        <v>41</v>
      </c>
      <c r="K185" s="11" t="s">
        <v>41</v>
      </c>
      <c r="L185" s="11">
        <v>12</v>
      </c>
      <c r="M185" s="11"/>
      <c r="N185" s="137">
        <f t="shared" ref="N185:N186" si="37">SUM(O185:Z185)</f>
        <v>702047.79411764711</v>
      </c>
      <c r="O185" s="11">
        <v>0</v>
      </c>
      <c r="P185" s="11">
        <v>0</v>
      </c>
      <c r="Q185" s="11">
        <v>0</v>
      </c>
      <c r="R185" s="11">
        <v>0</v>
      </c>
      <c r="S185" s="11">
        <v>25735.29411764707</v>
      </c>
      <c r="T185" s="11">
        <v>19301.470588235286</v>
      </c>
      <c r="U185" s="11">
        <v>197764.70588235286</v>
      </c>
      <c r="V185" s="11">
        <v>0</v>
      </c>
      <c r="W185" s="11">
        <v>102647.05882352949</v>
      </c>
      <c r="X185" s="11">
        <v>99531.249999999985</v>
      </c>
      <c r="Y185" s="11">
        <v>118235.29411764711</v>
      </c>
      <c r="Z185" s="11">
        <v>138832.7205882353</v>
      </c>
    </row>
    <row r="186" spans="1:26" ht="15.75" customHeight="1" x14ac:dyDescent="0.25">
      <c r="A186" s="93" t="s">
        <v>1872</v>
      </c>
      <c r="B186" s="93" t="s">
        <v>959</v>
      </c>
      <c r="C186" s="93" t="s">
        <v>972</v>
      </c>
      <c r="D186" s="93" t="s">
        <v>1518</v>
      </c>
      <c r="E186" s="154" t="s">
        <v>206</v>
      </c>
      <c r="F186" s="11"/>
      <c r="G186" s="53"/>
      <c r="H186" s="11" t="s">
        <v>41</v>
      </c>
      <c r="I186" s="11" t="s">
        <v>41</v>
      </c>
      <c r="J186" s="11" t="s">
        <v>41</v>
      </c>
      <c r="K186" s="11" t="s">
        <v>41</v>
      </c>
      <c r="L186" s="11">
        <v>12</v>
      </c>
      <c r="M186" s="11"/>
      <c r="N186" s="137">
        <f t="shared" si="37"/>
        <v>4731164.1032682359</v>
      </c>
      <c r="O186" s="11">
        <v>0</v>
      </c>
      <c r="P186" s="11">
        <v>0</v>
      </c>
      <c r="Q186" s="11">
        <v>0</v>
      </c>
      <c r="R186" s="11">
        <v>0</v>
      </c>
      <c r="S186" s="11">
        <v>0</v>
      </c>
      <c r="T186" s="11">
        <v>0</v>
      </c>
      <c r="U186" s="11">
        <v>0</v>
      </c>
      <c r="V186" s="11">
        <v>0</v>
      </c>
      <c r="W186" s="11">
        <v>0</v>
      </c>
      <c r="X186" s="11">
        <v>0</v>
      </c>
      <c r="Y186" s="11">
        <v>4731164.1032682359</v>
      </c>
      <c r="Z186" s="11">
        <v>0</v>
      </c>
    </row>
    <row r="187" spans="1:26" ht="15.75" customHeight="1" x14ac:dyDescent="0.25">
      <c r="A187" s="93" t="s">
        <v>1873</v>
      </c>
      <c r="B187" s="93" t="s">
        <v>959</v>
      </c>
      <c r="C187" s="701" t="s">
        <v>1519</v>
      </c>
      <c r="D187" s="702" t="s">
        <v>970</v>
      </c>
      <c r="E187" s="703" t="s">
        <v>206</v>
      </c>
      <c r="F187" s="704"/>
      <c r="G187" s="705"/>
      <c r="H187" s="704" t="s">
        <v>41</v>
      </c>
      <c r="I187" s="704" t="s">
        <v>41</v>
      </c>
      <c r="J187" s="704" t="s">
        <v>41</v>
      </c>
      <c r="K187" s="704" t="s">
        <v>41</v>
      </c>
      <c r="L187" s="704">
        <v>12</v>
      </c>
      <c r="M187" s="704"/>
      <c r="N187" s="974">
        <f t="shared" ref="N187:N191" si="38">SUM(O187:Z187)</f>
        <v>0</v>
      </c>
      <c r="O187" s="974">
        <v>0</v>
      </c>
      <c r="P187" s="974">
        <v>0</v>
      </c>
      <c r="Q187" s="974">
        <v>0</v>
      </c>
      <c r="R187" s="974">
        <v>0</v>
      </c>
      <c r="S187" s="974">
        <v>0</v>
      </c>
      <c r="T187" s="974">
        <v>0</v>
      </c>
      <c r="U187" s="974">
        <v>0</v>
      </c>
      <c r="V187" s="974">
        <v>0</v>
      </c>
      <c r="W187" s="974">
        <v>0</v>
      </c>
      <c r="X187" s="974">
        <v>0</v>
      </c>
      <c r="Y187" s="974">
        <v>0</v>
      </c>
      <c r="Z187" s="974">
        <v>0</v>
      </c>
    </row>
    <row r="188" spans="1:26" ht="15.75" customHeight="1" x14ac:dyDescent="0.25">
      <c r="A188" s="93" t="s">
        <v>1874</v>
      </c>
      <c r="B188" s="93" t="s">
        <v>959</v>
      </c>
      <c r="C188" s="701" t="s">
        <v>1520</v>
      </c>
      <c r="D188" s="701" t="s">
        <v>1518</v>
      </c>
      <c r="E188" s="703" t="s">
        <v>206</v>
      </c>
      <c r="F188" s="704"/>
      <c r="G188" s="705"/>
      <c r="H188" s="704" t="s">
        <v>41</v>
      </c>
      <c r="I188" s="704" t="s">
        <v>41</v>
      </c>
      <c r="J188" s="704" t="s">
        <v>41</v>
      </c>
      <c r="K188" s="704" t="s">
        <v>41</v>
      </c>
      <c r="L188" s="704">
        <v>12</v>
      </c>
      <c r="M188" s="704"/>
      <c r="N188" s="974">
        <f t="shared" si="38"/>
        <v>0</v>
      </c>
      <c r="O188" s="974">
        <v>0</v>
      </c>
      <c r="P188" s="974">
        <v>0</v>
      </c>
      <c r="Q188" s="974">
        <v>0</v>
      </c>
      <c r="R188" s="974">
        <v>0</v>
      </c>
      <c r="S188" s="974">
        <v>0</v>
      </c>
      <c r="T188" s="974">
        <v>0</v>
      </c>
      <c r="U188" s="974">
        <v>0</v>
      </c>
      <c r="V188" s="974">
        <v>0</v>
      </c>
      <c r="W188" s="974">
        <v>0</v>
      </c>
      <c r="X188" s="974">
        <v>0</v>
      </c>
      <c r="Y188" s="974">
        <v>0</v>
      </c>
      <c r="Z188" s="974">
        <v>0</v>
      </c>
    </row>
    <row r="189" spans="1:26" ht="15.75" customHeight="1" x14ac:dyDescent="0.25">
      <c r="A189" s="93" t="s">
        <v>1875</v>
      </c>
      <c r="B189" s="93" t="s">
        <v>959</v>
      </c>
      <c r="C189" s="93" t="s">
        <v>975</v>
      </c>
      <c r="D189" s="775" t="s">
        <v>1521</v>
      </c>
      <c r="E189" s="703" t="s">
        <v>206</v>
      </c>
      <c r="F189" s="704"/>
      <c r="G189" s="705"/>
      <c r="H189" s="704" t="s">
        <v>41</v>
      </c>
      <c r="I189" s="704" t="s">
        <v>41</v>
      </c>
      <c r="J189" s="704" t="s">
        <v>41</v>
      </c>
      <c r="K189" s="704" t="s">
        <v>41</v>
      </c>
      <c r="L189" s="704">
        <v>12</v>
      </c>
      <c r="M189" s="704"/>
      <c r="N189" s="137">
        <f t="shared" si="38"/>
        <v>259554.76764705882</v>
      </c>
      <c r="O189" s="11">
        <v>0</v>
      </c>
      <c r="P189" s="11">
        <v>0</v>
      </c>
      <c r="Q189" s="11">
        <v>0</v>
      </c>
      <c r="R189" s="11">
        <v>0</v>
      </c>
      <c r="S189" s="11">
        <v>0</v>
      </c>
      <c r="T189" s="11">
        <v>7169.1176470588234</v>
      </c>
      <c r="U189" s="11">
        <v>12867.64705882353</v>
      </c>
      <c r="V189" s="11">
        <v>238782.70882352942</v>
      </c>
      <c r="W189" s="11">
        <v>0</v>
      </c>
      <c r="X189" s="11">
        <v>0</v>
      </c>
      <c r="Y189" s="11">
        <v>0</v>
      </c>
      <c r="Z189" s="11">
        <v>735.29411764705878</v>
      </c>
    </row>
    <row r="190" spans="1:26" ht="15.75" customHeight="1" x14ac:dyDescent="0.25">
      <c r="A190" s="93" t="s">
        <v>1876</v>
      </c>
      <c r="B190" s="93" t="s">
        <v>959</v>
      </c>
      <c r="C190" s="93" t="s">
        <v>977</v>
      </c>
      <c r="D190" s="93" t="s">
        <v>977</v>
      </c>
      <c r="E190" s="154" t="s">
        <v>206</v>
      </c>
      <c r="F190" s="11"/>
      <c r="G190" s="53"/>
      <c r="H190" s="11" t="s">
        <v>41</v>
      </c>
      <c r="I190" s="11" t="s">
        <v>41</v>
      </c>
      <c r="J190" s="11" t="s">
        <v>41</v>
      </c>
      <c r="K190" s="11" t="s">
        <v>41</v>
      </c>
      <c r="L190" s="11">
        <v>12</v>
      </c>
      <c r="M190" s="11"/>
      <c r="N190" s="139">
        <f t="shared" si="38"/>
        <v>0</v>
      </c>
      <c r="O190" s="706">
        <v>0</v>
      </c>
      <c r="P190" s="706">
        <v>0</v>
      </c>
      <c r="Q190" s="706">
        <v>0</v>
      </c>
      <c r="R190" s="706">
        <v>0</v>
      </c>
      <c r="S190" s="706">
        <v>0</v>
      </c>
      <c r="T190" s="706">
        <v>0</v>
      </c>
      <c r="U190" s="706">
        <v>0</v>
      </c>
      <c r="V190" s="706">
        <v>0</v>
      </c>
      <c r="W190" s="706">
        <v>0</v>
      </c>
      <c r="X190" s="706">
        <v>0</v>
      </c>
      <c r="Y190" s="706">
        <v>0</v>
      </c>
      <c r="Z190" s="706">
        <v>0</v>
      </c>
    </row>
    <row r="191" spans="1:26" ht="15.75" customHeight="1" x14ac:dyDescent="0.25">
      <c r="A191" s="93" t="s">
        <v>1877</v>
      </c>
      <c r="B191" s="93" t="s">
        <v>959</v>
      </c>
      <c r="C191" s="93" t="s">
        <v>1352</v>
      </c>
      <c r="D191" s="775" t="s">
        <v>982</v>
      </c>
      <c r="E191" s="154" t="s">
        <v>206</v>
      </c>
      <c r="F191" s="11"/>
      <c r="G191" s="53"/>
      <c r="H191" s="11" t="s">
        <v>41</v>
      </c>
      <c r="I191" s="11" t="s">
        <v>41</v>
      </c>
      <c r="J191" s="11" t="s">
        <v>41</v>
      </c>
      <c r="K191" s="11" t="s">
        <v>41</v>
      </c>
      <c r="L191" s="11">
        <v>12</v>
      </c>
      <c r="M191" s="11"/>
      <c r="N191" s="137">
        <f t="shared" si="38"/>
        <v>1138553.3330065883</v>
      </c>
      <c r="O191" s="11">
        <f t="shared" ref="O191:Z191" si="39">SUM(O185:O190)*0.2</f>
        <v>0</v>
      </c>
      <c r="P191" s="11">
        <f t="shared" si="39"/>
        <v>0</v>
      </c>
      <c r="Q191" s="11">
        <f t="shared" si="39"/>
        <v>0</v>
      </c>
      <c r="R191" s="11">
        <f t="shared" si="39"/>
        <v>0</v>
      </c>
      <c r="S191" s="11">
        <f t="shared" si="39"/>
        <v>5147.0588235294144</v>
      </c>
      <c r="T191" s="11">
        <f t="shared" si="39"/>
        <v>5294.1176470588225</v>
      </c>
      <c r="U191" s="11">
        <f t="shared" si="39"/>
        <v>42126.470588235279</v>
      </c>
      <c r="V191" s="11">
        <f t="shared" si="39"/>
        <v>47756.541764705886</v>
      </c>
      <c r="W191" s="11">
        <f t="shared" si="39"/>
        <v>20529.411764705899</v>
      </c>
      <c r="X191" s="11">
        <f t="shared" si="39"/>
        <v>19906.25</v>
      </c>
      <c r="Y191" s="11">
        <f t="shared" si="39"/>
        <v>969879.8794771767</v>
      </c>
      <c r="Z191" s="11">
        <f t="shared" si="39"/>
        <v>27913.602941176472</v>
      </c>
    </row>
    <row r="192" spans="1:26" s="35" customFormat="1" ht="22.5" customHeight="1" x14ac:dyDescent="0.25">
      <c r="A192" s="33"/>
      <c r="B192" s="34"/>
      <c r="C192" s="34"/>
      <c r="D192" s="34"/>
      <c r="E192" s="50"/>
      <c r="F192" s="50"/>
      <c r="G192" s="696"/>
      <c r="H192" s="50"/>
      <c r="I192" s="50"/>
      <c r="J192" s="51" t="s">
        <v>20</v>
      </c>
      <c r="K192" s="50"/>
      <c r="L192" s="11">
        <v>12</v>
      </c>
      <c r="M192" s="32">
        <f>SUM(M187:M191)</f>
        <v>0</v>
      </c>
      <c r="N192" s="32">
        <f t="shared" ref="N192:Z192" si="40">SUM(N185:N191)</f>
        <v>6831319.9980395306</v>
      </c>
      <c r="O192" s="32">
        <f t="shared" si="40"/>
        <v>0</v>
      </c>
      <c r="P192" s="32">
        <f t="shared" si="40"/>
        <v>0</v>
      </c>
      <c r="Q192" s="32">
        <f t="shared" si="40"/>
        <v>0</v>
      </c>
      <c r="R192" s="32">
        <f t="shared" si="40"/>
        <v>0</v>
      </c>
      <c r="S192" s="32">
        <f t="shared" si="40"/>
        <v>30882.352941176483</v>
      </c>
      <c r="T192" s="32">
        <f t="shared" si="40"/>
        <v>31764.705882352933</v>
      </c>
      <c r="U192" s="32">
        <f t="shared" si="40"/>
        <v>252758.82352941166</v>
      </c>
      <c r="V192" s="32">
        <f t="shared" si="40"/>
        <v>286539.25058823533</v>
      </c>
      <c r="W192" s="32">
        <f t="shared" si="40"/>
        <v>123176.47058823539</v>
      </c>
      <c r="X192" s="32">
        <f t="shared" si="40"/>
        <v>119437.49999999999</v>
      </c>
      <c r="Y192" s="32">
        <f t="shared" si="40"/>
        <v>5819279.27686306</v>
      </c>
      <c r="Z192" s="32">
        <f t="shared" si="40"/>
        <v>167481.61764705883</v>
      </c>
    </row>
    <row r="193" spans="1:26" ht="18" x14ac:dyDescent="0.25">
      <c r="A193" s="30" t="str">
        <f>CONCATENATE(B26," ",C26)</f>
        <v xml:space="preserve">Objective 3.6 Otros Predios </v>
      </c>
      <c r="B193" s="30"/>
      <c r="C193" s="31"/>
      <c r="D193" s="31"/>
      <c r="E193" s="29"/>
      <c r="F193" s="29"/>
      <c r="G193" s="685"/>
      <c r="H193" s="29"/>
      <c r="I193" s="29"/>
      <c r="J193" s="29"/>
      <c r="K193" s="29"/>
      <c r="L193" s="29"/>
      <c r="M193" s="29"/>
      <c r="N193" s="29"/>
      <c r="O193" s="29" t="s">
        <v>5</v>
      </c>
      <c r="P193" s="29"/>
      <c r="Q193" s="29"/>
      <c r="R193" s="29"/>
      <c r="S193" s="29"/>
      <c r="T193" s="29"/>
      <c r="U193" s="29"/>
      <c r="V193" s="29"/>
      <c r="W193" s="29"/>
      <c r="X193" s="29"/>
      <c r="Y193" s="29"/>
      <c r="Z193" s="29"/>
    </row>
    <row r="194" spans="1:26" ht="60" x14ac:dyDescent="0.25">
      <c r="A194" s="92" t="s">
        <v>261</v>
      </c>
      <c r="B194" s="92" t="s">
        <v>13</v>
      </c>
      <c r="C194" s="92" t="s">
        <v>14</v>
      </c>
      <c r="D194" s="133" t="s">
        <v>286</v>
      </c>
      <c r="E194" s="32" t="s">
        <v>16</v>
      </c>
      <c r="F194" s="32" t="s">
        <v>295</v>
      </c>
      <c r="G194" s="32" t="s">
        <v>39</v>
      </c>
      <c r="H194" s="32" t="s">
        <v>297</v>
      </c>
      <c r="I194" s="32" t="s">
        <v>298</v>
      </c>
      <c r="J194" s="32" t="s">
        <v>299</v>
      </c>
      <c r="K194" s="32" t="s">
        <v>300</v>
      </c>
      <c r="L194" s="32" t="s">
        <v>17</v>
      </c>
      <c r="M194" s="32" t="s">
        <v>18</v>
      </c>
      <c r="N194" s="32" t="s">
        <v>825</v>
      </c>
      <c r="O194" s="66">
        <v>43101</v>
      </c>
      <c r="P194" s="66">
        <v>43132</v>
      </c>
      <c r="Q194" s="66">
        <v>43160</v>
      </c>
      <c r="R194" s="66">
        <v>43191</v>
      </c>
      <c r="S194" s="66">
        <v>43221</v>
      </c>
      <c r="T194" s="66">
        <v>43252</v>
      </c>
      <c r="U194" s="66">
        <v>43282</v>
      </c>
      <c r="V194" s="66">
        <v>43313</v>
      </c>
      <c r="W194" s="66">
        <v>43344</v>
      </c>
      <c r="X194" s="66">
        <v>43374</v>
      </c>
      <c r="Y194" s="66">
        <v>43405</v>
      </c>
      <c r="Z194" s="66">
        <v>43435</v>
      </c>
    </row>
    <row r="195" spans="1:26" ht="15.75" customHeight="1" x14ac:dyDescent="0.25">
      <c r="A195" s="93" t="s">
        <v>1878</v>
      </c>
      <c r="B195" s="93" t="s">
        <v>1394</v>
      </c>
      <c r="C195" s="707" t="s">
        <v>1395</v>
      </c>
      <c r="D195" s="708" t="s">
        <v>1523</v>
      </c>
      <c r="E195" s="154" t="s">
        <v>206</v>
      </c>
      <c r="F195" s="11"/>
      <c r="G195" s="53"/>
      <c r="H195" s="11" t="s">
        <v>41</v>
      </c>
      <c r="I195" s="11" t="s">
        <v>41</v>
      </c>
      <c r="J195" s="11" t="s">
        <v>41</v>
      </c>
      <c r="K195" s="11" t="s">
        <v>41</v>
      </c>
      <c r="L195" s="11">
        <v>12</v>
      </c>
      <c r="M195" s="11"/>
      <c r="N195" s="700">
        <f t="shared" ref="N195:N196" si="41">SUM(O195:Z195)</f>
        <v>60000</v>
      </c>
      <c r="O195" s="161">
        <v>0</v>
      </c>
      <c r="P195" s="161">
        <v>0</v>
      </c>
      <c r="Q195" s="161">
        <v>0</v>
      </c>
      <c r="R195" s="161">
        <v>0</v>
      </c>
      <c r="S195" s="161">
        <v>0</v>
      </c>
      <c r="T195" s="161">
        <v>0</v>
      </c>
      <c r="U195" s="161">
        <v>20000</v>
      </c>
      <c r="V195" s="161">
        <v>0</v>
      </c>
      <c r="W195" s="161">
        <v>0</v>
      </c>
      <c r="X195" s="161">
        <v>20000</v>
      </c>
      <c r="Y195" s="161">
        <v>0</v>
      </c>
      <c r="Z195" s="161">
        <v>20000</v>
      </c>
    </row>
    <row r="196" spans="1:26" ht="15.75" customHeight="1" x14ac:dyDescent="0.25">
      <c r="A196" s="93" t="s">
        <v>1879</v>
      </c>
      <c r="B196" s="93" t="s">
        <v>1394</v>
      </c>
      <c r="C196" s="709" t="s">
        <v>1525</v>
      </c>
      <c r="D196" s="710" t="s">
        <v>1526</v>
      </c>
      <c r="E196" s="711" t="s">
        <v>206</v>
      </c>
      <c r="F196" s="712"/>
      <c r="G196" s="713"/>
      <c r="H196" s="712" t="s">
        <v>41</v>
      </c>
      <c r="I196" s="712" t="s">
        <v>41</v>
      </c>
      <c r="J196" s="712" t="s">
        <v>41</v>
      </c>
      <c r="K196" s="712" t="s">
        <v>41</v>
      </c>
      <c r="L196" s="712">
        <v>12</v>
      </c>
      <c r="M196" s="712"/>
      <c r="N196" s="714">
        <f t="shared" si="41"/>
        <v>0</v>
      </c>
      <c r="O196" s="714">
        <v>0</v>
      </c>
      <c r="P196" s="714">
        <v>0</v>
      </c>
      <c r="Q196" s="714">
        <v>0</v>
      </c>
      <c r="R196" s="714">
        <v>0</v>
      </c>
      <c r="S196" s="714">
        <v>0</v>
      </c>
      <c r="T196" s="714">
        <v>0</v>
      </c>
      <c r="U196" s="714">
        <v>0</v>
      </c>
      <c r="V196" s="714">
        <v>0</v>
      </c>
      <c r="W196" s="714">
        <v>0</v>
      </c>
      <c r="X196" s="714">
        <v>0</v>
      </c>
      <c r="Y196" s="714">
        <v>0</v>
      </c>
      <c r="Z196" s="714">
        <v>0</v>
      </c>
    </row>
    <row r="197" spans="1:26" ht="15.75" customHeight="1" x14ac:dyDescent="0.25">
      <c r="A197" s="93" t="s">
        <v>1880</v>
      </c>
      <c r="B197" s="93" t="s">
        <v>1394</v>
      </c>
      <c r="C197" s="709" t="s">
        <v>1511</v>
      </c>
      <c r="D197" s="710" t="s">
        <v>1528</v>
      </c>
      <c r="E197" s="711" t="s">
        <v>206</v>
      </c>
      <c r="F197" s="712"/>
      <c r="G197" s="713"/>
      <c r="H197" s="712" t="s">
        <v>41</v>
      </c>
      <c r="I197" s="712" t="s">
        <v>41</v>
      </c>
      <c r="J197" s="712" t="s">
        <v>41</v>
      </c>
      <c r="K197" s="712" t="s">
        <v>41</v>
      </c>
      <c r="L197" s="712">
        <v>12</v>
      </c>
      <c r="M197" s="712"/>
      <c r="N197" s="714">
        <f t="shared" ref="N197:N199" si="42">SUM(O197:Z197)</f>
        <v>0</v>
      </c>
      <c r="O197" s="714">
        <v>0</v>
      </c>
      <c r="P197" s="714">
        <v>0</v>
      </c>
      <c r="Q197" s="714">
        <v>0</v>
      </c>
      <c r="R197" s="714">
        <v>0</v>
      </c>
      <c r="S197" s="714">
        <v>0</v>
      </c>
      <c r="T197" s="714">
        <v>0</v>
      </c>
      <c r="U197" s="714">
        <v>0</v>
      </c>
      <c r="V197" s="714">
        <v>0</v>
      </c>
      <c r="W197" s="714">
        <v>0</v>
      </c>
      <c r="X197" s="714">
        <v>0</v>
      </c>
      <c r="Y197" s="714">
        <v>0</v>
      </c>
      <c r="Z197" s="714">
        <v>0</v>
      </c>
    </row>
    <row r="198" spans="1:26" ht="15.75" customHeight="1" x14ac:dyDescent="0.25">
      <c r="A198" s="93" t="s">
        <v>1881</v>
      </c>
      <c r="B198" s="93" t="s">
        <v>1530</v>
      </c>
      <c r="C198" s="707" t="s">
        <v>1530</v>
      </c>
      <c r="D198" s="708" t="s">
        <v>1531</v>
      </c>
      <c r="E198" s="154" t="s">
        <v>206</v>
      </c>
      <c r="F198" s="11"/>
      <c r="G198" s="53"/>
      <c r="H198" s="11" t="s">
        <v>41</v>
      </c>
      <c r="I198" s="11" t="s">
        <v>41</v>
      </c>
      <c r="J198" s="11" t="s">
        <v>41</v>
      </c>
      <c r="K198" s="11" t="s">
        <v>41</v>
      </c>
      <c r="L198" s="11">
        <v>12</v>
      </c>
      <c r="M198" s="11"/>
      <c r="N198" s="700">
        <f t="shared" si="42"/>
        <v>555382.6</v>
      </c>
      <c r="O198" s="161">
        <v>0</v>
      </c>
      <c r="P198" s="161">
        <v>0</v>
      </c>
      <c r="Q198" s="161">
        <v>0</v>
      </c>
      <c r="R198" s="161">
        <v>0</v>
      </c>
      <c r="S198" s="161">
        <v>0</v>
      </c>
      <c r="T198" s="161">
        <v>0</v>
      </c>
      <c r="U198" s="161">
        <v>0</v>
      </c>
      <c r="V198" s="161">
        <v>0</v>
      </c>
      <c r="W198" s="161">
        <v>0</v>
      </c>
      <c r="X198" s="161">
        <v>0</v>
      </c>
      <c r="Y198" s="161">
        <v>0</v>
      </c>
      <c r="Z198" s="161">
        <f>5553826*0.1</f>
        <v>555382.6</v>
      </c>
    </row>
    <row r="199" spans="1:26" ht="27.75" customHeight="1" x14ac:dyDescent="0.25">
      <c r="A199" s="93" t="s">
        <v>1882</v>
      </c>
      <c r="B199" s="93" t="s">
        <v>1533</v>
      </c>
      <c r="C199" s="707" t="s">
        <v>1534</v>
      </c>
      <c r="D199" s="708" t="s">
        <v>1535</v>
      </c>
      <c r="E199" s="154" t="s">
        <v>206</v>
      </c>
      <c r="F199" s="11"/>
      <c r="G199" s="53"/>
      <c r="H199" s="11" t="s">
        <v>41</v>
      </c>
      <c r="I199" s="11" t="s">
        <v>41</v>
      </c>
      <c r="J199" s="11" t="s">
        <v>41</v>
      </c>
      <c r="K199" s="11" t="s">
        <v>41</v>
      </c>
      <c r="L199" s="11">
        <v>12</v>
      </c>
      <c r="M199" s="11"/>
      <c r="N199" s="700">
        <f t="shared" si="42"/>
        <v>0</v>
      </c>
      <c r="O199" s="161">
        <v>0</v>
      </c>
      <c r="P199" s="161">
        <v>0</v>
      </c>
      <c r="Q199" s="161">
        <v>0</v>
      </c>
      <c r="R199" s="161">
        <v>0</v>
      </c>
      <c r="S199" s="161">
        <v>0</v>
      </c>
      <c r="T199" s="161">
        <v>0</v>
      </c>
      <c r="U199" s="161">
        <v>0</v>
      </c>
      <c r="V199" s="161">
        <v>0</v>
      </c>
      <c r="W199" s="161">
        <v>0</v>
      </c>
      <c r="X199" s="161">
        <v>0</v>
      </c>
      <c r="Y199" s="161">
        <v>0</v>
      </c>
      <c r="Z199" s="161">
        <v>0</v>
      </c>
    </row>
    <row r="200" spans="1:26" ht="15.75" customHeight="1" x14ac:dyDescent="0.25">
      <c r="A200" s="93" t="s">
        <v>1883</v>
      </c>
      <c r="B200" s="93" t="s">
        <v>1537</v>
      </c>
      <c r="C200" s="93" t="s">
        <v>1538</v>
      </c>
      <c r="D200" s="775" t="s">
        <v>982</v>
      </c>
      <c r="E200" s="154" t="s">
        <v>206</v>
      </c>
      <c r="F200" s="11"/>
      <c r="G200" s="53"/>
      <c r="H200" s="11" t="s">
        <v>41</v>
      </c>
      <c r="I200" s="11" t="s">
        <v>41</v>
      </c>
      <c r="J200" s="11" t="s">
        <v>41</v>
      </c>
      <c r="K200" s="11" t="s">
        <v>41</v>
      </c>
      <c r="L200" s="11">
        <v>12</v>
      </c>
      <c r="M200" s="11"/>
      <c r="N200" s="137">
        <f t="shared" ref="N200" si="43">SUM(O200:Z200)</f>
        <v>123076.52</v>
      </c>
      <c r="O200" s="11">
        <f t="shared" ref="O200:Z200" si="44">SUM(O195:O199)*0.2</f>
        <v>0</v>
      </c>
      <c r="P200" s="11">
        <f t="shared" si="44"/>
        <v>0</v>
      </c>
      <c r="Q200" s="11">
        <f t="shared" si="44"/>
        <v>0</v>
      </c>
      <c r="R200" s="11">
        <f t="shared" si="44"/>
        <v>0</v>
      </c>
      <c r="S200" s="11">
        <f t="shared" si="44"/>
        <v>0</v>
      </c>
      <c r="T200" s="11">
        <f t="shared" si="44"/>
        <v>0</v>
      </c>
      <c r="U200" s="11">
        <f t="shared" si="44"/>
        <v>4000</v>
      </c>
      <c r="V200" s="11">
        <f t="shared" si="44"/>
        <v>0</v>
      </c>
      <c r="W200" s="11">
        <f t="shared" si="44"/>
        <v>0</v>
      </c>
      <c r="X200" s="11">
        <f t="shared" si="44"/>
        <v>4000</v>
      </c>
      <c r="Y200" s="11">
        <f t="shared" si="44"/>
        <v>0</v>
      </c>
      <c r="Z200" s="11">
        <f t="shared" si="44"/>
        <v>115076.52</v>
      </c>
    </row>
    <row r="201" spans="1:26" s="35" customFormat="1" ht="22.5" customHeight="1" x14ac:dyDescent="0.25">
      <c r="A201" s="33"/>
      <c r="B201" s="34"/>
      <c r="C201" s="34"/>
      <c r="D201" s="34"/>
      <c r="E201" s="50"/>
      <c r="F201" s="50"/>
      <c r="G201" s="696"/>
      <c r="H201" s="50"/>
      <c r="I201" s="50"/>
      <c r="J201" s="51" t="s">
        <v>20</v>
      </c>
      <c r="K201" s="50"/>
      <c r="L201" s="11">
        <v>12</v>
      </c>
      <c r="M201" s="32">
        <f t="shared" ref="M201:Z201" si="45">SUM(M195:M200)</f>
        <v>0</v>
      </c>
      <c r="N201" s="32">
        <f t="shared" si="45"/>
        <v>738459.12</v>
      </c>
      <c r="O201" s="32">
        <f t="shared" si="45"/>
        <v>0</v>
      </c>
      <c r="P201" s="32">
        <f t="shared" si="45"/>
        <v>0</v>
      </c>
      <c r="Q201" s="32">
        <f t="shared" si="45"/>
        <v>0</v>
      </c>
      <c r="R201" s="32">
        <f t="shared" si="45"/>
        <v>0</v>
      </c>
      <c r="S201" s="32">
        <f t="shared" si="45"/>
        <v>0</v>
      </c>
      <c r="T201" s="32">
        <f t="shared" si="45"/>
        <v>0</v>
      </c>
      <c r="U201" s="32">
        <f t="shared" si="45"/>
        <v>24000</v>
      </c>
      <c r="V201" s="32">
        <f t="shared" si="45"/>
        <v>0</v>
      </c>
      <c r="W201" s="32">
        <f t="shared" si="45"/>
        <v>0</v>
      </c>
      <c r="X201" s="32">
        <f t="shared" si="45"/>
        <v>24000</v>
      </c>
      <c r="Y201" s="32">
        <f t="shared" si="45"/>
        <v>0</v>
      </c>
      <c r="Z201" s="32">
        <f t="shared" si="45"/>
        <v>690459.12</v>
      </c>
    </row>
    <row r="202" spans="1:26" ht="18" outlineLevel="1" x14ac:dyDescent="0.25">
      <c r="A202" s="30" t="s">
        <v>1572</v>
      </c>
      <c r="B202" s="30"/>
      <c r="C202" s="31"/>
      <c r="D202" s="31"/>
      <c r="E202" s="29"/>
      <c r="F202" s="29"/>
      <c r="G202" s="685"/>
      <c r="H202" s="29"/>
      <c r="I202" s="29"/>
      <c r="J202" s="29"/>
      <c r="K202" s="29"/>
      <c r="L202" s="29"/>
      <c r="M202" s="29"/>
      <c r="N202" s="29"/>
      <c r="O202" s="29" t="s">
        <v>5</v>
      </c>
      <c r="P202" s="29"/>
      <c r="Q202" s="29"/>
      <c r="R202" s="29"/>
      <c r="S202" s="29"/>
      <c r="T202" s="29"/>
      <c r="U202" s="29"/>
      <c r="V202" s="29"/>
      <c r="W202" s="29"/>
      <c r="X202" s="29"/>
      <c r="Y202" s="29"/>
      <c r="Z202" s="29"/>
    </row>
    <row r="203" spans="1:26" ht="41.45" customHeight="1" outlineLevel="1" x14ac:dyDescent="0.25">
      <c r="A203" s="92" t="s">
        <v>261</v>
      </c>
      <c r="B203" s="92" t="s">
        <v>13</v>
      </c>
      <c r="C203" s="92" t="s">
        <v>14</v>
      </c>
      <c r="D203" s="133" t="s">
        <v>286</v>
      </c>
      <c r="E203" s="32" t="s">
        <v>16</v>
      </c>
      <c r="F203" s="32" t="s">
        <v>295</v>
      </c>
      <c r="G203" s="32" t="s">
        <v>39</v>
      </c>
      <c r="H203" s="32" t="s">
        <v>297</v>
      </c>
      <c r="I203" s="32" t="s">
        <v>298</v>
      </c>
      <c r="J203" s="32" t="s">
        <v>299</v>
      </c>
      <c r="K203" s="32" t="s">
        <v>300</v>
      </c>
      <c r="L203" s="32" t="s">
        <v>17</v>
      </c>
      <c r="M203" s="32" t="s">
        <v>18</v>
      </c>
      <c r="N203" s="32" t="s">
        <v>825</v>
      </c>
      <c r="O203" s="66">
        <v>43101</v>
      </c>
      <c r="P203" s="66">
        <v>43132</v>
      </c>
      <c r="Q203" s="66">
        <v>43160</v>
      </c>
      <c r="R203" s="66">
        <v>43191</v>
      </c>
      <c r="S203" s="66">
        <v>43221</v>
      </c>
      <c r="T203" s="66">
        <v>43252</v>
      </c>
      <c r="U203" s="66">
        <v>43282</v>
      </c>
      <c r="V203" s="66">
        <v>43313</v>
      </c>
      <c r="W203" s="66">
        <v>43344</v>
      </c>
      <c r="X203" s="66">
        <v>43374</v>
      </c>
      <c r="Y203" s="66">
        <v>43405</v>
      </c>
      <c r="Z203" s="66">
        <v>43435</v>
      </c>
    </row>
    <row r="204" spans="1:26" ht="15.75" customHeight="1" x14ac:dyDescent="0.25">
      <c r="A204" s="93" t="s">
        <v>1884</v>
      </c>
      <c r="B204" s="93" t="s">
        <v>1495</v>
      </c>
      <c r="C204" s="707" t="s">
        <v>1539</v>
      </c>
      <c r="D204" s="708" t="s">
        <v>1540</v>
      </c>
      <c r="E204" s="154" t="s">
        <v>206</v>
      </c>
      <c r="F204" s="11"/>
      <c r="G204" s="53"/>
      <c r="H204" s="11" t="s">
        <v>41</v>
      </c>
      <c r="I204" s="11" t="s">
        <v>41</v>
      </c>
      <c r="J204" s="11" t="s">
        <v>41</v>
      </c>
      <c r="K204" s="11" t="s">
        <v>41</v>
      </c>
      <c r="L204" s="11">
        <v>12</v>
      </c>
      <c r="M204" s="11"/>
      <c r="N204" s="700">
        <f t="shared" ref="N204" si="46">SUM(O204:Z204)</f>
        <v>0</v>
      </c>
      <c r="O204" s="161">
        <v>0</v>
      </c>
      <c r="P204" s="161">
        <v>0</v>
      </c>
      <c r="Q204" s="161">
        <v>0</v>
      </c>
      <c r="R204" s="161">
        <v>0</v>
      </c>
      <c r="S204" s="161">
        <v>0</v>
      </c>
      <c r="T204" s="161">
        <v>0</v>
      </c>
      <c r="U204" s="161">
        <v>0</v>
      </c>
      <c r="V204" s="161">
        <v>0</v>
      </c>
      <c r="W204" s="161">
        <v>0</v>
      </c>
      <c r="X204" s="161">
        <v>0</v>
      </c>
      <c r="Y204" s="161">
        <v>0</v>
      </c>
      <c r="Z204" s="161">
        <v>0</v>
      </c>
    </row>
    <row r="205" spans="1:26" ht="15.75" customHeight="1" x14ac:dyDescent="0.25">
      <c r="A205" s="93" t="s">
        <v>1885</v>
      </c>
      <c r="B205" s="93" t="s">
        <v>1495</v>
      </c>
      <c r="C205" s="707" t="s">
        <v>1539</v>
      </c>
      <c r="D205" s="708" t="s">
        <v>1541</v>
      </c>
      <c r="E205" s="154" t="s">
        <v>206</v>
      </c>
      <c r="F205" s="11"/>
      <c r="G205" s="53"/>
      <c r="H205" s="11" t="s">
        <v>41</v>
      </c>
      <c r="I205" s="11" t="s">
        <v>41</v>
      </c>
      <c r="J205" s="11" t="s">
        <v>41</v>
      </c>
      <c r="K205" s="11" t="s">
        <v>41</v>
      </c>
      <c r="L205" s="11">
        <v>12</v>
      </c>
      <c r="M205" s="11"/>
      <c r="N205" s="700">
        <f t="shared" ref="N205:N207" si="47">SUM(O205:Z205)</f>
        <v>0</v>
      </c>
      <c r="O205" s="161">
        <v>0</v>
      </c>
      <c r="P205" s="161">
        <v>0</v>
      </c>
      <c r="Q205" s="161">
        <v>0</v>
      </c>
      <c r="R205" s="161">
        <v>0</v>
      </c>
      <c r="S205" s="161">
        <v>0</v>
      </c>
      <c r="T205" s="161">
        <v>0</v>
      </c>
      <c r="U205" s="161">
        <v>0</v>
      </c>
      <c r="V205" s="161">
        <v>0</v>
      </c>
      <c r="W205" s="161">
        <v>0</v>
      </c>
      <c r="X205" s="161">
        <v>0</v>
      </c>
      <c r="Y205" s="161">
        <v>0</v>
      </c>
      <c r="Z205" s="161">
        <v>0</v>
      </c>
    </row>
    <row r="206" spans="1:26" ht="15.75" customHeight="1" x14ac:dyDescent="0.25">
      <c r="A206" s="93" t="s">
        <v>1886</v>
      </c>
      <c r="B206" s="93" t="s">
        <v>1542</v>
      </c>
      <c r="C206" s="715" t="s">
        <v>1543</v>
      </c>
      <c r="D206" s="716" t="s">
        <v>1544</v>
      </c>
      <c r="E206" s="154" t="s">
        <v>206</v>
      </c>
      <c r="F206" s="11"/>
      <c r="G206" s="53"/>
      <c r="H206" s="11" t="s">
        <v>41</v>
      </c>
      <c r="I206" s="11" t="s">
        <v>41</v>
      </c>
      <c r="J206" s="11" t="s">
        <v>41</v>
      </c>
      <c r="K206" s="11" t="s">
        <v>41</v>
      </c>
      <c r="L206" s="11">
        <v>12</v>
      </c>
      <c r="M206" s="11"/>
      <c r="N206" s="700">
        <f t="shared" si="47"/>
        <v>0</v>
      </c>
      <c r="O206" s="161">
        <v>0</v>
      </c>
      <c r="P206" s="161">
        <v>0</v>
      </c>
      <c r="Q206" s="161">
        <v>0</v>
      </c>
      <c r="R206" s="161">
        <v>0</v>
      </c>
      <c r="S206" s="161">
        <v>0</v>
      </c>
      <c r="T206" s="161">
        <v>0</v>
      </c>
      <c r="U206" s="161">
        <v>0</v>
      </c>
      <c r="V206" s="161">
        <v>0</v>
      </c>
      <c r="W206" s="161">
        <v>0</v>
      </c>
      <c r="X206" s="161">
        <v>0</v>
      </c>
      <c r="Y206" s="161">
        <v>0</v>
      </c>
      <c r="Z206" s="161">
        <v>0</v>
      </c>
    </row>
    <row r="207" spans="1:26" ht="15.75" customHeight="1" x14ac:dyDescent="0.25">
      <c r="A207" s="93" t="s">
        <v>1887</v>
      </c>
      <c r="B207" s="93" t="s">
        <v>1537</v>
      </c>
      <c r="C207" s="93" t="s">
        <v>1538</v>
      </c>
      <c r="D207" s="775" t="s">
        <v>982</v>
      </c>
      <c r="E207" s="154" t="s">
        <v>206</v>
      </c>
      <c r="F207" s="11"/>
      <c r="G207" s="53"/>
      <c r="H207" s="11" t="s">
        <v>41</v>
      </c>
      <c r="I207" s="11" t="s">
        <v>41</v>
      </c>
      <c r="J207" s="11" t="s">
        <v>41</v>
      </c>
      <c r="K207" s="11" t="s">
        <v>41</v>
      </c>
      <c r="L207" s="11">
        <v>12</v>
      </c>
      <c r="M207" s="11"/>
      <c r="N207" s="137">
        <f t="shared" si="47"/>
        <v>0</v>
      </c>
      <c r="O207" s="11">
        <f t="shared" ref="O207:Z207" si="48">SUM(O204:O206)*0.2</f>
        <v>0</v>
      </c>
      <c r="P207" s="11">
        <f t="shared" si="48"/>
        <v>0</v>
      </c>
      <c r="Q207" s="11">
        <f t="shared" si="48"/>
        <v>0</v>
      </c>
      <c r="R207" s="11">
        <f t="shared" si="48"/>
        <v>0</v>
      </c>
      <c r="S207" s="11">
        <f t="shared" si="48"/>
        <v>0</v>
      </c>
      <c r="T207" s="11">
        <f t="shared" si="48"/>
        <v>0</v>
      </c>
      <c r="U207" s="11">
        <f t="shared" si="48"/>
        <v>0</v>
      </c>
      <c r="V207" s="11">
        <f t="shared" si="48"/>
        <v>0</v>
      </c>
      <c r="W207" s="11">
        <f t="shared" si="48"/>
        <v>0</v>
      </c>
      <c r="X207" s="11">
        <f t="shared" si="48"/>
        <v>0</v>
      </c>
      <c r="Y207" s="11">
        <f t="shared" si="48"/>
        <v>0</v>
      </c>
      <c r="Z207" s="11">
        <f t="shared" si="48"/>
        <v>0</v>
      </c>
    </row>
    <row r="208" spans="1:26" s="35" customFormat="1" ht="22.5" customHeight="1" x14ac:dyDescent="0.25">
      <c r="A208" s="33"/>
      <c r="B208" s="34"/>
      <c r="C208" s="34"/>
      <c r="D208" s="34"/>
      <c r="E208" s="50"/>
      <c r="F208" s="50"/>
      <c r="G208" s="696"/>
      <c r="H208" s="50"/>
      <c r="I208" s="50"/>
      <c r="J208" s="51" t="s">
        <v>20</v>
      </c>
      <c r="K208" s="50"/>
      <c r="L208" s="11">
        <v>12</v>
      </c>
      <c r="M208" s="32">
        <f>SUM(M145:M207)</f>
        <v>0</v>
      </c>
      <c r="N208" s="32">
        <f t="shared" ref="N208:Z208" si="49">SUM(N204:N207)</f>
        <v>0</v>
      </c>
      <c r="O208" s="32">
        <f t="shared" si="49"/>
        <v>0</v>
      </c>
      <c r="P208" s="32">
        <f t="shared" si="49"/>
        <v>0</v>
      </c>
      <c r="Q208" s="32">
        <f t="shared" si="49"/>
        <v>0</v>
      </c>
      <c r="R208" s="32">
        <f t="shared" si="49"/>
        <v>0</v>
      </c>
      <c r="S208" s="32">
        <f t="shared" si="49"/>
        <v>0</v>
      </c>
      <c r="T208" s="32">
        <f t="shared" si="49"/>
        <v>0</v>
      </c>
      <c r="U208" s="32">
        <f t="shared" si="49"/>
        <v>0</v>
      </c>
      <c r="V208" s="32">
        <f t="shared" si="49"/>
        <v>0</v>
      </c>
      <c r="W208" s="32">
        <f t="shared" si="49"/>
        <v>0</v>
      </c>
      <c r="X208" s="32">
        <f t="shared" si="49"/>
        <v>0</v>
      </c>
      <c r="Y208" s="32">
        <f t="shared" si="49"/>
        <v>0</v>
      </c>
      <c r="Z208" s="32">
        <f t="shared" si="49"/>
        <v>0</v>
      </c>
    </row>
    <row r="209" spans="1:27" ht="18" outlineLevel="1" x14ac:dyDescent="0.25">
      <c r="A209" s="30" t="str">
        <f>CONCATENATE(B28," ",C28)</f>
        <v>Objective 5 Permits Licences</v>
      </c>
      <c r="B209" s="30"/>
      <c r="C209" s="31"/>
      <c r="D209" s="31"/>
      <c r="E209" s="29"/>
      <c r="F209" s="29"/>
      <c r="G209" s="685"/>
      <c r="H209" s="29"/>
      <c r="I209" s="29"/>
      <c r="J209" s="29"/>
      <c r="K209" s="29"/>
      <c r="L209" s="29"/>
      <c r="M209" s="29"/>
      <c r="N209" s="29"/>
      <c r="O209" s="29" t="s">
        <v>5</v>
      </c>
      <c r="P209" s="29"/>
      <c r="Q209" s="29"/>
      <c r="R209" s="29"/>
      <c r="S209" s="29"/>
      <c r="T209" s="29"/>
      <c r="U209" s="29"/>
      <c r="V209" s="29"/>
      <c r="W209" s="29"/>
      <c r="X209" s="29"/>
      <c r="Y209" s="29"/>
      <c r="Z209" s="29"/>
    </row>
    <row r="210" spans="1:27" ht="41.45" customHeight="1" outlineLevel="1" x14ac:dyDescent="0.25">
      <c r="A210" s="92" t="s">
        <v>261</v>
      </c>
      <c r="B210" s="92" t="s">
        <v>13</v>
      </c>
      <c r="C210" s="92" t="s">
        <v>14</v>
      </c>
      <c r="D210" s="133" t="s">
        <v>286</v>
      </c>
      <c r="E210" s="32" t="s">
        <v>16</v>
      </c>
      <c r="F210" s="32" t="s">
        <v>295</v>
      </c>
      <c r="G210" s="32" t="s">
        <v>39</v>
      </c>
      <c r="H210" s="32" t="s">
        <v>297</v>
      </c>
      <c r="I210" s="32" t="s">
        <v>298</v>
      </c>
      <c r="J210" s="32" t="s">
        <v>299</v>
      </c>
      <c r="K210" s="32" t="s">
        <v>300</v>
      </c>
      <c r="L210" s="32" t="s">
        <v>17</v>
      </c>
      <c r="M210" s="32" t="s">
        <v>18</v>
      </c>
      <c r="N210" s="32" t="s">
        <v>825</v>
      </c>
      <c r="O210" s="66">
        <v>43101</v>
      </c>
      <c r="P210" s="66">
        <v>43132</v>
      </c>
      <c r="Q210" s="66">
        <v>43160</v>
      </c>
      <c r="R210" s="66">
        <v>43191</v>
      </c>
      <c r="S210" s="66">
        <v>43221</v>
      </c>
      <c r="T210" s="66">
        <v>43252</v>
      </c>
      <c r="U210" s="66">
        <v>43282</v>
      </c>
      <c r="V210" s="66">
        <v>43313</v>
      </c>
      <c r="W210" s="66">
        <v>43344</v>
      </c>
      <c r="X210" s="66">
        <v>43374</v>
      </c>
      <c r="Y210" s="66">
        <v>43405</v>
      </c>
      <c r="Z210" s="66">
        <v>43435</v>
      </c>
    </row>
    <row r="211" spans="1:27" ht="15" customHeight="1" outlineLevel="1" x14ac:dyDescent="0.25">
      <c r="A211" s="93" t="s">
        <v>1888</v>
      </c>
      <c r="B211" s="93" t="s">
        <v>984</v>
      </c>
      <c r="C211" s="93" t="s">
        <v>1353</v>
      </c>
      <c r="D211" s="775" t="s">
        <v>986</v>
      </c>
      <c r="E211" s="154" t="s">
        <v>209</v>
      </c>
      <c r="F211" s="11"/>
      <c r="G211" s="11"/>
      <c r="H211" s="11" t="s">
        <v>41</v>
      </c>
      <c r="I211" s="11" t="s">
        <v>41</v>
      </c>
      <c r="J211" s="11" t="s">
        <v>41</v>
      </c>
      <c r="K211" s="11" t="s">
        <v>41</v>
      </c>
      <c r="L211" s="11">
        <v>12</v>
      </c>
      <c r="M211" s="11"/>
      <c r="N211" s="11">
        <f t="shared" ref="N211" si="50">SUM(O211:Z211)</f>
        <v>40000</v>
      </c>
      <c r="O211" s="11">
        <v>0</v>
      </c>
      <c r="P211" s="11">
        <v>0</v>
      </c>
      <c r="Q211" s="11">
        <v>0</v>
      </c>
      <c r="R211" s="11">
        <v>10000</v>
      </c>
      <c r="S211" s="11">
        <v>0</v>
      </c>
      <c r="T211" s="11">
        <v>10000</v>
      </c>
      <c r="U211" s="11">
        <v>0</v>
      </c>
      <c r="V211" s="11">
        <v>0</v>
      </c>
      <c r="W211" s="11">
        <v>10000</v>
      </c>
      <c r="X211" s="11">
        <v>0</v>
      </c>
      <c r="Y211" s="11">
        <v>10000</v>
      </c>
      <c r="Z211" s="11">
        <v>0</v>
      </c>
    </row>
    <row r="212" spans="1:27" s="35" customFormat="1" ht="22.5" customHeight="1" x14ac:dyDescent="0.25">
      <c r="A212" s="33"/>
      <c r="B212" s="34"/>
      <c r="C212" s="34"/>
      <c r="D212" s="34"/>
      <c r="E212" s="50"/>
      <c r="F212" s="50"/>
      <c r="G212" s="696"/>
      <c r="H212" s="50"/>
      <c r="I212" s="50"/>
      <c r="J212" s="51" t="s">
        <v>20</v>
      </c>
      <c r="K212" s="50"/>
      <c r="L212" s="11">
        <v>12</v>
      </c>
      <c r="M212" s="32">
        <f>SUM(M146:M211)</f>
        <v>0</v>
      </c>
      <c r="N212" s="32">
        <f t="shared" ref="N212:Z212" si="51">SUM(N211:N211)</f>
        <v>40000</v>
      </c>
      <c r="O212" s="32">
        <f t="shared" si="51"/>
        <v>0</v>
      </c>
      <c r="P212" s="32">
        <f t="shared" si="51"/>
        <v>0</v>
      </c>
      <c r="Q212" s="32">
        <f t="shared" si="51"/>
        <v>0</v>
      </c>
      <c r="R212" s="32">
        <f t="shared" si="51"/>
        <v>10000</v>
      </c>
      <c r="S212" s="32">
        <f t="shared" si="51"/>
        <v>0</v>
      </c>
      <c r="T212" s="32">
        <f t="shared" si="51"/>
        <v>10000</v>
      </c>
      <c r="U212" s="32">
        <f t="shared" si="51"/>
        <v>0</v>
      </c>
      <c r="V212" s="32">
        <f t="shared" si="51"/>
        <v>0</v>
      </c>
      <c r="W212" s="32">
        <f t="shared" si="51"/>
        <v>10000</v>
      </c>
      <c r="X212" s="32">
        <f t="shared" si="51"/>
        <v>0</v>
      </c>
      <c r="Y212" s="32">
        <f t="shared" si="51"/>
        <v>10000</v>
      </c>
      <c r="Z212" s="32">
        <f t="shared" si="51"/>
        <v>0</v>
      </c>
    </row>
    <row r="213" spans="1:27" ht="18" hidden="1" outlineLevel="1" x14ac:dyDescent="0.25">
      <c r="A213" s="30" t="e">
        <f>CONCATENATE(#REF!," ",#REF!)</f>
        <v>#REF!</v>
      </c>
      <c r="B213" s="30"/>
      <c r="C213" s="31"/>
      <c r="D213" s="31"/>
      <c r="E213" s="29"/>
      <c r="F213" s="29"/>
      <c r="G213" s="685"/>
      <c r="H213" s="29"/>
      <c r="I213" s="29"/>
      <c r="J213" s="29"/>
      <c r="K213" s="29"/>
      <c r="L213" s="29"/>
      <c r="M213" s="29"/>
      <c r="N213" s="29"/>
      <c r="O213" s="29" t="s">
        <v>5</v>
      </c>
      <c r="P213" s="29"/>
      <c r="Q213" s="29"/>
      <c r="R213" s="29"/>
      <c r="S213" s="29"/>
      <c r="T213" s="29"/>
      <c r="U213" s="29"/>
      <c r="V213" s="29"/>
      <c r="W213" s="29"/>
      <c r="X213" s="29"/>
      <c r="Y213" s="29"/>
      <c r="Z213" s="29"/>
    </row>
    <row r="214" spans="1:27" ht="41.45" hidden="1" customHeight="1" outlineLevel="1" x14ac:dyDescent="0.25">
      <c r="A214" s="92" t="s">
        <v>261</v>
      </c>
      <c r="B214" s="92" t="s">
        <v>13</v>
      </c>
      <c r="C214" s="92" t="s">
        <v>14</v>
      </c>
      <c r="D214" s="133" t="s">
        <v>286</v>
      </c>
      <c r="E214" s="32" t="s">
        <v>16</v>
      </c>
      <c r="F214" s="32" t="s">
        <v>295</v>
      </c>
      <c r="G214" s="32" t="s">
        <v>39</v>
      </c>
      <c r="H214" s="32" t="s">
        <v>297</v>
      </c>
      <c r="I214" s="32" t="s">
        <v>298</v>
      </c>
      <c r="J214" s="32" t="s">
        <v>299</v>
      </c>
      <c r="K214" s="32" t="s">
        <v>300</v>
      </c>
      <c r="L214" s="32" t="s">
        <v>17</v>
      </c>
      <c r="M214" s="32" t="s">
        <v>18</v>
      </c>
      <c r="N214" s="32" t="s">
        <v>19</v>
      </c>
      <c r="O214" s="66">
        <v>43101</v>
      </c>
      <c r="P214" s="66">
        <v>43132</v>
      </c>
      <c r="Q214" s="66">
        <v>43160</v>
      </c>
      <c r="R214" s="66">
        <v>43191</v>
      </c>
      <c r="S214" s="66">
        <v>43221</v>
      </c>
      <c r="T214" s="66">
        <v>43252</v>
      </c>
      <c r="U214" s="66">
        <v>43282</v>
      </c>
      <c r="V214" s="66">
        <v>43313</v>
      </c>
      <c r="W214" s="66">
        <v>43344</v>
      </c>
      <c r="X214" s="66">
        <v>43374</v>
      </c>
      <c r="Y214" s="66">
        <v>43405</v>
      </c>
      <c r="Z214" s="66">
        <v>43435</v>
      </c>
    </row>
    <row r="215" spans="1:27" ht="15" hidden="1" customHeight="1" outlineLevel="1" x14ac:dyDescent="0.25">
      <c r="A215" s="93" t="s">
        <v>265</v>
      </c>
      <c r="B215" s="93"/>
      <c r="C215" s="93"/>
      <c r="D215" s="775"/>
      <c r="E215" s="11"/>
      <c r="F215" s="11"/>
      <c r="G215" s="11"/>
      <c r="H215" s="11"/>
      <c r="I215" s="11"/>
      <c r="J215" s="11"/>
      <c r="K215" s="11"/>
      <c r="L215" s="11"/>
      <c r="M215" s="11"/>
      <c r="N215" s="11">
        <f t="shared" ref="N215:N218" si="52">SUM(O215:Z215)</f>
        <v>0</v>
      </c>
      <c r="O215" s="11"/>
      <c r="P215" s="11"/>
      <c r="Q215" s="11"/>
      <c r="R215" s="11"/>
      <c r="S215" s="11"/>
      <c r="T215" s="11"/>
      <c r="U215" s="11"/>
      <c r="V215" s="11"/>
      <c r="W215" s="11"/>
      <c r="X215" s="11"/>
      <c r="Y215" s="11"/>
      <c r="Z215" s="11"/>
    </row>
    <row r="216" spans="1:27" ht="15" hidden="1" customHeight="1" outlineLevel="1" x14ac:dyDescent="0.25">
      <c r="A216" s="93" t="s">
        <v>266</v>
      </c>
      <c r="B216" s="93"/>
      <c r="C216" s="93"/>
      <c r="D216" s="775"/>
      <c r="E216" s="11"/>
      <c r="F216" s="11"/>
      <c r="G216" s="11"/>
      <c r="H216" s="11"/>
      <c r="I216" s="11"/>
      <c r="J216" s="11"/>
      <c r="K216" s="11"/>
      <c r="L216" s="11"/>
      <c r="M216" s="11"/>
      <c r="N216" s="11">
        <f t="shared" si="52"/>
        <v>0</v>
      </c>
      <c r="O216" s="11"/>
      <c r="P216" s="11"/>
      <c r="Q216" s="11"/>
      <c r="R216" s="11"/>
      <c r="S216" s="11"/>
      <c r="T216" s="11"/>
      <c r="U216" s="11"/>
      <c r="V216" s="11"/>
      <c r="W216" s="11"/>
      <c r="X216" s="11"/>
      <c r="Y216" s="11"/>
      <c r="Z216" s="11"/>
    </row>
    <row r="217" spans="1:27" ht="15" hidden="1" customHeight="1" outlineLevel="1" x14ac:dyDescent="0.25">
      <c r="A217" s="93" t="s">
        <v>283</v>
      </c>
      <c r="B217" s="93"/>
      <c r="C217" s="93"/>
      <c r="D217" s="775"/>
      <c r="E217" s="11"/>
      <c r="F217" s="11"/>
      <c r="G217" s="11"/>
      <c r="H217" s="11"/>
      <c r="I217" s="11"/>
      <c r="J217" s="11"/>
      <c r="K217" s="11"/>
      <c r="L217" s="11"/>
      <c r="M217" s="11"/>
      <c r="N217" s="11">
        <f t="shared" si="52"/>
        <v>0</v>
      </c>
      <c r="O217" s="11"/>
      <c r="P217" s="11"/>
      <c r="Q217" s="11"/>
      <c r="R217" s="11"/>
      <c r="S217" s="11"/>
      <c r="T217" s="11"/>
      <c r="U217" s="11"/>
      <c r="V217" s="11"/>
      <c r="W217" s="11"/>
      <c r="X217" s="11"/>
      <c r="Y217" s="11"/>
      <c r="Z217" s="11"/>
    </row>
    <row r="218" spans="1:27" ht="15" hidden="1" customHeight="1" outlineLevel="1" x14ac:dyDescent="0.25">
      <c r="A218" s="93" t="s">
        <v>284</v>
      </c>
      <c r="B218" s="93"/>
      <c r="C218" s="93"/>
      <c r="D218" s="775"/>
      <c r="E218" s="11"/>
      <c r="F218" s="11"/>
      <c r="G218" s="11"/>
      <c r="H218" s="11"/>
      <c r="I218" s="11"/>
      <c r="J218" s="11"/>
      <c r="K218" s="11"/>
      <c r="L218" s="11"/>
      <c r="M218" s="11"/>
      <c r="N218" s="11">
        <f t="shared" si="52"/>
        <v>0</v>
      </c>
      <c r="O218" s="11"/>
      <c r="P218" s="11"/>
      <c r="Q218" s="11"/>
      <c r="R218" s="11"/>
      <c r="S218" s="11"/>
      <c r="T218" s="11"/>
      <c r="U218" s="11"/>
      <c r="V218" s="11"/>
      <c r="W218" s="11"/>
      <c r="X218" s="11"/>
      <c r="Y218" s="11"/>
      <c r="Z218" s="11"/>
    </row>
    <row r="219" spans="1:27" ht="21" hidden="1" customHeight="1" outlineLevel="1" x14ac:dyDescent="0.25">
      <c r="A219" s="93" t="s">
        <v>285</v>
      </c>
      <c r="B219" s="93"/>
      <c r="C219" s="93"/>
      <c r="D219" s="775"/>
      <c r="E219" s="11"/>
      <c r="F219" s="11"/>
      <c r="G219" s="717"/>
      <c r="H219" s="11"/>
      <c r="I219" s="11"/>
      <c r="J219" s="11"/>
      <c r="K219" s="68" t="s">
        <v>20</v>
      </c>
      <c r="L219" s="32">
        <f>SUM(L214:L218)</f>
        <v>0</v>
      </c>
      <c r="M219" s="32">
        <f>SUM(M214:M218)</f>
        <v>0</v>
      </c>
      <c r="N219" s="11">
        <f>SUM(N215:N218)</f>
        <v>0</v>
      </c>
      <c r="O219" s="11">
        <f t="shared" ref="O219:Z219" si="53">SUM(O215:O218)</f>
        <v>0</v>
      </c>
      <c r="P219" s="11">
        <f t="shared" si="53"/>
        <v>0</v>
      </c>
      <c r="Q219" s="11">
        <f t="shared" si="53"/>
        <v>0</v>
      </c>
      <c r="R219" s="11">
        <f t="shared" si="53"/>
        <v>0</v>
      </c>
      <c r="S219" s="11">
        <f t="shared" si="53"/>
        <v>0</v>
      </c>
      <c r="T219" s="11">
        <f t="shared" si="53"/>
        <v>0</v>
      </c>
      <c r="U219" s="11">
        <f t="shared" si="53"/>
        <v>0</v>
      </c>
      <c r="V219" s="11">
        <f t="shared" si="53"/>
        <v>0</v>
      </c>
      <c r="W219" s="11">
        <f t="shared" si="53"/>
        <v>0</v>
      </c>
      <c r="X219" s="11">
        <f t="shared" si="53"/>
        <v>0</v>
      </c>
      <c r="Y219" s="11">
        <f t="shared" si="53"/>
        <v>0</v>
      </c>
      <c r="Z219" s="11">
        <f t="shared" si="53"/>
        <v>0</v>
      </c>
      <c r="AA219" s="35"/>
    </row>
    <row r="220" spans="1:27" ht="18" hidden="1" outlineLevel="1" x14ac:dyDescent="0.25">
      <c r="A220" s="30" t="e">
        <f>CONCATENATE(#REF!," ",#REF!)</f>
        <v>#REF!</v>
      </c>
      <c r="B220" s="30"/>
      <c r="C220" s="31"/>
      <c r="D220" s="31"/>
      <c r="E220" s="29"/>
      <c r="F220" s="29"/>
      <c r="G220" s="685"/>
      <c r="H220" s="29"/>
      <c r="I220" s="29"/>
      <c r="J220" s="29"/>
      <c r="K220" s="29"/>
      <c r="L220" s="29"/>
      <c r="M220" s="29"/>
      <c r="N220" s="29"/>
      <c r="O220" s="29" t="s">
        <v>5</v>
      </c>
      <c r="P220" s="29"/>
      <c r="Q220" s="29"/>
      <c r="R220" s="29"/>
      <c r="S220" s="29"/>
      <c r="T220" s="29"/>
      <c r="U220" s="29"/>
      <c r="V220" s="29"/>
      <c r="W220" s="29"/>
      <c r="X220" s="29"/>
      <c r="Y220" s="29"/>
      <c r="Z220" s="29"/>
    </row>
    <row r="221" spans="1:27" ht="41.45" hidden="1" customHeight="1" outlineLevel="1" x14ac:dyDescent="0.25">
      <c r="A221" s="92" t="s">
        <v>261</v>
      </c>
      <c r="B221" s="92" t="s">
        <v>13</v>
      </c>
      <c r="C221" s="92" t="s">
        <v>14</v>
      </c>
      <c r="D221" s="133" t="s">
        <v>286</v>
      </c>
      <c r="E221" s="32" t="s">
        <v>16</v>
      </c>
      <c r="F221" s="32" t="s">
        <v>295</v>
      </c>
      <c r="G221" s="32" t="s">
        <v>39</v>
      </c>
      <c r="H221" s="32" t="s">
        <v>297</v>
      </c>
      <c r="I221" s="32" t="s">
        <v>298</v>
      </c>
      <c r="J221" s="32" t="s">
        <v>299</v>
      </c>
      <c r="K221" s="32" t="s">
        <v>300</v>
      </c>
      <c r="L221" s="32" t="s">
        <v>17</v>
      </c>
      <c r="M221" s="32" t="s">
        <v>18</v>
      </c>
      <c r="N221" s="32" t="s">
        <v>19</v>
      </c>
      <c r="O221" s="66">
        <v>43101</v>
      </c>
      <c r="P221" s="66">
        <v>43132</v>
      </c>
      <c r="Q221" s="66">
        <v>43160</v>
      </c>
      <c r="R221" s="66">
        <v>43191</v>
      </c>
      <c r="S221" s="66">
        <v>43221</v>
      </c>
      <c r="T221" s="66">
        <v>43252</v>
      </c>
      <c r="U221" s="66">
        <v>43282</v>
      </c>
      <c r="V221" s="66">
        <v>43313</v>
      </c>
      <c r="W221" s="66">
        <v>43344</v>
      </c>
      <c r="X221" s="66">
        <v>43374</v>
      </c>
      <c r="Y221" s="66">
        <v>43405</v>
      </c>
      <c r="Z221" s="66">
        <v>43435</v>
      </c>
    </row>
    <row r="222" spans="1:27" ht="15" hidden="1" customHeight="1" outlineLevel="1" x14ac:dyDescent="0.25">
      <c r="A222" s="93" t="s">
        <v>265</v>
      </c>
      <c r="B222" s="93"/>
      <c r="C222" s="93"/>
      <c r="D222" s="775"/>
      <c r="E222" s="11"/>
      <c r="F222" s="11"/>
      <c r="G222" s="11"/>
      <c r="H222" s="11"/>
      <c r="I222" s="11"/>
      <c r="J222" s="11"/>
      <c r="K222" s="11"/>
      <c r="L222" s="11"/>
      <c r="M222" s="11"/>
      <c r="N222" s="11">
        <f t="shared" ref="N222:N225" si="54">SUM(O222:Z222)</f>
        <v>0</v>
      </c>
      <c r="O222" s="11"/>
      <c r="P222" s="11"/>
      <c r="Q222" s="11"/>
      <c r="R222" s="11"/>
      <c r="S222" s="11"/>
      <c r="T222" s="11"/>
      <c r="U222" s="11"/>
      <c r="V222" s="11"/>
      <c r="W222" s="11"/>
      <c r="X222" s="11"/>
      <c r="Y222" s="11"/>
      <c r="Z222" s="11"/>
    </row>
    <row r="223" spans="1:27" ht="15" hidden="1" customHeight="1" outlineLevel="1" x14ac:dyDescent="0.25">
      <c r="A223" s="93" t="s">
        <v>266</v>
      </c>
      <c r="B223" s="93"/>
      <c r="C223" s="93"/>
      <c r="D223" s="775"/>
      <c r="E223" s="11"/>
      <c r="F223" s="11"/>
      <c r="G223" s="11"/>
      <c r="H223" s="11"/>
      <c r="I223" s="11"/>
      <c r="J223" s="11"/>
      <c r="K223" s="11"/>
      <c r="L223" s="11"/>
      <c r="M223" s="11"/>
      <c r="N223" s="11">
        <f t="shared" si="54"/>
        <v>0</v>
      </c>
      <c r="O223" s="11"/>
      <c r="P223" s="11"/>
      <c r="Q223" s="11"/>
      <c r="R223" s="11"/>
      <c r="S223" s="11"/>
      <c r="T223" s="11"/>
      <c r="U223" s="11"/>
      <c r="V223" s="11"/>
      <c r="W223" s="11"/>
      <c r="X223" s="11"/>
      <c r="Y223" s="11"/>
      <c r="Z223" s="11"/>
    </row>
    <row r="224" spans="1:27" ht="15" hidden="1" customHeight="1" outlineLevel="1" x14ac:dyDescent="0.25">
      <c r="A224" s="93" t="s">
        <v>283</v>
      </c>
      <c r="B224" s="93"/>
      <c r="C224" s="93"/>
      <c r="D224" s="775"/>
      <c r="E224" s="11"/>
      <c r="F224" s="11"/>
      <c r="G224" s="11"/>
      <c r="H224" s="11"/>
      <c r="I224" s="11"/>
      <c r="J224" s="11"/>
      <c r="K224" s="11"/>
      <c r="L224" s="11"/>
      <c r="M224" s="11"/>
      <c r="N224" s="11">
        <f t="shared" si="54"/>
        <v>0</v>
      </c>
      <c r="O224" s="11"/>
      <c r="P224" s="11"/>
      <c r="Q224" s="11"/>
      <c r="R224" s="11"/>
      <c r="S224" s="11"/>
      <c r="T224" s="11"/>
      <c r="U224" s="11"/>
      <c r="V224" s="11"/>
      <c r="W224" s="11"/>
      <c r="X224" s="11"/>
      <c r="Y224" s="11"/>
      <c r="Z224" s="11"/>
    </row>
    <row r="225" spans="1:27" ht="15" hidden="1" customHeight="1" outlineLevel="1" x14ac:dyDescent="0.25">
      <c r="A225" s="93" t="s">
        <v>284</v>
      </c>
      <c r="B225" s="93"/>
      <c r="C225" s="93"/>
      <c r="D225" s="775"/>
      <c r="E225" s="11"/>
      <c r="F225" s="11"/>
      <c r="G225" s="11"/>
      <c r="H225" s="11"/>
      <c r="I225" s="11"/>
      <c r="J225" s="11"/>
      <c r="K225" s="11"/>
      <c r="L225" s="11"/>
      <c r="M225" s="11"/>
      <c r="N225" s="11">
        <f t="shared" si="54"/>
        <v>0</v>
      </c>
      <c r="O225" s="11"/>
      <c r="P225" s="11"/>
      <c r="Q225" s="11"/>
      <c r="R225" s="11"/>
      <c r="S225" s="11"/>
      <c r="T225" s="11"/>
      <c r="U225" s="11"/>
      <c r="V225" s="11"/>
      <c r="W225" s="11"/>
      <c r="X225" s="11"/>
      <c r="Y225" s="11"/>
      <c r="Z225" s="11"/>
    </row>
    <row r="226" spans="1:27" ht="21" hidden="1" customHeight="1" outlineLevel="1" x14ac:dyDescent="0.25">
      <c r="A226" s="93" t="s">
        <v>285</v>
      </c>
      <c r="B226" s="93"/>
      <c r="C226" s="93"/>
      <c r="D226" s="775"/>
      <c r="E226" s="11"/>
      <c r="F226" s="11"/>
      <c r="G226" s="717"/>
      <c r="H226" s="11"/>
      <c r="I226" s="11"/>
      <c r="J226" s="11"/>
      <c r="K226" s="68" t="s">
        <v>20</v>
      </c>
      <c r="L226" s="32">
        <f>SUM(L221:L225)</f>
        <v>0</v>
      </c>
      <c r="M226" s="32">
        <f>SUM(M221:M225)</f>
        <v>0</v>
      </c>
      <c r="N226" s="11">
        <f>SUM(N222:N225)</f>
        <v>0</v>
      </c>
      <c r="O226" s="11">
        <f t="shared" ref="O226:Z226" si="55">SUM(O222:O225)</f>
        <v>0</v>
      </c>
      <c r="P226" s="11">
        <f t="shared" si="55"/>
        <v>0</v>
      </c>
      <c r="Q226" s="11">
        <f t="shared" si="55"/>
        <v>0</v>
      </c>
      <c r="R226" s="11">
        <f t="shared" si="55"/>
        <v>0</v>
      </c>
      <c r="S226" s="11">
        <f t="shared" si="55"/>
        <v>0</v>
      </c>
      <c r="T226" s="11">
        <f t="shared" si="55"/>
        <v>0</v>
      </c>
      <c r="U226" s="11">
        <f t="shared" si="55"/>
        <v>0</v>
      </c>
      <c r="V226" s="11">
        <f t="shared" si="55"/>
        <v>0</v>
      </c>
      <c r="W226" s="11">
        <f t="shared" si="55"/>
        <v>0</v>
      </c>
      <c r="X226" s="11">
        <f t="shared" si="55"/>
        <v>0</v>
      </c>
      <c r="Y226" s="11">
        <f t="shared" si="55"/>
        <v>0</v>
      </c>
      <c r="Z226" s="11">
        <f t="shared" si="55"/>
        <v>0</v>
      </c>
      <c r="AA226" s="35"/>
    </row>
    <row r="227" spans="1:27" ht="18" hidden="1" outlineLevel="1" x14ac:dyDescent="0.25">
      <c r="A227" s="30" t="e">
        <f>CONCATENATE(#REF!," ",#REF!)</f>
        <v>#REF!</v>
      </c>
      <c r="B227" s="30"/>
      <c r="C227" s="31"/>
      <c r="D227" s="31"/>
      <c r="E227" s="29"/>
      <c r="F227" s="29"/>
      <c r="G227" s="685"/>
      <c r="H227" s="29"/>
      <c r="I227" s="29"/>
      <c r="J227" s="29"/>
      <c r="K227" s="29"/>
      <c r="L227" s="29"/>
      <c r="M227" s="29"/>
      <c r="N227" s="29"/>
      <c r="O227" s="29" t="s">
        <v>5</v>
      </c>
      <c r="P227" s="29"/>
      <c r="Q227" s="29"/>
      <c r="R227" s="29"/>
      <c r="S227" s="29"/>
      <c r="T227" s="29"/>
      <c r="U227" s="29"/>
      <c r="V227" s="29"/>
      <c r="W227" s="29"/>
      <c r="X227" s="29"/>
      <c r="Y227" s="29"/>
      <c r="Z227" s="29"/>
    </row>
    <row r="228" spans="1:27" ht="41.45" hidden="1" customHeight="1" outlineLevel="1" x14ac:dyDescent="0.25">
      <c r="A228" s="92" t="s">
        <v>261</v>
      </c>
      <c r="B228" s="92" t="s">
        <v>13</v>
      </c>
      <c r="C228" s="92" t="s">
        <v>14</v>
      </c>
      <c r="D228" s="133" t="s">
        <v>286</v>
      </c>
      <c r="E228" s="32" t="s">
        <v>16</v>
      </c>
      <c r="F228" s="32" t="s">
        <v>295</v>
      </c>
      <c r="G228" s="32" t="s">
        <v>39</v>
      </c>
      <c r="H228" s="32" t="s">
        <v>297</v>
      </c>
      <c r="I228" s="32" t="s">
        <v>298</v>
      </c>
      <c r="J228" s="32" t="s">
        <v>299</v>
      </c>
      <c r="K228" s="32" t="s">
        <v>300</v>
      </c>
      <c r="L228" s="32" t="s">
        <v>17</v>
      </c>
      <c r="M228" s="32" t="s">
        <v>18</v>
      </c>
      <c r="N228" s="32" t="s">
        <v>19</v>
      </c>
      <c r="O228" s="66">
        <v>43101</v>
      </c>
      <c r="P228" s="66">
        <v>43132</v>
      </c>
      <c r="Q228" s="66">
        <v>43160</v>
      </c>
      <c r="R228" s="66">
        <v>43191</v>
      </c>
      <c r="S228" s="66">
        <v>43221</v>
      </c>
      <c r="T228" s="66">
        <v>43252</v>
      </c>
      <c r="U228" s="66">
        <v>43282</v>
      </c>
      <c r="V228" s="66">
        <v>43313</v>
      </c>
      <c r="W228" s="66">
        <v>43344</v>
      </c>
      <c r="X228" s="66">
        <v>43374</v>
      </c>
      <c r="Y228" s="66">
        <v>43405</v>
      </c>
      <c r="Z228" s="66">
        <v>43435</v>
      </c>
    </row>
    <row r="229" spans="1:27" ht="15" hidden="1" customHeight="1" outlineLevel="1" x14ac:dyDescent="0.25">
      <c r="A229" s="93" t="s">
        <v>265</v>
      </c>
      <c r="B229" s="93"/>
      <c r="C229" s="93"/>
      <c r="D229" s="775"/>
      <c r="E229" s="11"/>
      <c r="F229" s="11"/>
      <c r="G229" s="11"/>
      <c r="H229" s="11"/>
      <c r="I229" s="11"/>
      <c r="J229" s="11"/>
      <c r="K229" s="11"/>
      <c r="L229" s="11"/>
      <c r="M229" s="11"/>
      <c r="N229" s="11">
        <f t="shared" ref="N229:N232" si="56">SUM(O229:Z229)</f>
        <v>0</v>
      </c>
      <c r="O229" s="11"/>
      <c r="P229" s="11"/>
      <c r="Q229" s="11"/>
      <c r="R229" s="11"/>
      <c r="S229" s="11"/>
      <c r="T229" s="11"/>
      <c r="U229" s="11"/>
      <c r="V229" s="11"/>
      <c r="W229" s="11"/>
      <c r="X229" s="11"/>
      <c r="Y229" s="11"/>
      <c r="Z229" s="11"/>
    </row>
    <row r="230" spans="1:27" ht="15" hidden="1" customHeight="1" outlineLevel="1" x14ac:dyDescent="0.25">
      <c r="A230" s="93" t="s">
        <v>266</v>
      </c>
      <c r="B230" s="93"/>
      <c r="C230" s="93"/>
      <c r="D230" s="775"/>
      <c r="E230" s="11"/>
      <c r="F230" s="11"/>
      <c r="G230" s="11"/>
      <c r="H230" s="11"/>
      <c r="I230" s="11"/>
      <c r="J230" s="11"/>
      <c r="K230" s="11"/>
      <c r="L230" s="11"/>
      <c r="M230" s="11"/>
      <c r="N230" s="11">
        <f t="shared" si="56"/>
        <v>0</v>
      </c>
      <c r="O230" s="11"/>
      <c r="P230" s="11"/>
      <c r="Q230" s="11"/>
      <c r="R230" s="11"/>
      <c r="S230" s="11"/>
      <c r="T230" s="11"/>
      <c r="U230" s="11"/>
      <c r="V230" s="11"/>
      <c r="W230" s="11"/>
      <c r="X230" s="11"/>
      <c r="Y230" s="11"/>
      <c r="Z230" s="11"/>
    </row>
    <row r="231" spans="1:27" ht="15" hidden="1" customHeight="1" outlineLevel="1" x14ac:dyDescent="0.25">
      <c r="A231" s="93" t="s">
        <v>283</v>
      </c>
      <c r="B231" s="93"/>
      <c r="C231" s="93"/>
      <c r="D231" s="775"/>
      <c r="E231" s="11"/>
      <c r="F231" s="11"/>
      <c r="G231" s="11"/>
      <c r="H231" s="11"/>
      <c r="I231" s="11"/>
      <c r="J231" s="11"/>
      <c r="K231" s="11"/>
      <c r="L231" s="11"/>
      <c r="M231" s="11"/>
      <c r="N231" s="11">
        <f t="shared" si="56"/>
        <v>0</v>
      </c>
      <c r="O231" s="11"/>
      <c r="P231" s="11"/>
      <c r="Q231" s="11"/>
      <c r="R231" s="11"/>
      <c r="S231" s="11"/>
      <c r="T231" s="11"/>
      <c r="U231" s="11"/>
      <c r="V231" s="11"/>
      <c r="W231" s="11"/>
      <c r="X231" s="11"/>
      <c r="Y231" s="11"/>
      <c r="Z231" s="11"/>
    </row>
    <row r="232" spans="1:27" ht="15" hidden="1" customHeight="1" outlineLevel="1" x14ac:dyDescent="0.25">
      <c r="A232" s="93" t="s">
        <v>284</v>
      </c>
      <c r="B232" s="93"/>
      <c r="C232" s="93"/>
      <c r="D232" s="775"/>
      <c r="E232" s="11"/>
      <c r="F232" s="11"/>
      <c r="G232" s="11"/>
      <c r="H232" s="11"/>
      <c r="I232" s="11"/>
      <c r="J232" s="11"/>
      <c r="K232" s="11"/>
      <c r="L232" s="11"/>
      <c r="M232" s="11"/>
      <c r="N232" s="11">
        <f t="shared" si="56"/>
        <v>0</v>
      </c>
      <c r="O232" s="11"/>
      <c r="P232" s="11"/>
      <c r="Q232" s="11"/>
      <c r="R232" s="11"/>
      <c r="S232" s="11"/>
      <c r="T232" s="11"/>
      <c r="U232" s="11"/>
      <c r="V232" s="11"/>
      <c r="W232" s="11"/>
      <c r="X232" s="11"/>
      <c r="Y232" s="11"/>
      <c r="Z232" s="11"/>
    </row>
    <row r="233" spans="1:27" ht="21" hidden="1" customHeight="1" outlineLevel="1" x14ac:dyDescent="0.25">
      <c r="A233" s="93" t="s">
        <v>285</v>
      </c>
      <c r="B233" s="93"/>
      <c r="C233" s="93"/>
      <c r="D233" s="775"/>
      <c r="E233" s="11"/>
      <c r="F233" s="11"/>
      <c r="G233" s="717"/>
      <c r="H233" s="11"/>
      <c r="I233" s="11"/>
      <c r="J233" s="11"/>
      <c r="K233" s="68" t="s">
        <v>20</v>
      </c>
      <c r="L233" s="32">
        <f>SUM(L228:L232)</f>
        <v>0</v>
      </c>
      <c r="M233" s="32">
        <f>SUM(M228:M232)</f>
        <v>0</v>
      </c>
      <c r="N233" s="11">
        <f>SUM(N229:N232)</f>
        <v>0</v>
      </c>
      <c r="O233" s="11">
        <f t="shared" ref="O233:Z233" si="57">SUM(O229:O232)</f>
        <v>0</v>
      </c>
      <c r="P233" s="11">
        <f t="shared" si="57"/>
        <v>0</v>
      </c>
      <c r="Q233" s="11">
        <f t="shared" si="57"/>
        <v>0</v>
      </c>
      <c r="R233" s="11">
        <f t="shared" si="57"/>
        <v>0</v>
      </c>
      <c r="S233" s="11">
        <f t="shared" si="57"/>
        <v>0</v>
      </c>
      <c r="T233" s="11">
        <f t="shared" si="57"/>
        <v>0</v>
      </c>
      <c r="U233" s="11">
        <f t="shared" si="57"/>
        <v>0</v>
      </c>
      <c r="V233" s="11">
        <f t="shared" si="57"/>
        <v>0</v>
      </c>
      <c r="W233" s="11">
        <f t="shared" si="57"/>
        <v>0</v>
      </c>
      <c r="X233" s="11">
        <f t="shared" si="57"/>
        <v>0</v>
      </c>
      <c r="Y233" s="11">
        <f t="shared" si="57"/>
        <v>0</v>
      </c>
      <c r="Z233" s="11">
        <f t="shared" si="57"/>
        <v>0</v>
      </c>
      <c r="AA233" s="35"/>
    </row>
    <row r="234" spans="1:27" ht="18" hidden="1" outlineLevel="1" x14ac:dyDescent="0.25">
      <c r="A234" s="30" t="e">
        <f>CONCATENATE(#REF!," ",#REF!)</f>
        <v>#REF!</v>
      </c>
      <c r="B234" s="30"/>
      <c r="C234" s="31"/>
      <c r="D234" s="31"/>
      <c r="E234" s="29"/>
      <c r="F234" s="29"/>
      <c r="G234" s="685"/>
      <c r="H234" s="29"/>
      <c r="I234" s="29"/>
      <c r="J234" s="29"/>
      <c r="K234" s="29"/>
      <c r="L234" s="29"/>
      <c r="M234" s="29"/>
      <c r="N234" s="29"/>
      <c r="O234" s="29" t="s">
        <v>5</v>
      </c>
      <c r="P234" s="29"/>
      <c r="Q234" s="29"/>
      <c r="R234" s="29"/>
      <c r="S234" s="29"/>
      <c r="T234" s="29"/>
      <c r="U234" s="29"/>
      <c r="V234" s="29"/>
      <c r="W234" s="29"/>
      <c r="X234" s="29"/>
      <c r="Y234" s="29"/>
      <c r="Z234" s="29"/>
    </row>
    <row r="235" spans="1:27" ht="41.45" hidden="1" customHeight="1" outlineLevel="1" x14ac:dyDescent="0.25">
      <c r="A235" s="92" t="s">
        <v>261</v>
      </c>
      <c r="B235" s="92" t="s">
        <v>13</v>
      </c>
      <c r="C235" s="92" t="s">
        <v>14</v>
      </c>
      <c r="D235" s="133" t="s">
        <v>286</v>
      </c>
      <c r="E235" s="32" t="s">
        <v>16</v>
      </c>
      <c r="F235" s="32" t="s">
        <v>295</v>
      </c>
      <c r="G235" s="32" t="s">
        <v>39</v>
      </c>
      <c r="H235" s="32" t="s">
        <v>297</v>
      </c>
      <c r="I235" s="32" t="s">
        <v>298</v>
      </c>
      <c r="J235" s="32" t="s">
        <v>299</v>
      </c>
      <c r="K235" s="32" t="s">
        <v>300</v>
      </c>
      <c r="L235" s="32" t="s">
        <v>17</v>
      </c>
      <c r="M235" s="32" t="s">
        <v>18</v>
      </c>
      <c r="N235" s="32" t="s">
        <v>19</v>
      </c>
      <c r="O235" s="66">
        <v>43101</v>
      </c>
      <c r="P235" s="66">
        <v>43132</v>
      </c>
      <c r="Q235" s="66">
        <v>43160</v>
      </c>
      <c r="R235" s="66">
        <v>43191</v>
      </c>
      <c r="S235" s="66">
        <v>43221</v>
      </c>
      <c r="T235" s="66">
        <v>43252</v>
      </c>
      <c r="U235" s="66">
        <v>43282</v>
      </c>
      <c r="V235" s="66">
        <v>43313</v>
      </c>
      <c r="W235" s="66">
        <v>43344</v>
      </c>
      <c r="X235" s="66">
        <v>43374</v>
      </c>
      <c r="Y235" s="66">
        <v>43405</v>
      </c>
      <c r="Z235" s="66">
        <v>43435</v>
      </c>
    </row>
    <row r="236" spans="1:27" ht="15" hidden="1" customHeight="1" outlineLevel="1" x14ac:dyDescent="0.25">
      <c r="A236" s="93" t="s">
        <v>265</v>
      </c>
      <c r="B236" s="93"/>
      <c r="C236" s="93"/>
      <c r="D236" s="775"/>
      <c r="E236" s="11"/>
      <c r="F236" s="11"/>
      <c r="G236" s="11"/>
      <c r="H236" s="11"/>
      <c r="I236" s="11"/>
      <c r="J236" s="11"/>
      <c r="K236" s="11"/>
      <c r="L236" s="11"/>
      <c r="M236" s="11"/>
      <c r="N236" s="11">
        <f t="shared" ref="N236:N239" si="58">SUM(O236:Z236)</f>
        <v>0</v>
      </c>
      <c r="O236" s="11"/>
      <c r="P236" s="11"/>
      <c r="Q236" s="11"/>
      <c r="R236" s="11"/>
      <c r="S236" s="11"/>
      <c r="T236" s="11"/>
      <c r="U236" s="11"/>
      <c r="V236" s="11"/>
      <c r="W236" s="11"/>
      <c r="X236" s="11"/>
      <c r="Y236" s="11"/>
      <c r="Z236" s="11"/>
    </row>
    <row r="237" spans="1:27" ht="15" hidden="1" customHeight="1" outlineLevel="1" x14ac:dyDescent="0.25">
      <c r="A237" s="93" t="s">
        <v>266</v>
      </c>
      <c r="B237" s="93"/>
      <c r="C237" s="93"/>
      <c r="D237" s="775"/>
      <c r="E237" s="11"/>
      <c r="F237" s="11"/>
      <c r="G237" s="11"/>
      <c r="H237" s="11"/>
      <c r="I237" s="11"/>
      <c r="J237" s="11"/>
      <c r="K237" s="11"/>
      <c r="L237" s="11"/>
      <c r="M237" s="11"/>
      <c r="N237" s="11">
        <f t="shared" si="58"/>
        <v>0</v>
      </c>
      <c r="O237" s="11"/>
      <c r="P237" s="11"/>
      <c r="Q237" s="11"/>
      <c r="R237" s="11"/>
      <c r="S237" s="11"/>
      <c r="T237" s="11"/>
      <c r="U237" s="11"/>
      <c r="V237" s="11"/>
      <c r="W237" s="11"/>
      <c r="X237" s="11"/>
      <c r="Y237" s="11"/>
      <c r="Z237" s="11"/>
    </row>
    <row r="238" spans="1:27" ht="15" hidden="1" customHeight="1" outlineLevel="1" x14ac:dyDescent="0.25">
      <c r="A238" s="93" t="s">
        <v>283</v>
      </c>
      <c r="B238" s="93"/>
      <c r="C238" s="93"/>
      <c r="D238" s="775"/>
      <c r="E238" s="11"/>
      <c r="F238" s="11"/>
      <c r="G238" s="11"/>
      <c r="H238" s="11"/>
      <c r="I238" s="11"/>
      <c r="J238" s="11"/>
      <c r="K238" s="11"/>
      <c r="L238" s="11"/>
      <c r="M238" s="11"/>
      <c r="N238" s="11">
        <f t="shared" si="58"/>
        <v>0</v>
      </c>
      <c r="O238" s="11"/>
      <c r="P238" s="11"/>
      <c r="Q238" s="11"/>
      <c r="R238" s="11"/>
      <c r="S238" s="11"/>
      <c r="T238" s="11"/>
      <c r="U238" s="11"/>
      <c r="V238" s="11"/>
      <c r="W238" s="11"/>
      <c r="X238" s="11"/>
      <c r="Y238" s="11"/>
      <c r="Z238" s="11"/>
    </row>
    <row r="239" spans="1:27" ht="15" hidden="1" customHeight="1" outlineLevel="1" x14ac:dyDescent="0.25">
      <c r="A239" s="93" t="s">
        <v>284</v>
      </c>
      <c r="B239" s="93"/>
      <c r="C239" s="93"/>
      <c r="D239" s="775"/>
      <c r="E239" s="11"/>
      <c r="F239" s="11"/>
      <c r="G239" s="11"/>
      <c r="H239" s="11"/>
      <c r="I239" s="11"/>
      <c r="J239" s="11"/>
      <c r="K239" s="11"/>
      <c r="L239" s="11"/>
      <c r="M239" s="11"/>
      <c r="N239" s="11">
        <f t="shared" si="58"/>
        <v>0</v>
      </c>
      <c r="O239" s="11"/>
      <c r="P239" s="11"/>
      <c r="Q239" s="11"/>
      <c r="R239" s="11"/>
      <c r="S239" s="11"/>
      <c r="T239" s="11"/>
      <c r="U239" s="11"/>
      <c r="V239" s="11"/>
      <c r="W239" s="11"/>
      <c r="X239" s="11"/>
      <c r="Y239" s="11"/>
      <c r="Z239" s="11"/>
    </row>
    <row r="240" spans="1:27" ht="21" hidden="1" customHeight="1" outlineLevel="1" x14ac:dyDescent="0.25">
      <c r="A240" s="93" t="s">
        <v>285</v>
      </c>
      <c r="B240" s="93"/>
      <c r="C240" s="93"/>
      <c r="D240" s="775"/>
      <c r="E240" s="11"/>
      <c r="F240" s="11"/>
      <c r="G240" s="717"/>
      <c r="H240" s="11"/>
      <c r="I240" s="11"/>
      <c r="J240" s="11"/>
      <c r="K240" s="68" t="s">
        <v>20</v>
      </c>
      <c r="L240" s="32">
        <f>SUM(L235:L239)</f>
        <v>0</v>
      </c>
      <c r="M240" s="32">
        <f>SUM(M235:M239)</f>
        <v>0</v>
      </c>
      <c r="N240" s="11">
        <f>SUM(N236:N239)</f>
        <v>0</v>
      </c>
      <c r="O240" s="11">
        <f t="shared" ref="O240:Z240" si="59">SUM(O236:O239)</f>
        <v>0</v>
      </c>
      <c r="P240" s="11">
        <f t="shared" si="59"/>
        <v>0</v>
      </c>
      <c r="Q240" s="11">
        <f t="shared" si="59"/>
        <v>0</v>
      </c>
      <c r="R240" s="11">
        <f t="shared" si="59"/>
        <v>0</v>
      </c>
      <c r="S240" s="11">
        <f t="shared" si="59"/>
        <v>0</v>
      </c>
      <c r="T240" s="11">
        <f t="shared" si="59"/>
        <v>0</v>
      </c>
      <c r="U240" s="11">
        <f t="shared" si="59"/>
        <v>0</v>
      </c>
      <c r="V240" s="11">
        <f t="shared" si="59"/>
        <v>0</v>
      </c>
      <c r="W240" s="11">
        <f t="shared" si="59"/>
        <v>0</v>
      </c>
      <c r="X240" s="11">
        <f t="shared" si="59"/>
        <v>0</v>
      </c>
      <c r="Y240" s="11">
        <f t="shared" si="59"/>
        <v>0</v>
      </c>
      <c r="Z240" s="11">
        <f t="shared" si="59"/>
        <v>0</v>
      </c>
      <c r="AA240" s="35"/>
    </row>
    <row r="241" spans="1:27" ht="18" hidden="1" outlineLevel="1" x14ac:dyDescent="0.25">
      <c r="A241" s="30" t="str">
        <f>CONCATENATE(B28," ",C28)</f>
        <v>Objective 5 Permits Licences</v>
      </c>
      <c r="B241" s="30"/>
      <c r="C241" s="31"/>
      <c r="D241" s="31"/>
      <c r="E241" s="29"/>
      <c r="F241" s="29"/>
      <c r="G241" s="685"/>
      <c r="H241" s="29"/>
      <c r="I241" s="29"/>
      <c r="J241" s="29"/>
      <c r="K241" s="29"/>
      <c r="L241" s="29"/>
      <c r="M241" s="29"/>
      <c r="N241" s="29"/>
      <c r="O241" s="29" t="s">
        <v>5</v>
      </c>
      <c r="P241" s="29"/>
      <c r="Q241" s="29"/>
      <c r="R241" s="29"/>
      <c r="S241" s="29"/>
      <c r="T241" s="29"/>
      <c r="U241" s="29"/>
      <c r="V241" s="29"/>
      <c r="W241" s="29"/>
      <c r="X241" s="29"/>
      <c r="Y241" s="29"/>
      <c r="Z241" s="29"/>
    </row>
    <row r="242" spans="1:27" ht="41.45" hidden="1" customHeight="1" outlineLevel="1" x14ac:dyDescent="0.25">
      <c r="A242" s="92" t="s">
        <v>261</v>
      </c>
      <c r="B242" s="92" t="s">
        <v>13</v>
      </c>
      <c r="C242" s="92" t="s">
        <v>14</v>
      </c>
      <c r="D242" s="133" t="s">
        <v>286</v>
      </c>
      <c r="E242" s="32" t="s">
        <v>16</v>
      </c>
      <c r="F242" s="32" t="s">
        <v>295</v>
      </c>
      <c r="G242" s="32" t="s">
        <v>39</v>
      </c>
      <c r="H242" s="32" t="s">
        <v>297</v>
      </c>
      <c r="I242" s="32" t="s">
        <v>298</v>
      </c>
      <c r="J242" s="32" t="s">
        <v>299</v>
      </c>
      <c r="K242" s="32" t="s">
        <v>300</v>
      </c>
      <c r="L242" s="32" t="s">
        <v>17</v>
      </c>
      <c r="M242" s="32" t="s">
        <v>18</v>
      </c>
      <c r="N242" s="32" t="s">
        <v>19</v>
      </c>
      <c r="O242" s="66">
        <v>43101</v>
      </c>
      <c r="P242" s="66">
        <v>43132</v>
      </c>
      <c r="Q242" s="66">
        <v>43160</v>
      </c>
      <c r="R242" s="66">
        <v>43191</v>
      </c>
      <c r="S242" s="66">
        <v>43221</v>
      </c>
      <c r="T242" s="66">
        <v>43252</v>
      </c>
      <c r="U242" s="66">
        <v>43282</v>
      </c>
      <c r="V242" s="66">
        <v>43313</v>
      </c>
      <c r="W242" s="66">
        <v>43344</v>
      </c>
      <c r="X242" s="66">
        <v>43374</v>
      </c>
      <c r="Y242" s="66">
        <v>43405</v>
      </c>
      <c r="Z242" s="66">
        <v>43435</v>
      </c>
    </row>
    <row r="243" spans="1:27" ht="15" hidden="1" customHeight="1" outlineLevel="1" x14ac:dyDescent="0.25">
      <c r="A243" s="93" t="s">
        <v>265</v>
      </c>
      <c r="B243" s="93"/>
      <c r="C243" s="93"/>
      <c r="D243" s="775"/>
      <c r="E243" s="11"/>
      <c r="F243" s="11"/>
      <c r="G243" s="11"/>
      <c r="H243" s="11"/>
      <c r="I243" s="11"/>
      <c r="J243" s="11"/>
      <c r="K243" s="11"/>
      <c r="L243" s="11"/>
      <c r="M243" s="11"/>
      <c r="N243" s="11">
        <f t="shared" ref="N243:N246" si="60">SUM(O243:Z243)</f>
        <v>0</v>
      </c>
      <c r="O243" s="11"/>
      <c r="P243" s="11"/>
      <c r="Q243" s="11"/>
      <c r="R243" s="11"/>
      <c r="S243" s="11"/>
      <c r="T243" s="11"/>
      <c r="U243" s="11"/>
      <c r="V243" s="11"/>
      <c r="W243" s="11"/>
      <c r="X243" s="11"/>
      <c r="Y243" s="11"/>
      <c r="Z243" s="11"/>
    </row>
    <row r="244" spans="1:27" ht="15" hidden="1" customHeight="1" outlineLevel="1" x14ac:dyDescent="0.25">
      <c r="A244" s="93" t="s">
        <v>266</v>
      </c>
      <c r="B244" s="93"/>
      <c r="C244" s="93"/>
      <c r="D244" s="775"/>
      <c r="E244" s="11"/>
      <c r="F244" s="11"/>
      <c r="G244" s="11"/>
      <c r="H244" s="11"/>
      <c r="I244" s="11"/>
      <c r="J244" s="11"/>
      <c r="K244" s="11"/>
      <c r="L244" s="11"/>
      <c r="M244" s="11"/>
      <c r="N244" s="11">
        <f t="shared" si="60"/>
        <v>0</v>
      </c>
      <c r="O244" s="11"/>
      <c r="P244" s="11"/>
      <c r="Q244" s="11"/>
      <c r="R244" s="11"/>
      <c r="S244" s="11"/>
      <c r="T244" s="11"/>
      <c r="U244" s="11"/>
      <c r="V244" s="11"/>
      <c r="W244" s="11"/>
      <c r="X244" s="11"/>
      <c r="Y244" s="11"/>
      <c r="Z244" s="11"/>
    </row>
    <row r="245" spans="1:27" ht="15" hidden="1" customHeight="1" outlineLevel="1" x14ac:dyDescent="0.25">
      <c r="A245" s="93" t="s">
        <v>283</v>
      </c>
      <c r="B245" s="93"/>
      <c r="C245" s="93"/>
      <c r="D245" s="775"/>
      <c r="E245" s="11"/>
      <c r="F245" s="11"/>
      <c r="G245" s="11"/>
      <c r="H245" s="11"/>
      <c r="I245" s="11"/>
      <c r="J245" s="11"/>
      <c r="K245" s="11"/>
      <c r="L245" s="11"/>
      <c r="M245" s="11"/>
      <c r="N245" s="11">
        <f t="shared" si="60"/>
        <v>0</v>
      </c>
      <c r="O245" s="11"/>
      <c r="P245" s="11"/>
      <c r="Q245" s="11"/>
      <c r="R245" s="11"/>
      <c r="S245" s="11"/>
      <c r="T245" s="11"/>
      <c r="U245" s="11"/>
      <c r="V245" s="11"/>
      <c r="W245" s="11"/>
      <c r="X245" s="11"/>
      <c r="Y245" s="11"/>
      <c r="Z245" s="11"/>
    </row>
    <row r="246" spans="1:27" ht="15" hidden="1" customHeight="1" outlineLevel="1" x14ac:dyDescent="0.25">
      <c r="A246" s="93" t="s">
        <v>284</v>
      </c>
      <c r="B246" s="93"/>
      <c r="C246" s="93"/>
      <c r="D246" s="775"/>
      <c r="E246" s="11"/>
      <c r="F246" s="11"/>
      <c r="G246" s="11"/>
      <c r="H246" s="11"/>
      <c r="I246" s="11"/>
      <c r="J246" s="11"/>
      <c r="K246" s="11"/>
      <c r="L246" s="11"/>
      <c r="M246" s="11"/>
      <c r="N246" s="11">
        <f t="shared" si="60"/>
        <v>0</v>
      </c>
      <c r="O246" s="11"/>
      <c r="P246" s="11"/>
      <c r="Q246" s="11"/>
      <c r="R246" s="11"/>
      <c r="S246" s="11"/>
      <c r="T246" s="11"/>
      <c r="U246" s="11"/>
      <c r="V246" s="11"/>
      <c r="W246" s="11"/>
      <c r="X246" s="11"/>
      <c r="Y246" s="11"/>
      <c r="Z246" s="11"/>
    </row>
    <row r="247" spans="1:27" ht="21" hidden="1" customHeight="1" outlineLevel="1" x14ac:dyDescent="0.25">
      <c r="A247" s="93" t="s">
        <v>285</v>
      </c>
      <c r="B247" s="93"/>
      <c r="C247" s="93"/>
      <c r="D247" s="775"/>
      <c r="E247" s="11"/>
      <c r="F247" s="11"/>
      <c r="G247" s="717"/>
      <c r="H247" s="11"/>
      <c r="I247" s="11"/>
      <c r="J247" s="11"/>
      <c r="K247" s="68" t="s">
        <v>20</v>
      </c>
      <c r="L247" s="32">
        <f>SUM(L242:L246)</f>
        <v>0</v>
      </c>
      <c r="M247" s="32">
        <f>SUM(M242:M246)</f>
        <v>0</v>
      </c>
      <c r="N247" s="11">
        <f>SUM(N243:N246)</f>
        <v>0</v>
      </c>
      <c r="O247" s="11">
        <f t="shared" ref="O247:Z247" si="61">SUM(O243:O246)</f>
        <v>0</v>
      </c>
      <c r="P247" s="11">
        <f t="shared" si="61"/>
        <v>0</v>
      </c>
      <c r="Q247" s="11">
        <f t="shared" si="61"/>
        <v>0</v>
      </c>
      <c r="R247" s="11">
        <f t="shared" si="61"/>
        <v>0</v>
      </c>
      <c r="S247" s="11">
        <f t="shared" si="61"/>
        <v>0</v>
      </c>
      <c r="T247" s="11">
        <f t="shared" si="61"/>
        <v>0</v>
      </c>
      <c r="U247" s="11">
        <f t="shared" si="61"/>
        <v>0</v>
      </c>
      <c r="V247" s="11">
        <f t="shared" si="61"/>
        <v>0</v>
      </c>
      <c r="W247" s="11">
        <f t="shared" si="61"/>
        <v>0</v>
      </c>
      <c r="X247" s="11">
        <f t="shared" si="61"/>
        <v>0</v>
      </c>
      <c r="Y247" s="11">
        <f t="shared" si="61"/>
        <v>0</v>
      </c>
      <c r="Z247" s="11">
        <f t="shared" si="61"/>
        <v>0</v>
      </c>
      <c r="AA247" s="35"/>
    </row>
    <row r="248" spans="1:27" ht="18" hidden="1" outlineLevel="1" x14ac:dyDescent="0.25">
      <c r="A248" s="30" t="str">
        <f>CONCATENATE(B29," ",C29)</f>
        <v xml:space="preserve"> </v>
      </c>
      <c r="B248" s="30"/>
      <c r="C248" s="31"/>
      <c r="D248" s="31"/>
      <c r="E248" s="29"/>
      <c r="F248" s="29"/>
      <c r="G248" s="685"/>
      <c r="H248" s="29"/>
      <c r="I248" s="29"/>
      <c r="J248" s="29"/>
      <c r="K248" s="29"/>
      <c r="L248" s="29"/>
      <c r="M248" s="29"/>
      <c r="N248" s="29"/>
      <c r="O248" s="29" t="s">
        <v>5</v>
      </c>
      <c r="P248" s="29"/>
      <c r="Q248" s="29"/>
      <c r="R248" s="29"/>
      <c r="S248" s="29"/>
      <c r="T248" s="29"/>
      <c r="U248" s="29"/>
      <c r="V248" s="29"/>
      <c r="W248" s="29"/>
      <c r="X248" s="29"/>
      <c r="Y248" s="29"/>
      <c r="Z248" s="29"/>
    </row>
    <row r="249" spans="1:27" ht="6.75" hidden="1" customHeight="1" collapsed="1" x14ac:dyDescent="0.25"/>
    <row r="250" spans="1:27" ht="18" x14ac:dyDescent="0.25">
      <c r="A250" s="41" t="s">
        <v>324</v>
      </c>
      <c r="B250" s="41"/>
      <c r="C250" s="42"/>
      <c r="D250" s="42"/>
      <c r="E250" s="43"/>
      <c r="F250" s="43"/>
      <c r="G250" s="680"/>
      <c r="H250" s="44"/>
      <c r="I250" s="44"/>
      <c r="J250" s="43"/>
      <c r="K250" s="43"/>
      <c r="L250" s="43"/>
      <c r="M250" s="43"/>
      <c r="N250" s="43"/>
      <c r="O250" s="43" t="s">
        <v>5</v>
      </c>
      <c r="P250" s="43"/>
      <c r="Q250" s="43"/>
      <c r="R250" s="43"/>
      <c r="S250" s="43"/>
      <c r="T250" s="43"/>
      <c r="U250" s="43"/>
      <c r="V250" s="43"/>
      <c r="W250" s="43"/>
      <c r="X250" s="43"/>
      <c r="Y250" s="43"/>
      <c r="Z250" s="43"/>
    </row>
    <row r="251" spans="1:27" ht="15.75" hidden="1" outlineLevel="1" x14ac:dyDescent="0.25">
      <c r="A251" s="92" t="s">
        <v>261</v>
      </c>
      <c r="B251" s="92" t="s">
        <v>13</v>
      </c>
      <c r="C251" s="92" t="s">
        <v>14</v>
      </c>
      <c r="D251" s="8" t="s">
        <v>15</v>
      </c>
      <c r="E251" s="49"/>
      <c r="F251" s="49"/>
      <c r="G251" s="49"/>
      <c r="H251" s="49"/>
      <c r="I251" s="49"/>
      <c r="J251" s="48"/>
      <c r="K251" s="12"/>
      <c r="L251" s="32" t="s">
        <v>52</v>
      </c>
      <c r="M251" s="32" t="s">
        <v>53</v>
      </c>
      <c r="N251" s="32" t="s">
        <v>54</v>
      </c>
      <c r="O251" s="66">
        <v>43101</v>
      </c>
      <c r="P251" s="66">
        <v>43132</v>
      </c>
      <c r="Q251" s="66">
        <v>43160</v>
      </c>
      <c r="R251" s="66">
        <v>43191</v>
      </c>
      <c r="S251" s="66">
        <v>43221</v>
      </c>
      <c r="T251" s="66">
        <v>43252</v>
      </c>
      <c r="U251" s="66">
        <v>43282</v>
      </c>
      <c r="V251" s="66">
        <v>43313</v>
      </c>
      <c r="W251" s="66">
        <v>43344</v>
      </c>
      <c r="X251" s="66">
        <v>43374</v>
      </c>
      <c r="Y251" s="66">
        <v>43405</v>
      </c>
      <c r="Z251" s="66">
        <v>43435</v>
      </c>
    </row>
    <row r="252" spans="1:27" ht="15" hidden="1" outlineLevel="1" x14ac:dyDescent="0.25">
      <c r="A252" s="93" t="str">
        <f>+A17</f>
        <v>3.1</v>
      </c>
      <c r="B252" s="93" t="s">
        <v>27</v>
      </c>
      <c r="C252" s="93" t="str">
        <f>C17</f>
        <v>RE Mine Property</v>
      </c>
      <c r="D252" s="7" t="str">
        <f>D17</f>
        <v>Tramitación, Mantención y Resguardo de la Propiedad Minera Relincho</v>
      </c>
      <c r="E252" s="49"/>
      <c r="F252" s="49"/>
      <c r="G252" s="49"/>
      <c r="H252" s="49"/>
      <c r="I252" s="49"/>
      <c r="J252" s="48"/>
      <c r="K252" s="12" t="s">
        <v>5</v>
      </c>
      <c r="L252" s="11" t="s">
        <v>48</v>
      </c>
      <c r="M252" s="11" t="s">
        <v>55</v>
      </c>
      <c r="N252" s="11">
        <v>6</v>
      </c>
      <c r="O252" s="54">
        <f t="shared" ref="O252:Z252" si="62">+O17/SUM($O17:$Z17)</f>
        <v>2.8037768624646638E-2</v>
      </c>
      <c r="P252" s="54">
        <f t="shared" si="62"/>
        <v>3.1715099092011964E-2</v>
      </c>
      <c r="Q252" s="54">
        <f t="shared" si="62"/>
        <v>0.59784013564994265</v>
      </c>
      <c r="R252" s="54">
        <f t="shared" si="62"/>
        <v>5.0897255570758436E-2</v>
      </c>
      <c r="S252" s="54">
        <f t="shared" si="62"/>
        <v>2.8623139597002752E-2</v>
      </c>
      <c r="T252" s="54">
        <f t="shared" si="62"/>
        <v>5.0967299960613013E-2</v>
      </c>
      <c r="U252" s="54">
        <f t="shared" si="62"/>
        <v>5.1877877028722513E-2</v>
      </c>
      <c r="V252" s="54">
        <f t="shared" si="62"/>
        <v>1.53447245488564E-2</v>
      </c>
      <c r="W252" s="54">
        <f t="shared" si="62"/>
        <v>6.4125638911865804E-2</v>
      </c>
      <c r="X252" s="54">
        <f t="shared" si="62"/>
        <v>2.427538425531504E-2</v>
      </c>
      <c r="Y252" s="54">
        <f t="shared" si="62"/>
        <v>3.6478117602123238E-2</v>
      </c>
      <c r="Z252" s="54">
        <f t="shared" si="62"/>
        <v>1.9817559158141564E-2</v>
      </c>
    </row>
    <row r="253" spans="1:27" ht="15" hidden="1" outlineLevel="1" x14ac:dyDescent="0.25">
      <c r="A253" s="93" t="str">
        <f>+A18</f>
        <v>3.2</v>
      </c>
      <c r="B253" s="93" t="s">
        <v>29</v>
      </c>
      <c r="C253" s="93" t="str">
        <f>C18</f>
        <v>EM Mine Property</v>
      </c>
      <c r="D253" s="7" t="str">
        <f>D18</f>
        <v>Tramitación, Mantención y Resguardo de la Propiedad Minera El Morro</v>
      </c>
      <c r="E253" s="49"/>
      <c r="F253" s="49"/>
      <c r="G253" s="49"/>
      <c r="H253" s="49"/>
      <c r="I253" s="49"/>
      <c r="J253" s="48"/>
      <c r="K253" s="12" t="s">
        <v>5</v>
      </c>
      <c r="L253" s="11" t="s">
        <v>48</v>
      </c>
      <c r="M253" s="11" t="s">
        <v>55</v>
      </c>
      <c r="N253" s="11">
        <v>6</v>
      </c>
      <c r="O253" s="54">
        <f t="shared" ref="O253:Z253" si="63">+O18/SUM($O18:$Z18)</f>
        <v>2.1791677961650086E-3</v>
      </c>
      <c r="P253" s="54">
        <f t="shared" si="63"/>
        <v>4.0224164458856097E-3</v>
      </c>
      <c r="Q253" s="54">
        <f t="shared" si="63"/>
        <v>0.7881728315767349</v>
      </c>
      <c r="R253" s="54">
        <f t="shared" si="63"/>
        <v>3.1615159667287215E-2</v>
      </c>
      <c r="S253" s="54">
        <f t="shared" si="63"/>
        <v>2.2963088318481876E-2</v>
      </c>
      <c r="T253" s="54">
        <f t="shared" si="63"/>
        <v>1.8690885840624777E-3</v>
      </c>
      <c r="U253" s="54">
        <f t="shared" si="63"/>
        <v>7.5745460867490469E-2</v>
      </c>
      <c r="V253" s="54">
        <f t="shared" si="63"/>
        <v>4.0224164458856097E-3</v>
      </c>
      <c r="W253" s="54">
        <f t="shared" si="63"/>
        <v>1.8690885840624777E-3</v>
      </c>
      <c r="X253" s="54">
        <f t="shared" si="63"/>
        <v>2.3945005823473218E-3</v>
      </c>
      <c r="Y253" s="54">
        <f t="shared" si="63"/>
        <v>6.3277692547534528E-2</v>
      </c>
      <c r="Z253" s="54">
        <f t="shared" si="63"/>
        <v>1.8690885840624777E-3</v>
      </c>
    </row>
    <row r="254" spans="1:27" ht="15" hidden="1" outlineLevel="1" x14ac:dyDescent="0.25">
      <c r="A254" s="93" t="str">
        <f>+A20</f>
        <v>3.3</v>
      </c>
      <c r="B254" s="93" t="s">
        <v>30</v>
      </c>
      <c r="C254" s="93" t="str">
        <f t="shared" ref="C254:D254" si="64">C20</f>
        <v>Legal/Consulting Land Access</v>
      </c>
      <c r="D254" s="7" t="str">
        <f t="shared" si="64"/>
        <v xml:space="preserve">Costo Consultores y gastos varios área legal Land Access </v>
      </c>
      <c r="E254" s="49"/>
      <c r="F254" s="49"/>
      <c r="G254" s="49"/>
      <c r="H254" s="49"/>
      <c r="I254" s="49"/>
      <c r="J254" s="48"/>
      <c r="K254" s="12" t="s">
        <v>5</v>
      </c>
      <c r="L254" s="11"/>
      <c r="M254" s="11"/>
      <c r="N254" s="11"/>
      <c r="O254" s="54">
        <f t="shared" ref="O254:Z254" si="65">+O20/SUM($O20:$Z20)</f>
        <v>3.4773461104555418E-2</v>
      </c>
      <c r="P254" s="54">
        <f t="shared" si="65"/>
        <v>3.4773461104555418E-2</v>
      </c>
      <c r="Q254" s="54">
        <f t="shared" si="65"/>
        <v>3.4773461104555418E-2</v>
      </c>
      <c r="R254" s="54">
        <f t="shared" si="65"/>
        <v>3.4773461104555418E-2</v>
      </c>
      <c r="S254" s="54">
        <f t="shared" si="65"/>
        <v>6.3755397642543163E-2</v>
      </c>
      <c r="T254" s="54">
        <f t="shared" si="65"/>
        <v>6.3755397642543163E-2</v>
      </c>
      <c r="U254" s="54">
        <f t="shared" si="65"/>
        <v>8.5313549541605624E-2</v>
      </c>
      <c r="V254" s="54">
        <f t="shared" si="65"/>
        <v>8.5313549541605624E-2</v>
      </c>
      <c r="W254" s="54">
        <f t="shared" si="65"/>
        <v>9.0824656042117827E-2</v>
      </c>
      <c r="X254" s="54">
        <f t="shared" si="65"/>
        <v>8.5313549541605624E-2</v>
      </c>
      <c r="Y254" s="54">
        <f t="shared" si="65"/>
        <v>8.5313549541605624E-2</v>
      </c>
      <c r="Z254" s="54">
        <f t="shared" si="65"/>
        <v>0.30131650608815186</v>
      </c>
    </row>
    <row r="255" spans="1:27" ht="15" hidden="1" outlineLevel="1" x14ac:dyDescent="0.25">
      <c r="A255" s="93" t="str">
        <f>+A25</f>
        <v>3.3.5</v>
      </c>
      <c r="B255" s="93" t="s">
        <v>31</v>
      </c>
      <c r="C255" s="93" t="str">
        <f t="shared" ref="C255:D255" si="66">C25</f>
        <v>Land Access (Ingreso EIA)</v>
      </c>
      <c r="D255" s="775" t="str">
        <f t="shared" si="66"/>
        <v xml:space="preserve">Tramitación e indemnizacion Servidumbres </v>
      </c>
      <c r="E255" s="49"/>
      <c r="F255" s="49"/>
      <c r="G255" s="49"/>
      <c r="H255" s="49"/>
      <c r="I255" s="49"/>
      <c r="J255" s="48"/>
      <c r="K255" s="12" t="s">
        <v>5</v>
      </c>
      <c r="L255" s="11"/>
      <c r="M255" s="11"/>
      <c r="N255" s="11"/>
      <c r="O255" s="54">
        <f t="shared" ref="O255:Z255" si="67">+O25/SUM($O25:$Z25)</f>
        <v>0</v>
      </c>
      <c r="P255" s="54">
        <f t="shared" si="67"/>
        <v>0</v>
      </c>
      <c r="Q255" s="54">
        <f t="shared" si="67"/>
        <v>0</v>
      </c>
      <c r="R255" s="54">
        <f t="shared" si="67"/>
        <v>0</v>
      </c>
      <c r="S255" s="54">
        <f t="shared" si="67"/>
        <v>4.5207006771808634E-3</v>
      </c>
      <c r="T255" s="54">
        <f t="shared" si="67"/>
        <v>4.6498635536717427E-3</v>
      </c>
      <c r="U255" s="54">
        <f t="shared" si="67"/>
        <v>3.6999997599577977E-2</v>
      </c>
      <c r="V255" s="54">
        <f t="shared" si="67"/>
        <v>4.1944931677987136E-2</v>
      </c>
      <c r="W255" s="54">
        <f t="shared" si="67"/>
        <v>1.803113755812711E-2</v>
      </c>
      <c r="X255" s="54">
        <f t="shared" si="67"/>
        <v>1.7483809868996981E-2</v>
      </c>
      <c r="Y255" s="54">
        <f t="shared" si="67"/>
        <v>0.85185283057053274</v>
      </c>
      <c r="Z255" s="54">
        <f t="shared" si="67"/>
        <v>2.4516728493925496E-2</v>
      </c>
    </row>
    <row r="256" spans="1:27" ht="15" hidden="1" outlineLevel="1" x14ac:dyDescent="0.25">
      <c r="A256" s="93" t="e">
        <f>+#REF!</f>
        <v>#REF!</v>
      </c>
      <c r="B256" s="93" t="s">
        <v>32</v>
      </c>
      <c r="C256" s="93" t="e">
        <f>#REF!</f>
        <v>#REF!</v>
      </c>
      <c r="D256" s="775" t="e">
        <f>#REF!</f>
        <v>#REF!</v>
      </c>
      <c r="E256" s="49"/>
      <c r="F256" s="49"/>
      <c r="G256" s="49"/>
      <c r="H256" s="49"/>
      <c r="I256" s="49"/>
      <c r="J256" s="48"/>
      <c r="K256" s="12"/>
      <c r="L256" s="11"/>
      <c r="M256" s="11"/>
      <c r="N256" s="11"/>
      <c r="O256" s="54" t="e">
        <f>+#REF!/SUM(#REF!)</f>
        <v>#REF!</v>
      </c>
      <c r="P256" s="54" t="e">
        <f>+#REF!/SUM(#REF!)</f>
        <v>#REF!</v>
      </c>
      <c r="Q256" s="54" t="e">
        <f>+#REF!/SUM(#REF!)</f>
        <v>#REF!</v>
      </c>
      <c r="R256" s="54" t="e">
        <f>+#REF!/SUM(#REF!)</f>
        <v>#REF!</v>
      </c>
      <c r="S256" s="54" t="e">
        <f>+#REF!/SUM(#REF!)</f>
        <v>#REF!</v>
      </c>
      <c r="T256" s="54" t="e">
        <f>+#REF!/SUM(#REF!)</f>
        <v>#REF!</v>
      </c>
      <c r="U256" s="54" t="e">
        <f>+#REF!/SUM(#REF!)</f>
        <v>#REF!</v>
      </c>
      <c r="V256" s="54" t="e">
        <f>+#REF!/SUM(#REF!)</f>
        <v>#REF!</v>
      </c>
      <c r="W256" s="54" t="e">
        <f>+#REF!/SUM(#REF!)</f>
        <v>#REF!</v>
      </c>
      <c r="X256" s="54" t="e">
        <f>+#REF!/SUM(#REF!)</f>
        <v>#REF!</v>
      </c>
      <c r="Y256" s="54" t="e">
        <f>+#REF!/SUM(#REF!)</f>
        <v>#REF!</v>
      </c>
      <c r="Z256" s="54" t="e">
        <f>+#REF!/SUM(#REF!)</f>
        <v>#REF!</v>
      </c>
    </row>
    <row r="257" spans="1:26" ht="15" hidden="1" outlineLevel="1" x14ac:dyDescent="0.25">
      <c r="A257" s="93" t="e">
        <f>+#REF!</f>
        <v>#REF!</v>
      </c>
      <c r="B257" s="93" t="s">
        <v>256</v>
      </c>
      <c r="C257" s="93" t="e">
        <f>#REF!</f>
        <v>#REF!</v>
      </c>
      <c r="D257" s="775" t="e">
        <f>#REF!</f>
        <v>#REF!</v>
      </c>
      <c r="E257" s="49"/>
      <c r="F257" s="49"/>
      <c r="G257" s="49"/>
      <c r="H257" s="49"/>
      <c r="I257" s="49"/>
      <c r="J257" s="48"/>
      <c r="K257" s="12"/>
      <c r="L257" s="11"/>
      <c r="M257" s="11"/>
      <c r="N257" s="11"/>
      <c r="O257" s="54" t="e">
        <f>+#REF!/SUM(#REF!)</f>
        <v>#REF!</v>
      </c>
      <c r="P257" s="54" t="e">
        <f>+#REF!/SUM(#REF!)</f>
        <v>#REF!</v>
      </c>
      <c r="Q257" s="54" t="e">
        <f>+#REF!/SUM(#REF!)</f>
        <v>#REF!</v>
      </c>
      <c r="R257" s="54" t="e">
        <f>+#REF!/SUM(#REF!)</f>
        <v>#REF!</v>
      </c>
      <c r="S257" s="54" t="e">
        <f>+#REF!/SUM(#REF!)</f>
        <v>#REF!</v>
      </c>
      <c r="T257" s="54" t="e">
        <f>+#REF!/SUM(#REF!)</f>
        <v>#REF!</v>
      </c>
      <c r="U257" s="54" t="e">
        <f>+#REF!/SUM(#REF!)</f>
        <v>#REF!</v>
      </c>
      <c r="V257" s="54" t="e">
        <f>+#REF!/SUM(#REF!)</f>
        <v>#REF!</v>
      </c>
      <c r="W257" s="54" t="e">
        <f>+#REF!/SUM(#REF!)</f>
        <v>#REF!</v>
      </c>
      <c r="X257" s="54" t="e">
        <f>+#REF!/SUM(#REF!)</f>
        <v>#REF!</v>
      </c>
      <c r="Y257" s="54" t="e">
        <f>+#REF!/SUM(#REF!)</f>
        <v>#REF!</v>
      </c>
      <c r="Z257" s="54" t="e">
        <f>+#REF!/SUM(#REF!)</f>
        <v>#REF!</v>
      </c>
    </row>
    <row r="258" spans="1:26" ht="15" hidden="1" outlineLevel="1" x14ac:dyDescent="0.25">
      <c r="A258" s="93" t="e">
        <f>+#REF!</f>
        <v>#REF!</v>
      </c>
      <c r="B258" s="93" t="s">
        <v>257</v>
      </c>
      <c r="C258" s="93" t="e">
        <f>#REF!</f>
        <v>#REF!</v>
      </c>
      <c r="D258" s="775" t="e">
        <f>#REF!</f>
        <v>#REF!</v>
      </c>
      <c r="E258" s="49"/>
      <c r="F258" s="49"/>
      <c r="G258" s="49"/>
      <c r="H258" s="49"/>
      <c r="I258" s="49"/>
      <c r="J258" s="48"/>
      <c r="K258" s="12"/>
      <c r="L258" s="11"/>
      <c r="M258" s="11"/>
      <c r="N258" s="11"/>
      <c r="O258" s="54" t="e">
        <f>+#REF!/SUM(#REF!)</f>
        <v>#REF!</v>
      </c>
      <c r="P258" s="54" t="e">
        <f>+#REF!/SUM(#REF!)</f>
        <v>#REF!</v>
      </c>
      <c r="Q258" s="54" t="e">
        <f>+#REF!/SUM(#REF!)</f>
        <v>#REF!</v>
      </c>
      <c r="R258" s="54" t="e">
        <f>+#REF!/SUM(#REF!)</f>
        <v>#REF!</v>
      </c>
      <c r="S258" s="54" t="e">
        <f>+#REF!/SUM(#REF!)</f>
        <v>#REF!</v>
      </c>
      <c r="T258" s="54" t="e">
        <f>+#REF!/SUM(#REF!)</f>
        <v>#REF!</v>
      </c>
      <c r="U258" s="54" t="e">
        <f>+#REF!/SUM(#REF!)</f>
        <v>#REF!</v>
      </c>
      <c r="V258" s="54" t="e">
        <f>+#REF!/SUM(#REF!)</f>
        <v>#REF!</v>
      </c>
      <c r="W258" s="54" t="e">
        <f>+#REF!/SUM(#REF!)</f>
        <v>#REF!</v>
      </c>
      <c r="X258" s="54" t="e">
        <f>+#REF!/SUM(#REF!)</f>
        <v>#REF!</v>
      </c>
      <c r="Y258" s="54" t="e">
        <f>+#REF!/SUM(#REF!)</f>
        <v>#REF!</v>
      </c>
      <c r="Z258" s="54" t="e">
        <f>+#REF!/SUM(#REF!)</f>
        <v>#REF!</v>
      </c>
    </row>
    <row r="259" spans="1:26" ht="15" hidden="1" outlineLevel="1" x14ac:dyDescent="0.25">
      <c r="A259" s="93" t="e">
        <f>+#REF!</f>
        <v>#REF!</v>
      </c>
      <c r="B259" s="93" t="s">
        <v>258</v>
      </c>
      <c r="C259" s="93" t="e">
        <f>#REF!</f>
        <v>#REF!</v>
      </c>
      <c r="D259" s="775" t="e">
        <f>#REF!</f>
        <v>#REF!</v>
      </c>
      <c r="E259" s="49"/>
      <c r="F259" s="49"/>
      <c r="G259" s="49"/>
      <c r="H259" s="49"/>
      <c r="I259" s="49"/>
      <c r="J259" s="48"/>
      <c r="K259" s="12"/>
      <c r="L259" s="11"/>
      <c r="M259" s="11"/>
      <c r="N259" s="11"/>
      <c r="O259" s="54" t="e">
        <f>+#REF!/SUM(#REF!)</f>
        <v>#REF!</v>
      </c>
      <c r="P259" s="54" t="e">
        <f>+#REF!/SUM(#REF!)</f>
        <v>#REF!</v>
      </c>
      <c r="Q259" s="54" t="e">
        <f>+#REF!/SUM(#REF!)</f>
        <v>#REF!</v>
      </c>
      <c r="R259" s="54" t="e">
        <f>+#REF!/SUM(#REF!)</f>
        <v>#REF!</v>
      </c>
      <c r="S259" s="54" t="e">
        <f>+#REF!/SUM(#REF!)</f>
        <v>#REF!</v>
      </c>
      <c r="T259" s="54" t="e">
        <f>+#REF!/SUM(#REF!)</f>
        <v>#REF!</v>
      </c>
      <c r="U259" s="54" t="e">
        <f>+#REF!/SUM(#REF!)</f>
        <v>#REF!</v>
      </c>
      <c r="V259" s="54" t="e">
        <f>+#REF!/SUM(#REF!)</f>
        <v>#REF!</v>
      </c>
      <c r="W259" s="54" t="e">
        <f>+#REF!/SUM(#REF!)</f>
        <v>#REF!</v>
      </c>
      <c r="X259" s="54" t="e">
        <f>+#REF!/SUM(#REF!)</f>
        <v>#REF!</v>
      </c>
      <c r="Y259" s="54" t="e">
        <f>+#REF!/SUM(#REF!)</f>
        <v>#REF!</v>
      </c>
      <c r="Z259" s="54" t="e">
        <f>+#REF!/SUM(#REF!)</f>
        <v>#REF!</v>
      </c>
    </row>
    <row r="260" spans="1:26" ht="15" hidden="1" outlineLevel="1" x14ac:dyDescent="0.25">
      <c r="A260" s="93" t="str">
        <f>+A28</f>
        <v>3.5</v>
      </c>
      <c r="B260" s="93" t="s">
        <v>259</v>
      </c>
      <c r="C260" s="93" t="str">
        <f>C28</f>
        <v>Permits Licences</v>
      </c>
      <c r="D260" s="775" t="str">
        <f>D28</f>
        <v>Pago de Contribuciones predios superficiales de propiedad del proyecto</v>
      </c>
      <c r="E260" s="49"/>
      <c r="F260" s="49"/>
      <c r="G260" s="49"/>
      <c r="H260" s="49"/>
      <c r="I260" s="49"/>
      <c r="J260" s="48"/>
      <c r="K260" s="12"/>
      <c r="L260" s="11"/>
      <c r="M260" s="11"/>
      <c r="N260" s="11"/>
      <c r="O260" s="54">
        <f t="shared" ref="O260:Z262" si="68">+O28/SUM($O28:$Z28)</f>
        <v>0</v>
      </c>
      <c r="P260" s="54">
        <f t="shared" si="68"/>
        <v>0</v>
      </c>
      <c r="Q260" s="54">
        <f t="shared" si="68"/>
        <v>0</v>
      </c>
      <c r="R260" s="54">
        <f t="shared" si="68"/>
        <v>0.25</v>
      </c>
      <c r="S260" s="54">
        <f t="shared" si="68"/>
        <v>0</v>
      </c>
      <c r="T260" s="54">
        <f t="shared" si="68"/>
        <v>0.25</v>
      </c>
      <c r="U260" s="54">
        <f t="shared" si="68"/>
        <v>0</v>
      </c>
      <c r="V260" s="54">
        <f t="shared" si="68"/>
        <v>0</v>
      </c>
      <c r="W260" s="54">
        <f t="shared" si="68"/>
        <v>0.25</v>
      </c>
      <c r="X260" s="54">
        <f t="shared" si="68"/>
        <v>0</v>
      </c>
      <c r="Y260" s="54">
        <f t="shared" si="68"/>
        <v>0.25</v>
      </c>
      <c r="Z260" s="54">
        <f t="shared" si="68"/>
        <v>0</v>
      </c>
    </row>
    <row r="261" spans="1:26" ht="15" hidden="1" outlineLevel="1" x14ac:dyDescent="0.25">
      <c r="A261" s="93">
        <f>+A29</f>
        <v>0</v>
      </c>
      <c r="B261" s="93" t="s">
        <v>260</v>
      </c>
      <c r="C261" s="93">
        <f>C29</f>
        <v>0</v>
      </c>
      <c r="D261" s="775">
        <f>D29</f>
        <v>0</v>
      </c>
      <c r="E261" s="49"/>
      <c r="F261" s="49"/>
      <c r="G261" s="49"/>
      <c r="H261" s="49"/>
      <c r="I261" s="49"/>
      <c r="J261" s="48"/>
      <c r="K261" s="12" t="s">
        <v>5</v>
      </c>
      <c r="L261" s="11"/>
      <c r="M261" s="11"/>
      <c r="N261" s="11"/>
      <c r="O261" s="54" t="e">
        <f t="shared" si="68"/>
        <v>#VALUE!</v>
      </c>
      <c r="P261" s="54" t="e">
        <f t="shared" si="68"/>
        <v>#DIV/0!</v>
      </c>
      <c r="Q261" s="54" t="e">
        <f t="shared" si="68"/>
        <v>#DIV/0!</v>
      </c>
      <c r="R261" s="54" t="e">
        <f t="shared" si="68"/>
        <v>#DIV/0!</v>
      </c>
      <c r="S261" s="54" t="e">
        <f t="shared" si="68"/>
        <v>#DIV/0!</v>
      </c>
      <c r="T261" s="54" t="e">
        <f t="shared" si="68"/>
        <v>#DIV/0!</v>
      </c>
      <c r="U261" s="54" t="e">
        <f t="shared" si="68"/>
        <v>#DIV/0!</v>
      </c>
      <c r="V261" s="54" t="e">
        <f t="shared" si="68"/>
        <v>#DIV/0!</v>
      </c>
      <c r="W261" s="54" t="e">
        <f t="shared" si="68"/>
        <v>#DIV/0!</v>
      </c>
      <c r="X261" s="54" t="e">
        <f t="shared" si="68"/>
        <v>#DIV/0!</v>
      </c>
      <c r="Y261" s="54" t="e">
        <f t="shared" si="68"/>
        <v>#DIV/0!</v>
      </c>
      <c r="Z261" s="54" t="e">
        <f t="shared" si="68"/>
        <v>#DIV/0!</v>
      </c>
    </row>
    <row r="262" spans="1:26" s="35" customFormat="1" ht="22.5" hidden="1" customHeight="1" outlineLevel="1" x14ac:dyDescent="0.25">
      <c r="A262" s="33"/>
      <c r="B262" s="34"/>
      <c r="C262" s="34"/>
      <c r="D262" s="34"/>
      <c r="E262" s="50"/>
      <c r="F262" s="50"/>
      <c r="G262" s="696"/>
      <c r="H262" s="50"/>
      <c r="I262" s="50"/>
      <c r="J262" s="51" t="s">
        <v>20</v>
      </c>
      <c r="K262" s="68"/>
      <c r="L262" s="32" t="s">
        <v>48</v>
      </c>
      <c r="M262" s="32" t="s">
        <v>55</v>
      </c>
      <c r="N262" s="126">
        <f>SUM(N252:N261)</f>
        <v>12</v>
      </c>
      <c r="O262" s="54">
        <f t="shared" si="68"/>
        <v>1.9752553206447029E-2</v>
      </c>
      <c r="P262" s="54">
        <f t="shared" si="68"/>
        <v>1.3277036171225789E-2</v>
      </c>
      <c r="Q262" s="54">
        <f t="shared" si="68"/>
        <v>8.5437940445857272E-2</v>
      </c>
      <c r="R262" s="54">
        <f t="shared" si="68"/>
        <v>3.091015961195244E-2</v>
      </c>
      <c r="S262" s="54">
        <f t="shared" si="68"/>
        <v>7.3706399807302495E-2</v>
      </c>
      <c r="T262" s="54">
        <f t="shared" si="68"/>
        <v>0.21317204390818467</v>
      </c>
      <c r="U262" s="54">
        <f t="shared" si="68"/>
        <v>2.7785407710157608E-2</v>
      </c>
      <c r="V262" s="54">
        <f t="shared" si="68"/>
        <v>7.8154900309009054E-2</v>
      </c>
      <c r="W262" s="54">
        <f t="shared" si="68"/>
        <v>0.12849341113510632</v>
      </c>
      <c r="X262" s="54">
        <f t="shared" si="68"/>
        <v>2.469095986511954E-2</v>
      </c>
      <c r="Y262" s="54">
        <f t="shared" si="68"/>
        <v>0.2400128626728566</v>
      </c>
      <c r="Z262" s="54">
        <f t="shared" si="68"/>
        <v>6.4606325156781053E-2</v>
      </c>
    </row>
    <row r="263" spans="1:26" collapsed="1" x14ac:dyDescent="0.25"/>
    <row r="264" spans="1:26" x14ac:dyDescent="0.25">
      <c r="B264" s="27" t="s">
        <v>21</v>
      </c>
      <c r="C264" s="28">
        <v>43102</v>
      </c>
      <c r="N264" s="162"/>
      <c r="P264" s="162"/>
    </row>
    <row r="265" spans="1:26" x14ac:dyDescent="0.25">
      <c r="B265" s="27" t="s">
        <v>23</v>
      </c>
      <c r="C265" s="28">
        <v>42917</v>
      </c>
      <c r="N265" s="162"/>
      <c r="O265" s="162"/>
      <c r="P265" s="162"/>
      <c r="Q265" s="162"/>
      <c r="R265" s="162"/>
      <c r="S265" s="162"/>
      <c r="T265" s="162"/>
      <c r="U265" s="162"/>
      <c r="V265" s="162"/>
      <c r="W265" s="162"/>
      <c r="X265" s="162"/>
      <c r="Y265" s="162"/>
      <c r="Z265" s="162"/>
    </row>
    <row r="266" spans="1:26" x14ac:dyDescent="0.25">
      <c r="N266" s="162"/>
      <c r="O266" s="162"/>
      <c r="P266" s="162"/>
      <c r="Q266" s="162"/>
      <c r="R266" s="162"/>
      <c r="S266" s="162"/>
      <c r="T266" s="162"/>
      <c r="U266" s="162"/>
      <c r="V266" s="162"/>
      <c r="W266" s="162"/>
      <c r="X266" s="162"/>
      <c r="Y266" s="162"/>
      <c r="Z266" s="162"/>
    </row>
    <row r="267" spans="1:26" ht="18" x14ac:dyDescent="0.25">
      <c r="A267" s="132" t="s">
        <v>262</v>
      </c>
      <c r="N267" s="162"/>
      <c r="O267" s="162"/>
      <c r="P267" s="162"/>
      <c r="Q267" s="162"/>
      <c r="R267" s="162"/>
      <c r="S267" s="162"/>
      <c r="T267" s="162"/>
      <c r="U267" s="162"/>
      <c r="V267" s="162"/>
      <c r="W267" s="162"/>
      <c r="X267" s="162"/>
      <c r="Y267" s="162"/>
      <c r="Z267" s="162"/>
    </row>
    <row r="268" spans="1:26" ht="18" x14ac:dyDescent="0.25">
      <c r="A268" s="127" t="s">
        <v>302</v>
      </c>
      <c r="B268" s="128"/>
    </row>
    <row r="269" spans="1:26" ht="18" x14ac:dyDescent="0.25">
      <c r="A269" s="127" t="s">
        <v>323</v>
      </c>
      <c r="B269" s="128"/>
      <c r="N269" s="162"/>
    </row>
    <row r="271" spans="1:26" ht="18" x14ac:dyDescent="0.25">
      <c r="A271" s="130" t="s">
        <v>316</v>
      </c>
      <c r="B271" s="131" t="s">
        <v>288</v>
      </c>
      <c r="C271" s="131" t="s">
        <v>320</v>
      </c>
    </row>
    <row r="272" spans="1:26" ht="36" x14ac:dyDescent="0.25">
      <c r="A272" s="130" t="s">
        <v>310</v>
      </c>
      <c r="B272" s="131" t="s">
        <v>289</v>
      </c>
      <c r="C272" s="131" t="s">
        <v>321</v>
      </c>
    </row>
    <row r="273" spans="1:3" ht="54" x14ac:dyDescent="0.25">
      <c r="A273" s="130" t="s">
        <v>311</v>
      </c>
      <c r="B273" s="131" t="s">
        <v>290</v>
      </c>
      <c r="C273" s="131" t="s">
        <v>319</v>
      </c>
    </row>
    <row r="274" spans="1:3" ht="54" x14ac:dyDescent="0.25">
      <c r="A274" s="130" t="s">
        <v>312</v>
      </c>
      <c r="B274" s="131" t="s">
        <v>291</v>
      </c>
      <c r="C274" s="131" t="s">
        <v>322</v>
      </c>
    </row>
    <row r="275" spans="1:3" ht="54" x14ac:dyDescent="0.25">
      <c r="A275" s="130" t="s">
        <v>313</v>
      </c>
      <c r="B275" s="131" t="s">
        <v>292</v>
      </c>
      <c r="C275" s="131" t="s">
        <v>327</v>
      </c>
    </row>
    <row r="276" spans="1:3" ht="36" x14ac:dyDescent="0.25">
      <c r="A276" s="130" t="s">
        <v>314</v>
      </c>
      <c r="B276" s="131" t="s">
        <v>293</v>
      </c>
      <c r="C276" s="131" t="s">
        <v>317</v>
      </c>
    </row>
    <row r="277" spans="1:3" ht="54" x14ac:dyDescent="0.25">
      <c r="A277" s="130" t="s">
        <v>315</v>
      </c>
      <c r="B277" s="131" t="s">
        <v>296</v>
      </c>
      <c r="C277" s="131" t="s">
        <v>318</v>
      </c>
    </row>
    <row r="279" spans="1:3" ht="72" x14ac:dyDescent="0.25">
      <c r="A279" s="129" t="s">
        <v>301</v>
      </c>
      <c r="B279" s="128" t="s">
        <v>305</v>
      </c>
    </row>
    <row r="281" spans="1:3" ht="54" x14ac:dyDescent="0.25">
      <c r="A281" s="129" t="s">
        <v>303</v>
      </c>
      <c r="B281" s="128" t="s">
        <v>306</v>
      </c>
    </row>
    <row r="282" spans="1:3" ht="18" x14ac:dyDescent="0.25">
      <c r="A282" s="128"/>
    </row>
    <row r="283" spans="1:3" ht="72" x14ac:dyDescent="0.25">
      <c r="A283" s="129" t="s">
        <v>304</v>
      </c>
      <c r="B283" s="9" t="s">
        <v>307</v>
      </c>
    </row>
    <row r="284" spans="1:3" ht="18" x14ac:dyDescent="0.25">
      <c r="A284" s="128"/>
    </row>
    <row r="285" spans="1:3" ht="54" x14ac:dyDescent="0.25">
      <c r="A285" s="128" t="s">
        <v>308</v>
      </c>
      <c r="B285" s="128" t="s">
        <v>309</v>
      </c>
    </row>
  </sheetData>
  <mergeCells count="52">
    <mergeCell ref="E42:K42"/>
    <mergeCell ref="E35:K35"/>
    <mergeCell ref="E36:K36"/>
    <mergeCell ref="E38:K38"/>
    <mergeCell ref="E39:K39"/>
    <mergeCell ref="E41:K41"/>
    <mergeCell ref="E59:K59"/>
    <mergeCell ref="E44:K44"/>
    <mergeCell ref="E45:K45"/>
    <mergeCell ref="E46:K46"/>
    <mergeCell ref="E48:K48"/>
    <mergeCell ref="E50:K50"/>
    <mergeCell ref="E52:K52"/>
    <mergeCell ref="E54:K54"/>
    <mergeCell ref="E55:K55"/>
    <mergeCell ref="E56:K56"/>
    <mergeCell ref="E57:K57"/>
    <mergeCell ref="E58:K58"/>
    <mergeCell ref="E80:K80"/>
    <mergeCell ref="E61:K61"/>
    <mergeCell ref="E66:K66"/>
    <mergeCell ref="E67:K67"/>
    <mergeCell ref="E70:K70"/>
    <mergeCell ref="E72:K72"/>
    <mergeCell ref="E73:K73"/>
    <mergeCell ref="E74:K74"/>
    <mergeCell ref="E75:K75"/>
    <mergeCell ref="E76:K76"/>
    <mergeCell ref="E78:K78"/>
    <mergeCell ref="E79:K79"/>
    <mergeCell ref="E94:K94"/>
    <mergeCell ref="E81:K81"/>
    <mergeCell ref="E82:K82"/>
    <mergeCell ref="E84:K84"/>
    <mergeCell ref="E85:K85"/>
    <mergeCell ref="E86:K86"/>
    <mergeCell ref="E87:K87"/>
    <mergeCell ref="E88:K88"/>
    <mergeCell ref="E90:K90"/>
    <mergeCell ref="E91:K91"/>
    <mergeCell ref="E92:K92"/>
    <mergeCell ref="E93:K93"/>
    <mergeCell ref="E103:K103"/>
    <mergeCell ref="E104:K104"/>
    <mergeCell ref="E105:K105"/>
    <mergeCell ref="E106:K106"/>
    <mergeCell ref="E96:K96"/>
    <mergeCell ref="E97:K97"/>
    <mergeCell ref="E98:K98"/>
    <mergeCell ref="E99:K99"/>
    <mergeCell ref="E100:K100"/>
    <mergeCell ref="E102:K102"/>
  </mergeCells>
  <dataValidations count="5">
    <dataValidation type="list" allowBlank="1" showInputMessage="1" showErrorMessage="1" sqref="F243:F247 F236:F240 F229:F233 F222:F226 F215:F219 F169:F175 F165 F179:F181 F156:F159 F185:F191 F204:F207 F195:F200 F133:F136 F152">
      <formula1>$A$3:$A$9</formula1>
    </dataValidation>
    <dataValidation type="list" allowBlank="1" showInputMessage="1" showErrorMessage="1" sqref="M252:M262 L252:L261 H236:K239 H229:K232 H222:K225 H215:K218 H243:K246 H219:I219 H226:J226 H233:J233 H240:J240 H247:J247">
      <formula1>$C$3:$C$15</formula1>
    </dataValidation>
    <dataValidation type="list" allowBlank="1" showInputMessage="1" showErrorMessage="1" sqref="L30">
      <formula1>$D$4:$D$15</formula1>
    </dataValidation>
    <dataValidation type="list" allowBlank="1" showInputMessage="1" showErrorMessage="1" sqref="L262 J219">
      <formula1>$C$3:$C$14</formula1>
    </dataValidation>
    <dataValidation type="list" allowBlank="1" showInputMessage="1" showErrorMessage="1" sqref="L102:L106 L46 L72:L76 L78:L82 L84:L88 L90:L94 L96:L100 L48 L50 L70 L59 L52 L38:L39 L42">
      <formula1>$G$2:$G$8</formula1>
    </dataValidation>
  </dataValidations>
  <pageMargins left="0.25" right="0.25" top="0.75" bottom="0.75" header="0.3" footer="0.3"/>
  <pageSetup paperSize="17" scale="34" fitToHeight="3"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'C:\Users\gineva.alcota\AppData\Local\Microsoft\Windows\INetCache\Content.Outlook\YCN3EFJG\[Budget Legal 2018_29nov2017 (002).xlsx]Lists'!#REF!</xm:f>
          </x14:formula1>
          <xm:sqref>L243:M246 L215:M218 L222:M225 L229:M232 L236:M239 L212 M195:M200 M169:M175 L156:L162 M165 L165:L166 L169:L176 L179:L182 M179:M181 M156:M161 L185:L192 M185:M191 L208 L195:L201 L118:L122 L17:L28 M131:M136 M125:M129 L125:L137 B8 N252:N261 L35:L36 L45 L61:L64 L54:L58 L66:L68 L41 H211:M211 H111:L114 H118:K121 M118:M121 H169:K175 H165:K165 H179:K181 H156:K161 H185:K191 H204:M207 H195:K200 H125:K136 F118:F121 F111:F114 F211 F160:F161 F125:F132 F140:F151 H140:K152 M140:M152 L140:L153</xm:sqref>
        </x14:dataValidation>
        <x14:dataValidation type="list" allowBlank="1" showInputMessage="1" showErrorMessage="1">
          <x14:formula1>
            <xm:f>'C:\Users\gineva.alcota\AppData\Local\Microsoft\Windows\INetCache\Content.Outlook\YCN3EFJG\[Budget Legal 2018_29nov2017 (002).xlsx]CCs &amp; Accounts'!#REF!</xm:f>
          </x14:formula1>
          <xm:sqref>E111:E114 E215:E219 E222:E226 E229:E233 E236:E240 E243:E247 E118:E121 E211 E169:E175 E156:E161 E165 E179:E181 E185:E191 E204:E207 E195:E200 E17:E29 E125:E136 E140:E152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A1:T23"/>
  <sheetViews>
    <sheetView showGridLines="0" view="pageLayout" topLeftCell="A4" zoomScale="80" zoomScaleNormal="70" zoomScalePageLayoutView="80" workbookViewId="0">
      <selection activeCell="V3" sqref="V3"/>
    </sheetView>
  </sheetViews>
  <sheetFormatPr baseColWidth="10" defaultColWidth="11.42578125" defaultRowHeight="15" outlineLevelRow="1" outlineLevelCol="1" x14ac:dyDescent="0.25"/>
  <cols>
    <col min="1" max="1" width="10.85546875" style="400" customWidth="1"/>
    <col min="2" max="2" width="25" style="400" customWidth="1"/>
    <col min="3" max="3" width="32.7109375" style="400" customWidth="1"/>
    <col min="4" max="4" width="23.7109375" style="400" customWidth="1"/>
    <col min="5" max="5" width="17.5703125" style="400" customWidth="1"/>
    <col min="6" max="7" width="17.7109375" style="400" customWidth="1"/>
    <col min="8" max="8" width="20.2851562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1.42578125" style="400" collapsed="1"/>
    <col min="21" max="16384" width="11.42578125" style="400"/>
  </cols>
  <sheetData>
    <row r="1" spans="1:19" s="416" customFormat="1" ht="36.6" customHeight="1" x14ac:dyDescent="0.25"/>
    <row r="2" spans="1:19" ht="24.75" customHeight="1" x14ac:dyDescent="0.25"/>
    <row r="3" spans="1:19" ht="36.6" customHeight="1" x14ac:dyDescent="0.25">
      <c r="A3" s="417" t="s">
        <v>1437</v>
      </c>
      <c r="B3" s="418"/>
      <c r="C3" s="401"/>
      <c r="D3" s="401"/>
      <c r="E3" s="401"/>
      <c r="F3" s="402"/>
      <c r="G3" s="402"/>
      <c r="H3" s="402"/>
      <c r="I3" s="402" t="s">
        <v>5</v>
      </c>
      <c r="J3" s="402"/>
      <c r="K3" s="402"/>
      <c r="L3" s="402"/>
      <c r="M3" s="402"/>
      <c r="N3" s="402"/>
      <c r="O3" s="402"/>
      <c r="P3" s="402"/>
      <c r="Q3" s="402"/>
      <c r="R3" s="402"/>
      <c r="S3" s="402"/>
    </row>
    <row r="4" spans="1:19" x14ac:dyDescent="0.25">
      <c r="A4" s="419"/>
      <c r="B4" s="420" t="s">
        <v>6</v>
      </c>
      <c r="C4" s="420"/>
      <c r="D4" s="420"/>
      <c r="E4" s="420"/>
      <c r="F4" s="420"/>
      <c r="G4" s="420"/>
      <c r="H4" s="421"/>
      <c r="I4" s="420"/>
      <c r="J4" s="420"/>
      <c r="K4" s="420"/>
      <c r="L4" s="420"/>
      <c r="M4" s="420"/>
      <c r="N4" s="420"/>
      <c r="O4" s="420"/>
      <c r="P4" s="420"/>
      <c r="Q4" s="420"/>
      <c r="R4" s="420"/>
      <c r="S4" s="420"/>
    </row>
    <row r="5" spans="1:19" x14ac:dyDescent="0.25">
      <c r="A5" s="422"/>
      <c r="B5" s="423" t="str">
        <f>+'Environmental (GINE)'!B8</f>
        <v>Environmental</v>
      </c>
      <c r="C5" s="424"/>
      <c r="D5" s="424"/>
      <c r="E5" s="425"/>
      <c r="F5" s="425"/>
      <c r="G5" s="425"/>
      <c r="H5" s="426" t="s">
        <v>7</v>
      </c>
      <c r="I5" s="425"/>
      <c r="J5" s="425"/>
      <c r="K5" s="425"/>
      <c r="L5" s="425"/>
      <c r="M5" s="425"/>
      <c r="N5" s="425"/>
      <c r="O5" s="425"/>
      <c r="P5" s="425"/>
      <c r="Q5" s="425"/>
      <c r="R5" s="425"/>
      <c r="S5" s="425"/>
    </row>
    <row r="6" spans="1:19" x14ac:dyDescent="0.25">
      <c r="A6" s="422"/>
      <c r="B6" s="428" t="s">
        <v>1431</v>
      </c>
      <c r="C6" s="425"/>
      <c r="D6" s="428" t="s">
        <v>8</v>
      </c>
      <c r="E6" s="428"/>
      <c r="F6" s="428"/>
      <c r="G6" s="428"/>
      <c r="H6" s="429">
        <v>43102</v>
      </c>
      <c r="I6" s="428"/>
      <c r="J6" s="428"/>
      <c r="K6" s="428"/>
      <c r="L6" s="428"/>
      <c r="M6" s="428"/>
      <c r="N6" s="428"/>
      <c r="O6" s="428"/>
      <c r="P6" s="428"/>
      <c r="Q6" s="428"/>
      <c r="R6" s="428"/>
      <c r="S6" s="428"/>
    </row>
    <row r="7" spans="1:19" x14ac:dyDescent="0.25">
      <c r="A7" s="431"/>
      <c r="B7" s="432" t="str">
        <f>+'Environmental (GINE)'!B10</f>
        <v>684 SERA</v>
      </c>
      <c r="C7" s="433"/>
      <c r="D7" s="423" t="str">
        <f>+'Environmental (GINE)'!D10</f>
        <v>Petri Sopera</v>
      </c>
      <c r="E7" s="425"/>
      <c r="F7" s="425"/>
      <c r="G7" s="425"/>
      <c r="H7" s="427"/>
      <c r="I7" s="425"/>
      <c r="J7" s="425"/>
      <c r="K7" s="425"/>
      <c r="L7" s="425"/>
      <c r="M7" s="425"/>
      <c r="N7" s="425"/>
      <c r="O7" s="425"/>
      <c r="P7" s="425"/>
      <c r="Q7" s="425"/>
      <c r="R7" s="425"/>
      <c r="S7" s="425"/>
    </row>
    <row r="8" spans="1:19" x14ac:dyDescent="0.25">
      <c r="A8" s="431"/>
      <c r="B8" s="434" t="s">
        <v>10</v>
      </c>
      <c r="C8" s="433"/>
      <c r="D8" s="434"/>
      <c r="E8" s="434"/>
      <c r="F8" s="434"/>
      <c r="G8" s="434"/>
      <c r="H8" s="435" t="s">
        <v>11</v>
      </c>
      <c r="I8" s="434"/>
      <c r="J8" s="434"/>
      <c r="K8" s="434"/>
      <c r="L8" s="434"/>
      <c r="M8" s="434"/>
      <c r="N8" s="434"/>
      <c r="O8" s="434"/>
      <c r="P8" s="434"/>
      <c r="Q8" s="434"/>
      <c r="R8" s="434"/>
      <c r="S8" s="434"/>
    </row>
    <row r="9" spans="1:19" x14ac:dyDescent="0.25">
      <c r="A9" s="431"/>
      <c r="B9" s="436">
        <f>+'Environmental (GINE)'!B12</f>
        <v>43313</v>
      </c>
      <c r="C9" s="433"/>
      <c r="D9" s="434"/>
      <c r="E9" s="425"/>
      <c r="F9" s="425"/>
      <c r="G9" s="425"/>
      <c r="H9" s="429">
        <v>43465</v>
      </c>
      <c r="I9" s="425"/>
      <c r="J9" s="425"/>
      <c r="K9" s="425"/>
      <c r="L9" s="425"/>
      <c r="M9" s="425"/>
      <c r="N9" s="425"/>
      <c r="O9" s="425"/>
      <c r="P9" s="425"/>
      <c r="Q9" s="425"/>
      <c r="R9" s="425"/>
      <c r="S9" s="425"/>
    </row>
    <row r="10" spans="1:19" x14ac:dyDescent="0.25">
      <c r="A10" s="437"/>
      <c r="B10" s="438"/>
      <c r="C10" s="439"/>
      <c r="D10" s="439"/>
      <c r="E10" s="439"/>
      <c r="F10" s="439"/>
      <c r="G10" s="439"/>
      <c r="H10" s="440"/>
      <c r="I10" s="439"/>
      <c r="J10" s="439"/>
      <c r="K10" s="439"/>
      <c r="L10" s="439"/>
      <c r="M10" s="439"/>
      <c r="N10" s="439"/>
      <c r="O10" s="439"/>
      <c r="P10" s="439"/>
      <c r="Q10" s="439"/>
      <c r="R10" s="439"/>
      <c r="S10" s="439"/>
    </row>
    <row r="11" spans="1:19" ht="6.75" customHeight="1" x14ac:dyDescent="0.25"/>
    <row r="12" spans="1:19" x14ac:dyDescent="0.25">
      <c r="A12" s="441" t="s">
        <v>12</v>
      </c>
      <c r="B12" s="441"/>
      <c r="C12" s="402"/>
      <c r="D12" s="402"/>
      <c r="E12" s="402"/>
      <c r="F12" s="402"/>
      <c r="G12" s="402"/>
      <c r="H12" s="402"/>
      <c r="I12" s="402" t="s">
        <v>5</v>
      </c>
      <c r="J12" s="402"/>
      <c r="K12" s="402"/>
      <c r="L12" s="402"/>
      <c r="M12" s="402"/>
      <c r="N12" s="402"/>
      <c r="O12" s="402"/>
      <c r="P12" s="402"/>
      <c r="Q12" s="402"/>
      <c r="R12" s="402"/>
      <c r="S12" s="402"/>
    </row>
    <row r="13" spans="1:19"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row>
    <row r="14" spans="1:19" outlineLevel="1" x14ac:dyDescent="0.25">
      <c r="A14" s="444" t="str">
        <f>+'Environmental (GINE)'!A17</f>
        <v>5.1</v>
      </c>
      <c r="B14" s="444" t="str">
        <f>+'Environmental (GINE)'!B17</f>
        <v>Objective 1</v>
      </c>
      <c r="C14" s="444" t="str">
        <f>+'Environmental (GINE)'!C17</f>
        <v xml:space="preserve">Environmental Monitoring </v>
      </c>
      <c r="D14" s="405">
        <f>+'Environmental (GINE)'!D17</f>
        <v>0</v>
      </c>
      <c r="E14" s="406" t="str">
        <f>+'Environmental (GINE)'!E17</f>
        <v>684 / 51-11-3345</v>
      </c>
      <c r="F14" s="406">
        <f>+'Environmental (GINE)'!L17</f>
        <v>6</v>
      </c>
      <c r="G14" s="407">
        <f>+'Environmental (GINE)'!M17</f>
        <v>0</v>
      </c>
      <c r="H14" s="406">
        <f>+'Environmental (GINE)'!N17</f>
        <v>1527873.0343137258</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row>
    <row r="15" spans="1:19" outlineLevel="1" x14ac:dyDescent="0.25">
      <c r="A15" s="444" t="str">
        <f>+'Environmental (GINE)'!A18</f>
        <v>5.2</v>
      </c>
      <c r="B15" s="444" t="str">
        <f>+'Environmental (GINE)'!B18</f>
        <v>Objective 2</v>
      </c>
      <c r="C15" s="444" t="str">
        <f>+'Environmental (GINE)'!C18</f>
        <v>Environmental EIA</v>
      </c>
      <c r="D15" s="405">
        <f>+'Environmental (GINE)'!D18</f>
        <v>0</v>
      </c>
      <c r="E15" s="406" t="str">
        <f>+'Environmental (GINE)'!E18</f>
        <v>684 / 51-11-3344</v>
      </c>
      <c r="F15" s="406">
        <f>+'Environmental (GINE)'!L18</f>
        <v>6</v>
      </c>
      <c r="G15" s="407">
        <f>+'Environmental (GINE)'!M18</f>
        <v>0</v>
      </c>
      <c r="H15" s="406">
        <f>+'Environmental (GINE)'!N18</f>
        <v>6089064.9966193382</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row>
    <row r="16" spans="1:19" outlineLevel="1" x14ac:dyDescent="0.25">
      <c r="A16" s="444" t="str">
        <f>+'Environmental (GINE)'!A19</f>
        <v>5.3</v>
      </c>
      <c r="B16" s="444" t="str">
        <f>+'Environmental (GINE)'!B19</f>
        <v>Objective 3</v>
      </c>
      <c r="C16" s="444" t="str">
        <f>+'Environmental (GINE)'!C19</f>
        <v>Permits Pre-construcción</v>
      </c>
      <c r="D16" s="405">
        <f>+'Environmental (GINE)'!D19</f>
        <v>0</v>
      </c>
      <c r="E16" s="406" t="str">
        <f>+'Environmental (GINE)'!E19</f>
        <v>684 / 51-11-3346</v>
      </c>
      <c r="F16" s="406">
        <f>+'Environmental (GINE)'!L19</f>
        <v>0</v>
      </c>
      <c r="G16" s="407">
        <f>+'Environmental (GINE)'!M19</f>
        <v>0</v>
      </c>
      <c r="H16" s="406">
        <f>+'Environmental (GINE)'!N19</f>
        <v>426915.09411764704</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row>
    <row r="17" spans="1:19" outlineLevel="1" x14ac:dyDescent="0.25">
      <c r="A17" s="444"/>
      <c r="B17" s="444"/>
      <c r="C17" s="444"/>
      <c r="D17" s="405"/>
      <c r="E17" s="406"/>
      <c r="F17" s="406"/>
      <c r="G17" s="410"/>
      <c r="H17" s="411"/>
      <c r="I17" s="409" t="s">
        <v>5</v>
      </c>
      <c r="J17" s="409"/>
      <c r="K17" s="409"/>
      <c r="L17" s="409"/>
      <c r="M17" s="409"/>
      <c r="N17" s="409"/>
      <c r="O17" s="409"/>
      <c r="P17" s="409"/>
      <c r="Q17" s="409"/>
      <c r="R17" s="409"/>
      <c r="S17" s="409"/>
    </row>
    <row r="18" spans="1:19" outlineLevel="1" x14ac:dyDescent="0.25">
      <c r="A18" s="444"/>
      <c r="B18" s="444"/>
      <c r="C18" s="444"/>
      <c r="D18" s="405"/>
      <c r="E18" s="406"/>
      <c r="F18" s="406"/>
      <c r="G18" s="410"/>
      <c r="H18" s="411"/>
      <c r="I18" s="409" t="s">
        <v>5</v>
      </c>
      <c r="J18" s="409"/>
      <c r="K18" s="409"/>
      <c r="L18" s="409"/>
      <c r="M18" s="409"/>
      <c r="N18" s="409"/>
      <c r="O18" s="409"/>
      <c r="P18" s="409"/>
      <c r="Q18" s="409"/>
      <c r="R18" s="409"/>
      <c r="S18" s="409"/>
    </row>
    <row r="19" spans="1:19" outlineLevel="1" x14ac:dyDescent="0.25">
      <c r="A19" s="412"/>
      <c r="B19" s="413"/>
      <c r="C19" s="413"/>
      <c r="D19" s="414"/>
      <c r="E19" s="415"/>
      <c r="F19" s="404">
        <f>+'Environmental (GINE)'!L27</f>
        <v>12</v>
      </c>
      <c r="G19" s="404">
        <f>SUM(G1:G18)</f>
        <v>0</v>
      </c>
      <c r="H19" s="404">
        <f t="shared" ref="H19:S19" si="0">SUM(H13:H18)</f>
        <v>8043853.1250507105</v>
      </c>
      <c r="I19" s="404" t="e">
        <f t="shared" si="0"/>
        <v>#REF!</v>
      </c>
      <c r="J19" s="404" t="e">
        <f t="shared" si="0"/>
        <v>#REF!</v>
      </c>
      <c r="K19" s="404" t="e">
        <f t="shared" si="0"/>
        <v>#REF!</v>
      </c>
      <c r="L19" s="404" t="e">
        <f t="shared" si="0"/>
        <v>#REF!</v>
      </c>
      <c r="M19" s="404" t="e">
        <f t="shared" si="0"/>
        <v>#REF!</v>
      </c>
      <c r="N19" s="404" t="e">
        <f t="shared" si="0"/>
        <v>#REF!</v>
      </c>
      <c r="O19" s="404" t="e">
        <f t="shared" si="0"/>
        <v>#REF!</v>
      </c>
      <c r="P19" s="404" t="e">
        <f t="shared" si="0"/>
        <v>#REF!</v>
      </c>
      <c r="Q19" s="404" t="e">
        <f t="shared" si="0"/>
        <v>#REF!</v>
      </c>
      <c r="R19" s="404" t="e">
        <f t="shared" si="0"/>
        <v>#REF!</v>
      </c>
      <c r="S19" s="404" t="e">
        <f t="shared" si="0"/>
        <v>#REF!</v>
      </c>
    </row>
    <row r="20" spans="1:19" ht="6.75" customHeight="1" x14ac:dyDescent="0.25">
      <c r="A20" s="414"/>
      <c r="B20" s="414"/>
      <c r="C20" s="414"/>
      <c r="D20" s="414"/>
      <c r="E20" s="414"/>
    </row>
    <row r="22" spans="1:19" ht="24.75" customHeight="1" x14ac:dyDescent="0.25">
      <c r="B22" s="445" t="s">
        <v>21</v>
      </c>
      <c r="C22" s="446">
        <v>43102</v>
      </c>
      <c r="F22" s="445" t="s">
        <v>22</v>
      </c>
      <c r="G22" s="447"/>
      <c r="H22" s="448"/>
    </row>
    <row r="23" spans="1:19" ht="24.75" customHeight="1" x14ac:dyDescent="0.25">
      <c r="B23" s="445" t="s">
        <v>23</v>
      </c>
      <c r="C23" s="446">
        <v>42917</v>
      </c>
      <c r="F23" s="445" t="s">
        <v>24</v>
      </c>
      <c r="G23" s="447"/>
      <c r="H23" s="448"/>
    </row>
  </sheetData>
  <printOptions horizontalCentered="1"/>
  <pageMargins left="0.31496062992125984" right="0.31496062992125984" top="1.1811023622047245" bottom="1.1811023622047245" header="0.31496062992125984" footer="0.31496062992125984"/>
  <pageSetup paperSize="17" orientation="landscape" r:id="rId1"/>
  <headerFoot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'C:\Users\gineva.alcota\AppData\Local\Microsoft\Windows\INetCache\Content.Outlook\ZG6HJCZN\[Formato Finanzas SubSumas 24 AGO_GA_Enviado (002).xlsx]Lists'!#REF!</xm:f>
          </x14:formula1>
          <xm:sqref>F19 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tabColor theme="9" tint="0.59999389629810485"/>
    <pageSetUpPr fitToPage="1"/>
  </sheetPr>
  <dimension ref="A1:AC203"/>
  <sheetViews>
    <sheetView showGridLines="0" zoomScale="60" zoomScaleNormal="60" zoomScalePageLayoutView="80" workbookViewId="0">
      <selection activeCell="A94" sqref="A94"/>
    </sheetView>
  </sheetViews>
  <sheetFormatPr baseColWidth="10" defaultColWidth="11.42578125" defaultRowHeight="14.25" outlineLevelRow="1" outlineLevelCol="1" x14ac:dyDescent="0.25"/>
  <cols>
    <col min="1" max="1" width="26.7109375" style="9" customWidth="1"/>
    <col min="2" max="2" width="41.28515625" style="9" customWidth="1"/>
    <col min="3" max="3" width="34.42578125" style="9" customWidth="1"/>
    <col min="4" max="4" width="79.42578125" style="9" customWidth="1"/>
    <col min="5" max="5" width="17.42578125" style="9" customWidth="1"/>
    <col min="6" max="6" width="37" style="9" customWidth="1"/>
    <col min="7" max="8" width="17.42578125" style="9" customWidth="1"/>
    <col min="9" max="10" width="11.42578125" style="9" customWidth="1"/>
    <col min="11" max="11" width="17.42578125" style="9" customWidth="1"/>
    <col min="12" max="13" width="17.7109375" style="9" customWidth="1"/>
    <col min="14" max="14" width="13.42578125" style="9" customWidth="1"/>
    <col min="15" max="15" width="13"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27" width="11.42578125" style="9"/>
    <col min="28" max="28" width="71.85546875" style="9" customWidth="1"/>
    <col min="29"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334</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VLOOKUP(B8,[15]Lists!E2:G41,3,)</f>
        <v>684 SERA</v>
      </c>
      <c r="C10" s="84"/>
      <c r="D10" s="77" t="str">
        <f>VLOOKUP(B8,[15]Lists!$E$3:$F$41,2,)</f>
        <v>Petri Sopera</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t="s">
        <v>154</v>
      </c>
      <c r="B17" s="93" t="s">
        <v>27</v>
      </c>
      <c r="C17" s="93" t="s">
        <v>1379</v>
      </c>
      <c r="D17" s="10"/>
      <c r="E17" s="11" t="s">
        <v>222</v>
      </c>
      <c r="F17" s="48"/>
      <c r="G17" s="48"/>
      <c r="H17" s="48"/>
      <c r="I17" s="48"/>
      <c r="J17" s="48"/>
      <c r="K17" s="48"/>
      <c r="L17" s="11">
        <v>6</v>
      </c>
      <c r="M17" s="53">
        <f>+M87</f>
        <v>0</v>
      </c>
      <c r="N17" s="11">
        <f>SUM(O17:Z17)</f>
        <v>1527873.0343137258</v>
      </c>
      <c r="O17" s="11">
        <f>O87</f>
        <v>326879.55261437909</v>
      </c>
      <c r="P17" s="11">
        <f t="shared" ref="P17:Z17" si="0">P87</f>
        <v>288132.49379084969</v>
      </c>
      <c r="Q17" s="11">
        <f t="shared" si="0"/>
        <v>292605.02320261439</v>
      </c>
      <c r="R17" s="11">
        <f t="shared" si="0"/>
        <v>76492.680392156864</v>
      </c>
      <c r="S17" s="11">
        <f t="shared" si="0"/>
        <v>62893.389215686264</v>
      </c>
      <c r="T17" s="11">
        <f t="shared" si="0"/>
        <v>67365.918627450985</v>
      </c>
      <c r="U17" s="11">
        <f t="shared" si="0"/>
        <v>62893.389215686264</v>
      </c>
      <c r="V17" s="11">
        <f t="shared" si="0"/>
        <v>76492.680392156864</v>
      </c>
      <c r="W17" s="11">
        <f t="shared" si="0"/>
        <v>67365.918627450985</v>
      </c>
      <c r="X17" s="11">
        <f t="shared" si="0"/>
        <v>62893.389215686264</v>
      </c>
      <c r="Y17" s="11">
        <f t="shared" si="0"/>
        <v>62893.389215686264</v>
      </c>
      <c r="Z17" s="11">
        <f t="shared" si="0"/>
        <v>80965.209803921563</v>
      </c>
    </row>
    <row r="18" spans="1:26" ht="15" x14ac:dyDescent="0.25">
      <c r="A18" s="93" t="s">
        <v>157</v>
      </c>
      <c r="B18" s="93" t="s">
        <v>29</v>
      </c>
      <c r="C18" s="93" t="s">
        <v>1380</v>
      </c>
      <c r="D18" s="10"/>
      <c r="E18" s="11" t="s">
        <v>220</v>
      </c>
      <c r="F18" s="48"/>
      <c r="G18" s="48"/>
      <c r="H18" s="48"/>
      <c r="I18" s="48"/>
      <c r="J18" s="48"/>
      <c r="K18" s="48"/>
      <c r="L18" s="11">
        <v>6</v>
      </c>
      <c r="M18" s="53">
        <f>+M121</f>
        <v>0</v>
      </c>
      <c r="N18" s="11">
        <f>SUM(O18:Z18)</f>
        <v>5690899.4467895394</v>
      </c>
      <c r="O18" s="11">
        <f>O121</f>
        <v>562830.55723187106</v>
      </c>
      <c r="P18" s="11">
        <f t="shared" ref="P18:Z18" si="1">P121</f>
        <v>905451.02937523497</v>
      </c>
      <c r="Q18" s="11">
        <f t="shared" si="1"/>
        <v>413557.09447531129</v>
      </c>
      <c r="R18" s="11">
        <f t="shared" si="1"/>
        <v>609341.99762961641</v>
      </c>
      <c r="S18" s="11">
        <f t="shared" si="1"/>
        <v>568760.90089620382</v>
      </c>
      <c r="T18" s="11">
        <f t="shared" si="1"/>
        <v>842172.74024829548</v>
      </c>
      <c r="U18" s="11">
        <f t="shared" si="1"/>
        <v>410543.6360584934</v>
      </c>
      <c r="V18" s="11">
        <f t="shared" si="1"/>
        <v>399199.86003370862</v>
      </c>
      <c r="W18" s="11">
        <f t="shared" si="1"/>
        <v>317812.12772339315</v>
      </c>
      <c r="X18" s="11">
        <f t="shared" si="1"/>
        <v>517325.967043877</v>
      </c>
      <c r="Y18" s="11">
        <f t="shared" si="1"/>
        <v>46681.244111225715</v>
      </c>
      <c r="Z18" s="11">
        <f t="shared" si="1"/>
        <v>97222.291962308882</v>
      </c>
    </row>
    <row r="19" spans="1:26" ht="15" x14ac:dyDescent="0.25">
      <c r="A19" s="93" t="s">
        <v>158</v>
      </c>
      <c r="B19" s="93" t="s">
        <v>30</v>
      </c>
      <c r="C19" s="93" t="s">
        <v>1381</v>
      </c>
      <c r="D19" s="10"/>
      <c r="E19" s="11" t="s">
        <v>224</v>
      </c>
      <c r="F19" s="48"/>
      <c r="G19" s="48"/>
      <c r="H19" s="48"/>
      <c r="I19" s="48"/>
      <c r="J19" s="48"/>
      <c r="K19" s="48"/>
      <c r="L19" s="11"/>
      <c r="M19" s="53">
        <f>+M130</f>
        <v>0</v>
      </c>
      <c r="N19" s="11">
        <f t="shared" ref="N19" si="2">SUM(O19:Z19)</f>
        <v>282853.5294117647</v>
      </c>
      <c r="O19" s="11">
        <f>O130</f>
        <v>0</v>
      </c>
      <c r="P19" s="11">
        <f t="shared" ref="P19:Z19" si="3">P130</f>
        <v>0</v>
      </c>
      <c r="Q19" s="11">
        <f t="shared" si="3"/>
        <v>0</v>
      </c>
      <c r="R19" s="11">
        <f t="shared" si="3"/>
        <v>42621.76470588235</v>
      </c>
      <c r="S19" s="11">
        <f t="shared" si="3"/>
        <v>42621.76470588235</v>
      </c>
      <c r="T19" s="11">
        <f t="shared" si="3"/>
        <v>42621.76470588235</v>
      </c>
      <c r="U19" s="11">
        <f t="shared" si="3"/>
        <v>25831.372549019605</v>
      </c>
      <c r="V19" s="11">
        <f t="shared" si="3"/>
        <v>25831.372549019605</v>
      </c>
      <c r="W19" s="11">
        <f t="shared" si="3"/>
        <v>25831.372549019605</v>
      </c>
      <c r="X19" s="11">
        <f t="shared" si="3"/>
        <v>25831.372549019605</v>
      </c>
      <c r="Y19" s="11">
        <f t="shared" si="3"/>
        <v>25831.372549019605</v>
      </c>
      <c r="Z19" s="11">
        <f t="shared" si="3"/>
        <v>25831.372549019605</v>
      </c>
    </row>
    <row r="20" spans="1:26" ht="15" x14ac:dyDescent="0.25">
      <c r="A20" s="93"/>
      <c r="B20" s="93"/>
      <c r="C20" s="93"/>
      <c r="D20" s="10"/>
      <c r="E20" s="11"/>
      <c r="F20" s="48"/>
      <c r="G20" s="48"/>
      <c r="H20" s="48"/>
      <c r="I20" s="48"/>
      <c r="J20" s="48"/>
      <c r="K20" s="48"/>
      <c r="L20" s="11"/>
      <c r="M20" s="48"/>
      <c r="N20" s="12"/>
      <c r="O20" s="12"/>
      <c r="P20" s="12"/>
      <c r="Q20" s="12"/>
      <c r="R20" s="12"/>
      <c r="S20" s="12"/>
      <c r="T20" s="12"/>
      <c r="U20" s="12"/>
      <c r="V20" s="12"/>
      <c r="W20" s="12"/>
      <c r="X20" s="12"/>
      <c r="Y20" s="12"/>
      <c r="Z20" s="12"/>
    </row>
    <row r="21" spans="1:26" ht="15"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0</v>
      </c>
      <c r="N27" s="32">
        <f>SUM(N16:N26)</f>
        <v>7501626.0105150305</v>
      </c>
      <c r="O27" s="32">
        <f>SUM(O17:O26)</f>
        <v>889710.10984625015</v>
      </c>
      <c r="P27" s="32">
        <f t="shared" ref="P27:Z27" si="4">SUM(P17:P26)</f>
        <v>1193583.5231660847</v>
      </c>
      <c r="Q27" s="32">
        <f t="shared" si="4"/>
        <v>706162.11767792562</v>
      </c>
      <c r="R27" s="32">
        <f t="shared" si="4"/>
        <v>728456.44272765564</v>
      </c>
      <c r="S27" s="32">
        <f t="shared" si="4"/>
        <v>674276.05481777247</v>
      </c>
      <c r="T27" s="32">
        <f t="shared" si="4"/>
        <v>952160.42358162883</v>
      </c>
      <c r="U27" s="32">
        <f t="shared" si="4"/>
        <v>499268.39782319922</v>
      </c>
      <c r="V27" s="32">
        <f t="shared" si="4"/>
        <v>501523.91297488508</v>
      </c>
      <c r="W27" s="32">
        <f t="shared" si="4"/>
        <v>411009.41889986373</v>
      </c>
      <c r="X27" s="32">
        <f t="shared" si="4"/>
        <v>606050.72880858288</v>
      </c>
      <c r="Y27" s="32">
        <f t="shared" si="4"/>
        <v>135406.00587593159</v>
      </c>
      <c r="Z27" s="32">
        <f t="shared" si="4"/>
        <v>204018.87431525005</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 xml:space="preserve">Objective 1 Environmental Monitoring </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x14ac:dyDescent="0.25">
      <c r="A32" s="93"/>
      <c r="B32" s="7"/>
      <c r="C32" s="7"/>
      <c r="D32" s="10"/>
      <c r="E32" s="886"/>
      <c r="F32" s="886"/>
      <c r="G32" s="886"/>
      <c r="H32" s="886"/>
      <c r="I32" s="886"/>
      <c r="J32" s="886"/>
      <c r="K32" s="887"/>
      <c r="L32" s="11"/>
      <c r="M32" s="48"/>
      <c r="N32" s="12"/>
      <c r="O32" s="52"/>
      <c r="P32" s="52"/>
      <c r="Q32" s="52"/>
      <c r="R32" s="52"/>
      <c r="S32" s="52"/>
      <c r="T32" s="52"/>
      <c r="U32" s="52"/>
      <c r="V32" s="52"/>
      <c r="W32" s="52"/>
      <c r="X32" s="52"/>
      <c r="Y32" s="52"/>
      <c r="Z32" s="52"/>
    </row>
    <row r="33" spans="1:26" ht="15" x14ac:dyDescent="0.25">
      <c r="A33" s="93"/>
      <c r="B33" s="7"/>
      <c r="C33" s="7"/>
      <c r="D33" s="10"/>
      <c r="E33" s="1001" t="s">
        <v>5</v>
      </c>
      <c r="F33" s="1001" t="s">
        <v>5</v>
      </c>
      <c r="G33" s="1001" t="s">
        <v>5</v>
      </c>
      <c r="H33" s="1001"/>
      <c r="I33" s="1001"/>
      <c r="J33" s="1001"/>
      <c r="K33" s="1002" t="s">
        <v>5</v>
      </c>
      <c r="L33" s="11"/>
      <c r="M33" s="48"/>
      <c r="N33" s="12"/>
      <c r="O33" s="12" t="s">
        <v>5</v>
      </c>
      <c r="P33" s="12"/>
      <c r="Q33" s="12"/>
      <c r="R33" s="12"/>
      <c r="S33" s="12"/>
      <c r="T33" s="12"/>
      <c r="U33" s="12"/>
      <c r="V33" s="12"/>
      <c r="W33" s="12"/>
      <c r="X33" s="12"/>
      <c r="Y33" s="12"/>
      <c r="Z33" s="12"/>
    </row>
    <row r="34" spans="1:26" ht="18" x14ac:dyDescent="0.25">
      <c r="A34" s="30" t="str">
        <f>CONCATENATE(B18," ",C18)</f>
        <v>Objective 2 Environmental EIA</v>
      </c>
      <c r="B34" s="30"/>
      <c r="C34" s="31"/>
      <c r="D34" s="31"/>
      <c r="E34" s="29"/>
      <c r="F34" s="29"/>
      <c r="G34" s="29"/>
      <c r="H34" s="29"/>
      <c r="I34" s="29"/>
      <c r="J34" s="29"/>
      <c r="K34" s="29"/>
      <c r="L34" s="29"/>
      <c r="M34" s="29"/>
      <c r="N34" s="29"/>
      <c r="O34" s="29" t="s">
        <v>5</v>
      </c>
      <c r="P34" s="29"/>
      <c r="Q34" s="29"/>
      <c r="R34" s="29"/>
      <c r="S34" s="29"/>
      <c r="T34" s="29"/>
      <c r="U34" s="29"/>
      <c r="V34" s="29"/>
      <c r="W34" s="29"/>
      <c r="X34" s="29"/>
      <c r="Y34" s="29"/>
      <c r="Z34" s="29"/>
    </row>
    <row r="35" spans="1:26" ht="28.5" x14ac:dyDescent="0.25">
      <c r="A35" s="93"/>
      <c r="B35" s="7"/>
      <c r="C35" s="7" t="e">
        <f>#REF!</f>
        <v>#REF!</v>
      </c>
      <c r="D35" s="10" t="s">
        <v>1382</v>
      </c>
      <c r="E35" s="886"/>
      <c r="F35" s="886"/>
      <c r="G35" s="886"/>
      <c r="H35" s="886"/>
      <c r="I35" s="886"/>
      <c r="J35" s="886"/>
      <c r="K35" s="887"/>
      <c r="L35" s="161"/>
      <c r="M35" s="48"/>
      <c r="N35" s="12"/>
      <c r="O35" s="52"/>
      <c r="P35" s="52"/>
      <c r="Q35" s="52"/>
      <c r="R35" s="52"/>
      <c r="S35" s="52"/>
      <c r="T35" s="52"/>
      <c r="U35" s="52"/>
      <c r="V35" s="52"/>
      <c r="W35" s="52"/>
      <c r="X35" s="52"/>
      <c r="Y35" s="52"/>
      <c r="Z35" s="52"/>
    </row>
    <row r="36" spans="1:26" ht="15" x14ac:dyDescent="0.25">
      <c r="A36" s="93"/>
      <c r="B36" s="7"/>
      <c r="C36" s="7"/>
      <c r="D36" s="10"/>
      <c r="E36" s="886"/>
      <c r="F36" s="886"/>
      <c r="G36" s="886"/>
      <c r="H36" s="886"/>
      <c r="I36" s="886"/>
      <c r="J36" s="886"/>
      <c r="K36" s="887"/>
      <c r="L36" s="11"/>
      <c r="M36" s="48"/>
      <c r="N36" s="12"/>
      <c r="O36" s="12"/>
      <c r="P36" s="12"/>
      <c r="Q36" s="12"/>
      <c r="R36" s="12"/>
      <c r="S36" s="12"/>
      <c r="T36" s="12"/>
      <c r="U36" s="12"/>
      <c r="V36" s="12"/>
      <c r="W36" s="12"/>
      <c r="X36" s="12"/>
      <c r="Y36" s="12"/>
      <c r="Z36" s="12"/>
    </row>
    <row r="37" spans="1:26" ht="18" x14ac:dyDescent="0.25">
      <c r="A37" s="30" t="str">
        <f>CONCATENATE(B19," ",C19)</f>
        <v>Objective 3 Permits Pre-construcción</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x14ac:dyDescent="0.25">
      <c r="A38" s="93" t="s">
        <v>265</v>
      </c>
      <c r="B38" s="7"/>
      <c r="C38" s="7"/>
      <c r="D38" s="10"/>
      <c r="E38" s="1001" t="s">
        <v>5</v>
      </c>
      <c r="F38" s="1001" t="s">
        <v>5</v>
      </c>
      <c r="G38" s="1001" t="s">
        <v>5</v>
      </c>
      <c r="H38" s="1001"/>
      <c r="I38" s="1001"/>
      <c r="J38" s="1001"/>
      <c r="K38" s="1002" t="s">
        <v>5</v>
      </c>
      <c r="L38" s="11"/>
      <c r="M38" s="48"/>
      <c r="N38" s="12"/>
      <c r="O38" s="12" t="s">
        <v>5</v>
      </c>
      <c r="P38" s="12"/>
      <c r="Q38" s="12"/>
      <c r="R38" s="12"/>
      <c r="S38" s="12"/>
      <c r="T38" s="12"/>
      <c r="U38" s="12"/>
      <c r="V38" s="12"/>
      <c r="W38" s="12"/>
      <c r="X38" s="12"/>
      <c r="Y38" s="12"/>
      <c r="Z38" s="12"/>
    </row>
    <row r="39" spans="1:26" ht="15" x14ac:dyDescent="0.25">
      <c r="A39" s="93" t="s">
        <v>266</v>
      </c>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8" hidden="1" outlineLevel="1" x14ac:dyDescent="0.25">
      <c r="A40" s="30" t="str">
        <f>CONCATENATE(B21," ",C21)</f>
        <v xml:space="preserve"> </v>
      </c>
      <c r="B40" s="30"/>
      <c r="C40" s="31"/>
      <c r="D40" s="31"/>
      <c r="E40" s="29"/>
      <c r="F40" s="29"/>
      <c r="G40" s="29"/>
      <c r="H40" s="29"/>
      <c r="I40" s="29"/>
      <c r="J40" s="29"/>
      <c r="K40" s="29"/>
      <c r="L40" s="29"/>
      <c r="M40" s="29"/>
      <c r="N40" s="29"/>
      <c r="O40" s="29" t="s">
        <v>5</v>
      </c>
      <c r="P40" s="29"/>
      <c r="Q40" s="29"/>
      <c r="R40" s="29"/>
      <c r="S40" s="29"/>
      <c r="T40" s="29"/>
      <c r="U40" s="29"/>
      <c r="V40" s="29"/>
      <c r="W40" s="29"/>
      <c r="X40" s="29"/>
      <c r="Y40" s="29"/>
      <c r="Z40" s="29"/>
    </row>
    <row r="41" spans="1:26" ht="15" hidden="1" outlineLevel="1" x14ac:dyDescent="0.25">
      <c r="A41" s="93" t="s">
        <v>269</v>
      </c>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outlineLevel="1" x14ac:dyDescent="0.25">
      <c r="A42" s="93" t="s">
        <v>270</v>
      </c>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5" hidden="1" outlineLevel="1" x14ac:dyDescent="0.25">
      <c r="A43" s="93"/>
      <c r="B43" s="7"/>
      <c r="C43" s="7"/>
      <c r="D43" s="10"/>
      <c r="E43" s="1001" t="s">
        <v>5</v>
      </c>
      <c r="F43" s="1001" t="s">
        <v>5</v>
      </c>
      <c r="G43" s="1001" t="s">
        <v>5</v>
      </c>
      <c r="H43" s="1001"/>
      <c r="I43" s="1001"/>
      <c r="J43" s="1001"/>
      <c r="K43" s="1002" t="s">
        <v>5</v>
      </c>
      <c r="L43" s="11"/>
      <c r="M43" s="48"/>
      <c r="N43" s="12"/>
      <c r="O43" s="12" t="s">
        <v>5</v>
      </c>
      <c r="P43" s="12"/>
      <c r="Q43" s="12"/>
      <c r="R43" s="12"/>
      <c r="S43" s="12"/>
      <c r="T43" s="12"/>
      <c r="U43" s="12"/>
      <c r="V43" s="12"/>
      <c r="W43" s="12"/>
      <c r="X43" s="12"/>
      <c r="Y43" s="12"/>
      <c r="Z43" s="12"/>
    </row>
    <row r="44" spans="1:26" ht="15" hidden="1" outlineLevel="1" x14ac:dyDescent="0.25">
      <c r="A44" s="93"/>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outlineLevel="1" x14ac:dyDescent="0.25">
      <c r="A45" s="93"/>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8" hidden="1" outlineLevel="1" x14ac:dyDescent="0.25">
      <c r="A46" s="30" t="str">
        <f>CONCATENATE(B22," ",C22)</f>
        <v xml:space="preserve"> </v>
      </c>
      <c r="B46" s="30"/>
      <c r="C46" s="31"/>
      <c r="D46" s="31"/>
      <c r="E46" s="29"/>
      <c r="F46" s="29"/>
      <c r="G46" s="29"/>
      <c r="H46" s="29"/>
      <c r="I46" s="29"/>
      <c r="J46" s="29"/>
      <c r="K46" s="29"/>
      <c r="L46" s="29"/>
      <c r="M46" s="29"/>
      <c r="N46" s="29"/>
      <c r="O46" s="29" t="s">
        <v>5</v>
      </c>
      <c r="P46" s="29"/>
      <c r="Q46" s="29"/>
      <c r="R46" s="29"/>
      <c r="S46" s="29"/>
      <c r="T46" s="29"/>
      <c r="U46" s="29"/>
      <c r="V46" s="29"/>
      <c r="W46" s="29"/>
      <c r="X46" s="29"/>
      <c r="Y46" s="29"/>
      <c r="Z46" s="29"/>
    </row>
    <row r="47" spans="1:26" ht="15" hidden="1" outlineLevel="1" x14ac:dyDescent="0.25">
      <c r="A47" s="93" t="s">
        <v>271</v>
      </c>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outlineLevel="1" x14ac:dyDescent="0.25">
      <c r="A48" s="93" t="s">
        <v>272</v>
      </c>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5" hidden="1" outlineLevel="1" x14ac:dyDescent="0.25">
      <c r="A49" s="93"/>
      <c r="B49" s="7"/>
      <c r="C49" s="7"/>
      <c r="D49" s="10"/>
      <c r="E49" s="1001" t="s">
        <v>5</v>
      </c>
      <c r="F49" s="1001" t="s">
        <v>5</v>
      </c>
      <c r="G49" s="1001" t="s">
        <v>5</v>
      </c>
      <c r="H49" s="1001"/>
      <c r="I49" s="1001"/>
      <c r="J49" s="1001"/>
      <c r="K49" s="1002" t="s">
        <v>5</v>
      </c>
      <c r="L49" s="11"/>
      <c r="M49" s="48"/>
      <c r="N49" s="12"/>
      <c r="O49" s="12" t="s">
        <v>5</v>
      </c>
      <c r="P49" s="12"/>
      <c r="Q49" s="12"/>
      <c r="R49" s="12"/>
      <c r="S49" s="12"/>
      <c r="T49" s="12"/>
      <c r="U49" s="12"/>
      <c r="V49" s="12"/>
      <c r="W49" s="12"/>
      <c r="X49" s="12"/>
      <c r="Y49" s="12"/>
      <c r="Z49" s="12"/>
    </row>
    <row r="50" spans="1:26" ht="15" hidden="1" outlineLevel="1" x14ac:dyDescent="0.25">
      <c r="A50" s="93"/>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8" hidden="1" outlineLevel="1" x14ac:dyDescent="0.25">
      <c r="A52" s="30" t="str">
        <f>CONCATENATE(B23," ",C23)</f>
        <v xml:space="preserve"> </v>
      </c>
      <c r="B52" s="30"/>
      <c r="C52" s="31"/>
      <c r="D52" s="31"/>
      <c r="E52" s="29"/>
      <c r="F52" s="29"/>
      <c r="G52" s="29"/>
      <c r="H52" s="29"/>
      <c r="I52" s="29"/>
      <c r="J52" s="29"/>
      <c r="K52" s="29"/>
      <c r="L52" s="29"/>
      <c r="M52" s="29"/>
      <c r="N52" s="29"/>
      <c r="O52" s="29" t="s">
        <v>5</v>
      </c>
      <c r="P52" s="29"/>
      <c r="Q52" s="29"/>
      <c r="R52" s="29"/>
      <c r="S52" s="29"/>
      <c r="T52" s="29"/>
      <c r="U52" s="29"/>
      <c r="V52" s="29"/>
      <c r="W52" s="29"/>
      <c r="X52" s="29"/>
      <c r="Y52" s="29"/>
      <c r="Z52" s="29"/>
    </row>
    <row r="53" spans="1:26" ht="15" hidden="1" outlineLevel="1" x14ac:dyDescent="0.25">
      <c r="A53" s="93" t="s">
        <v>273</v>
      </c>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t="s">
        <v>274</v>
      </c>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5" hidden="1" outlineLevel="1" x14ac:dyDescent="0.25">
      <c r="A55" s="93"/>
      <c r="B55" s="7"/>
      <c r="C55" s="7"/>
      <c r="D55" s="10"/>
      <c r="E55" s="1001" t="s">
        <v>5</v>
      </c>
      <c r="F55" s="1001" t="s">
        <v>5</v>
      </c>
      <c r="G55" s="1001" t="s">
        <v>5</v>
      </c>
      <c r="H55" s="1001"/>
      <c r="I55" s="1001"/>
      <c r="J55" s="1001"/>
      <c r="K55" s="1002" t="s">
        <v>5</v>
      </c>
      <c r="L55" s="11"/>
      <c r="M55" s="48"/>
      <c r="N55" s="12"/>
      <c r="O55" s="12" t="s">
        <v>5</v>
      </c>
      <c r="P55" s="12"/>
      <c r="Q55" s="12"/>
      <c r="R55" s="12"/>
      <c r="S55" s="12"/>
      <c r="T55" s="12"/>
      <c r="U55" s="12"/>
      <c r="V55" s="12"/>
      <c r="W55" s="12"/>
      <c r="X55" s="12"/>
      <c r="Y55" s="12"/>
      <c r="Z55" s="12"/>
    </row>
    <row r="56" spans="1:26" ht="15" hidden="1" outlineLevel="1" x14ac:dyDescent="0.25">
      <c r="A56" s="93"/>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8" hidden="1" outlineLevel="1" x14ac:dyDescent="0.25">
      <c r="A58" s="30" t="str">
        <f>CONCATENATE(B24," ",C24)</f>
        <v xml:space="preserve"> </v>
      </c>
      <c r="B58" s="30"/>
      <c r="C58" s="31"/>
      <c r="D58" s="31"/>
      <c r="E58" s="29"/>
      <c r="F58" s="29"/>
      <c r="G58" s="29"/>
      <c r="H58" s="29"/>
      <c r="I58" s="29"/>
      <c r="J58" s="29"/>
      <c r="K58" s="29"/>
      <c r="L58" s="29"/>
      <c r="M58" s="29"/>
      <c r="N58" s="29"/>
      <c r="O58" s="29" t="s">
        <v>5</v>
      </c>
      <c r="P58" s="29"/>
      <c r="Q58" s="29"/>
      <c r="R58" s="29"/>
      <c r="S58" s="29"/>
      <c r="T58" s="29"/>
      <c r="U58" s="29"/>
      <c r="V58" s="29"/>
      <c r="W58" s="29"/>
      <c r="X58" s="29"/>
      <c r="Y58" s="29"/>
      <c r="Z58" s="29"/>
    </row>
    <row r="59" spans="1:26" ht="15" hidden="1" outlineLevel="1" x14ac:dyDescent="0.25">
      <c r="A59" s="93" t="s">
        <v>275</v>
      </c>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t="s">
        <v>276</v>
      </c>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5" hidden="1" outlineLevel="1" x14ac:dyDescent="0.25">
      <c r="A61" s="93"/>
      <c r="B61" s="7"/>
      <c r="C61" s="7"/>
      <c r="D61" s="10"/>
      <c r="E61" s="1001" t="s">
        <v>5</v>
      </c>
      <c r="F61" s="1001" t="s">
        <v>5</v>
      </c>
      <c r="G61" s="1001" t="s">
        <v>5</v>
      </c>
      <c r="H61" s="1001"/>
      <c r="I61" s="1001"/>
      <c r="J61" s="1001"/>
      <c r="K61" s="1002" t="s">
        <v>5</v>
      </c>
      <c r="L61" s="11"/>
      <c r="M61" s="48"/>
      <c r="N61" s="12"/>
      <c r="O61" s="12" t="s">
        <v>5</v>
      </c>
      <c r="P61" s="12"/>
      <c r="Q61" s="12"/>
      <c r="R61" s="12"/>
      <c r="S61" s="12"/>
      <c r="T61" s="12"/>
      <c r="U61" s="12"/>
      <c r="V61" s="12"/>
      <c r="W61" s="12"/>
      <c r="X61" s="12"/>
      <c r="Y61" s="12"/>
      <c r="Z61" s="12"/>
    </row>
    <row r="62" spans="1:26" ht="15" hidden="1" outlineLevel="1" x14ac:dyDescent="0.25">
      <c r="A62" s="93"/>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8" hidden="1" outlineLevel="1" x14ac:dyDescent="0.25">
      <c r="A64" s="30" t="str">
        <f>CONCATENATE(B25," ",C25)</f>
        <v xml:space="preserve"> </v>
      </c>
      <c r="B64" s="30"/>
      <c r="C64" s="31"/>
      <c r="D64" s="31"/>
      <c r="E64" s="29"/>
      <c r="F64" s="29"/>
      <c r="G64" s="29"/>
      <c r="H64" s="29"/>
      <c r="I64" s="29"/>
      <c r="J64" s="29"/>
      <c r="K64" s="29"/>
      <c r="L64" s="29"/>
      <c r="M64" s="29"/>
      <c r="N64" s="29"/>
      <c r="O64" s="29" t="s">
        <v>5</v>
      </c>
      <c r="P64" s="29"/>
      <c r="Q64" s="29"/>
      <c r="R64" s="29"/>
      <c r="S64" s="29"/>
      <c r="T64" s="29"/>
      <c r="U64" s="29"/>
      <c r="V64" s="29"/>
      <c r="W64" s="29"/>
      <c r="X64" s="29"/>
      <c r="Y64" s="29"/>
      <c r="Z64" s="29"/>
    </row>
    <row r="65" spans="1:26" ht="15" hidden="1" outlineLevel="1" x14ac:dyDescent="0.25">
      <c r="A65" s="93" t="s">
        <v>277</v>
      </c>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t="s">
        <v>278</v>
      </c>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5" hidden="1" outlineLevel="1" x14ac:dyDescent="0.25">
      <c r="A67" s="93"/>
      <c r="B67" s="7"/>
      <c r="C67" s="7"/>
      <c r="D67" s="10"/>
      <c r="E67" s="1001" t="s">
        <v>5</v>
      </c>
      <c r="F67" s="1001" t="s">
        <v>5</v>
      </c>
      <c r="G67" s="1001" t="s">
        <v>5</v>
      </c>
      <c r="H67" s="1001"/>
      <c r="I67" s="1001"/>
      <c r="J67" s="1001"/>
      <c r="K67" s="1002" t="s">
        <v>5</v>
      </c>
      <c r="L67" s="11"/>
      <c r="M67" s="48"/>
      <c r="N67" s="12"/>
      <c r="O67" s="12" t="s">
        <v>5</v>
      </c>
      <c r="P67" s="12"/>
      <c r="Q67" s="12"/>
      <c r="R67" s="12"/>
      <c r="S67" s="12"/>
      <c r="T67" s="12"/>
      <c r="U67" s="12"/>
      <c r="V67" s="12"/>
      <c r="W67" s="12"/>
      <c r="X67" s="12"/>
      <c r="Y67" s="12"/>
      <c r="Z67" s="12"/>
    </row>
    <row r="68" spans="1:26" ht="15" hidden="1" outlineLevel="1" x14ac:dyDescent="0.25">
      <c r="A68" s="93"/>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8" hidden="1" outlineLevel="1" x14ac:dyDescent="0.25">
      <c r="A70" s="30" t="str">
        <f>CONCATENATE(B26," ",C26)</f>
        <v xml:space="preserve"> </v>
      </c>
      <c r="B70" s="30"/>
      <c r="C70" s="31"/>
      <c r="D70" s="31"/>
      <c r="E70" s="29"/>
      <c r="F70" s="29"/>
      <c r="G70" s="29"/>
      <c r="H70" s="29"/>
      <c r="I70" s="29"/>
      <c r="J70" s="29"/>
      <c r="K70" s="29"/>
      <c r="L70" s="29"/>
      <c r="M70" s="29"/>
      <c r="N70" s="29"/>
      <c r="O70" s="29" t="s">
        <v>5</v>
      </c>
      <c r="P70" s="29"/>
      <c r="Q70" s="29"/>
      <c r="R70" s="29"/>
      <c r="S70" s="29"/>
      <c r="T70" s="29"/>
      <c r="U70" s="29"/>
      <c r="V70" s="29"/>
      <c r="W70" s="29"/>
      <c r="X70" s="29"/>
      <c r="Y70" s="29"/>
      <c r="Z70" s="29"/>
    </row>
    <row r="71" spans="1:26" ht="15" hidden="1" outlineLevel="1" x14ac:dyDescent="0.25">
      <c r="A71" s="93" t="s">
        <v>279</v>
      </c>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t="s">
        <v>280</v>
      </c>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5" hidden="1" outlineLevel="1" x14ac:dyDescent="0.25">
      <c r="A73" s="93"/>
      <c r="B73" s="7"/>
      <c r="C73" s="7"/>
      <c r="D73" s="10"/>
      <c r="E73" s="1001" t="s">
        <v>5</v>
      </c>
      <c r="F73" s="1001" t="s">
        <v>5</v>
      </c>
      <c r="G73" s="1001" t="s">
        <v>5</v>
      </c>
      <c r="H73" s="1001"/>
      <c r="I73" s="1001"/>
      <c r="J73" s="1001"/>
      <c r="K73" s="1002" t="s">
        <v>5</v>
      </c>
      <c r="L73" s="11"/>
      <c r="M73" s="48"/>
      <c r="N73" s="12"/>
      <c r="O73" s="12" t="s">
        <v>5</v>
      </c>
      <c r="P73" s="12"/>
      <c r="Q73" s="12"/>
      <c r="R73" s="12"/>
      <c r="S73" s="12"/>
      <c r="T73" s="12"/>
      <c r="U73" s="12"/>
      <c r="V73" s="12"/>
      <c r="W73" s="12"/>
      <c r="X73" s="12"/>
      <c r="Y73" s="12"/>
      <c r="Z73" s="12"/>
    </row>
    <row r="74" spans="1:26" ht="15" hidden="1" outlineLevel="1" x14ac:dyDescent="0.25">
      <c r="A74" s="93"/>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6.75" customHeight="1" collapsed="1" x14ac:dyDescent="0.25"/>
    <row r="77" spans="1:26" ht="18" x14ac:dyDescent="0.25">
      <c r="A77" s="41" t="s">
        <v>37</v>
      </c>
      <c r="B77" s="41"/>
      <c r="C77" s="42"/>
      <c r="D77" s="42"/>
      <c r="E77" s="43"/>
      <c r="F77" s="43"/>
      <c r="G77" s="43"/>
      <c r="H77" s="44"/>
      <c r="I77" s="44"/>
      <c r="J77" s="43"/>
      <c r="K77" s="43"/>
      <c r="L77" s="43"/>
      <c r="M77" s="43"/>
      <c r="N77" s="43"/>
      <c r="O77" s="43" t="s">
        <v>5</v>
      </c>
      <c r="P77" s="43"/>
      <c r="Q77" s="43"/>
      <c r="R77" s="43"/>
      <c r="S77" s="43"/>
      <c r="T77" s="43"/>
      <c r="U77" s="43"/>
      <c r="V77" s="43"/>
      <c r="W77" s="43"/>
      <c r="X77" s="43"/>
      <c r="Y77" s="43"/>
      <c r="Z77" s="43"/>
    </row>
    <row r="78" spans="1:26" ht="18" x14ac:dyDescent="0.25">
      <c r="A78" s="30" t="str">
        <f>CONCATENATE(B17," ",C17)</f>
        <v xml:space="preserve">Objective 1 Environmental Monitoring </v>
      </c>
      <c r="B78" s="30"/>
      <c r="C78" s="31"/>
      <c r="D78" s="31"/>
      <c r="E78" s="29"/>
      <c r="F78" s="29"/>
      <c r="G78" s="29"/>
      <c r="H78" s="29"/>
      <c r="I78" s="29"/>
      <c r="J78" s="29"/>
      <c r="K78" s="29"/>
      <c r="L78" s="29"/>
      <c r="M78" s="29"/>
      <c r="N78" s="29"/>
      <c r="O78" s="29" t="s">
        <v>5</v>
      </c>
      <c r="P78" s="29"/>
      <c r="Q78" s="29"/>
      <c r="R78" s="29"/>
      <c r="S78" s="29"/>
      <c r="T78" s="29"/>
      <c r="U78" s="29"/>
      <c r="V78" s="29"/>
      <c r="W78" s="29"/>
      <c r="X78" s="29"/>
      <c r="Y78" s="29"/>
      <c r="Z78" s="29"/>
    </row>
    <row r="79" spans="1:26" ht="60" x14ac:dyDescent="0.25">
      <c r="A79" s="92" t="s">
        <v>261</v>
      </c>
      <c r="B79" s="92" t="s">
        <v>13</v>
      </c>
      <c r="C79" s="92" t="s">
        <v>14</v>
      </c>
      <c r="D79" s="133" t="s">
        <v>286</v>
      </c>
      <c r="E79" s="32" t="s">
        <v>16</v>
      </c>
      <c r="F79" s="32" t="s">
        <v>295</v>
      </c>
      <c r="G79" s="32" t="s">
        <v>39</v>
      </c>
      <c r="H79" s="32" t="s">
        <v>297</v>
      </c>
      <c r="I79" s="32" t="s">
        <v>298</v>
      </c>
      <c r="J79" s="32" t="s">
        <v>299</v>
      </c>
      <c r="K79" s="32" t="s">
        <v>300</v>
      </c>
      <c r="L79" s="32" t="s">
        <v>17</v>
      </c>
      <c r="M79" s="32" t="s">
        <v>18</v>
      </c>
      <c r="N79" s="32" t="s">
        <v>19</v>
      </c>
      <c r="O79" s="66">
        <v>43101</v>
      </c>
      <c r="P79" s="66">
        <v>43132</v>
      </c>
      <c r="Q79" s="66">
        <v>43160</v>
      </c>
      <c r="R79" s="66">
        <v>43191</v>
      </c>
      <c r="S79" s="66">
        <v>43221</v>
      </c>
      <c r="T79" s="66">
        <v>43252</v>
      </c>
      <c r="U79" s="66">
        <v>43282</v>
      </c>
      <c r="V79" s="66">
        <v>43313</v>
      </c>
      <c r="W79" s="66">
        <v>43344</v>
      </c>
      <c r="X79" s="66">
        <v>43374</v>
      </c>
      <c r="Y79" s="66">
        <v>43405</v>
      </c>
      <c r="Z79" s="66">
        <v>43435</v>
      </c>
    </row>
    <row r="80" spans="1:26" ht="15" x14ac:dyDescent="0.25">
      <c r="A80" s="93" t="s">
        <v>2035</v>
      </c>
      <c r="B80" s="93" t="s">
        <v>1379</v>
      </c>
      <c r="C80" s="93" t="s">
        <v>1379</v>
      </c>
      <c r="D80" s="888" t="s">
        <v>1383</v>
      </c>
      <c r="E80" s="888" t="s">
        <v>222</v>
      </c>
      <c r="F80" s="395" t="s">
        <v>293</v>
      </c>
      <c r="G80" s="11" t="s">
        <v>2289</v>
      </c>
      <c r="H80" s="11" t="s">
        <v>41</v>
      </c>
      <c r="I80" s="11" t="s">
        <v>41</v>
      </c>
      <c r="J80" s="11" t="s">
        <v>41</v>
      </c>
      <c r="K80" s="11" t="s">
        <v>42</v>
      </c>
      <c r="L80" s="11">
        <v>12</v>
      </c>
      <c r="M80" s="11"/>
      <c r="N80" s="137">
        <f>SUM(O80:Z80)</f>
        <v>1204142.5872549019</v>
      </c>
      <c r="O80" s="139">
        <v>299902.01535947714</v>
      </c>
      <c r="P80" s="139">
        <v>261154.95653594771</v>
      </c>
      <c r="Q80" s="139">
        <v>265627.48594771244</v>
      </c>
      <c r="R80" s="139">
        <v>49515.143137254898</v>
      </c>
      <c r="S80" s="139">
        <v>35915.851960784312</v>
      </c>
      <c r="T80" s="139">
        <v>40388.381372549018</v>
      </c>
      <c r="U80" s="139">
        <v>35915.851960784312</v>
      </c>
      <c r="V80" s="139">
        <v>49515.143137254898</v>
      </c>
      <c r="W80" s="139">
        <v>40388.381372549018</v>
      </c>
      <c r="X80" s="139">
        <v>35915.851960784312</v>
      </c>
      <c r="Y80" s="139">
        <v>35915.851960784312</v>
      </c>
      <c r="Z80" s="139">
        <v>53987.672549019604</v>
      </c>
    </row>
    <row r="81" spans="1:29" ht="15" x14ac:dyDescent="0.25">
      <c r="A81" s="958" t="s">
        <v>2436</v>
      </c>
      <c r="B81" s="958" t="s">
        <v>1379</v>
      </c>
      <c r="C81" s="958" t="s">
        <v>1379</v>
      </c>
      <c r="D81" s="975" t="s">
        <v>1383</v>
      </c>
      <c r="E81" s="975" t="s">
        <v>222</v>
      </c>
      <c r="F81" s="976" t="s">
        <v>293</v>
      </c>
      <c r="G81" s="963" t="s">
        <v>2289</v>
      </c>
      <c r="H81" s="963" t="s">
        <v>41</v>
      </c>
      <c r="I81" s="963" t="s">
        <v>41</v>
      </c>
      <c r="J81" s="963" t="s">
        <v>41</v>
      </c>
      <c r="K81" s="963" t="s">
        <v>42</v>
      </c>
      <c r="L81" s="963">
        <v>12</v>
      </c>
      <c r="M81" s="963"/>
      <c r="N81" s="963">
        <v>0</v>
      </c>
      <c r="O81" s="963"/>
      <c r="P81" s="963"/>
      <c r="Q81" s="963"/>
      <c r="R81" s="963"/>
      <c r="S81" s="963"/>
      <c r="T81" s="963"/>
      <c r="U81" s="963"/>
      <c r="V81" s="963"/>
      <c r="W81" s="963"/>
      <c r="X81" s="963"/>
      <c r="Y81" s="963"/>
      <c r="Z81" s="963"/>
    </row>
    <row r="82" spans="1:29" ht="15" x14ac:dyDescent="0.25">
      <c r="A82" s="958" t="s">
        <v>2437</v>
      </c>
      <c r="B82" s="958" t="s">
        <v>1379</v>
      </c>
      <c r="C82" s="958" t="s">
        <v>1379</v>
      </c>
      <c r="D82" s="975" t="s">
        <v>1383</v>
      </c>
      <c r="E82" s="975" t="s">
        <v>222</v>
      </c>
      <c r="F82" s="976" t="s">
        <v>293</v>
      </c>
      <c r="G82" s="963" t="s">
        <v>2438</v>
      </c>
      <c r="H82" s="963" t="s">
        <v>41</v>
      </c>
      <c r="I82" s="963" t="s">
        <v>41</v>
      </c>
      <c r="J82" s="963" t="s">
        <v>41</v>
      </c>
      <c r="K82" s="963" t="s">
        <v>42</v>
      </c>
      <c r="L82" s="963">
        <v>12</v>
      </c>
      <c r="M82" s="963"/>
      <c r="N82" s="963">
        <v>0</v>
      </c>
      <c r="O82" s="963"/>
      <c r="P82" s="963"/>
      <c r="Q82" s="963"/>
      <c r="R82" s="963"/>
      <c r="S82" s="963"/>
      <c r="T82" s="963"/>
      <c r="U82" s="963"/>
      <c r="V82" s="963"/>
      <c r="W82" s="963"/>
      <c r="X82" s="963"/>
      <c r="Y82" s="963"/>
      <c r="Z82" s="963"/>
    </row>
    <row r="83" spans="1:29" ht="15.75" x14ac:dyDescent="0.25">
      <c r="A83" s="93" t="s">
        <v>2038</v>
      </c>
      <c r="B83" s="92"/>
      <c r="C83" s="93"/>
      <c r="D83" s="888" t="s">
        <v>1384</v>
      </c>
      <c r="E83" s="888" t="s">
        <v>222</v>
      </c>
      <c r="F83" s="395" t="s">
        <v>293</v>
      </c>
      <c r="G83" s="11" t="s">
        <v>2290</v>
      </c>
      <c r="H83" s="11" t="s">
        <v>41</v>
      </c>
      <c r="I83" s="11" t="s">
        <v>41</v>
      </c>
      <c r="J83" s="11" t="s">
        <v>41</v>
      </c>
      <c r="K83" s="11" t="s">
        <v>42</v>
      </c>
      <c r="L83" s="11">
        <v>12</v>
      </c>
      <c r="M83" s="11"/>
      <c r="N83" s="137">
        <f t="shared" ref="N83:N86" si="5">SUM(O83:Z83)</f>
        <v>224926.47058823527</v>
      </c>
      <c r="O83" s="139">
        <v>18743.872549019605</v>
      </c>
      <c r="P83" s="139">
        <v>18743.872549019605</v>
      </c>
      <c r="Q83" s="139">
        <v>18743.872549019605</v>
      </c>
      <c r="R83" s="139">
        <v>18743.872549019605</v>
      </c>
      <c r="S83" s="139">
        <v>18743.872549019605</v>
      </c>
      <c r="T83" s="139">
        <v>18743.872549019605</v>
      </c>
      <c r="U83" s="139">
        <v>18743.872549019605</v>
      </c>
      <c r="V83" s="139">
        <v>18743.872549019605</v>
      </c>
      <c r="W83" s="139">
        <v>18743.872549019605</v>
      </c>
      <c r="X83" s="139">
        <v>18743.872549019605</v>
      </c>
      <c r="Y83" s="139">
        <v>18743.872549019605</v>
      </c>
      <c r="Z83" s="139">
        <v>18743.872549019605</v>
      </c>
    </row>
    <row r="84" spans="1:29" ht="15.75" x14ac:dyDescent="0.25">
      <c r="A84" s="93" t="s">
        <v>2041</v>
      </c>
      <c r="B84" s="92"/>
      <c r="C84" s="93"/>
      <c r="D84" s="888" t="s">
        <v>1385</v>
      </c>
      <c r="E84" s="888" t="s">
        <v>222</v>
      </c>
      <c r="F84" s="396"/>
      <c r="G84" s="11" t="s">
        <v>41</v>
      </c>
      <c r="H84" s="11" t="s">
        <v>41</v>
      </c>
      <c r="I84" s="11" t="s">
        <v>41</v>
      </c>
      <c r="J84" s="11" t="s">
        <v>41</v>
      </c>
      <c r="K84" s="11" t="s">
        <v>42</v>
      </c>
      <c r="L84" s="11">
        <v>12</v>
      </c>
      <c r="M84" s="11"/>
      <c r="N84" s="137">
        <f t="shared" si="5"/>
        <v>98803.976470588255</v>
      </c>
      <c r="O84" s="139">
        <v>8233.6647058823528</v>
      </c>
      <c r="P84" s="139">
        <v>8233.6647058823528</v>
      </c>
      <c r="Q84" s="139">
        <v>8233.6647058823528</v>
      </c>
      <c r="R84" s="139">
        <v>8233.6647058823528</v>
      </c>
      <c r="S84" s="139">
        <v>8233.6647058823528</v>
      </c>
      <c r="T84" s="139">
        <v>8233.6647058823528</v>
      </c>
      <c r="U84" s="139">
        <v>8233.6647058823528</v>
      </c>
      <c r="V84" s="139">
        <v>8233.6647058823528</v>
      </c>
      <c r="W84" s="139">
        <v>8233.6647058823528</v>
      </c>
      <c r="X84" s="139">
        <v>8233.6647058823528</v>
      </c>
      <c r="Y84" s="139">
        <v>8233.6647058823528</v>
      </c>
      <c r="Z84" s="139">
        <v>8233.6647058823528</v>
      </c>
    </row>
    <row r="85" spans="1:29" ht="15.75" x14ac:dyDescent="0.25">
      <c r="A85" s="92"/>
      <c r="B85" s="92"/>
      <c r="C85" s="93"/>
      <c r="D85" s="888"/>
      <c r="E85" s="32"/>
      <c r="F85" s="32"/>
      <c r="G85" s="11"/>
      <c r="H85" s="11"/>
      <c r="I85" s="11"/>
      <c r="J85" s="11"/>
      <c r="K85" s="11"/>
      <c r="L85" s="11"/>
      <c r="M85" s="11"/>
      <c r="N85" s="137">
        <f t="shared" si="5"/>
        <v>0</v>
      </c>
      <c r="O85" s="137"/>
      <c r="P85" s="137"/>
      <c r="Q85" s="137"/>
      <c r="R85" s="137"/>
      <c r="S85" s="137"/>
      <c r="T85" s="137"/>
      <c r="U85" s="137"/>
      <c r="V85" s="137"/>
      <c r="W85" s="137"/>
      <c r="X85" s="137"/>
      <c r="Y85" s="137"/>
      <c r="Z85" s="137"/>
    </row>
    <row r="86" spans="1:29" ht="15" x14ac:dyDescent="0.25">
      <c r="A86" s="93"/>
      <c r="B86" s="93"/>
      <c r="C86" s="93"/>
      <c r="D86" s="888"/>
      <c r="E86" s="11"/>
      <c r="F86" s="11"/>
      <c r="G86" s="11"/>
      <c r="H86" s="11"/>
      <c r="I86" s="11"/>
      <c r="J86" s="11"/>
      <c r="K86" s="11"/>
      <c r="L86" s="11"/>
      <c r="M86" s="11"/>
      <c r="N86" s="137">
        <f t="shared" si="5"/>
        <v>0</v>
      </c>
      <c r="O86" s="11"/>
      <c r="P86" s="11"/>
      <c r="Q86" s="11"/>
      <c r="R86" s="11"/>
      <c r="S86" s="11"/>
      <c r="T86" s="11"/>
      <c r="U86" s="11"/>
      <c r="V86" s="11"/>
      <c r="W86" s="11"/>
      <c r="X86" s="11"/>
      <c r="Y86" s="11"/>
      <c r="Z86" s="11"/>
    </row>
    <row r="87" spans="1:29" s="35" customFormat="1" ht="22.5" customHeight="1" x14ac:dyDescent="0.25">
      <c r="A87" s="33"/>
      <c r="B87" s="34"/>
      <c r="C87" s="34"/>
      <c r="D87" s="34"/>
      <c r="E87" s="50"/>
      <c r="F87" s="50"/>
      <c r="G87" s="50"/>
      <c r="H87" s="50"/>
      <c r="I87" s="50"/>
      <c r="J87" s="51" t="s">
        <v>20</v>
      </c>
      <c r="K87" s="50"/>
      <c r="L87" s="32">
        <f>SUM(L86:L86)</f>
        <v>0</v>
      </c>
      <c r="M87" s="32">
        <f>SUM(M86:M86)</f>
        <v>0</v>
      </c>
      <c r="N87" s="32">
        <f t="shared" ref="N87:Z87" si="6">SUM(N80:N86)</f>
        <v>1527873.0343137253</v>
      </c>
      <c r="O87" s="32">
        <f t="shared" si="6"/>
        <v>326879.55261437909</v>
      </c>
      <c r="P87" s="32">
        <f t="shared" si="6"/>
        <v>288132.49379084969</v>
      </c>
      <c r="Q87" s="32">
        <f t="shared" si="6"/>
        <v>292605.02320261439</v>
      </c>
      <c r="R87" s="32">
        <f t="shared" si="6"/>
        <v>76492.680392156864</v>
      </c>
      <c r="S87" s="32">
        <f t="shared" si="6"/>
        <v>62893.389215686264</v>
      </c>
      <c r="T87" s="32">
        <f t="shared" si="6"/>
        <v>67365.918627450985</v>
      </c>
      <c r="U87" s="32">
        <f t="shared" si="6"/>
        <v>62893.389215686264</v>
      </c>
      <c r="V87" s="32">
        <f t="shared" si="6"/>
        <v>76492.680392156864</v>
      </c>
      <c r="W87" s="32">
        <f t="shared" si="6"/>
        <v>67365.918627450985</v>
      </c>
      <c r="X87" s="32">
        <f t="shared" si="6"/>
        <v>62893.389215686264</v>
      </c>
      <c r="Y87" s="32">
        <f t="shared" si="6"/>
        <v>62893.389215686264</v>
      </c>
      <c r="Z87" s="32">
        <f t="shared" si="6"/>
        <v>80965.209803921563</v>
      </c>
    </row>
    <row r="88" spans="1:29" ht="18" x14ac:dyDescent="0.25">
      <c r="A88" s="30" t="str">
        <f>CONCATENATE(B18," ",C18)</f>
        <v>Objective 2 Environmental EIA</v>
      </c>
      <c r="B88" s="30"/>
      <c r="C88" s="31"/>
      <c r="D88" s="31"/>
      <c r="E88" s="29"/>
      <c r="F88" s="29"/>
      <c r="G88" s="29"/>
      <c r="H88" s="29"/>
      <c r="I88" s="29"/>
      <c r="J88" s="29"/>
      <c r="K88" s="29"/>
      <c r="L88" s="29"/>
      <c r="M88" s="29"/>
      <c r="N88" s="29"/>
      <c r="O88" s="29" t="s">
        <v>5</v>
      </c>
      <c r="P88" s="29"/>
      <c r="Q88" s="29"/>
      <c r="R88" s="29"/>
      <c r="S88" s="29"/>
      <c r="T88" s="29"/>
      <c r="U88" s="29"/>
      <c r="V88" s="29"/>
      <c r="W88" s="29"/>
      <c r="X88" s="29"/>
      <c r="Y88" s="29"/>
      <c r="Z88" s="29"/>
    </row>
    <row r="89" spans="1:29" ht="60" x14ac:dyDescent="0.25">
      <c r="A89" s="92" t="s">
        <v>261</v>
      </c>
      <c r="B89" s="92" t="s">
        <v>13</v>
      </c>
      <c r="C89" s="92" t="s">
        <v>14</v>
      </c>
      <c r="D89" s="133" t="s">
        <v>286</v>
      </c>
      <c r="E89" s="32" t="s">
        <v>16</v>
      </c>
      <c r="F89" s="32" t="s">
        <v>295</v>
      </c>
      <c r="G89" s="32" t="s">
        <v>39</v>
      </c>
      <c r="H89" s="32" t="s">
        <v>297</v>
      </c>
      <c r="I89" s="32" t="s">
        <v>298</v>
      </c>
      <c r="J89" s="32" t="s">
        <v>299</v>
      </c>
      <c r="K89" s="32" t="s">
        <v>300</v>
      </c>
      <c r="L89" s="32" t="s">
        <v>17</v>
      </c>
      <c r="M89" s="32" t="s">
        <v>18</v>
      </c>
      <c r="N89" s="32" t="s">
        <v>19</v>
      </c>
      <c r="O89" s="66">
        <v>43101</v>
      </c>
      <c r="P89" s="66">
        <v>43132</v>
      </c>
      <c r="Q89" s="66">
        <v>43160</v>
      </c>
      <c r="R89" s="66">
        <v>43191</v>
      </c>
      <c r="S89" s="66">
        <v>43221</v>
      </c>
      <c r="T89" s="66">
        <v>43252</v>
      </c>
      <c r="U89" s="66">
        <v>43282</v>
      </c>
      <c r="V89" s="66">
        <v>43313</v>
      </c>
      <c r="W89" s="66">
        <v>43344</v>
      </c>
      <c r="X89" s="66">
        <v>43374</v>
      </c>
      <c r="Y89" s="66">
        <v>43405</v>
      </c>
      <c r="Z89" s="66">
        <v>43435</v>
      </c>
    </row>
    <row r="90" spans="1:29" ht="15" x14ac:dyDescent="0.25">
      <c r="A90" s="152"/>
      <c r="B90" s="152" t="s">
        <v>1380</v>
      </c>
      <c r="C90" s="152" t="s">
        <v>1380</v>
      </c>
      <c r="D90" s="933" t="s">
        <v>1386</v>
      </c>
      <c r="E90" s="136" t="s">
        <v>220</v>
      </c>
      <c r="F90" s="136"/>
      <c r="G90" s="136"/>
      <c r="H90" s="136"/>
      <c r="I90" s="136"/>
      <c r="J90" s="136"/>
      <c r="K90" s="136"/>
      <c r="L90" s="136"/>
      <c r="M90" s="136"/>
      <c r="N90" s="136">
        <f>SUM(O90:Z90)</f>
        <v>0</v>
      </c>
      <c r="O90" s="136">
        <v>0</v>
      </c>
      <c r="P90" s="136">
        <v>0</v>
      </c>
      <c r="Q90" s="136">
        <v>0</v>
      </c>
      <c r="R90" s="136">
        <v>0</v>
      </c>
      <c r="S90" s="136">
        <v>0</v>
      </c>
      <c r="T90" s="136">
        <v>0</v>
      </c>
      <c r="U90" s="136">
        <v>0</v>
      </c>
      <c r="V90" s="136">
        <v>0</v>
      </c>
      <c r="W90" s="136">
        <v>0</v>
      </c>
      <c r="X90" s="136">
        <v>0</v>
      </c>
      <c r="Y90" s="136">
        <v>0</v>
      </c>
      <c r="Z90" s="136">
        <v>0</v>
      </c>
      <c r="AA90" s="934"/>
      <c r="AB90" s="934"/>
      <c r="AC90" s="136"/>
    </row>
    <row r="91" spans="1:29" ht="15" x14ac:dyDescent="0.25">
      <c r="A91" s="152"/>
      <c r="B91" s="152"/>
      <c r="C91" s="152"/>
      <c r="D91" s="933"/>
      <c r="E91" s="136"/>
      <c r="F91" s="935"/>
      <c r="G91" s="136"/>
      <c r="H91" s="136"/>
      <c r="I91" s="136"/>
      <c r="J91" s="136"/>
      <c r="K91" s="136"/>
      <c r="L91" s="136"/>
      <c r="M91" s="136"/>
      <c r="N91" s="136"/>
      <c r="O91" s="136"/>
      <c r="P91" s="136"/>
      <c r="Q91" s="136"/>
      <c r="R91" s="136"/>
      <c r="S91" s="136"/>
      <c r="T91" s="136"/>
      <c r="U91" s="136"/>
      <c r="V91" s="136"/>
      <c r="W91" s="136"/>
      <c r="X91" s="136"/>
      <c r="Y91" s="136"/>
      <c r="Z91" s="136"/>
      <c r="AA91" s="934"/>
      <c r="AB91" s="934"/>
      <c r="AC91" s="136"/>
    </row>
    <row r="92" spans="1:29" ht="15" x14ac:dyDescent="0.25">
      <c r="A92" s="152" t="s">
        <v>1990</v>
      </c>
      <c r="B92" s="152"/>
      <c r="C92" s="152"/>
      <c r="D92" s="933" t="s">
        <v>1993</v>
      </c>
      <c r="E92" s="136" t="s">
        <v>220</v>
      </c>
      <c r="F92" s="935" t="s">
        <v>293</v>
      </c>
      <c r="G92" s="136" t="s">
        <v>2291</v>
      </c>
      <c r="H92" s="136" t="s">
        <v>41</v>
      </c>
      <c r="I92" s="136" t="s">
        <v>41</v>
      </c>
      <c r="J92" s="136" t="s">
        <v>41</v>
      </c>
      <c r="K92" s="136" t="s">
        <v>42</v>
      </c>
      <c r="L92" s="136">
        <v>9</v>
      </c>
      <c r="M92" s="136"/>
      <c r="N92" s="136">
        <f t="shared" ref="N92:N117" si="7">SUM(O92:Z92)</f>
        <v>3463999.9999999995</v>
      </c>
      <c r="O92" s="136">
        <v>430560.40247468092</v>
      </c>
      <c r="P92" s="136">
        <v>624006.54322006647</v>
      </c>
      <c r="Q92" s="136">
        <v>325442.4919042887</v>
      </c>
      <c r="R92" s="136">
        <v>392426.30509256141</v>
      </c>
      <c r="S92" s="136">
        <v>407679.94404540933</v>
      </c>
      <c r="T92" s="136">
        <v>559885.83806324343</v>
      </c>
      <c r="U92" s="136">
        <v>266774.199991161</v>
      </c>
      <c r="V92" s="136">
        <v>290925.79499983683</v>
      </c>
      <c r="W92" s="136">
        <v>166298.48020875183</v>
      </c>
      <c r="X92" s="136">
        <v>0</v>
      </c>
      <c r="Y92" s="136">
        <v>0</v>
      </c>
      <c r="Z92" s="136">
        <v>0</v>
      </c>
      <c r="AA92" s="934"/>
      <c r="AB92" s="934"/>
      <c r="AC92" s="136"/>
    </row>
    <row r="93" spans="1:29" ht="15" x14ac:dyDescent="0.25">
      <c r="A93" s="958" t="s">
        <v>2439</v>
      </c>
      <c r="B93" s="958"/>
      <c r="C93" s="958"/>
      <c r="D93" s="975" t="s">
        <v>1993</v>
      </c>
      <c r="E93" s="963" t="s">
        <v>220</v>
      </c>
      <c r="F93" s="976" t="s">
        <v>293</v>
      </c>
      <c r="G93" s="963" t="s">
        <v>2291</v>
      </c>
      <c r="H93" s="963" t="s">
        <v>41</v>
      </c>
      <c r="I93" s="963" t="s">
        <v>41</v>
      </c>
      <c r="J93" s="963" t="s">
        <v>41</v>
      </c>
      <c r="K93" s="963" t="s">
        <v>42</v>
      </c>
      <c r="L93" s="963">
        <v>9</v>
      </c>
      <c r="M93" s="963"/>
      <c r="N93" s="963">
        <f t="shared" si="7"/>
        <v>0</v>
      </c>
      <c r="O93" s="963">
        <v>0</v>
      </c>
      <c r="P93" s="963">
        <v>0</v>
      </c>
      <c r="Q93" s="963">
        <v>0</v>
      </c>
      <c r="R93" s="963">
        <v>0</v>
      </c>
      <c r="S93" s="963">
        <v>0</v>
      </c>
      <c r="T93" s="963">
        <v>0</v>
      </c>
      <c r="U93" s="963">
        <v>0</v>
      </c>
      <c r="V93" s="963">
        <v>0</v>
      </c>
      <c r="W93" s="963">
        <v>0</v>
      </c>
      <c r="X93" s="963">
        <v>0</v>
      </c>
      <c r="Y93" s="963">
        <v>0</v>
      </c>
      <c r="Z93" s="963">
        <v>0</v>
      </c>
      <c r="AA93" s="934"/>
      <c r="AB93" s="934"/>
      <c r="AC93" s="136"/>
    </row>
    <row r="94" spans="1:29" ht="15" x14ac:dyDescent="0.25">
      <c r="A94" s="958" t="s">
        <v>2440</v>
      </c>
      <c r="B94" s="958"/>
      <c r="C94" s="958"/>
      <c r="D94" s="975" t="s">
        <v>1993</v>
      </c>
      <c r="E94" s="963" t="s">
        <v>220</v>
      </c>
      <c r="F94" s="976" t="s">
        <v>293</v>
      </c>
      <c r="G94" s="963" t="s">
        <v>2441</v>
      </c>
      <c r="H94" s="963" t="s">
        <v>41</v>
      </c>
      <c r="I94" s="963" t="s">
        <v>41</v>
      </c>
      <c r="J94" s="963" t="s">
        <v>41</v>
      </c>
      <c r="K94" s="963" t="s">
        <v>42</v>
      </c>
      <c r="L94" s="963">
        <v>9</v>
      </c>
      <c r="M94" s="963"/>
      <c r="N94" s="963">
        <f t="shared" si="7"/>
        <v>234705.88235294117</v>
      </c>
      <c r="O94" s="963">
        <v>234705.88235294117</v>
      </c>
      <c r="P94" s="963">
        <v>0</v>
      </c>
      <c r="Q94" s="963">
        <v>0</v>
      </c>
      <c r="R94" s="963">
        <v>0</v>
      </c>
      <c r="S94" s="963">
        <v>0</v>
      </c>
      <c r="T94" s="963">
        <v>0</v>
      </c>
      <c r="U94" s="963">
        <v>0</v>
      </c>
      <c r="V94" s="963">
        <v>0</v>
      </c>
      <c r="W94" s="963">
        <v>0</v>
      </c>
      <c r="X94" s="963">
        <v>0</v>
      </c>
      <c r="Y94" s="963">
        <v>0</v>
      </c>
      <c r="Z94" s="963">
        <v>0</v>
      </c>
      <c r="AA94" s="934"/>
      <c r="AB94" s="934"/>
      <c r="AC94" s="136"/>
    </row>
    <row r="95" spans="1:29" ht="57" x14ac:dyDescent="0.25">
      <c r="A95" s="152" t="s">
        <v>1995</v>
      </c>
      <c r="B95" s="152"/>
      <c r="C95" s="152"/>
      <c r="D95" s="933" t="s">
        <v>1998</v>
      </c>
      <c r="E95" s="136" t="s">
        <v>220</v>
      </c>
      <c r="F95" s="935" t="s">
        <v>293</v>
      </c>
      <c r="G95" s="136" t="s">
        <v>2292</v>
      </c>
      <c r="H95" s="136" t="s">
        <v>41</v>
      </c>
      <c r="I95" s="136" t="s">
        <v>41</v>
      </c>
      <c r="J95" s="136" t="s">
        <v>41</v>
      </c>
      <c r="K95" s="136" t="s">
        <v>42</v>
      </c>
      <c r="L95" s="136">
        <v>9</v>
      </c>
      <c r="M95" s="136"/>
      <c r="N95" s="136">
        <f t="shared" si="7"/>
        <v>235000</v>
      </c>
      <c r="O95" s="136">
        <v>29209.496126313516</v>
      </c>
      <c r="P95" s="136">
        <v>42333.007406673103</v>
      </c>
      <c r="Q95" s="136">
        <v>22078.229098587715</v>
      </c>
      <c r="R95" s="136">
        <v>26622.454300448018</v>
      </c>
      <c r="S95" s="136">
        <v>27657.271030794225</v>
      </c>
      <c r="T95" s="136">
        <v>37983.017305098794</v>
      </c>
      <c r="U95" s="136">
        <v>18098.134237275644</v>
      </c>
      <c r="V95" s="136">
        <v>19736.594060323805</v>
      </c>
      <c r="W95" s="136">
        <v>11281.796434485184</v>
      </c>
      <c r="X95" s="136">
        <v>0</v>
      </c>
      <c r="Y95" s="136">
        <v>0</v>
      </c>
      <c r="Z95" s="136">
        <v>0</v>
      </c>
      <c r="AA95" s="934"/>
      <c r="AB95" s="936" t="s">
        <v>2293</v>
      </c>
      <c r="AC95" s="136" t="s">
        <v>2294</v>
      </c>
    </row>
    <row r="96" spans="1:29" ht="15" x14ac:dyDescent="0.25">
      <c r="A96" s="152" t="s">
        <v>1999</v>
      </c>
      <c r="B96" s="152"/>
      <c r="C96" s="152"/>
      <c r="D96" s="933" t="s">
        <v>2001</v>
      </c>
      <c r="E96" s="136" t="s">
        <v>220</v>
      </c>
      <c r="F96" s="935" t="s">
        <v>291</v>
      </c>
      <c r="G96" s="136" t="s">
        <v>2295</v>
      </c>
      <c r="H96" s="136" t="s">
        <v>41</v>
      </c>
      <c r="I96" s="136" t="s">
        <v>41</v>
      </c>
      <c r="J96" s="136" t="s">
        <v>2296</v>
      </c>
      <c r="K96" s="136" t="s">
        <v>42</v>
      </c>
      <c r="L96" s="136">
        <v>9</v>
      </c>
      <c r="M96" s="136"/>
      <c r="N96" s="136">
        <f t="shared" si="7"/>
        <v>64999.999999999993</v>
      </c>
      <c r="O96" s="136">
        <v>8079.2223328101209</v>
      </c>
      <c r="P96" s="136">
        <v>11709.129708228731</v>
      </c>
      <c r="Q96" s="136">
        <v>6106.7442187583038</v>
      </c>
      <c r="R96" s="136">
        <v>7363.6575724643453</v>
      </c>
      <c r="S96" s="136">
        <v>7649.8834766026575</v>
      </c>
      <c r="T96" s="136">
        <v>10505.940956729453</v>
      </c>
      <c r="U96" s="136">
        <v>5005.8669166932632</v>
      </c>
      <c r="V96" s="136">
        <v>5459.0579315789246</v>
      </c>
      <c r="W96" s="136">
        <v>3120.4968861341999</v>
      </c>
      <c r="X96" s="136">
        <v>0</v>
      </c>
      <c r="Y96" s="136">
        <v>0</v>
      </c>
      <c r="Z96" s="136">
        <v>0</v>
      </c>
      <c r="AA96" s="934"/>
      <c r="AB96" s="934" t="s">
        <v>2297</v>
      </c>
      <c r="AC96" s="136"/>
    </row>
    <row r="97" spans="1:29" ht="15" x14ac:dyDescent="0.25">
      <c r="A97" s="152" t="s">
        <v>2002</v>
      </c>
      <c r="B97" s="152"/>
      <c r="C97" s="152"/>
      <c r="D97" s="933" t="s">
        <v>2298</v>
      </c>
      <c r="E97" s="136" t="s">
        <v>220</v>
      </c>
      <c r="F97" s="935"/>
      <c r="G97" s="136"/>
      <c r="H97" s="136"/>
      <c r="I97" s="136"/>
      <c r="J97" s="136"/>
      <c r="K97" s="136" t="s">
        <v>42</v>
      </c>
      <c r="L97" s="136">
        <v>9</v>
      </c>
      <c r="M97" s="136"/>
      <c r="N97" s="136">
        <f t="shared" si="7"/>
        <v>243529.74117647018</v>
      </c>
      <c r="O97" s="136">
        <v>30269.706517175484</v>
      </c>
      <c r="P97" s="136">
        <v>43869.558880717857</v>
      </c>
      <c r="Q97" s="136">
        <v>22879.597523463312</v>
      </c>
      <c r="R97" s="136">
        <v>27588.763426683028</v>
      </c>
      <c r="S97" s="136">
        <v>28661.140662880018</v>
      </c>
      <c r="T97" s="136">
        <v>39361.678184732329</v>
      </c>
      <c r="U97" s="136">
        <v>18755.038070556388</v>
      </c>
      <c r="V97" s="136">
        <v>20452.968694534957</v>
      </c>
      <c r="W97" s="136">
        <v>11691.289215726812</v>
      </c>
      <c r="X97" s="136">
        <v>0</v>
      </c>
      <c r="Y97" s="136">
        <v>0</v>
      </c>
      <c r="Z97" s="136">
        <v>0</v>
      </c>
      <c r="AA97" s="934"/>
      <c r="AB97" s="934"/>
      <c r="AC97" s="136"/>
    </row>
    <row r="98" spans="1:29" ht="15" x14ac:dyDescent="0.25">
      <c r="A98" s="152"/>
      <c r="B98" s="152"/>
      <c r="C98" s="152"/>
      <c r="D98" s="933"/>
      <c r="E98" s="136"/>
      <c r="F98" s="136"/>
      <c r="G98" s="136"/>
      <c r="H98" s="136"/>
      <c r="I98" s="136"/>
      <c r="J98" s="136"/>
      <c r="K98" s="136"/>
      <c r="L98" s="136"/>
      <c r="M98" s="136"/>
      <c r="N98" s="136"/>
      <c r="O98" s="136"/>
      <c r="P98" s="136"/>
      <c r="Q98" s="136"/>
      <c r="R98" s="136"/>
      <c r="S98" s="136"/>
      <c r="T98" s="136"/>
      <c r="U98" s="136"/>
      <c r="V98" s="136"/>
      <c r="W98" s="136"/>
      <c r="X98" s="136"/>
      <c r="Y98" s="136"/>
      <c r="Z98" s="136"/>
      <c r="AA98" s="934"/>
      <c r="AB98" s="934"/>
      <c r="AC98" s="136"/>
    </row>
    <row r="99" spans="1:29" ht="42.75" x14ac:dyDescent="0.25">
      <c r="A99" s="152" t="s">
        <v>2003</v>
      </c>
      <c r="B99" s="152"/>
      <c r="C99" s="152"/>
      <c r="D99" s="933" t="s">
        <v>2006</v>
      </c>
      <c r="E99" s="136" t="s">
        <v>220</v>
      </c>
      <c r="F99" s="136" t="s">
        <v>293</v>
      </c>
      <c r="G99" s="937" t="s">
        <v>2299</v>
      </c>
      <c r="H99" s="136" t="s">
        <v>41</v>
      </c>
      <c r="I99" s="136" t="s">
        <v>41</v>
      </c>
      <c r="J99" s="136" t="s">
        <v>41</v>
      </c>
      <c r="K99" s="136" t="s">
        <v>42</v>
      </c>
      <c r="L99" s="136">
        <v>7</v>
      </c>
      <c r="M99" s="136"/>
      <c r="N99" s="139">
        <f t="shared" si="7"/>
        <v>194000</v>
      </c>
      <c r="O99" s="136">
        <v>20735.507246376812</v>
      </c>
      <c r="P99" s="136">
        <v>65896.739130434784</v>
      </c>
      <c r="Q99" s="136">
        <v>0</v>
      </c>
      <c r="R99" s="136">
        <v>20735.507246376812</v>
      </c>
      <c r="S99" s="136">
        <v>0</v>
      </c>
      <c r="T99" s="136">
        <v>65896.739130434784</v>
      </c>
      <c r="U99" s="136">
        <v>20735.507246376812</v>
      </c>
      <c r="V99" s="136">
        <v>0</v>
      </c>
      <c r="W99" s="136">
        <v>0</v>
      </c>
      <c r="X99" s="136">
        <v>0</v>
      </c>
      <c r="Y99" s="136">
        <v>0</v>
      </c>
      <c r="Z99" s="136">
        <v>0</v>
      </c>
      <c r="AA99" s="934"/>
      <c r="AB99" s="934"/>
      <c r="AC99" s="136"/>
    </row>
    <row r="100" spans="1:29" ht="57" x14ac:dyDescent="0.25">
      <c r="A100" s="152" t="s">
        <v>2007</v>
      </c>
      <c r="B100" s="152"/>
      <c r="C100" s="152"/>
      <c r="D100" s="933" t="s">
        <v>2009</v>
      </c>
      <c r="E100" s="136" t="s">
        <v>220</v>
      </c>
      <c r="F100" s="136" t="s">
        <v>288</v>
      </c>
      <c r="G100" s="937" t="s">
        <v>1096</v>
      </c>
      <c r="H100" s="136" t="s">
        <v>2296</v>
      </c>
      <c r="I100" s="136" t="s">
        <v>2296</v>
      </c>
      <c r="J100" s="136" t="s">
        <v>2296</v>
      </c>
      <c r="K100" s="136" t="s">
        <v>42</v>
      </c>
      <c r="L100" s="136">
        <v>7</v>
      </c>
      <c r="M100" s="136"/>
      <c r="N100" s="139">
        <f t="shared" si="7"/>
        <v>78000</v>
      </c>
      <c r="O100" s="136">
        <v>0</v>
      </c>
      <c r="P100" s="136">
        <v>0</v>
      </c>
      <c r="Q100" s="978">
        <v>8336.95652173913</v>
      </c>
      <c r="R100" s="978">
        <v>26494.565217391304</v>
      </c>
      <c r="S100" s="978">
        <v>0</v>
      </c>
      <c r="T100" s="978">
        <v>8336.95652173913</v>
      </c>
      <c r="U100" s="978">
        <v>0</v>
      </c>
      <c r="V100" s="978">
        <v>26494.565217391304</v>
      </c>
      <c r="W100" s="978">
        <v>8336.95652173913</v>
      </c>
      <c r="X100" s="136">
        <v>0</v>
      </c>
      <c r="Y100" s="136">
        <v>0</v>
      </c>
      <c r="Z100" s="136">
        <v>0</v>
      </c>
      <c r="AA100" s="934"/>
      <c r="AB100" s="934"/>
      <c r="AC100" s="136" t="s">
        <v>2300</v>
      </c>
    </row>
    <row r="101" spans="1:29" ht="28.5" x14ac:dyDescent="0.25">
      <c r="A101" s="152" t="s">
        <v>2010</v>
      </c>
      <c r="B101" s="152"/>
      <c r="C101" s="152"/>
      <c r="D101" s="933" t="s">
        <v>2012</v>
      </c>
      <c r="E101" s="136" t="s">
        <v>220</v>
      </c>
      <c r="F101" s="136" t="s">
        <v>288</v>
      </c>
      <c r="G101" s="937" t="s">
        <v>1096</v>
      </c>
      <c r="H101" s="136" t="s">
        <v>2296</v>
      </c>
      <c r="I101" s="136" t="s">
        <v>2296</v>
      </c>
      <c r="J101" s="136" t="s">
        <v>2296</v>
      </c>
      <c r="K101" s="136" t="s">
        <v>42</v>
      </c>
      <c r="L101" s="136">
        <v>7</v>
      </c>
      <c r="M101" s="136"/>
      <c r="N101" s="139">
        <f t="shared" si="7"/>
        <v>194000</v>
      </c>
      <c r="O101" s="136">
        <v>0</v>
      </c>
      <c r="P101" s="136">
        <v>0</v>
      </c>
      <c r="Q101" s="136">
        <v>0</v>
      </c>
      <c r="R101" s="136">
        <v>20735.507246376812</v>
      </c>
      <c r="S101" s="136">
        <v>65896.739130434784</v>
      </c>
      <c r="T101" s="136">
        <v>0</v>
      </c>
      <c r="U101" s="136">
        <v>20735.507246376812</v>
      </c>
      <c r="V101" s="136">
        <v>0</v>
      </c>
      <c r="W101" s="136">
        <v>65896.739130434784</v>
      </c>
      <c r="X101" s="136">
        <v>20735.507246376812</v>
      </c>
      <c r="Y101" s="136">
        <v>0</v>
      </c>
      <c r="Z101" s="136">
        <v>0</v>
      </c>
      <c r="AA101" s="934"/>
      <c r="AB101" s="934"/>
      <c r="AC101" s="136" t="s">
        <v>2301</v>
      </c>
    </row>
    <row r="102" spans="1:29" ht="71.25" x14ac:dyDescent="0.25">
      <c r="A102" s="152" t="s">
        <v>2013</v>
      </c>
      <c r="B102" s="152"/>
      <c r="C102" s="152"/>
      <c r="D102" s="933" t="s">
        <v>2016</v>
      </c>
      <c r="E102" s="136" t="s">
        <v>220</v>
      </c>
      <c r="F102" s="136" t="s">
        <v>293</v>
      </c>
      <c r="G102" s="937" t="s">
        <v>2302</v>
      </c>
      <c r="H102" s="136" t="s">
        <v>41</v>
      </c>
      <c r="I102" s="136" t="s">
        <v>41</v>
      </c>
      <c r="J102" s="136" t="s">
        <v>41</v>
      </c>
      <c r="K102" s="136" t="s">
        <v>42</v>
      </c>
      <c r="L102" s="136">
        <v>7</v>
      </c>
      <c r="M102" s="136"/>
      <c r="N102" s="139">
        <f t="shared" si="7"/>
        <v>218428.04705882352</v>
      </c>
      <c r="O102" s="136">
        <v>23346.476044330775</v>
      </c>
      <c r="P102" s="136">
        <v>74194.309462915597</v>
      </c>
      <c r="Q102" s="136">
        <v>0</v>
      </c>
      <c r="R102" s="136">
        <v>23346.476044330775</v>
      </c>
      <c r="S102" s="136">
        <v>0</v>
      </c>
      <c r="T102" s="136">
        <v>74194.309462915597</v>
      </c>
      <c r="U102" s="136">
        <v>23346.476044330775</v>
      </c>
      <c r="V102" s="136">
        <v>0</v>
      </c>
      <c r="W102" s="136">
        <v>0</v>
      </c>
      <c r="X102" s="136">
        <v>0</v>
      </c>
      <c r="Y102" s="136">
        <v>0</v>
      </c>
      <c r="Z102" s="136">
        <v>0</v>
      </c>
      <c r="AA102" s="934"/>
      <c r="AB102" s="934"/>
      <c r="AC102" s="136"/>
    </row>
    <row r="103" spans="1:29" ht="15" x14ac:dyDescent="0.25">
      <c r="A103" s="958" t="s">
        <v>2442</v>
      </c>
      <c r="B103" s="958"/>
      <c r="C103" s="958"/>
      <c r="D103" s="975" t="s">
        <v>2016</v>
      </c>
      <c r="E103" s="963" t="s">
        <v>220</v>
      </c>
      <c r="F103" s="963" t="s">
        <v>293</v>
      </c>
      <c r="G103" s="977" t="s">
        <v>2443</v>
      </c>
      <c r="H103" s="963" t="s">
        <v>41</v>
      </c>
      <c r="I103" s="963" t="s">
        <v>41</v>
      </c>
      <c r="J103" s="963" t="s">
        <v>41</v>
      </c>
      <c r="K103" s="963" t="s">
        <v>42</v>
      </c>
      <c r="L103" s="963">
        <v>7</v>
      </c>
      <c r="M103" s="963"/>
      <c r="N103" s="963">
        <f t="shared" si="7"/>
        <v>11124.364705882354</v>
      </c>
      <c r="O103" s="963">
        <v>11124.364705882354</v>
      </c>
      <c r="P103" s="963">
        <v>0</v>
      </c>
      <c r="Q103" s="963">
        <v>0</v>
      </c>
      <c r="R103" s="963">
        <v>0</v>
      </c>
      <c r="S103" s="963">
        <v>0</v>
      </c>
      <c r="T103" s="963">
        <v>0</v>
      </c>
      <c r="U103" s="963">
        <v>0</v>
      </c>
      <c r="V103" s="963">
        <v>0</v>
      </c>
      <c r="W103" s="963">
        <v>0</v>
      </c>
      <c r="X103" s="963">
        <v>0</v>
      </c>
      <c r="Y103" s="963">
        <v>0</v>
      </c>
      <c r="Z103" s="963">
        <v>0</v>
      </c>
      <c r="AA103" s="934"/>
      <c r="AB103" s="934"/>
      <c r="AC103" s="136"/>
    </row>
    <row r="104" spans="1:29" ht="15" x14ac:dyDescent="0.25">
      <c r="A104" s="958" t="s">
        <v>2444</v>
      </c>
      <c r="B104" s="958"/>
      <c r="C104" s="958"/>
      <c r="D104" s="975" t="s">
        <v>2016</v>
      </c>
      <c r="E104" s="963" t="s">
        <v>220</v>
      </c>
      <c r="F104" s="963" t="s">
        <v>293</v>
      </c>
      <c r="G104" s="977" t="s">
        <v>2445</v>
      </c>
      <c r="H104" s="963" t="s">
        <v>41</v>
      </c>
      <c r="I104" s="963" t="s">
        <v>41</v>
      </c>
      <c r="J104" s="963" t="s">
        <v>41</v>
      </c>
      <c r="K104" s="963" t="s">
        <v>42</v>
      </c>
      <c r="L104" s="963">
        <v>7</v>
      </c>
      <c r="M104" s="963"/>
      <c r="N104" s="963">
        <f t="shared" si="7"/>
        <v>10515</v>
      </c>
      <c r="O104" s="963">
        <v>10515</v>
      </c>
      <c r="P104" s="963">
        <v>0</v>
      </c>
      <c r="Q104" s="963">
        <v>0</v>
      </c>
      <c r="R104" s="963">
        <v>0</v>
      </c>
      <c r="S104" s="963">
        <v>0</v>
      </c>
      <c r="T104" s="963">
        <v>0</v>
      </c>
      <c r="U104" s="963">
        <v>0</v>
      </c>
      <c r="V104" s="963">
        <v>0</v>
      </c>
      <c r="W104" s="963">
        <v>0</v>
      </c>
      <c r="X104" s="963">
        <v>0</v>
      </c>
      <c r="Y104" s="963">
        <v>0</v>
      </c>
      <c r="Z104" s="963">
        <v>0</v>
      </c>
      <c r="AA104" s="934"/>
      <c r="AB104" s="934"/>
      <c r="AC104" s="136"/>
    </row>
    <row r="105" spans="1:29" ht="15" x14ac:dyDescent="0.25">
      <c r="A105" s="958" t="s">
        <v>2446</v>
      </c>
      <c r="B105" s="958"/>
      <c r="C105" s="958"/>
      <c r="D105" s="975" t="s">
        <v>2016</v>
      </c>
      <c r="E105" s="963" t="s">
        <v>220</v>
      </c>
      <c r="F105" s="963" t="s">
        <v>293</v>
      </c>
      <c r="G105" s="977" t="s">
        <v>2447</v>
      </c>
      <c r="H105" s="963" t="s">
        <v>41</v>
      </c>
      <c r="I105" s="963" t="s">
        <v>41</v>
      </c>
      <c r="J105" s="963" t="s">
        <v>41</v>
      </c>
      <c r="K105" s="963" t="s">
        <v>42</v>
      </c>
      <c r="L105" s="963">
        <v>7</v>
      </c>
      <c r="M105" s="963"/>
      <c r="N105" s="963">
        <f t="shared" si="7"/>
        <v>4185.5882352941144</v>
      </c>
      <c r="O105" s="963">
        <v>4185.5882352941144</v>
      </c>
      <c r="P105" s="963">
        <v>0</v>
      </c>
      <c r="Q105" s="963">
        <v>0</v>
      </c>
      <c r="R105" s="963">
        <v>0</v>
      </c>
      <c r="S105" s="963">
        <v>0</v>
      </c>
      <c r="T105" s="963">
        <v>0</v>
      </c>
      <c r="U105" s="963">
        <v>0</v>
      </c>
      <c r="V105" s="963">
        <v>0</v>
      </c>
      <c r="W105" s="963">
        <v>0</v>
      </c>
      <c r="X105" s="963">
        <v>0</v>
      </c>
      <c r="Y105" s="963">
        <v>0</v>
      </c>
      <c r="Z105" s="963">
        <v>0</v>
      </c>
      <c r="AA105" s="934"/>
      <c r="AB105" s="934"/>
      <c r="AC105" s="136"/>
    </row>
    <row r="106" spans="1:29" ht="15" x14ac:dyDescent="0.25">
      <c r="A106" s="958" t="s">
        <v>2448</v>
      </c>
      <c r="B106" s="958"/>
      <c r="C106" s="958"/>
      <c r="D106" s="975" t="s">
        <v>2016</v>
      </c>
      <c r="E106" s="963" t="s">
        <v>220</v>
      </c>
      <c r="F106" s="963" t="s">
        <v>293</v>
      </c>
      <c r="G106" s="977" t="s">
        <v>2449</v>
      </c>
      <c r="H106" s="963" t="s">
        <v>41</v>
      </c>
      <c r="I106" s="963" t="s">
        <v>41</v>
      </c>
      <c r="J106" s="963" t="s">
        <v>41</v>
      </c>
      <c r="K106" s="963" t="s">
        <v>42</v>
      </c>
      <c r="L106" s="963">
        <v>7</v>
      </c>
      <c r="M106" s="963"/>
      <c r="N106" s="963">
        <f t="shared" si="7"/>
        <v>7882.3529411764712</v>
      </c>
      <c r="O106" s="963">
        <v>7882.3529411764712</v>
      </c>
      <c r="P106" s="963">
        <v>0</v>
      </c>
      <c r="Q106" s="963">
        <v>0</v>
      </c>
      <c r="R106" s="963">
        <v>0</v>
      </c>
      <c r="S106" s="963">
        <v>0</v>
      </c>
      <c r="T106" s="963">
        <v>0</v>
      </c>
      <c r="U106" s="963">
        <v>0</v>
      </c>
      <c r="V106" s="963">
        <v>0</v>
      </c>
      <c r="W106" s="963">
        <v>0</v>
      </c>
      <c r="X106" s="963">
        <v>0</v>
      </c>
      <c r="Y106" s="963">
        <v>0</v>
      </c>
      <c r="Z106" s="963">
        <v>0</v>
      </c>
      <c r="AA106" s="934"/>
      <c r="AB106" s="934"/>
      <c r="AC106" s="136"/>
    </row>
    <row r="107" spans="1:29" ht="15" x14ac:dyDescent="0.25">
      <c r="A107" s="958" t="s">
        <v>2450</v>
      </c>
      <c r="B107" s="958"/>
      <c r="C107" s="958"/>
      <c r="D107" s="975" t="s">
        <v>2016</v>
      </c>
      <c r="E107" s="963" t="s">
        <v>220</v>
      </c>
      <c r="F107" s="963" t="s">
        <v>293</v>
      </c>
      <c r="G107" s="977" t="s">
        <v>2295</v>
      </c>
      <c r="H107" s="963" t="s">
        <v>41</v>
      </c>
      <c r="I107" s="963" t="s">
        <v>41</v>
      </c>
      <c r="J107" s="963" t="s">
        <v>41</v>
      </c>
      <c r="K107" s="963" t="s">
        <v>42</v>
      </c>
      <c r="L107" s="963">
        <v>7</v>
      </c>
      <c r="M107" s="963"/>
      <c r="N107" s="963">
        <f t="shared" si="7"/>
        <v>2246.4705882352941</v>
      </c>
      <c r="O107" s="963">
        <v>2246.4705882352941</v>
      </c>
      <c r="P107" s="963">
        <v>0</v>
      </c>
      <c r="Q107" s="963">
        <v>0</v>
      </c>
      <c r="R107" s="963">
        <v>0</v>
      </c>
      <c r="S107" s="963">
        <v>0</v>
      </c>
      <c r="T107" s="963">
        <v>0</v>
      </c>
      <c r="U107" s="963">
        <v>0</v>
      </c>
      <c r="V107" s="963">
        <v>0</v>
      </c>
      <c r="W107" s="963">
        <v>0</v>
      </c>
      <c r="X107" s="963">
        <v>0</v>
      </c>
      <c r="Y107" s="963">
        <v>0</v>
      </c>
      <c r="Z107" s="963">
        <v>0</v>
      </c>
      <c r="AA107" s="934"/>
      <c r="AB107" s="934"/>
      <c r="AC107" s="136"/>
    </row>
    <row r="108" spans="1:29" ht="15" x14ac:dyDescent="0.25">
      <c r="A108" s="958" t="s">
        <v>2451</v>
      </c>
      <c r="B108" s="958"/>
      <c r="C108" s="958"/>
      <c r="D108" s="975" t="s">
        <v>2016</v>
      </c>
      <c r="E108" s="963" t="s">
        <v>220</v>
      </c>
      <c r="F108" s="963" t="s">
        <v>293</v>
      </c>
      <c r="G108" s="977" t="s">
        <v>2438</v>
      </c>
      <c r="H108" s="963" t="s">
        <v>41</v>
      </c>
      <c r="I108" s="963" t="s">
        <v>41</v>
      </c>
      <c r="J108" s="963" t="s">
        <v>41</v>
      </c>
      <c r="K108" s="963" t="s">
        <v>42</v>
      </c>
      <c r="L108" s="963">
        <v>7</v>
      </c>
      <c r="M108" s="963"/>
      <c r="N108" s="963">
        <f t="shared" si="7"/>
        <v>50470</v>
      </c>
      <c r="O108" s="963">
        <v>50470</v>
      </c>
      <c r="P108" s="963">
        <v>0</v>
      </c>
      <c r="Q108" s="963">
        <v>0</v>
      </c>
      <c r="R108" s="963">
        <v>0</v>
      </c>
      <c r="S108" s="963">
        <v>0</v>
      </c>
      <c r="T108" s="963">
        <v>0</v>
      </c>
      <c r="U108" s="963">
        <v>0</v>
      </c>
      <c r="V108" s="963">
        <v>0</v>
      </c>
      <c r="W108" s="963">
        <v>0</v>
      </c>
      <c r="X108" s="963">
        <v>0</v>
      </c>
      <c r="Y108" s="963">
        <v>0</v>
      </c>
      <c r="Z108" s="963">
        <v>0</v>
      </c>
      <c r="AA108" s="934"/>
      <c r="AB108" s="934"/>
      <c r="AC108" s="136"/>
    </row>
    <row r="109" spans="1:29" ht="15" x14ac:dyDescent="0.25">
      <c r="A109" s="958" t="s">
        <v>2452</v>
      </c>
      <c r="B109" s="958"/>
      <c r="C109" s="958"/>
      <c r="D109" s="975" t="s">
        <v>2016</v>
      </c>
      <c r="E109" s="963" t="s">
        <v>220</v>
      </c>
      <c r="F109" s="963" t="s">
        <v>293</v>
      </c>
      <c r="G109" s="977" t="s">
        <v>2453</v>
      </c>
      <c r="H109" s="963" t="s">
        <v>41</v>
      </c>
      <c r="I109" s="963" t="s">
        <v>41</v>
      </c>
      <c r="J109" s="963" t="s">
        <v>41</v>
      </c>
      <c r="K109" s="963" t="s">
        <v>42</v>
      </c>
      <c r="L109" s="963">
        <v>7</v>
      </c>
      <c r="M109" s="963"/>
      <c r="N109" s="963">
        <f t="shared" si="7"/>
        <v>0</v>
      </c>
      <c r="O109" s="963">
        <v>0</v>
      </c>
      <c r="P109" s="963">
        <v>0</v>
      </c>
      <c r="Q109" s="963">
        <v>0</v>
      </c>
      <c r="R109" s="963">
        <v>0</v>
      </c>
      <c r="S109" s="963">
        <v>0</v>
      </c>
      <c r="T109" s="963">
        <v>0</v>
      </c>
      <c r="U109" s="963">
        <v>0</v>
      </c>
      <c r="V109" s="963">
        <v>0</v>
      </c>
      <c r="W109" s="963">
        <v>0</v>
      </c>
      <c r="X109" s="963">
        <v>0</v>
      </c>
      <c r="Y109" s="963">
        <v>0</v>
      </c>
      <c r="Z109" s="963">
        <v>0</v>
      </c>
      <c r="AA109" s="934"/>
      <c r="AB109" s="934"/>
      <c r="AC109" s="136"/>
    </row>
    <row r="110" spans="1:29" ht="15" x14ac:dyDescent="0.25">
      <c r="A110" s="958" t="s">
        <v>2454</v>
      </c>
      <c r="B110" s="958"/>
      <c r="C110" s="958"/>
      <c r="D110" s="975" t="s">
        <v>2016</v>
      </c>
      <c r="E110" s="963" t="s">
        <v>220</v>
      </c>
      <c r="F110" s="963" t="s">
        <v>293</v>
      </c>
      <c r="G110" s="977" t="s">
        <v>2455</v>
      </c>
      <c r="H110" s="963" t="s">
        <v>41</v>
      </c>
      <c r="I110" s="963" t="s">
        <v>41</v>
      </c>
      <c r="J110" s="963" t="s">
        <v>41</v>
      </c>
      <c r="K110" s="963" t="s">
        <v>42</v>
      </c>
      <c r="L110" s="963">
        <v>7</v>
      </c>
      <c r="M110" s="963"/>
      <c r="N110" s="963">
        <f t="shared" si="7"/>
        <v>0</v>
      </c>
      <c r="O110" s="963">
        <v>0</v>
      </c>
      <c r="P110" s="963">
        <v>0</v>
      </c>
      <c r="Q110" s="963">
        <v>0</v>
      </c>
      <c r="R110" s="963">
        <v>0</v>
      </c>
      <c r="S110" s="963">
        <v>0</v>
      </c>
      <c r="T110" s="963">
        <v>0</v>
      </c>
      <c r="U110" s="963">
        <v>0</v>
      </c>
      <c r="V110" s="963">
        <v>0</v>
      </c>
      <c r="W110" s="963">
        <v>0</v>
      </c>
      <c r="X110" s="963">
        <v>0</v>
      </c>
      <c r="Y110" s="963">
        <v>0</v>
      </c>
      <c r="Z110" s="963">
        <v>0</v>
      </c>
      <c r="AA110" s="934"/>
      <c r="AB110" s="934"/>
      <c r="AC110" s="136"/>
    </row>
    <row r="111" spans="1:29" ht="28.5" x14ac:dyDescent="0.25">
      <c r="A111" s="958" t="s">
        <v>2456</v>
      </c>
      <c r="B111" s="958"/>
      <c r="C111" s="958"/>
      <c r="D111" s="975" t="s">
        <v>2016</v>
      </c>
      <c r="E111" s="963" t="s">
        <v>220</v>
      </c>
      <c r="F111" s="963" t="s">
        <v>293</v>
      </c>
      <c r="G111" s="977" t="s">
        <v>2457</v>
      </c>
      <c r="H111" s="963" t="s">
        <v>41</v>
      </c>
      <c r="I111" s="963" t="s">
        <v>41</v>
      </c>
      <c r="J111" s="963" t="s">
        <v>41</v>
      </c>
      <c r="K111" s="963" t="s">
        <v>42</v>
      </c>
      <c r="L111" s="963">
        <v>7</v>
      </c>
      <c r="M111" s="963"/>
      <c r="N111" s="963">
        <f t="shared" si="7"/>
        <v>218428.04705882352</v>
      </c>
      <c r="O111" s="963">
        <v>23346.476044330775</v>
      </c>
      <c r="P111" s="963">
        <v>74194.309462915597</v>
      </c>
      <c r="Q111" s="963">
        <v>0</v>
      </c>
      <c r="R111" s="963">
        <v>23346.476044330775</v>
      </c>
      <c r="S111" s="963">
        <v>0</v>
      </c>
      <c r="T111" s="963">
        <v>74194.309462915597</v>
      </c>
      <c r="U111" s="963">
        <v>23346.476044330775</v>
      </c>
      <c r="V111" s="963">
        <v>0</v>
      </c>
      <c r="W111" s="963">
        <v>0</v>
      </c>
      <c r="X111" s="963">
        <v>0</v>
      </c>
      <c r="Y111" s="963">
        <v>0</v>
      </c>
      <c r="Z111" s="963">
        <v>0</v>
      </c>
      <c r="AA111" s="934"/>
      <c r="AB111" s="934"/>
      <c r="AC111" s="136"/>
    </row>
    <row r="112" spans="1:29" ht="99.75" x14ac:dyDescent="0.25">
      <c r="A112" s="152" t="s">
        <v>2017</v>
      </c>
      <c r="B112" s="152"/>
      <c r="C112" s="152"/>
      <c r="D112" s="933" t="s">
        <v>1389</v>
      </c>
      <c r="E112" s="136" t="s">
        <v>220</v>
      </c>
      <c r="F112" s="136" t="s">
        <v>291</v>
      </c>
      <c r="G112" s="938" t="s">
        <v>2303</v>
      </c>
      <c r="H112" s="136" t="s">
        <v>41</v>
      </c>
      <c r="I112" s="136" t="s">
        <v>41</v>
      </c>
      <c r="J112" s="136" t="s">
        <v>48</v>
      </c>
      <c r="K112" s="136" t="s">
        <v>49</v>
      </c>
      <c r="L112" s="136">
        <v>5</v>
      </c>
      <c r="M112" s="136"/>
      <c r="N112" s="136">
        <f t="shared" si="7"/>
        <v>538584.11764705868</v>
      </c>
      <c r="O112" s="136">
        <v>0</v>
      </c>
      <c r="P112" s="136">
        <v>0</v>
      </c>
      <c r="Q112" s="136">
        <v>0</v>
      </c>
      <c r="R112" s="136">
        <v>0</v>
      </c>
      <c r="S112" s="136">
        <v>0</v>
      </c>
      <c r="T112" s="136">
        <v>0</v>
      </c>
      <c r="U112" s="136">
        <v>0</v>
      </c>
      <c r="V112" s="136">
        <v>0</v>
      </c>
      <c r="W112" s="136">
        <v>11624.117647058823</v>
      </c>
      <c r="X112" s="136">
        <v>464964.70588235289</v>
      </c>
      <c r="Y112" s="136">
        <v>11624.117647058823</v>
      </c>
      <c r="Z112" s="136">
        <v>50371.176470588238</v>
      </c>
      <c r="AA112" s="934"/>
      <c r="AB112" s="934"/>
      <c r="AC112" s="136" t="s">
        <v>2304</v>
      </c>
    </row>
    <row r="113" spans="1:29" ht="15" x14ac:dyDescent="0.25">
      <c r="A113" s="152"/>
      <c r="B113" s="152"/>
      <c r="C113" s="152"/>
      <c r="D113" s="933"/>
      <c r="E113" s="136"/>
      <c r="F113" s="136"/>
      <c r="G113" s="938"/>
      <c r="H113" s="136"/>
      <c r="I113" s="136"/>
      <c r="J113" s="136"/>
      <c r="K113" s="136"/>
      <c r="L113" s="136"/>
      <c r="M113" s="136"/>
      <c r="N113" s="136"/>
      <c r="O113" s="136"/>
      <c r="P113" s="136"/>
      <c r="Q113" s="136"/>
      <c r="R113" s="136"/>
      <c r="S113" s="136"/>
      <c r="T113" s="136"/>
      <c r="U113" s="136"/>
      <c r="V113" s="136"/>
      <c r="W113" s="136"/>
      <c r="X113" s="136"/>
      <c r="Y113" s="136"/>
      <c r="Z113" s="136"/>
      <c r="AA113" s="934"/>
      <c r="AB113" s="934"/>
      <c r="AC113" s="136"/>
    </row>
    <row r="114" spans="1:29" ht="28.5" x14ac:dyDescent="0.25">
      <c r="A114" s="152" t="s">
        <v>2019</v>
      </c>
      <c r="B114" s="152"/>
      <c r="C114" s="152"/>
      <c r="D114" s="933" t="s">
        <v>2021</v>
      </c>
      <c r="E114" s="136" t="s">
        <v>220</v>
      </c>
      <c r="F114" s="136" t="s">
        <v>288</v>
      </c>
      <c r="G114" s="939" t="s">
        <v>1096</v>
      </c>
      <c r="H114" s="136" t="s">
        <v>2296</v>
      </c>
      <c r="I114" s="136" t="s">
        <v>2296</v>
      </c>
      <c r="J114" s="136" t="s">
        <v>2296</v>
      </c>
      <c r="K114" s="136" t="s">
        <v>42</v>
      </c>
      <c r="L114" s="136">
        <v>12</v>
      </c>
      <c r="M114" s="136"/>
      <c r="N114" s="136">
        <f t="shared" si="7"/>
        <v>109999.55746729724</v>
      </c>
      <c r="O114" s="136">
        <v>0</v>
      </c>
      <c r="P114" s="136">
        <v>0</v>
      </c>
      <c r="Q114" s="978">
        <v>6443.2330363187402</v>
      </c>
      <c r="R114" s="978">
        <v>16409.943411930639</v>
      </c>
      <c r="S114" s="978">
        <v>6443.2330363187402</v>
      </c>
      <c r="T114" s="978">
        <v>16409.943411930639</v>
      </c>
      <c r="U114" s="978">
        <v>7536.7434673468151</v>
      </c>
      <c r="V114" s="978">
        <v>8536.6683085284931</v>
      </c>
      <c r="W114" s="978">
        <v>9505.0622431973516</v>
      </c>
      <c r="X114" s="978">
        <v>8536.6683085284931</v>
      </c>
      <c r="Y114" s="978">
        <v>9505.0622431973516</v>
      </c>
      <c r="Z114" s="978">
        <v>20673</v>
      </c>
      <c r="AA114" s="934"/>
      <c r="AB114" s="934"/>
      <c r="AC114" s="136"/>
    </row>
    <row r="115" spans="1:29" ht="28.5" x14ac:dyDescent="0.25">
      <c r="A115" s="152" t="s">
        <v>2022</v>
      </c>
      <c r="B115" s="152"/>
      <c r="C115" s="152"/>
      <c r="D115" s="933" t="s">
        <v>2025</v>
      </c>
      <c r="E115" s="136" t="s">
        <v>220</v>
      </c>
      <c r="F115" s="136" t="s">
        <v>294</v>
      </c>
      <c r="G115" s="938" t="s">
        <v>2305</v>
      </c>
      <c r="H115" s="136" t="s">
        <v>41</v>
      </c>
      <c r="I115" s="136" t="s">
        <v>41</v>
      </c>
      <c r="J115" s="136" t="s">
        <v>2296</v>
      </c>
      <c r="K115" s="136" t="s">
        <v>42</v>
      </c>
      <c r="L115" s="136">
        <v>12</v>
      </c>
      <c r="M115" s="136"/>
      <c r="N115" s="136">
        <f t="shared" si="7"/>
        <v>185000</v>
      </c>
      <c r="O115" s="136">
        <v>10836.346470172426</v>
      </c>
      <c r="P115" s="136">
        <v>27598.54119279244</v>
      </c>
      <c r="Q115" s="136">
        <v>10836.346470172426</v>
      </c>
      <c r="R115" s="136">
        <v>27598.54119279244</v>
      </c>
      <c r="S115" s="136">
        <v>12675.43219508328</v>
      </c>
      <c r="T115" s="136">
        <v>14357.123973434285</v>
      </c>
      <c r="U115" s="136">
        <v>15985.786499922817</v>
      </c>
      <c r="V115" s="136">
        <v>14357.123973434285</v>
      </c>
      <c r="W115" s="136">
        <v>15985.786499922817</v>
      </c>
      <c r="X115" s="136">
        <v>11046.769668594747</v>
      </c>
      <c r="Y115" s="136">
        <v>12675.43219508328</v>
      </c>
      <c r="Z115" s="136">
        <v>11046.769668594747</v>
      </c>
      <c r="AA115" s="934"/>
      <c r="AB115" s="934"/>
      <c r="AC115" s="136"/>
    </row>
    <row r="116" spans="1:29" ht="15" x14ac:dyDescent="0.25">
      <c r="A116" s="152" t="s">
        <v>2027</v>
      </c>
      <c r="B116" s="152"/>
      <c r="C116" s="152"/>
      <c r="D116" s="933" t="s">
        <v>2306</v>
      </c>
      <c r="E116" s="136" t="s">
        <v>220</v>
      </c>
      <c r="F116" s="136" t="s">
        <v>291</v>
      </c>
      <c r="G116" s="939" t="s">
        <v>1096</v>
      </c>
      <c r="H116" s="136" t="s">
        <v>41</v>
      </c>
      <c r="I116" s="136" t="s">
        <v>41</v>
      </c>
      <c r="J116" s="136" t="s">
        <v>2296</v>
      </c>
      <c r="K116" s="136" t="s">
        <v>42</v>
      </c>
      <c r="L116" s="136">
        <v>12</v>
      </c>
      <c r="M116" s="136"/>
      <c r="N116" s="136">
        <f t="shared" si="7"/>
        <v>27999.669173493847</v>
      </c>
      <c r="O116" s="136">
        <v>0</v>
      </c>
      <c r="P116" s="136">
        <v>0</v>
      </c>
      <c r="Q116" s="978">
        <v>1640.0956819720429</v>
      </c>
      <c r="R116" s="978">
        <v>4177.076504855072</v>
      </c>
      <c r="S116" s="978">
        <v>1640.0956819720429</v>
      </c>
      <c r="T116" s="978">
        <v>4177.076504855072</v>
      </c>
      <c r="U116" s="978">
        <v>1918.4437916882803</v>
      </c>
      <c r="V116" s="978">
        <v>2172.9701148981621</v>
      </c>
      <c r="W116" s="978">
        <v>2419.4703891775075</v>
      </c>
      <c r="X116" s="978">
        <v>2172.9701148981621</v>
      </c>
      <c r="Y116" s="978">
        <v>2419.4703891775075</v>
      </c>
      <c r="Z116" s="978">
        <v>5262</v>
      </c>
      <c r="AA116" s="934"/>
      <c r="AB116" s="934"/>
      <c r="AC116" s="136"/>
    </row>
    <row r="117" spans="1:29" ht="42.75" x14ac:dyDescent="0.25">
      <c r="A117" s="152" t="s">
        <v>2028</v>
      </c>
      <c r="B117" s="152"/>
      <c r="C117" s="152"/>
      <c r="D117" s="933" t="s">
        <v>2031</v>
      </c>
      <c r="E117" s="136" t="s">
        <v>220</v>
      </c>
      <c r="F117" s="136" t="s">
        <v>294</v>
      </c>
      <c r="G117" s="938" t="s">
        <v>2307</v>
      </c>
      <c r="H117" s="136" t="s">
        <v>41</v>
      </c>
      <c r="I117" s="136" t="s">
        <v>41</v>
      </c>
      <c r="J117" s="136" t="s">
        <v>2296</v>
      </c>
      <c r="K117" s="136" t="s">
        <v>42</v>
      </c>
      <c r="L117" s="136">
        <v>12</v>
      </c>
      <c r="M117" s="136"/>
      <c r="N117" s="136">
        <f t="shared" si="7"/>
        <v>66770.07897227857</v>
      </c>
      <c r="O117" s="136">
        <v>3911.0470788345137</v>
      </c>
      <c r="P117" s="136">
        <v>9960.847432229375</v>
      </c>
      <c r="Q117" s="136">
        <v>3911.0470788345137</v>
      </c>
      <c r="R117" s="136">
        <v>9960.847432229375</v>
      </c>
      <c r="S117" s="136">
        <v>4574.808695532286</v>
      </c>
      <c r="T117" s="136">
        <v>5181.7637920054112</v>
      </c>
      <c r="U117" s="136">
        <v>5769.5796055882765</v>
      </c>
      <c r="V117" s="136">
        <v>5181.7637920054112</v>
      </c>
      <c r="W117" s="136">
        <v>5769.5796055882765</v>
      </c>
      <c r="X117" s="136">
        <v>3986.9928819494203</v>
      </c>
      <c r="Y117" s="136">
        <v>4574.808695532286</v>
      </c>
      <c r="Z117" s="136">
        <v>3986.9928819494203</v>
      </c>
      <c r="AA117" s="934"/>
      <c r="AB117" s="934"/>
      <c r="AC117" s="136"/>
    </row>
    <row r="118" spans="1:29" ht="15" x14ac:dyDescent="0.25">
      <c r="A118" s="152"/>
      <c r="B118" s="152"/>
      <c r="C118" s="152"/>
      <c r="D118" s="933"/>
      <c r="E118" s="136"/>
      <c r="F118" s="136"/>
      <c r="G118" s="938"/>
      <c r="H118" s="136"/>
      <c r="I118" s="136"/>
      <c r="J118" s="136"/>
      <c r="K118" s="136"/>
      <c r="L118" s="136"/>
      <c r="M118" s="136"/>
      <c r="N118" s="136"/>
      <c r="O118" s="136"/>
      <c r="P118" s="136"/>
      <c r="Q118" s="136"/>
      <c r="R118" s="136"/>
      <c r="S118" s="136"/>
      <c r="T118" s="136"/>
      <c r="U118" s="136"/>
      <c r="V118" s="136"/>
      <c r="W118" s="136"/>
      <c r="X118" s="136"/>
      <c r="Y118" s="136"/>
      <c r="Z118" s="136"/>
      <c r="AA118" s="934"/>
      <c r="AB118" s="934"/>
      <c r="AC118" s="136"/>
    </row>
    <row r="119" spans="1:29" ht="28.5" x14ac:dyDescent="0.25">
      <c r="A119" s="152" t="s">
        <v>2032</v>
      </c>
      <c r="B119" s="152"/>
      <c r="C119" s="152"/>
      <c r="D119" s="933" t="s">
        <v>2034</v>
      </c>
      <c r="E119" s="136" t="s">
        <v>220</v>
      </c>
      <c r="F119" s="136" t="s">
        <v>294</v>
      </c>
      <c r="G119" s="136" t="s">
        <v>2308</v>
      </c>
      <c r="H119" s="136" t="s">
        <v>41</v>
      </c>
      <c r="I119" s="136" t="s">
        <v>41</v>
      </c>
      <c r="J119" s="136" t="s">
        <v>2296</v>
      </c>
      <c r="K119" s="136" t="s">
        <v>42</v>
      </c>
      <c r="L119" s="136">
        <v>12</v>
      </c>
      <c r="M119" s="136"/>
      <c r="N119" s="136">
        <f t="shared" ref="N119:N120" si="8">SUM(O119:Z119)</f>
        <v>70588.235294117636</v>
      </c>
      <c r="O119" s="136">
        <v>5882.3529411764703</v>
      </c>
      <c r="P119" s="136">
        <v>5882.3529411764703</v>
      </c>
      <c r="Q119" s="136">
        <v>5882.3529411764703</v>
      </c>
      <c r="R119" s="136">
        <v>5882.3529411764703</v>
      </c>
      <c r="S119" s="136">
        <v>5882.3529411764703</v>
      </c>
      <c r="T119" s="136">
        <v>5882.3529411764703</v>
      </c>
      <c r="U119" s="136">
        <v>5882.3529411764703</v>
      </c>
      <c r="V119" s="136">
        <v>5882.3529411764703</v>
      </c>
      <c r="W119" s="136">
        <v>5882.3529411764703</v>
      </c>
      <c r="X119" s="136">
        <v>5882.3529411764703</v>
      </c>
      <c r="Y119" s="136">
        <v>5882.3529411764703</v>
      </c>
      <c r="Z119" s="136">
        <v>5882.3529411764703</v>
      </c>
      <c r="AA119" s="934"/>
      <c r="AB119" s="934"/>
      <c r="AC119" s="136"/>
    </row>
    <row r="120" spans="1:29" ht="15" x14ac:dyDescent="0.25">
      <c r="A120" s="93"/>
      <c r="B120" s="93"/>
      <c r="C120" s="93"/>
      <c r="D120" s="888"/>
      <c r="E120" s="11"/>
      <c r="F120" s="11"/>
      <c r="G120" s="11"/>
      <c r="H120" s="11"/>
      <c r="I120" s="11"/>
      <c r="J120" s="11"/>
      <c r="K120" s="11"/>
      <c r="L120" s="11"/>
      <c r="M120" s="11"/>
      <c r="N120" s="137">
        <f t="shared" si="8"/>
        <v>0</v>
      </c>
      <c r="O120" s="11"/>
      <c r="P120" s="11"/>
      <c r="Q120" s="11"/>
      <c r="R120" s="11"/>
      <c r="S120" s="11"/>
      <c r="T120" s="11"/>
      <c r="U120" s="11"/>
      <c r="V120" s="11"/>
      <c r="W120" s="11"/>
      <c r="X120" s="11"/>
      <c r="Y120" s="11"/>
      <c r="Z120" s="11"/>
      <c r="AC120" s="11"/>
    </row>
    <row r="121" spans="1:29" s="35" customFormat="1" ht="22.5" customHeight="1" x14ac:dyDescent="0.25">
      <c r="A121" s="33"/>
      <c r="B121" s="34"/>
      <c r="C121" s="34"/>
      <c r="D121" s="34"/>
      <c r="E121" s="50"/>
      <c r="F121" s="50"/>
      <c r="G121" s="50"/>
      <c r="H121" s="50"/>
      <c r="I121" s="50"/>
      <c r="J121" s="51" t="s">
        <v>20</v>
      </c>
      <c r="K121" s="50"/>
      <c r="L121" s="32">
        <f>SUM(L120:L120)</f>
        <v>0</v>
      </c>
      <c r="M121" s="32">
        <f>SUM(M120:M120)</f>
        <v>0</v>
      </c>
      <c r="N121" s="32">
        <f>N92+N95+N96+N97+N99+N100+N101+N102+N112+N114+N115+N116+N117+N119</f>
        <v>5690899.4467895385</v>
      </c>
      <c r="O121" s="32">
        <f>O92+O95+O96+O97+O99+O100+O101+O102+O112+O114+O115+O116+O117+O119</f>
        <v>562830.55723187106</v>
      </c>
      <c r="P121" s="32">
        <f t="shared" ref="P121:Z121" si="9">P92+P95+P96+P97+P99+P100+P101+P102+P112+P114+P115+P116+P117+P119</f>
        <v>905451.02937523497</v>
      </c>
      <c r="Q121" s="32">
        <f t="shared" si="9"/>
        <v>413557.09447531129</v>
      </c>
      <c r="R121" s="32">
        <f t="shared" si="9"/>
        <v>609341.99762961641</v>
      </c>
      <c r="S121" s="32">
        <f t="shared" si="9"/>
        <v>568760.90089620382</v>
      </c>
      <c r="T121" s="32">
        <f t="shared" si="9"/>
        <v>842172.74024829548</v>
      </c>
      <c r="U121" s="32">
        <f t="shared" si="9"/>
        <v>410543.6360584934</v>
      </c>
      <c r="V121" s="32">
        <f t="shared" si="9"/>
        <v>399199.86003370862</v>
      </c>
      <c r="W121" s="32">
        <f t="shared" si="9"/>
        <v>317812.12772339315</v>
      </c>
      <c r="X121" s="32">
        <f t="shared" si="9"/>
        <v>517325.967043877</v>
      </c>
      <c r="Y121" s="32">
        <f t="shared" si="9"/>
        <v>46681.244111225715</v>
      </c>
      <c r="Z121" s="32">
        <f t="shared" si="9"/>
        <v>97222.291962308882</v>
      </c>
    </row>
    <row r="122" spans="1:29" ht="18" x14ac:dyDescent="0.25">
      <c r="A122" s="30" t="str">
        <f>CONCATENATE(B19," ",C19)</f>
        <v>Objective 3 Permits Pre-construcción</v>
      </c>
      <c r="B122" s="30"/>
      <c r="C122" s="31"/>
      <c r="D122" s="31"/>
      <c r="E122" s="29"/>
      <c r="F122" s="29"/>
      <c r="G122" s="29"/>
      <c r="H122" s="29"/>
      <c r="I122" s="29"/>
      <c r="J122" s="29"/>
      <c r="K122" s="29"/>
      <c r="L122" s="29"/>
      <c r="M122" s="29"/>
      <c r="N122" s="29"/>
      <c r="O122" s="29" t="s">
        <v>5</v>
      </c>
      <c r="P122" s="29"/>
      <c r="Q122" s="29"/>
      <c r="R122" s="29"/>
      <c r="S122" s="29"/>
      <c r="T122" s="29"/>
      <c r="U122" s="29"/>
      <c r="V122" s="29"/>
      <c r="W122" s="29"/>
      <c r="X122" s="29"/>
      <c r="Y122" s="29"/>
      <c r="Z122" s="29"/>
    </row>
    <row r="123" spans="1:29" ht="60" x14ac:dyDescent="0.25">
      <c r="A123" s="92" t="s">
        <v>261</v>
      </c>
      <c r="B123" s="92" t="s">
        <v>13</v>
      </c>
      <c r="C123" s="92" t="s">
        <v>14</v>
      </c>
      <c r="D123" s="133" t="s">
        <v>286</v>
      </c>
      <c r="E123" s="32" t="s">
        <v>16</v>
      </c>
      <c r="F123" s="32" t="s">
        <v>295</v>
      </c>
      <c r="G123" s="32" t="s">
        <v>39</v>
      </c>
      <c r="H123" s="32" t="s">
        <v>297</v>
      </c>
      <c r="I123" s="32" t="s">
        <v>298</v>
      </c>
      <c r="J123" s="32" t="s">
        <v>299</v>
      </c>
      <c r="K123" s="32" t="s">
        <v>300</v>
      </c>
      <c r="L123" s="32" t="s">
        <v>17</v>
      </c>
      <c r="M123" s="32" t="s">
        <v>18</v>
      </c>
      <c r="N123" s="32" t="s">
        <v>19</v>
      </c>
      <c r="O123" s="66">
        <v>43101</v>
      </c>
      <c r="P123" s="66">
        <v>43132</v>
      </c>
      <c r="Q123" s="66">
        <v>43160</v>
      </c>
      <c r="R123" s="66">
        <v>43191</v>
      </c>
      <c r="S123" s="66">
        <v>43221</v>
      </c>
      <c r="T123" s="66">
        <v>43252</v>
      </c>
      <c r="U123" s="66">
        <v>43282</v>
      </c>
      <c r="V123" s="66">
        <v>43313</v>
      </c>
      <c r="W123" s="66">
        <v>43344</v>
      </c>
      <c r="X123" s="66">
        <v>43374</v>
      </c>
      <c r="Y123" s="66">
        <v>43405</v>
      </c>
      <c r="Z123" s="66">
        <v>43435</v>
      </c>
    </row>
    <row r="124" spans="1:29" ht="15" x14ac:dyDescent="0.25">
      <c r="A124" s="93"/>
      <c r="B124" s="93" t="s">
        <v>1381</v>
      </c>
      <c r="C124" s="93" t="s">
        <v>1381</v>
      </c>
      <c r="D124" s="888"/>
      <c r="E124" s="11"/>
      <c r="F124" s="11"/>
      <c r="G124" s="11"/>
      <c r="H124" s="11"/>
      <c r="I124" s="11"/>
      <c r="J124" s="11"/>
      <c r="K124" s="11"/>
      <c r="L124" s="11"/>
      <c r="M124" s="11"/>
      <c r="N124" s="137"/>
      <c r="O124" s="11"/>
      <c r="P124" s="11"/>
      <c r="Q124" s="11"/>
      <c r="R124" s="11"/>
      <c r="S124" s="11"/>
      <c r="T124" s="11"/>
      <c r="U124" s="11"/>
      <c r="V124" s="11"/>
      <c r="W124" s="11"/>
      <c r="X124" s="11"/>
      <c r="Y124" s="11"/>
      <c r="Z124" s="11"/>
    </row>
    <row r="125" spans="1:29" ht="15" x14ac:dyDescent="0.25">
      <c r="A125" s="152" t="s">
        <v>2042</v>
      </c>
      <c r="B125" s="152"/>
      <c r="C125" s="152"/>
      <c r="D125" s="933" t="s">
        <v>2044</v>
      </c>
      <c r="E125" s="136" t="s">
        <v>2309</v>
      </c>
      <c r="F125" s="136" t="s">
        <v>288</v>
      </c>
      <c r="G125" s="939" t="s">
        <v>1096</v>
      </c>
      <c r="H125" s="136" t="s">
        <v>2296</v>
      </c>
      <c r="I125" s="136" t="s">
        <v>42</v>
      </c>
      <c r="J125" s="136" t="s">
        <v>43</v>
      </c>
      <c r="K125" s="136" t="s">
        <v>44</v>
      </c>
      <c r="L125" s="136">
        <v>10</v>
      </c>
      <c r="M125" s="136"/>
      <c r="N125" s="139">
        <f t="shared" ref="N125:N127" si="10">SUM(O125:Z125)</f>
        <v>155000</v>
      </c>
      <c r="O125" s="136">
        <v>0</v>
      </c>
      <c r="P125" s="136">
        <v>0</v>
      </c>
      <c r="Q125" s="136">
        <v>0</v>
      </c>
      <c r="R125" s="136">
        <v>23356.164383561645</v>
      </c>
      <c r="S125" s="136">
        <v>23356.164383561645</v>
      </c>
      <c r="T125" s="136">
        <v>23356.164383561645</v>
      </c>
      <c r="U125" s="136">
        <v>14155.251141552511</v>
      </c>
      <c r="V125" s="136">
        <v>14155.251141552511</v>
      </c>
      <c r="W125" s="136">
        <v>14155.251141552511</v>
      </c>
      <c r="X125" s="136">
        <v>14155.251141552511</v>
      </c>
      <c r="Y125" s="136">
        <v>14155.251141552511</v>
      </c>
      <c r="Z125" s="136">
        <v>14155.251141552511</v>
      </c>
    </row>
    <row r="126" spans="1:29" ht="15" x14ac:dyDescent="0.25">
      <c r="A126" s="152" t="s">
        <v>2045</v>
      </c>
      <c r="B126" s="152"/>
      <c r="C126" s="152"/>
      <c r="D126" s="933" t="s">
        <v>2047</v>
      </c>
      <c r="E126" s="136" t="s">
        <v>2309</v>
      </c>
      <c r="F126" s="136" t="s">
        <v>288</v>
      </c>
      <c r="G126" s="939" t="s">
        <v>1096</v>
      </c>
      <c r="H126" s="136" t="s">
        <v>2296</v>
      </c>
      <c r="I126" s="136" t="s">
        <v>42</v>
      </c>
      <c r="J126" s="136" t="s">
        <v>43</v>
      </c>
      <c r="K126" s="136" t="s">
        <v>44</v>
      </c>
      <c r="L126" s="136">
        <v>10</v>
      </c>
      <c r="M126" s="136"/>
      <c r="N126" s="139">
        <f t="shared" si="10"/>
        <v>58000</v>
      </c>
      <c r="O126" s="136">
        <v>0</v>
      </c>
      <c r="P126" s="136">
        <v>0</v>
      </c>
      <c r="Q126" s="136">
        <v>0</v>
      </c>
      <c r="R126" s="136">
        <v>8739.7260273972588</v>
      </c>
      <c r="S126" s="136">
        <v>8739.7260273972588</v>
      </c>
      <c r="T126" s="136">
        <v>8739.7260273972588</v>
      </c>
      <c r="U126" s="136">
        <v>5296.8036529680357</v>
      </c>
      <c r="V126" s="136">
        <v>5296.8036529680357</v>
      </c>
      <c r="W126" s="136">
        <v>5296.8036529680357</v>
      </c>
      <c r="X126" s="136">
        <v>5296.8036529680357</v>
      </c>
      <c r="Y126" s="136">
        <v>5296.8036529680357</v>
      </c>
      <c r="Z126" s="136">
        <v>5296.8036529680357</v>
      </c>
    </row>
    <row r="127" spans="1:29" ht="15" x14ac:dyDescent="0.25">
      <c r="A127" s="152" t="s">
        <v>2048</v>
      </c>
      <c r="B127" s="152"/>
      <c r="C127" s="152"/>
      <c r="D127" s="933" t="s">
        <v>2050</v>
      </c>
      <c r="E127" s="136" t="s">
        <v>2309</v>
      </c>
      <c r="F127" s="136" t="s">
        <v>288</v>
      </c>
      <c r="G127" s="939" t="s">
        <v>1096</v>
      </c>
      <c r="H127" s="136" t="s">
        <v>2296</v>
      </c>
      <c r="I127" s="136" t="s">
        <v>42</v>
      </c>
      <c r="J127" s="136" t="s">
        <v>43</v>
      </c>
      <c r="K127" s="136" t="s">
        <v>44</v>
      </c>
      <c r="L127" s="136">
        <v>10</v>
      </c>
      <c r="M127" s="136"/>
      <c r="N127" s="139">
        <f t="shared" si="10"/>
        <v>69853.529411764699</v>
      </c>
      <c r="O127" s="136">
        <v>0</v>
      </c>
      <c r="P127" s="136">
        <v>0</v>
      </c>
      <c r="Q127" s="136">
        <v>0</v>
      </c>
      <c r="R127" s="136">
        <v>10525.874294923447</v>
      </c>
      <c r="S127" s="136">
        <v>10525.874294923447</v>
      </c>
      <c r="T127" s="136">
        <v>10525.874294923447</v>
      </c>
      <c r="U127" s="136">
        <v>6379.3177544990585</v>
      </c>
      <c r="V127" s="136">
        <v>6379.3177544990585</v>
      </c>
      <c r="W127" s="136">
        <v>6379.3177544990585</v>
      </c>
      <c r="X127" s="136">
        <v>6379.3177544990585</v>
      </c>
      <c r="Y127" s="136">
        <v>6379.3177544990585</v>
      </c>
      <c r="Z127" s="136">
        <v>6379.3177544990585</v>
      </c>
    </row>
    <row r="128" spans="1:29" ht="15" x14ac:dyDescent="0.25">
      <c r="A128" s="93"/>
      <c r="B128" s="93"/>
      <c r="C128" s="93"/>
      <c r="D128" s="888"/>
      <c r="E128" s="11"/>
      <c r="F128" s="11"/>
      <c r="G128" s="11"/>
      <c r="H128" s="11"/>
      <c r="I128" s="11"/>
      <c r="J128" s="11"/>
      <c r="K128" s="11"/>
      <c r="L128" s="11"/>
      <c r="M128" s="11"/>
      <c r="N128" s="137"/>
      <c r="O128" s="11"/>
      <c r="P128" s="11"/>
      <c r="Q128" s="11"/>
      <c r="R128" s="11"/>
      <c r="S128" s="11"/>
      <c r="T128" s="11"/>
      <c r="U128" s="11"/>
      <c r="V128" s="11"/>
      <c r="W128" s="11"/>
      <c r="X128" s="11"/>
      <c r="Y128" s="11"/>
      <c r="Z128" s="11"/>
    </row>
    <row r="129" spans="1:27" ht="15" x14ac:dyDescent="0.25">
      <c r="A129" s="93"/>
      <c r="B129" s="93"/>
      <c r="C129" s="93"/>
      <c r="D129" s="888"/>
      <c r="E129" s="11"/>
      <c r="F129" s="11"/>
      <c r="G129" s="53"/>
      <c r="H129" s="11"/>
      <c r="I129" s="11"/>
      <c r="J129" s="11"/>
      <c r="K129" s="11"/>
      <c r="L129" s="11"/>
      <c r="M129" s="11"/>
      <c r="N129" s="137"/>
      <c r="O129" s="11"/>
      <c r="P129" s="11"/>
      <c r="Q129" s="11"/>
      <c r="R129" s="11"/>
      <c r="S129" s="11"/>
      <c r="T129" s="11"/>
      <c r="U129" s="11"/>
      <c r="V129" s="11"/>
      <c r="W129" s="11"/>
      <c r="X129" s="11"/>
      <c r="Y129" s="11"/>
      <c r="Z129" s="11"/>
    </row>
    <row r="130" spans="1:27" s="35" customFormat="1" ht="22.5" customHeight="1" x14ac:dyDescent="0.25">
      <c r="A130" s="33"/>
      <c r="B130" s="34"/>
      <c r="C130" s="34"/>
      <c r="D130" s="34"/>
      <c r="E130" s="696"/>
      <c r="F130" s="696"/>
      <c r="G130" s="696"/>
      <c r="H130" s="696"/>
      <c r="I130" s="696"/>
      <c r="J130" s="940" t="s">
        <v>20</v>
      </c>
      <c r="K130" s="696"/>
      <c r="L130" s="32">
        <f>SUM(L129:L129)</f>
        <v>0</v>
      </c>
      <c r="M130" s="32">
        <f>SUM(M129:M129)</f>
        <v>0</v>
      </c>
      <c r="N130" s="32">
        <f t="shared" ref="N130:Z130" si="11">SUM(N124:N129)</f>
        <v>282853.5294117647</v>
      </c>
      <c r="O130" s="32">
        <f t="shared" si="11"/>
        <v>0</v>
      </c>
      <c r="P130" s="32">
        <f t="shared" si="11"/>
        <v>0</v>
      </c>
      <c r="Q130" s="32">
        <f t="shared" si="11"/>
        <v>0</v>
      </c>
      <c r="R130" s="32">
        <f t="shared" si="11"/>
        <v>42621.76470588235</v>
      </c>
      <c r="S130" s="32">
        <f t="shared" si="11"/>
        <v>42621.76470588235</v>
      </c>
      <c r="T130" s="32">
        <f t="shared" si="11"/>
        <v>42621.76470588235</v>
      </c>
      <c r="U130" s="32">
        <f t="shared" si="11"/>
        <v>25831.372549019605</v>
      </c>
      <c r="V130" s="32">
        <f t="shared" si="11"/>
        <v>25831.372549019605</v>
      </c>
      <c r="W130" s="32">
        <f t="shared" si="11"/>
        <v>25831.372549019605</v>
      </c>
      <c r="X130" s="32">
        <f t="shared" si="11"/>
        <v>25831.372549019605</v>
      </c>
      <c r="Y130" s="32">
        <f t="shared" si="11"/>
        <v>25831.372549019605</v>
      </c>
      <c r="Z130" s="32">
        <f t="shared" si="11"/>
        <v>25831.372549019605</v>
      </c>
    </row>
    <row r="131" spans="1:27" ht="18" hidden="1" customHeight="1" outlineLevel="1" x14ac:dyDescent="0.25">
      <c r="A131" s="941" t="str">
        <f>CONCATENATE(B21," ",C21)</f>
        <v xml:space="preserve"> </v>
      </c>
      <c r="B131" s="941"/>
      <c r="C131" s="942"/>
      <c r="D131" s="942"/>
      <c r="E131" s="685"/>
      <c r="F131" s="685"/>
      <c r="G131" s="685"/>
      <c r="H131" s="685"/>
      <c r="I131" s="685"/>
      <c r="J131" s="685"/>
      <c r="K131" s="685"/>
      <c r="L131" s="685"/>
      <c r="M131" s="685"/>
      <c r="N131" s="685"/>
      <c r="O131" s="685" t="s">
        <v>5</v>
      </c>
      <c r="P131" s="685"/>
      <c r="Q131" s="685"/>
      <c r="R131" s="685"/>
      <c r="S131" s="685"/>
      <c r="T131" s="685"/>
      <c r="U131" s="685"/>
      <c r="V131" s="685"/>
      <c r="W131" s="685"/>
      <c r="X131" s="685"/>
      <c r="Y131" s="685"/>
      <c r="Z131" s="685"/>
    </row>
    <row r="132" spans="1:27" ht="41.45" hidden="1" customHeight="1" outlineLevel="1" x14ac:dyDescent="0.25">
      <c r="A132" s="92" t="s">
        <v>261</v>
      </c>
      <c r="B132" s="92" t="s">
        <v>13</v>
      </c>
      <c r="C132" s="92" t="s">
        <v>14</v>
      </c>
      <c r="D132" s="133" t="s">
        <v>286</v>
      </c>
      <c r="E132" s="32" t="s">
        <v>16</v>
      </c>
      <c r="F132" s="32" t="s">
        <v>295</v>
      </c>
      <c r="G132" s="32" t="s">
        <v>39</v>
      </c>
      <c r="H132" s="32" t="s">
        <v>297</v>
      </c>
      <c r="I132" s="32" t="s">
        <v>298</v>
      </c>
      <c r="J132" s="32" t="s">
        <v>299</v>
      </c>
      <c r="K132" s="32" t="s">
        <v>300</v>
      </c>
      <c r="L132" s="32" t="s">
        <v>17</v>
      </c>
      <c r="M132" s="32" t="s">
        <v>18</v>
      </c>
      <c r="N132" s="32" t="s">
        <v>19</v>
      </c>
      <c r="O132" s="66">
        <v>43101</v>
      </c>
      <c r="P132" s="66">
        <v>43132</v>
      </c>
      <c r="Q132" s="66">
        <v>43160</v>
      </c>
      <c r="R132" s="66">
        <v>43191</v>
      </c>
      <c r="S132" s="66">
        <v>43221</v>
      </c>
      <c r="T132" s="66">
        <v>43252</v>
      </c>
      <c r="U132" s="66">
        <v>43282</v>
      </c>
      <c r="V132" s="66">
        <v>43313</v>
      </c>
      <c r="W132" s="66">
        <v>43344</v>
      </c>
      <c r="X132" s="66">
        <v>43374</v>
      </c>
      <c r="Y132" s="66">
        <v>43405</v>
      </c>
      <c r="Z132" s="66">
        <v>43435</v>
      </c>
    </row>
    <row r="133" spans="1:27" ht="15" hidden="1" customHeight="1" outlineLevel="1" x14ac:dyDescent="0.25">
      <c r="A133" s="93" t="s">
        <v>265</v>
      </c>
      <c r="B133" s="93"/>
      <c r="C133" s="93"/>
      <c r="D133" s="888"/>
      <c r="E133" s="11"/>
      <c r="F133" s="11"/>
      <c r="G133" s="11"/>
      <c r="H133" s="11"/>
      <c r="I133" s="11"/>
      <c r="J133" s="11"/>
      <c r="K133" s="11"/>
      <c r="L133" s="11"/>
      <c r="M133" s="11"/>
      <c r="N133" s="11">
        <f t="shared" ref="N133:N136" si="12">SUM(O133:Z133)</f>
        <v>0</v>
      </c>
      <c r="O133" s="11"/>
      <c r="P133" s="11"/>
      <c r="Q133" s="11"/>
      <c r="R133" s="11"/>
      <c r="S133" s="11"/>
      <c r="T133" s="11"/>
      <c r="U133" s="11"/>
      <c r="V133" s="11"/>
      <c r="W133" s="11"/>
      <c r="X133" s="11"/>
      <c r="Y133" s="11"/>
      <c r="Z133" s="11"/>
    </row>
    <row r="134" spans="1:27" ht="15" hidden="1" customHeight="1" outlineLevel="1" x14ac:dyDescent="0.25">
      <c r="A134" s="93" t="s">
        <v>266</v>
      </c>
      <c r="B134" s="93"/>
      <c r="C134" s="93"/>
      <c r="D134" s="888"/>
      <c r="E134" s="11"/>
      <c r="F134" s="11"/>
      <c r="G134" s="11"/>
      <c r="H134" s="11"/>
      <c r="I134" s="11"/>
      <c r="J134" s="11"/>
      <c r="K134" s="11"/>
      <c r="L134" s="11"/>
      <c r="M134" s="11"/>
      <c r="N134" s="11">
        <f t="shared" si="12"/>
        <v>0</v>
      </c>
      <c r="O134" s="11"/>
      <c r="P134" s="11"/>
      <c r="Q134" s="11"/>
      <c r="R134" s="11"/>
      <c r="S134" s="11"/>
      <c r="T134" s="11"/>
      <c r="U134" s="11"/>
      <c r="V134" s="11"/>
      <c r="W134" s="11"/>
      <c r="X134" s="11"/>
      <c r="Y134" s="11"/>
      <c r="Z134" s="11"/>
    </row>
    <row r="135" spans="1:27" ht="15" hidden="1" customHeight="1" outlineLevel="1" x14ac:dyDescent="0.25">
      <c r="A135" s="93" t="s">
        <v>283</v>
      </c>
      <c r="B135" s="93"/>
      <c r="C135" s="93"/>
      <c r="D135" s="888"/>
      <c r="E135" s="11"/>
      <c r="F135" s="11"/>
      <c r="G135" s="11"/>
      <c r="H135" s="11"/>
      <c r="I135" s="11"/>
      <c r="J135" s="11"/>
      <c r="K135" s="11"/>
      <c r="L135" s="11"/>
      <c r="M135" s="11"/>
      <c r="N135" s="11">
        <f t="shared" si="12"/>
        <v>0</v>
      </c>
      <c r="O135" s="11"/>
      <c r="P135" s="11"/>
      <c r="Q135" s="11"/>
      <c r="R135" s="11"/>
      <c r="S135" s="11"/>
      <c r="T135" s="11"/>
      <c r="U135" s="11"/>
      <c r="V135" s="11"/>
      <c r="W135" s="11"/>
      <c r="X135" s="11"/>
      <c r="Y135" s="11"/>
      <c r="Z135" s="11"/>
    </row>
    <row r="136" spans="1:27" ht="15" hidden="1" customHeight="1" outlineLevel="1" x14ac:dyDescent="0.25">
      <c r="A136" s="93" t="s">
        <v>284</v>
      </c>
      <c r="B136" s="93"/>
      <c r="C136" s="93"/>
      <c r="D136" s="888"/>
      <c r="E136" s="11"/>
      <c r="F136" s="11"/>
      <c r="G136" s="11"/>
      <c r="H136" s="11"/>
      <c r="I136" s="11"/>
      <c r="J136" s="11"/>
      <c r="K136" s="11"/>
      <c r="L136" s="11"/>
      <c r="M136" s="11"/>
      <c r="N136" s="11">
        <f t="shared" si="12"/>
        <v>0</v>
      </c>
      <c r="O136" s="11"/>
      <c r="P136" s="11"/>
      <c r="Q136" s="11"/>
      <c r="R136" s="11"/>
      <c r="S136" s="11"/>
      <c r="T136" s="11"/>
      <c r="U136" s="11"/>
      <c r="V136" s="11"/>
      <c r="W136" s="11"/>
      <c r="X136" s="11"/>
      <c r="Y136" s="11"/>
      <c r="Z136" s="11"/>
    </row>
    <row r="137" spans="1:27" ht="21" hidden="1" customHeight="1" outlineLevel="1" x14ac:dyDescent="0.25">
      <c r="A137" s="93" t="s">
        <v>285</v>
      </c>
      <c r="B137" s="93"/>
      <c r="C137" s="93"/>
      <c r="D137" s="888"/>
      <c r="E137" s="11"/>
      <c r="F137" s="11"/>
      <c r="G137" s="717"/>
      <c r="H137" s="11"/>
      <c r="I137" s="11"/>
      <c r="J137" s="11"/>
      <c r="K137" s="943" t="s">
        <v>20</v>
      </c>
      <c r="L137" s="32">
        <f>SUM(L132:L136)</f>
        <v>0</v>
      </c>
      <c r="M137" s="32">
        <f>SUM(M132:M136)</f>
        <v>0</v>
      </c>
      <c r="N137" s="11">
        <f>SUM(N133:N136)</f>
        <v>0</v>
      </c>
      <c r="O137" s="11">
        <f t="shared" ref="O137:Z137" si="13">SUM(O133:O136)</f>
        <v>0</v>
      </c>
      <c r="P137" s="11">
        <f t="shared" si="13"/>
        <v>0</v>
      </c>
      <c r="Q137" s="11">
        <f t="shared" si="13"/>
        <v>0</v>
      </c>
      <c r="R137" s="11">
        <f t="shared" si="13"/>
        <v>0</v>
      </c>
      <c r="S137" s="11">
        <f t="shared" si="13"/>
        <v>0</v>
      </c>
      <c r="T137" s="11">
        <f t="shared" si="13"/>
        <v>0</v>
      </c>
      <c r="U137" s="11">
        <f t="shared" si="13"/>
        <v>0</v>
      </c>
      <c r="V137" s="11">
        <f t="shared" si="13"/>
        <v>0</v>
      </c>
      <c r="W137" s="11">
        <f t="shared" si="13"/>
        <v>0</v>
      </c>
      <c r="X137" s="11">
        <f t="shared" si="13"/>
        <v>0</v>
      </c>
      <c r="Y137" s="11">
        <f t="shared" si="13"/>
        <v>0</v>
      </c>
      <c r="Z137" s="11">
        <f t="shared" si="13"/>
        <v>0</v>
      </c>
      <c r="AA137" s="35"/>
    </row>
    <row r="138" spans="1:27" ht="18" hidden="1" customHeight="1" outlineLevel="1" x14ac:dyDescent="0.25">
      <c r="A138" s="941" t="str">
        <f>CONCATENATE(B22," ",C22)</f>
        <v xml:space="preserve"> </v>
      </c>
      <c r="B138" s="941"/>
      <c r="C138" s="942"/>
      <c r="D138" s="942"/>
      <c r="E138" s="685"/>
      <c r="F138" s="685"/>
      <c r="G138" s="685"/>
      <c r="H138" s="685"/>
      <c r="I138" s="685"/>
      <c r="J138" s="685"/>
      <c r="K138" s="685"/>
      <c r="L138" s="685"/>
      <c r="M138" s="685"/>
      <c r="N138" s="685"/>
      <c r="O138" s="685" t="s">
        <v>5</v>
      </c>
      <c r="P138" s="685"/>
      <c r="Q138" s="685"/>
      <c r="R138" s="685"/>
      <c r="S138" s="685"/>
      <c r="T138" s="685"/>
      <c r="U138" s="685"/>
      <c r="V138" s="685"/>
      <c r="W138" s="685"/>
      <c r="X138" s="685"/>
      <c r="Y138" s="685"/>
      <c r="Z138" s="685"/>
    </row>
    <row r="139" spans="1:27" ht="41.45" hidden="1" customHeight="1" outlineLevel="1" x14ac:dyDescent="0.25">
      <c r="A139" s="92" t="s">
        <v>261</v>
      </c>
      <c r="B139" s="92" t="s">
        <v>13</v>
      </c>
      <c r="C139" s="92" t="s">
        <v>14</v>
      </c>
      <c r="D139" s="133" t="s">
        <v>286</v>
      </c>
      <c r="E139" s="32" t="s">
        <v>16</v>
      </c>
      <c r="F139" s="32" t="s">
        <v>295</v>
      </c>
      <c r="G139" s="32" t="s">
        <v>39</v>
      </c>
      <c r="H139" s="32" t="s">
        <v>297</v>
      </c>
      <c r="I139" s="32" t="s">
        <v>298</v>
      </c>
      <c r="J139" s="32" t="s">
        <v>299</v>
      </c>
      <c r="K139" s="32" t="s">
        <v>300</v>
      </c>
      <c r="L139" s="32" t="s">
        <v>17</v>
      </c>
      <c r="M139" s="32" t="s">
        <v>18</v>
      </c>
      <c r="N139" s="32" t="s">
        <v>19</v>
      </c>
      <c r="O139" s="66">
        <v>43101</v>
      </c>
      <c r="P139" s="66">
        <v>43132</v>
      </c>
      <c r="Q139" s="66">
        <v>43160</v>
      </c>
      <c r="R139" s="66">
        <v>43191</v>
      </c>
      <c r="S139" s="66">
        <v>43221</v>
      </c>
      <c r="T139" s="66">
        <v>43252</v>
      </c>
      <c r="U139" s="66">
        <v>43282</v>
      </c>
      <c r="V139" s="66">
        <v>43313</v>
      </c>
      <c r="W139" s="66">
        <v>43344</v>
      </c>
      <c r="X139" s="66">
        <v>43374</v>
      </c>
      <c r="Y139" s="66">
        <v>43405</v>
      </c>
      <c r="Z139" s="66">
        <v>43435</v>
      </c>
    </row>
    <row r="140" spans="1:27" ht="15" hidden="1" customHeight="1" outlineLevel="1" x14ac:dyDescent="0.25">
      <c r="A140" s="93" t="s">
        <v>265</v>
      </c>
      <c r="B140" s="93"/>
      <c r="C140" s="93"/>
      <c r="D140" s="888"/>
      <c r="E140" s="11"/>
      <c r="F140" s="11"/>
      <c r="G140" s="11"/>
      <c r="H140" s="11"/>
      <c r="I140" s="11"/>
      <c r="J140" s="11"/>
      <c r="K140" s="11"/>
      <c r="L140" s="11"/>
      <c r="M140" s="11"/>
      <c r="N140" s="11">
        <f t="shared" ref="N140:N143" si="14">SUM(O140:Z140)</f>
        <v>0</v>
      </c>
      <c r="O140" s="11"/>
      <c r="P140" s="11"/>
      <c r="Q140" s="11"/>
      <c r="R140" s="11"/>
      <c r="S140" s="11"/>
      <c r="T140" s="11"/>
      <c r="U140" s="11"/>
      <c r="V140" s="11"/>
      <c r="W140" s="11"/>
      <c r="X140" s="11"/>
      <c r="Y140" s="11"/>
      <c r="Z140" s="11"/>
    </row>
    <row r="141" spans="1:27" ht="15" hidden="1" customHeight="1" outlineLevel="1" x14ac:dyDescent="0.25">
      <c r="A141" s="93" t="s">
        <v>266</v>
      </c>
      <c r="B141" s="93"/>
      <c r="C141" s="93"/>
      <c r="D141" s="888"/>
      <c r="E141" s="11"/>
      <c r="F141" s="11"/>
      <c r="G141" s="11"/>
      <c r="H141" s="11"/>
      <c r="I141" s="11"/>
      <c r="J141" s="11"/>
      <c r="K141" s="11"/>
      <c r="L141" s="11"/>
      <c r="M141" s="11"/>
      <c r="N141" s="11">
        <f t="shared" si="14"/>
        <v>0</v>
      </c>
      <c r="O141" s="11"/>
      <c r="P141" s="11"/>
      <c r="Q141" s="11"/>
      <c r="R141" s="11"/>
      <c r="S141" s="11"/>
      <c r="T141" s="11"/>
      <c r="U141" s="11"/>
      <c r="V141" s="11"/>
      <c r="W141" s="11"/>
      <c r="X141" s="11"/>
      <c r="Y141" s="11"/>
      <c r="Z141" s="11"/>
    </row>
    <row r="142" spans="1:27" ht="15" hidden="1" customHeight="1" outlineLevel="1" x14ac:dyDescent="0.25">
      <c r="A142" s="93" t="s">
        <v>283</v>
      </c>
      <c r="B142" s="93"/>
      <c r="C142" s="93"/>
      <c r="D142" s="888"/>
      <c r="E142" s="11"/>
      <c r="F142" s="11"/>
      <c r="G142" s="11"/>
      <c r="H142" s="11"/>
      <c r="I142" s="11"/>
      <c r="J142" s="11"/>
      <c r="K142" s="11"/>
      <c r="L142" s="11"/>
      <c r="M142" s="11"/>
      <c r="N142" s="11">
        <f t="shared" si="14"/>
        <v>0</v>
      </c>
      <c r="O142" s="11"/>
      <c r="P142" s="11"/>
      <c r="Q142" s="11"/>
      <c r="R142" s="11"/>
      <c r="S142" s="11"/>
      <c r="T142" s="11"/>
      <c r="U142" s="11"/>
      <c r="V142" s="11"/>
      <c r="W142" s="11"/>
      <c r="X142" s="11"/>
      <c r="Y142" s="11"/>
      <c r="Z142" s="11"/>
    </row>
    <row r="143" spans="1:27" ht="15" hidden="1" customHeight="1" outlineLevel="1" x14ac:dyDescent="0.25">
      <c r="A143" s="93" t="s">
        <v>284</v>
      </c>
      <c r="B143" s="93"/>
      <c r="C143" s="93"/>
      <c r="D143" s="888"/>
      <c r="E143" s="11"/>
      <c r="F143" s="11"/>
      <c r="G143" s="11"/>
      <c r="H143" s="11"/>
      <c r="I143" s="11"/>
      <c r="J143" s="11"/>
      <c r="K143" s="11"/>
      <c r="L143" s="11"/>
      <c r="M143" s="11"/>
      <c r="N143" s="11">
        <f t="shared" si="14"/>
        <v>0</v>
      </c>
      <c r="O143" s="11"/>
      <c r="P143" s="11"/>
      <c r="Q143" s="11"/>
      <c r="R143" s="11"/>
      <c r="S143" s="11"/>
      <c r="T143" s="11"/>
      <c r="U143" s="11"/>
      <c r="V143" s="11"/>
      <c r="W143" s="11"/>
      <c r="X143" s="11"/>
      <c r="Y143" s="11"/>
      <c r="Z143" s="11"/>
    </row>
    <row r="144" spans="1:27" ht="21" hidden="1" customHeight="1" outlineLevel="1" x14ac:dyDescent="0.25">
      <c r="A144" s="93" t="s">
        <v>285</v>
      </c>
      <c r="B144" s="93"/>
      <c r="C144" s="93"/>
      <c r="D144" s="888"/>
      <c r="E144" s="11"/>
      <c r="F144" s="11"/>
      <c r="G144" s="717"/>
      <c r="H144" s="11"/>
      <c r="I144" s="11"/>
      <c r="J144" s="11"/>
      <c r="K144" s="943" t="s">
        <v>20</v>
      </c>
      <c r="L144" s="32">
        <f>SUM(L139:L143)</f>
        <v>0</v>
      </c>
      <c r="M144" s="32">
        <f>SUM(M139:M143)</f>
        <v>0</v>
      </c>
      <c r="N144" s="11">
        <f>SUM(N140:N143)</f>
        <v>0</v>
      </c>
      <c r="O144" s="11">
        <f t="shared" ref="O144:Z144" si="15">SUM(O140:O143)</f>
        <v>0</v>
      </c>
      <c r="P144" s="11">
        <f t="shared" si="15"/>
        <v>0</v>
      </c>
      <c r="Q144" s="11">
        <f t="shared" si="15"/>
        <v>0</v>
      </c>
      <c r="R144" s="11">
        <f t="shared" si="15"/>
        <v>0</v>
      </c>
      <c r="S144" s="11">
        <f t="shared" si="15"/>
        <v>0</v>
      </c>
      <c r="T144" s="11">
        <f t="shared" si="15"/>
        <v>0</v>
      </c>
      <c r="U144" s="11">
        <f t="shared" si="15"/>
        <v>0</v>
      </c>
      <c r="V144" s="11">
        <f t="shared" si="15"/>
        <v>0</v>
      </c>
      <c r="W144" s="11">
        <f t="shared" si="15"/>
        <v>0</v>
      </c>
      <c r="X144" s="11">
        <f t="shared" si="15"/>
        <v>0</v>
      </c>
      <c r="Y144" s="11">
        <f t="shared" si="15"/>
        <v>0</v>
      </c>
      <c r="Z144" s="11">
        <f t="shared" si="15"/>
        <v>0</v>
      </c>
      <c r="AA144" s="35"/>
    </row>
    <row r="145" spans="1:27" ht="18" hidden="1" customHeight="1" outlineLevel="1" x14ac:dyDescent="0.25">
      <c r="A145" s="941" t="str">
        <f>CONCATENATE(B23," ",C23)</f>
        <v xml:space="preserve"> </v>
      </c>
      <c r="B145" s="941"/>
      <c r="C145" s="942"/>
      <c r="D145" s="942"/>
      <c r="E145" s="685"/>
      <c r="F145" s="685"/>
      <c r="G145" s="685"/>
      <c r="H145" s="685"/>
      <c r="I145" s="685"/>
      <c r="J145" s="685"/>
      <c r="K145" s="685"/>
      <c r="L145" s="685"/>
      <c r="M145" s="685"/>
      <c r="N145" s="685"/>
      <c r="O145" s="685" t="s">
        <v>5</v>
      </c>
      <c r="P145" s="685"/>
      <c r="Q145" s="685"/>
      <c r="R145" s="685"/>
      <c r="S145" s="685"/>
      <c r="T145" s="685"/>
      <c r="U145" s="685"/>
      <c r="V145" s="685"/>
      <c r="W145" s="685"/>
      <c r="X145" s="685"/>
      <c r="Y145" s="685"/>
      <c r="Z145" s="685"/>
    </row>
    <row r="146" spans="1:27" ht="41.45" hidden="1" customHeight="1" outlineLevel="1" x14ac:dyDescent="0.25">
      <c r="A146" s="92" t="s">
        <v>261</v>
      </c>
      <c r="B146" s="92" t="s">
        <v>13</v>
      </c>
      <c r="C146" s="92" t="s">
        <v>14</v>
      </c>
      <c r="D146" s="133" t="s">
        <v>286</v>
      </c>
      <c r="E146" s="32" t="s">
        <v>16</v>
      </c>
      <c r="F146" s="32" t="s">
        <v>295</v>
      </c>
      <c r="G146" s="32" t="s">
        <v>39</v>
      </c>
      <c r="H146" s="32" t="s">
        <v>297</v>
      </c>
      <c r="I146" s="32" t="s">
        <v>298</v>
      </c>
      <c r="J146" s="32" t="s">
        <v>299</v>
      </c>
      <c r="K146" s="32" t="s">
        <v>300</v>
      </c>
      <c r="L146" s="32" t="s">
        <v>17</v>
      </c>
      <c r="M146" s="32" t="s">
        <v>18</v>
      </c>
      <c r="N146" s="32" t="s">
        <v>19</v>
      </c>
      <c r="O146" s="66">
        <v>43101</v>
      </c>
      <c r="P146" s="66">
        <v>43132</v>
      </c>
      <c r="Q146" s="66">
        <v>43160</v>
      </c>
      <c r="R146" s="66">
        <v>43191</v>
      </c>
      <c r="S146" s="66">
        <v>43221</v>
      </c>
      <c r="T146" s="66">
        <v>43252</v>
      </c>
      <c r="U146" s="66">
        <v>43282</v>
      </c>
      <c r="V146" s="66">
        <v>43313</v>
      </c>
      <c r="W146" s="66">
        <v>43344</v>
      </c>
      <c r="X146" s="66">
        <v>43374</v>
      </c>
      <c r="Y146" s="66">
        <v>43405</v>
      </c>
      <c r="Z146" s="66">
        <v>43435</v>
      </c>
    </row>
    <row r="147" spans="1:27" ht="15" hidden="1" customHeight="1" outlineLevel="1" x14ac:dyDescent="0.25">
      <c r="A147" s="93" t="s">
        <v>265</v>
      </c>
      <c r="B147" s="93"/>
      <c r="C147" s="93"/>
      <c r="D147" s="888"/>
      <c r="E147" s="11"/>
      <c r="F147" s="11"/>
      <c r="G147" s="11"/>
      <c r="H147" s="11"/>
      <c r="I147" s="11"/>
      <c r="J147" s="11"/>
      <c r="K147" s="11"/>
      <c r="L147" s="11"/>
      <c r="M147" s="11"/>
      <c r="N147" s="11">
        <f t="shared" ref="N147:N150" si="16">SUM(O147:Z147)</f>
        <v>0</v>
      </c>
      <c r="O147" s="11"/>
      <c r="P147" s="11"/>
      <c r="Q147" s="11"/>
      <c r="R147" s="11"/>
      <c r="S147" s="11"/>
      <c r="T147" s="11"/>
      <c r="U147" s="11"/>
      <c r="V147" s="11"/>
      <c r="W147" s="11"/>
      <c r="X147" s="11"/>
      <c r="Y147" s="11"/>
      <c r="Z147" s="11"/>
    </row>
    <row r="148" spans="1:27" ht="15" hidden="1" customHeight="1" outlineLevel="1" x14ac:dyDescent="0.25">
      <c r="A148" s="93" t="s">
        <v>266</v>
      </c>
      <c r="B148" s="93"/>
      <c r="C148" s="93"/>
      <c r="D148" s="888"/>
      <c r="E148" s="11"/>
      <c r="F148" s="11"/>
      <c r="G148" s="11"/>
      <c r="H148" s="11"/>
      <c r="I148" s="11"/>
      <c r="J148" s="11"/>
      <c r="K148" s="11"/>
      <c r="L148" s="11"/>
      <c r="M148" s="11"/>
      <c r="N148" s="11">
        <f t="shared" si="16"/>
        <v>0</v>
      </c>
      <c r="O148" s="11"/>
      <c r="P148" s="11"/>
      <c r="Q148" s="11"/>
      <c r="R148" s="11"/>
      <c r="S148" s="11"/>
      <c r="T148" s="11"/>
      <c r="U148" s="11"/>
      <c r="V148" s="11"/>
      <c r="W148" s="11"/>
      <c r="X148" s="11"/>
      <c r="Y148" s="11"/>
      <c r="Z148" s="11"/>
    </row>
    <row r="149" spans="1:27" ht="15" hidden="1" customHeight="1" outlineLevel="1" x14ac:dyDescent="0.25">
      <c r="A149" s="93" t="s">
        <v>283</v>
      </c>
      <c r="B149" s="93"/>
      <c r="C149" s="93"/>
      <c r="D149" s="888"/>
      <c r="E149" s="11"/>
      <c r="F149" s="11"/>
      <c r="G149" s="11"/>
      <c r="H149" s="11"/>
      <c r="I149" s="11"/>
      <c r="J149" s="11"/>
      <c r="K149" s="11"/>
      <c r="L149" s="11"/>
      <c r="M149" s="11"/>
      <c r="N149" s="11">
        <f t="shared" si="16"/>
        <v>0</v>
      </c>
      <c r="O149" s="11"/>
      <c r="P149" s="11"/>
      <c r="Q149" s="11"/>
      <c r="R149" s="11"/>
      <c r="S149" s="11"/>
      <c r="T149" s="11"/>
      <c r="U149" s="11"/>
      <c r="V149" s="11"/>
      <c r="W149" s="11"/>
      <c r="X149" s="11"/>
      <c r="Y149" s="11"/>
      <c r="Z149" s="11"/>
    </row>
    <row r="150" spans="1:27" ht="15" hidden="1" customHeight="1" outlineLevel="1" x14ac:dyDescent="0.25">
      <c r="A150" s="93" t="s">
        <v>284</v>
      </c>
      <c r="B150" s="93"/>
      <c r="C150" s="93"/>
      <c r="D150" s="888"/>
      <c r="E150" s="11"/>
      <c r="F150" s="11"/>
      <c r="G150" s="11"/>
      <c r="H150" s="11"/>
      <c r="I150" s="11"/>
      <c r="J150" s="11"/>
      <c r="K150" s="11"/>
      <c r="L150" s="11"/>
      <c r="M150" s="11"/>
      <c r="N150" s="11">
        <f t="shared" si="16"/>
        <v>0</v>
      </c>
      <c r="O150" s="11"/>
      <c r="P150" s="11"/>
      <c r="Q150" s="11"/>
      <c r="R150" s="11"/>
      <c r="S150" s="11"/>
      <c r="T150" s="11"/>
      <c r="U150" s="11"/>
      <c r="V150" s="11"/>
      <c r="W150" s="11"/>
      <c r="X150" s="11"/>
      <c r="Y150" s="11"/>
      <c r="Z150" s="11"/>
    </row>
    <row r="151" spans="1:27" ht="21" hidden="1" customHeight="1" outlineLevel="1" x14ac:dyDescent="0.25">
      <c r="A151" s="93" t="s">
        <v>285</v>
      </c>
      <c r="B151" s="93"/>
      <c r="C151" s="93"/>
      <c r="D151" s="888"/>
      <c r="E151" s="11"/>
      <c r="F151" s="11"/>
      <c r="G151" s="45"/>
      <c r="H151" s="11"/>
      <c r="I151" s="11"/>
      <c r="J151" s="11"/>
      <c r="K151" s="68" t="s">
        <v>20</v>
      </c>
      <c r="L151" s="32">
        <f>SUM(L146:L150)</f>
        <v>0</v>
      </c>
      <c r="M151" s="32">
        <f>SUM(M146:M150)</f>
        <v>0</v>
      </c>
      <c r="N151" s="11">
        <f>SUM(N147:N150)</f>
        <v>0</v>
      </c>
      <c r="O151" s="11">
        <f t="shared" ref="O151:Z151" si="17">SUM(O147:O150)</f>
        <v>0</v>
      </c>
      <c r="P151" s="11">
        <f t="shared" si="17"/>
        <v>0</v>
      </c>
      <c r="Q151" s="11">
        <f t="shared" si="17"/>
        <v>0</v>
      </c>
      <c r="R151" s="11">
        <f t="shared" si="17"/>
        <v>0</v>
      </c>
      <c r="S151" s="11">
        <f t="shared" si="17"/>
        <v>0</v>
      </c>
      <c r="T151" s="11">
        <f t="shared" si="17"/>
        <v>0</v>
      </c>
      <c r="U151" s="11">
        <f t="shared" si="17"/>
        <v>0</v>
      </c>
      <c r="V151" s="11">
        <f t="shared" si="17"/>
        <v>0</v>
      </c>
      <c r="W151" s="11">
        <f t="shared" si="17"/>
        <v>0</v>
      </c>
      <c r="X151" s="11">
        <f t="shared" si="17"/>
        <v>0</v>
      </c>
      <c r="Y151" s="11">
        <f t="shared" si="17"/>
        <v>0</v>
      </c>
      <c r="Z151" s="11">
        <f t="shared" si="17"/>
        <v>0</v>
      </c>
      <c r="AA151" s="35"/>
    </row>
    <row r="152" spans="1:27" ht="18" hidden="1" outlineLevel="1" x14ac:dyDescent="0.25">
      <c r="A152" s="30" t="str">
        <f>CONCATENATE(B24," ",C24)</f>
        <v xml:space="preserve"> </v>
      </c>
      <c r="B152" s="30"/>
      <c r="C152" s="31"/>
      <c r="D152" s="31"/>
      <c r="E152" s="29"/>
      <c r="F152" s="29"/>
      <c r="G152" s="29"/>
      <c r="H152" s="29"/>
      <c r="I152" s="29"/>
      <c r="J152" s="29"/>
      <c r="K152" s="29"/>
      <c r="L152" s="29"/>
      <c r="M152" s="29"/>
      <c r="N152" s="29"/>
      <c r="O152" s="29" t="s">
        <v>5</v>
      </c>
      <c r="P152" s="29"/>
      <c r="Q152" s="29"/>
      <c r="R152" s="29"/>
      <c r="S152" s="29"/>
      <c r="T152" s="29"/>
      <c r="U152" s="29"/>
      <c r="V152" s="29"/>
      <c r="W152" s="29"/>
      <c r="X152" s="29"/>
      <c r="Y152" s="29"/>
      <c r="Z152" s="29"/>
    </row>
    <row r="153" spans="1:27" ht="41.45" hidden="1" customHeight="1" outlineLevel="1" x14ac:dyDescent="0.25">
      <c r="A153" s="92" t="s">
        <v>261</v>
      </c>
      <c r="B153" s="92" t="s">
        <v>13</v>
      </c>
      <c r="C153" s="92" t="s">
        <v>14</v>
      </c>
      <c r="D153" s="133" t="s">
        <v>286</v>
      </c>
      <c r="E153" s="32" t="s">
        <v>16</v>
      </c>
      <c r="F153" s="32" t="s">
        <v>295</v>
      </c>
      <c r="G153" s="32" t="s">
        <v>39</v>
      </c>
      <c r="H153" s="32" t="s">
        <v>297</v>
      </c>
      <c r="I153" s="32" t="s">
        <v>298</v>
      </c>
      <c r="J153" s="32" t="s">
        <v>299</v>
      </c>
      <c r="K153" s="32" t="s">
        <v>300</v>
      </c>
      <c r="L153" s="32" t="s">
        <v>17</v>
      </c>
      <c r="M153" s="32" t="s">
        <v>18</v>
      </c>
      <c r="N153" s="32" t="s">
        <v>19</v>
      </c>
      <c r="O153" s="66">
        <v>43101</v>
      </c>
      <c r="P153" s="66">
        <v>43132</v>
      </c>
      <c r="Q153" s="66">
        <v>43160</v>
      </c>
      <c r="R153" s="66">
        <v>43191</v>
      </c>
      <c r="S153" s="66">
        <v>43221</v>
      </c>
      <c r="T153" s="66">
        <v>43252</v>
      </c>
      <c r="U153" s="66">
        <v>43282</v>
      </c>
      <c r="V153" s="66">
        <v>43313</v>
      </c>
      <c r="W153" s="66">
        <v>43344</v>
      </c>
      <c r="X153" s="66">
        <v>43374</v>
      </c>
      <c r="Y153" s="66">
        <v>43405</v>
      </c>
      <c r="Z153" s="66">
        <v>43435</v>
      </c>
    </row>
    <row r="154" spans="1:27" ht="15" hidden="1" customHeight="1" outlineLevel="1" x14ac:dyDescent="0.25">
      <c r="A154" s="93" t="s">
        <v>265</v>
      </c>
      <c r="B154" s="93"/>
      <c r="C154" s="93"/>
      <c r="D154" s="888"/>
      <c r="E154" s="11"/>
      <c r="F154" s="11"/>
      <c r="G154" s="11"/>
      <c r="H154" s="11"/>
      <c r="I154" s="11"/>
      <c r="J154" s="11"/>
      <c r="K154" s="11"/>
      <c r="L154" s="11"/>
      <c r="M154" s="11"/>
      <c r="N154" s="11">
        <f t="shared" ref="N154:N157" si="18">SUM(O154:Z154)</f>
        <v>0</v>
      </c>
      <c r="O154" s="11"/>
      <c r="P154" s="11"/>
      <c r="Q154" s="11"/>
      <c r="R154" s="11"/>
      <c r="S154" s="11"/>
      <c r="T154" s="11"/>
      <c r="U154" s="11"/>
      <c r="V154" s="11"/>
      <c r="W154" s="11"/>
      <c r="X154" s="11"/>
      <c r="Y154" s="11"/>
      <c r="Z154" s="11"/>
    </row>
    <row r="155" spans="1:27" ht="15" hidden="1" customHeight="1" outlineLevel="1" x14ac:dyDescent="0.25">
      <c r="A155" s="93" t="s">
        <v>266</v>
      </c>
      <c r="B155" s="93"/>
      <c r="C155" s="93"/>
      <c r="D155" s="888"/>
      <c r="E155" s="11"/>
      <c r="F155" s="11"/>
      <c r="G155" s="11"/>
      <c r="H155" s="11"/>
      <c r="I155" s="11"/>
      <c r="J155" s="11"/>
      <c r="K155" s="11"/>
      <c r="L155" s="11"/>
      <c r="M155" s="11"/>
      <c r="N155" s="11">
        <f t="shared" si="18"/>
        <v>0</v>
      </c>
      <c r="O155" s="11"/>
      <c r="P155" s="11"/>
      <c r="Q155" s="11"/>
      <c r="R155" s="11"/>
      <c r="S155" s="11"/>
      <c r="T155" s="11"/>
      <c r="U155" s="11"/>
      <c r="V155" s="11"/>
      <c r="W155" s="11"/>
      <c r="X155" s="11"/>
      <c r="Y155" s="11"/>
      <c r="Z155" s="11"/>
    </row>
    <row r="156" spans="1:27" ht="15" hidden="1" customHeight="1" outlineLevel="1" x14ac:dyDescent="0.25">
      <c r="A156" s="93" t="s">
        <v>283</v>
      </c>
      <c r="B156" s="93"/>
      <c r="C156" s="93"/>
      <c r="D156" s="888"/>
      <c r="E156" s="11"/>
      <c r="F156" s="11"/>
      <c r="G156" s="11"/>
      <c r="H156" s="11"/>
      <c r="I156" s="11"/>
      <c r="J156" s="11"/>
      <c r="K156" s="11"/>
      <c r="L156" s="11"/>
      <c r="M156" s="11"/>
      <c r="N156" s="11">
        <f t="shared" si="18"/>
        <v>0</v>
      </c>
      <c r="O156" s="11"/>
      <c r="P156" s="11"/>
      <c r="Q156" s="11"/>
      <c r="R156" s="11"/>
      <c r="S156" s="11"/>
      <c r="T156" s="11"/>
      <c r="U156" s="11"/>
      <c r="V156" s="11"/>
      <c r="W156" s="11"/>
      <c r="X156" s="11"/>
      <c r="Y156" s="11"/>
      <c r="Z156" s="11"/>
    </row>
    <row r="157" spans="1:27" ht="15" hidden="1" customHeight="1" outlineLevel="1" x14ac:dyDescent="0.25">
      <c r="A157" s="93" t="s">
        <v>284</v>
      </c>
      <c r="B157" s="93"/>
      <c r="C157" s="93"/>
      <c r="D157" s="888"/>
      <c r="E157" s="11"/>
      <c r="F157" s="11"/>
      <c r="G157" s="11"/>
      <c r="H157" s="11"/>
      <c r="I157" s="11"/>
      <c r="J157" s="11"/>
      <c r="K157" s="11"/>
      <c r="L157" s="11"/>
      <c r="M157" s="11"/>
      <c r="N157" s="11">
        <f t="shared" si="18"/>
        <v>0</v>
      </c>
      <c r="O157" s="11"/>
      <c r="P157" s="11"/>
      <c r="Q157" s="11"/>
      <c r="R157" s="11"/>
      <c r="S157" s="11"/>
      <c r="T157" s="11"/>
      <c r="U157" s="11"/>
      <c r="V157" s="11"/>
      <c r="W157" s="11"/>
      <c r="X157" s="11"/>
      <c r="Y157" s="11"/>
      <c r="Z157" s="11"/>
    </row>
    <row r="158" spans="1:27" ht="21" hidden="1" customHeight="1" outlineLevel="1" x14ac:dyDescent="0.25">
      <c r="A158" s="93" t="s">
        <v>285</v>
      </c>
      <c r="B158" s="93"/>
      <c r="C158" s="93"/>
      <c r="D158" s="888"/>
      <c r="E158" s="11"/>
      <c r="F158" s="11"/>
      <c r="G158" s="45"/>
      <c r="H158" s="11"/>
      <c r="I158" s="11"/>
      <c r="J158" s="11"/>
      <c r="K158" s="68" t="s">
        <v>20</v>
      </c>
      <c r="L158" s="32">
        <f>SUM(L153:L157)</f>
        <v>0</v>
      </c>
      <c r="M158" s="32">
        <f>SUM(M153:M157)</f>
        <v>0</v>
      </c>
      <c r="N158" s="11">
        <f>SUM(N154:N157)</f>
        <v>0</v>
      </c>
      <c r="O158" s="11">
        <f t="shared" ref="O158:Z158" si="19">SUM(O154:O157)</f>
        <v>0</v>
      </c>
      <c r="P158" s="11">
        <f t="shared" si="19"/>
        <v>0</v>
      </c>
      <c r="Q158" s="11">
        <f t="shared" si="19"/>
        <v>0</v>
      </c>
      <c r="R158" s="11">
        <f t="shared" si="19"/>
        <v>0</v>
      </c>
      <c r="S158" s="11">
        <f t="shared" si="19"/>
        <v>0</v>
      </c>
      <c r="T158" s="11">
        <f t="shared" si="19"/>
        <v>0</v>
      </c>
      <c r="U158" s="11">
        <f t="shared" si="19"/>
        <v>0</v>
      </c>
      <c r="V158" s="11">
        <f t="shared" si="19"/>
        <v>0</v>
      </c>
      <c r="W158" s="11">
        <f t="shared" si="19"/>
        <v>0</v>
      </c>
      <c r="X158" s="11">
        <f t="shared" si="19"/>
        <v>0</v>
      </c>
      <c r="Y158" s="11">
        <f t="shared" si="19"/>
        <v>0</v>
      </c>
      <c r="Z158" s="11">
        <f t="shared" si="19"/>
        <v>0</v>
      </c>
      <c r="AA158" s="35"/>
    </row>
    <row r="159" spans="1:27" ht="18" hidden="1" outlineLevel="1" x14ac:dyDescent="0.25">
      <c r="A159" s="30" t="str">
        <f>CONCATENATE(B25," ",C25)</f>
        <v xml:space="preserve"> </v>
      </c>
      <c r="B159" s="30"/>
      <c r="C159" s="31"/>
      <c r="D159" s="31"/>
      <c r="E159" s="29"/>
      <c r="F159" s="29"/>
      <c r="G159" s="29"/>
      <c r="H159" s="29"/>
      <c r="I159" s="29"/>
      <c r="J159" s="29"/>
      <c r="K159" s="29"/>
      <c r="L159" s="29"/>
      <c r="M159" s="29"/>
      <c r="N159" s="29"/>
      <c r="O159" s="29" t="s">
        <v>5</v>
      </c>
      <c r="P159" s="29"/>
      <c r="Q159" s="29"/>
      <c r="R159" s="29"/>
      <c r="S159" s="29"/>
      <c r="T159" s="29"/>
      <c r="U159" s="29"/>
      <c r="V159" s="29"/>
      <c r="W159" s="29"/>
      <c r="X159" s="29"/>
      <c r="Y159" s="29"/>
      <c r="Z159" s="29"/>
    </row>
    <row r="160" spans="1:27" ht="41.45" hidden="1" customHeight="1" outlineLevel="1" x14ac:dyDescent="0.25">
      <c r="A160" s="92" t="s">
        <v>261</v>
      </c>
      <c r="B160" s="92" t="s">
        <v>13</v>
      </c>
      <c r="C160" s="92" t="s">
        <v>14</v>
      </c>
      <c r="D160" s="133" t="s">
        <v>286</v>
      </c>
      <c r="E160" s="32" t="s">
        <v>16</v>
      </c>
      <c r="F160" s="32" t="s">
        <v>295</v>
      </c>
      <c r="G160" s="32" t="s">
        <v>39</v>
      </c>
      <c r="H160" s="32" t="s">
        <v>297</v>
      </c>
      <c r="I160" s="32" t="s">
        <v>298</v>
      </c>
      <c r="J160" s="32" t="s">
        <v>299</v>
      </c>
      <c r="K160" s="32" t="s">
        <v>300</v>
      </c>
      <c r="L160" s="32" t="s">
        <v>17</v>
      </c>
      <c r="M160" s="32" t="s">
        <v>18</v>
      </c>
      <c r="N160" s="32" t="s">
        <v>19</v>
      </c>
      <c r="O160" s="66">
        <v>43101</v>
      </c>
      <c r="P160" s="66">
        <v>43132</v>
      </c>
      <c r="Q160" s="66">
        <v>43160</v>
      </c>
      <c r="R160" s="66">
        <v>43191</v>
      </c>
      <c r="S160" s="66">
        <v>43221</v>
      </c>
      <c r="T160" s="66">
        <v>43252</v>
      </c>
      <c r="U160" s="66">
        <v>43282</v>
      </c>
      <c r="V160" s="66">
        <v>43313</v>
      </c>
      <c r="W160" s="66">
        <v>43344</v>
      </c>
      <c r="X160" s="66">
        <v>43374</v>
      </c>
      <c r="Y160" s="66">
        <v>43405</v>
      </c>
      <c r="Z160" s="66">
        <v>43435</v>
      </c>
    </row>
    <row r="161" spans="1:27" ht="15" hidden="1" customHeight="1" outlineLevel="1" x14ac:dyDescent="0.25">
      <c r="A161" s="93" t="s">
        <v>265</v>
      </c>
      <c r="B161" s="93"/>
      <c r="C161" s="93"/>
      <c r="D161" s="888"/>
      <c r="E161" s="11"/>
      <c r="F161" s="11"/>
      <c r="G161" s="11"/>
      <c r="H161" s="11"/>
      <c r="I161" s="11"/>
      <c r="J161" s="11"/>
      <c r="K161" s="11"/>
      <c r="L161" s="11"/>
      <c r="M161" s="11"/>
      <c r="N161" s="11">
        <f t="shared" ref="N161:N164" si="20">SUM(O161:Z161)</f>
        <v>0</v>
      </c>
      <c r="O161" s="11"/>
      <c r="P161" s="11"/>
      <c r="Q161" s="11"/>
      <c r="R161" s="11"/>
      <c r="S161" s="11"/>
      <c r="T161" s="11"/>
      <c r="U161" s="11"/>
      <c r="V161" s="11"/>
      <c r="W161" s="11"/>
      <c r="X161" s="11"/>
      <c r="Y161" s="11"/>
      <c r="Z161" s="11"/>
    </row>
    <row r="162" spans="1:27" ht="15" hidden="1" customHeight="1" outlineLevel="1" x14ac:dyDescent="0.25">
      <c r="A162" s="93" t="s">
        <v>266</v>
      </c>
      <c r="B162" s="93"/>
      <c r="C162" s="93"/>
      <c r="D162" s="888"/>
      <c r="E162" s="11"/>
      <c r="F162" s="11"/>
      <c r="G162" s="11"/>
      <c r="H162" s="11"/>
      <c r="I162" s="11"/>
      <c r="J162" s="11"/>
      <c r="K162" s="11"/>
      <c r="L162" s="11"/>
      <c r="M162" s="11"/>
      <c r="N162" s="11">
        <f t="shared" si="20"/>
        <v>0</v>
      </c>
      <c r="O162" s="11"/>
      <c r="P162" s="11"/>
      <c r="Q162" s="11"/>
      <c r="R162" s="11"/>
      <c r="S162" s="11"/>
      <c r="T162" s="11"/>
      <c r="U162" s="11"/>
      <c r="V162" s="11"/>
      <c r="W162" s="11"/>
      <c r="X162" s="11"/>
      <c r="Y162" s="11"/>
      <c r="Z162" s="11"/>
    </row>
    <row r="163" spans="1:27" ht="15" hidden="1" customHeight="1" outlineLevel="1" x14ac:dyDescent="0.25">
      <c r="A163" s="93" t="s">
        <v>283</v>
      </c>
      <c r="B163" s="93"/>
      <c r="C163" s="93"/>
      <c r="D163" s="888"/>
      <c r="E163" s="11"/>
      <c r="F163" s="11"/>
      <c r="G163" s="11"/>
      <c r="H163" s="11"/>
      <c r="I163" s="11"/>
      <c r="J163" s="11"/>
      <c r="K163" s="11"/>
      <c r="L163" s="11"/>
      <c r="M163" s="11"/>
      <c r="N163" s="11">
        <f t="shared" si="20"/>
        <v>0</v>
      </c>
      <c r="O163" s="11"/>
      <c r="P163" s="11"/>
      <c r="Q163" s="11"/>
      <c r="R163" s="11"/>
      <c r="S163" s="11"/>
      <c r="T163" s="11"/>
      <c r="U163" s="11"/>
      <c r="V163" s="11"/>
      <c r="W163" s="11"/>
      <c r="X163" s="11"/>
      <c r="Y163" s="11"/>
      <c r="Z163" s="11"/>
    </row>
    <row r="164" spans="1:27" ht="15" hidden="1" customHeight="1" outlineLevel="1" x14ac:dyDescent="0.25">
      <c r="A164" s="93" t="s">
        <v>284</v>
      </c>
      <c r="B164" s="93"/>
      <c r="C164" s="93"/>
      <c r="D164" s="888"/>
      <c r="E164" s="11"/>
      <c r="F164" s="11"/>
      <c r="G164" s="11"/>
      <c r="H164" s="11"/>
      <c r="I164" s="11"/>
      <c r="J164" s="11"/>
      <c r="K164" s="11"/>
      <c r="L164" s="11"/>
      <c r="M164" s="11"/>
      <c r="N164" s="11">
        <f t="shared" si="20"/>
        <v>0</v>
      </c>
      <c r="O164" s="11"/>
      <c r="P164" s="11"/>
      <c r="Q164" s="11"/>
      <c r="R164" s="11"/>
      <c r="S164" s="11"/>
      <c r="T164" s="11"/>
      <c r="U164" s="11"/>
      <c r="V164" s="11"/>
      <c r="W164" s="11"/>
      <c r="X164" s="11"/>
      <c r="Y164" s="11"/>
      <c r="Z164" s="11"/>
    </row>
    <row r="165" spans="1:27" ht="21" hidden="1" customHeight="1" outlineLevel="1" x14ac:dyDescent="0.25">
      <c r="A165" s="93" t="s">
        <v>285</v>
      </c>
      <c r="B165" s="93"/>
      <c r="C165" s="93"/>
      <c r="D165" s="888"/>
      <c r="E165" s="11"/>
      <c r="F165" s="11"/>
      <c r="G165" s="45"/>
      <c r="H165" s="11"/>
      <c r="I165" s="11"/>
      <c r="J165" s="11"/>
      <c r="K165" s="68" t="s">
        <v>20</v>
      </c>
      <c r="L165" s="32">
        <f>SUM(L160:L164)</f>
        <v>0</v>
      </c>
      <c r="M165" s="32">
        <f>SUM(M160:M164)</f>
        <v>0</v>
      </c>
      <c r="N165" s="11">
        <f>SUM(N161:N164)</f>
        <v>0</v>
      </c>
      <c r="O165" s="11">
        <f t="shared" ref="O165:Z165" si="21">SUM(O161:O164)</f>
        <v>0</v>
      </c>
      <c r="P165" s="11">
        <f t="shared" si="21"/>
        <v>0</v>
      </c>
      <c r="Q165" s="11">
        <f t="shared" si="21"/>
        <v>0</v>
      </c>
      <c r="R165" s="11">
        <f t="shared" si="21"/>
        <v>0</v>
      </c>
      <c r="S165" s="11">
        <f t="shared" si="21"/>
        <v>0</v>
      </c>
      <c r="T165" s="11">
        <f t="shared" si="21"/>
        <v>0</v>
      </c>
      <c r="U165" s="11">
        <f t="shared" si="21"/>
        <v>0</v>
      </c>
      <c r="V165" s="11">
        <f t="shared" si="21"/>
        <v>0</v>
      </c>
      <c r="W165" s="11">
        <f t="shared" si="21"/>
        <v>0</v>
      </c>
      <c r="X165" s="11">
        <f t="shared" si="21"/>
        <v>0</v>
      </c>
      <c r="Y165" s="11">
        <f t="shared" si="21"/>
        <v>0</v>
      </c>
      <c r="Z165" s="11">
        <f t="shared" si="21"/>
        <v>0</v>
      </c>
      <c r="AA165" s="35"/>
    </row>
    <row r="166" spans="1:27" ht="18" outlineLevel="1" x14ac:dyDescent="0.25">
      <c r="A166" s="30" t="str">
        <f>CONCATENATE(B26," ",C26)</f>
        <v xml:space="preserve"> </v>
      </c>
      <c r="B166" s="30"/>
      <c r="C166" s="31"/>
      <c r="D166" s="31"/>
      <c r="E166" s="29"/>
      <c r="F166" s="29"/>
      <c r="G166" s="29"/>
      <c r="H166" s="29"/>
      <c r="I166" s="29"/>
      <c r="J166" s="29"/>
      <c r="K166" s="29"/>
      <c r="L166" s="29"/>
      <c r="M166" s="29"/>
      <c r="N166" s="29"/>
      <c r="O166" s="29" t="s">
        <v>5</v>
      </c>
      <c r="P166" s="29"/>
      <c r="Q166" s="29"/>
      <c r="R166" s="29"/>
      <c r="S166" s="29"/>
      <c r="T166" s="29"/>
      <c r="U166" s="29"/>
      <c r="V166" s="29"/>
      <c r="W166" s="29"/>
      <c r="X166" s="29"/>
      <c r="Y166" s="29"/>
      <c r="Z166" s="29"/>
    </row>
    <row r="167" spans="1:27" ht="6.75" customHeight="1" x14ac:dyDescent="0.25"/>
    <row r="168" spans="1:27" ht="18" x14ac:dyDescent="0.25">
      <c r="A168" s="41" t="s">
        <v>324</v>
      </c>
      <c r="B168" s="41"/>
      <c r="C168" s="42"/>
      <c r="D168" s="42"/>
      <c r="E168" s="43"/>
      <c r="F168" s="43"/>
      <c r="G168" s="43"/>
      <c r="H168" s="44"/>
      <c r="I168" s="44"/>
      <c r="J168" s="43"/>
      <c r="K168" s="43"/>
      <c r="L168" s="43"/>
      <c r="M168" s="43"/>
      <c r="N168" s="43"/>
      <c r="O168" s="43" t="s">
        <v>5</v>
      </c>
      <c r="P168" s="43"/>
      <c r="Q168" s="43"/>
      <c r="R168" s="43"/>
      <c r="S168" s="43"/>
      <c r="T168" s="43"/>
      <c r="U168" s="43"/>
      <c r="V168" s="43"/>
      <c r="W168" s="43"/>
      <c r="X168" s="43"/>
      <c r="Y168" s="43"/>
      <c r="Z168" s="43"/>
    </row>
    <row r="169" spans="1:27" ht="15.75" outlineLevel="1" x14ac:dyDescent="0.25">
      <c r="A169" s="92" t="s">
        <v>261</v>
      </c>
      <c r="B169" s="92" t="s">
        <v>13</v>
      </c>
      <c r="C169" s="92" t="s">
        <v>14</v>
      </c>
      <c r="D169" s="8" t="s">
        <v>15</v>
      </c>
      <c r="E169" s="49"/>
      <c r="F169" s="49"/>
      <c r="G169" s="49"/>
      <c r="H169" s="49"/>
      <c r="I169" s="49"/>
      <c r="J169" s="48"/>
      <c r="K169" s="12"/>
      <c r="L169" s="32" t="s">
        <v>52</v>
      </c>
      <c r="M169" s="32" t="s">
        <v>53</v>
      </c>
      <c r="N169" s="32" t="s">
        <v>54</v>
      </c>
      <c r="O169" s="66">
        <v>43101</v>
      </c>
      <c r="P169" s="66">
        <v>43132</v>
      </c>
      <c r="Q169" s="66">
        <v>43160</v>
      </c>
      <c r="R169" s="66">
        <v>43191</v>
      </c>
      <c r="S169" s="66">
        <v>43221</v>
      </c>
      <c r="T169" s="66">
        <v>43252</v>
      </c>
      <c r="U169" s="66">
        <v>43282</v>
      </c>
      <c r="V169" s="66">
        <v>43313</v>
      </c>
      <c r="W169" s="66">
        <v>43344</v>
      </c>
      <c r="X169" s="66">
        <v>43374</v>
      </c>
      <c r="Y169" s="66">
        <v>43405</v>
      </c>
      <c r="Z169" s="66">
        <v>43435</v>
      </c>
    </row>
    <row r="170" spans="1:27" ht="15" outlineLevel="1" x14ac:dyDescent="0.25">
      <c r="A170" s="93"/>
      <c r="B170" s="93" t="s">
        <v>27</v>
      </c>
      <c r="C170" s="93" t="str">
        <f t="shared" ref="C170:D179" si="22">C17</f>
        <v xml:space="preserve">Environmental Monitoring </v>
      </c>
      <c r="D170" s="7">
        <f t="shared" si="22"/>
        <v>0</v>
      </c>
      <c r="E170" s="49"/>
      <c r="F170" s="49"/>
      <c r="G170" s="49"/>
      <c r="H170" s="49"/>
      <c r="I170" s="49"/>
      <c r="J170" s="48"/>
      <c r="K170" s="12" t="s">
        <v>5</v>
      </c>
      <c r="L170" s="11" t="s">
        <v>48</v>
      </c>
      <c r="M170" s="11" t="s">
        <v>55</v>
      </c>
      <c r="N170" s="11">
        <v>6</v>
      </c>
      <c r="O170" s="54">
        <f t="shared" ref="O170:Z170" si="23">+O17/SUM($O17:$Z17)</f>
        <v>0.21394418598480172</v>
      </c>
      <c r="P170" s="54">
        <f t="shared" si="23"/>
        <v>0.18858405595218197</v>
      </c>
      <c r="Q170" s="54">
        <f t="shared" si="23"/>
        <v>0.19151134723314472</v>
      </c>
      <c r="R170" s="54">
        <f t="shared" si="23"/>
        <v>5.0064814728872455E-2</v>
      </c>
      <c r="S170" s="54">
        <f t="shared" si="23"/>
        <v>4.116401546672762E-2</v>
      </c>
      <c r="T170" s="54">
        <f t="shared" si="23"/>
        <v>4.4091306747690399E-2</v>
      </c>
      <c r="U170" s="54">
        <f t="shared" si="23"/>
        <v>4.116401546672762E-2</v>
      </c>
      <c r="V170" s="54">
        <f t="shared" si="23"/>
        <v>5.0064814728872455E-2</v>
      </c>
      <c r="W170" s="54">
        <f t="shared" si="23"/>
        <v>4.4091306747690399E-2</v>
      </c>
      <c r="X170" s="54">
        <f t="shared" si="23"/>
        <v>4.116401546672762E-2</v>
      </c>
      <c r="Y170" s="54">
        <f t="shared" si="23"/>
        <v>4.116401546672762E-2</v>
      </c>
      <c r="Z170" s="54">
        <f t="shared" si="23"/>
        <v>5.299210600983522E-2</v>
      </c>
    </row>
    <row r="171" spans="1:27" ht="15" outlineLevel="1" x14ac:dyDescent="0.25">
      <c r="A171" s="93" t="str">
        <f t="shared" ref="A171:A179" si="24">+A18</f>
        <v>5.2</v>
      </c>
      <c r="B171" s="93" t="s">
        <v>29</v>
      </c>
      <c r="C171" s="93" t="str">
        <f t="shared" si="22"/>
        <v>Environmental EIA</v>
      </c>
      <c r="D171" s="7">
        <f t="shared" si="22"/>
        <v>0</v>
      </c>
      <c r="E171" s="49"/>
      <c r="F171" s="49"/>
      <c r="G171" s="49"/>
      <c r="H171" s="49"/>
      <c r="I171" s="49"/>
      <c r="J171" s="48"/>
      <c r="K171" s="12" t="s">
        <v>5</v>
      </c>
      <c r="L171" s="11" t="s">
        <v>48</v>
      </c>
      <c r="M171" s="11" t="s">
        <v>55</v>
      </c>
      <c r="N171" s="11">
        <v>6</v>
      </c>
      <c r="O171" s="54">
        <f t="shared" ref="O171:Z171" si="25">+O18/SUM($O18:$Z18)</f>
        <v>9.8900105773154362E-2</v>
      </c>
      <c r="P171" s="54">
        <f t="shared" si="25"/>
        <v>0.15910508309649288</v>
      </c>
      <c r="Q171" s="54">
        <f t="shared" si="25"/>
        <v>7.2669900134787149E-2</v>
      </c>
      <c r="R171" s="54">
        <f t="shared" si="25"/>
        <v>0.10707305643458</v>
      </c>
      <c r="S171" s="54">
        <f t="shared" si="25"/>
        <v>9.9942180706964395E-2</v>
      </c>
      <c r="T171" s="54">
        <f t="shared" si="25"/>
        <v>0.14798587606804375</v>
      </c>
      <c r="U171" s="54">
        <f t="shared" si="25"/>
        <v>7.2140377790385526E-2</v>
      </c>
      <c r="V171" s="54">
        <f t="shared" si="25"/>
        <v>7.0147059136480255E-2</v>
      </c>
      <c r="W171" s="54">
        <f t="shared" si="25"/>
        <v>5.5845676187914986E-2</v>
      </c>
      <c r="X171" s="54">
        <f t="shared" si="25"/>
        <v>9.0904077972370601E-2</v>
      </c>
      <c r="Y171" s="54">
        <f t="shared" si="25"/>
        <v>8.2027884252216833E-3</v>
      </c>
      <c r="Z171" s="54">
        <f t="shared" si="25"/>
        <v>1.7083818273604501E-2</v>
      </c>
    </row>
    <row r="172" spans="1:27" ht="15" outlineLevel="1" x14ac:dyDescent="0.25">
      <c r="A172" s="93" t="str">
        <f t="shared" si="24"/>
        <v>5.3</v>
      </c>
      <c r="B172" s="93" t="s">
        <v>30</v>
      </c>
      <c r="C172" s="93" t="str">
        <f t="shared" si="22"/>
        <v>Permits Pre-construcción</v>
      </c>
      <c r="D172" s="7">
        <f t="shared" si="22"/>
        <v>0</v>
      </c>
      <c r="E172" s="49"/>
      <c r="F172" s="49"/>
      <c r="G172" s="49"/>
      <c r="H172" s="49"/>
      <c r="I172" s="49"/>
      <c r="J172" s="48"/>
      <c r="K172" s="12" t="s">
        <v>5</v>
      </c>
      <c r="L172" s="11"/>
      <c r="M172" s="11"/>
      <c r="N172" s="11"/>
      <c r="O172" s="54">
        <f t="shared" ref="O172:Z180" si="26">+O19/SUM($O19:$Z19)</f>
        <v>0</v>
      </c>
      <c r="P172" s="54">
        <f t="shared" si="26"/>
        <v>0</v>
      </c>
      <c r="Q172" s="54">
        <f t="shared" si="26"/>
        <v>0</v>
      </c>
      <c r="R172" s="54">
        <f t="shared" si="26"/>
        <v>0.15068493150684931</v>
      </c>
      <c r="S172" s="54">
        <f t="shared" si="26"/>
        <v>0.15068493150684931</v>
      </c>
      <c r="T172" s="54">
        <f t="shared" si="26"/>
        <v>0.15068493150684931</v>
      </c>
      <c r="U172" s="54">
        <f t="shared" si="26"/>
        <v>9.1324200913242004E-2</v>
      </c>
      <c r="V172" s="54">
        <f t="shared" si="26"/>
        <v>9.1324200913242004E-2</v>
      </c>
      <c r="W172" s="54">
        <f t="shared" si="26"/>
        <v>9.1324200913242004E-2</v>
      </c>
      <c r="X172" s="54">
        <f t="shared" si="26"/>
        <v>9.1324200913242004E-2</v>
      </c>
      <c r="Y172" s="54">
        <f t="shared" si="26"/>
        <v>9.1324200913242004E-2</v>
      </c>
      <c r="Z172" s="54">
        <f t="shared" si="26"/>
        <v>9.1324200913242004E-2</v>
      </c>
    </row>
    <row r="173" spans="1:27" ht="15" hidden="1" outlineLevel="1" x14ac:dyDescent="0.25">
      <c r="A173" s="93">
        <f t="shared" si="24"/>
        <v>0</v>
      </c>
      <c r="B173" s="93" t="s">
        <v>31</v>
      </c>
      <c r="C173" s="93">
        <f t="shared" si="22"/>
        <v>0</v>
      </c>
      <c r="D173" s="888">
        <f t="shared" si="22"/>
        <v>0</v>
      </c>
      <c r="E173" s="49"/>
      <c r="F173" s="49"/>
      <c r="G173" s="49"/>
      <c r="H173" s="49"/>
      <c r="I173" s="49"/>
      <c r="J173" s="48"/>
      <c r="K173" s="12" t="s">
        <v>5</v>
      </c>
      <c r="L173" s="11"/>
      <c r="M173" s="11"/>
      <c r="N173" s="11"/>
      <c r="O173" s="54" t="e">
        <f t="shared" si="26"/>
        <v>#DIV/0!</v>
      </c>
      <c r="P173" s="54" t="e">
        <f t="shared" si="26"/>
        <v>#DIV/0!</v>
      </c>
      <c r="Q173" s="54" t="e">
        <f t="shared" si="26"/>
        <v>#DIV/0!</v>
      </c>
      <c r="R173" s="54" t="e">
        <f t="shared" si="26"/>
        <v>#DIV/0!</v>
      </c>
      <c r="S173" s="54" t="e">
        <f t="shared" si="26"/>
        <v>#DIV/0!</v>
      </c>
      <c r="T173" s="54" t="e">
        <f t="shared" si="26"/>
        <v>#DIV/0!</v>
      </c>
      <c r="U173" s="54" t="e">
        <f t="shared" si="26"/>
        <v>#DIV/0!</v>
      </c>
      <c r="V173" s="54" t="e">
        <f t="shared" si="26"/>
        <v>#DIV/0!</v>
      </c>
      <c r="W173" s="54" t="e">
        <f t="shared" si="26"/>
        <v>#DIV/0!</v>
      </c>
      <c r="X173" s="54" t="e">
        <f t="shared" si="26"/>
        <v>#DIV/0!</v>
      </c>
      <c r="Y173" s="54" t="e">
        <f t="shared" si="26"/>
        <v>#DIV/0!</v>
      </c>
      <c r="Z173" s="54" t="e">
        <f t="shared" si="26"/>
        <v>#DIV/0!</v>
      </c>
    </row>
    <row r="174" spans="1:27" ht="15" hidden="1" outlineLevel="1" x14ac:dyDescent="0.25">
      <c r="A174" s="93">
        <f t="shared" si="24"/>
        <v>0</v>
      </c>
      <c r="B174" s="93" t="s">
        <v>32</v>
      </c>
      <c r="C174" s="93">
        <f t="shared" si="22"/>
        <v>0</v>
      </c>
      <c r="D174" s="888">
        <f t="shared" si="22"/>
        <v>0</v>
      </c>
      <c r="E174" s="49"/>
      <c r="F174" s="49"/>
      <c r="G174" s="49"/>
      <c r="H174" s="49"/>
      <c r="I174" s="49"/>
      <c r="J174" s="48"/>
      <c r="K174" s="12"/>
      <c r="L174" s="11"/>
      <c r="M174" s="11"/>
      <c r="N174" s="11"/>
      <c r="O174" s="54" t="e">
        <f t="shared" si="26"/>
        <v>#DIV/0!</v>
      </c>
      <c r="P174" s="54" t="e">
        <f t="shared" si="26"/>
        <v>#DIV/0!</v>
      </c>
      <c r="Q174" s="54" t="e">
        <f t="shared" si="26"/>
        <v>#DIV/0!</v>
      </c>
      <c r="R174" s="54" t="e">
        <f t="shared" si="26"/>
        <v>#DIV/0!</v>
      </c>
      <c r="S174" s="54" t="e">
        <f t="shared" si="26"/>
        <v>#DIV/0!</v>
      </c>
      <c r="T174" s="54" t="e">
        <f t="shared" si="26"/>
        <v>#DIV/0!</v>
      </c>
      <c r="U174" s="54" t="e">
        <f t="shared" si="26"/>
        <v>#DIV/0!</v>
      </c>
      <c r="V174" s="54" t="e">
        <f t="shared" si="26"/>
        <v>#DIV/0!</v>
      </c>
      <c r="W174" s="54" t="e">
        <f t="shared" si="26"/>
        <v>#DIV/0!</v>
      </c>
      <c r="X174" s="54" t="e">
        <f t="shared" si="26"/>
        <v>#DIV/0!</v>
      </c>
      <c r="Y174" s="54" t="e">
        <f t="shared" si="26"/>
        <v>#DIV/0!</v>
      </c>
      <c r="Z174" s="54" t="e">
        <f t="shared" si="26"/>
        <v>#DIV/0!</v>
      </c>
    </row>
    <row r="175" spans="1:27" ht="15" hidden="1" outlineLevel="1" x14ac:dyDescent="0.25">
      <c r="A175" s="93">
        <f t="shared" si="24"/>
        <v>0</v>
      </c>
      <c r="B175" s="93" t="s">
        <v>256</v>
      </c>
      <c r="C175" s="93">
        <f t="shared" si="22"/>
        <v>0</v>
      </c>
      <c r="D175" s="888">
        <f t="shared" si="22"/>
        <v>0</v>
      </c>
      <c r="E175" s="49"/>
      <c r="F175" s="49"/>
      <c r="G175" s="49"/>
      <c r="H175" s="49"/>
      <c r="I175" s="49"/>
      <c r="J175" s="48"/>
      <c r="K175" s="12"/>
      <c r="L175" s="11"/>
      <c r="M175" s="11"/>
      <c r="N175" s="11"/>
      <c r="O175" s="54" t="e">
        <f t="shared" si="26"/>
        <v>#DIV/0!</v>
      </c>
      <c r="P175" s="54" t="e">
        <f t="shared" si="26"/>
        <v>#DIV/0!</v>
      </c>
      <c r="Q175" s="54" t="e">
        <f t="shared" si="26"/>
        <v>#DIV/0!</v>
      </c>
      <c r="R175" s="54" t="e">
        <f t="shared" si="26"/>
        <v>#DIV/0!</v>
      </c>
      <c r="S175" s="54" t="e">
        <f t="shared" si="26"/>
        <v>#DIV/0!</v>
      </c>
      <c r="T175" s="54" t="e">
        <f t="shared" si="26"/>
        <v>#DIV/0!</v>
      </c>
      <c r="U175" s="54" t="e">
        <f t="shared" si="26"/>
        <v>#DIV/0!</v>
      </c>
      <c r="V175" s="54" t="e">
        <f t="shared" si="26"/>
        <v>#DIV/0!</v>
      </c>
      <c r="W175" s="54" t="e">
        <f t="shared" si="26"/>
        <v>#DIV/0!</v>
      </c>
      <c r="X175" s="54" t="e">
        <f t="shared" si="26"/>
        <v>#DIV/0!</v>
      </c>
      <c r="Y175" s="54" t="e">
        <f t="shared" si="26"/>
        <v>#DIV/0!</v>
      </c>
      <c r="Z175" s="54" t="e">
        <f t="shared" si="26"/>
        <v>#DIV/0!</v>
      </c>
    </row>
    <row r="176" spans="1:27" ht="15" hidden="1" outlineLevel="1" x14ac:dyDescent="0.25">
      <c r="A176" s="93">
        <f t="shared" si="24"/>
        <v>0</v>
      </c>
      <c r="B176" s="93" t="s">
        <v>257</v>
      </c>
      <c r="C176" s="93">
        <f t="shared" si="22"/>
        <v>0</v>
      </c>
      <c r="D176" s="888">
        <f t="shared" si="22"/>
        <v>0</v>
      </c>
      <c r="E176" s="49"/>
      <c r="F176" s="49"/>
      <c r="G176" s="49"/>
      <c r="H176" s="49"/>
      <c r="I176" s="49"/>
      <c r="J176" s="48"/>
      <c r="K176" s="12"/>
      <c r="L176" s="11"/>
      <c r="M176" s="11"/>
      <c r="N176" s="11"/>
      <c r="O176" s="54" t="e">
        <f t="shared" si="26"/>
        <v>#DIV/0!</v>
      </c>
      <c r="P176" s="54" t="e">
        <f t="shared" si="26"/>
        <v>#DIV/0!</v>
      </c>
      <c r="Q176" s="54" t="e">
        <f t="shared" si="26"/>
        <v>#DIV/0!</v>
      </c>
      <c r="R176" s="54" t="e">
        <f t="shared" si="26"/>
        <v>#DIV/0!</v>
      </c>
      <c r="S176" s="54" t="e">
        <f t="shared" si="26"/>
        <v>#DIV/0!</v>
      </c>
      <c r="T176" s="54" t="e">
        <f t="shared" si="26"/>
        <v>#DIV/0!</v>
      </c>
      <c r="U176" s="54" t="e">
        <f t="shared" si="26"/>
        <v>#DIV/0!</v>
      </c>
      <c r="V176" s="54" t="e">
        <f t="shared" si="26"/>
        <v>#DIV/0!</v>
      </c>
      <c r="W176" s="54" t="e">
        <f t="shared" si="26"/>
        <v>#DIV/0!</v>
      </c>
      <c r="X176" s="54" t="e">
        <f t="shared" si="26"/>
        <v>#DIV/0!</v>
      </c>
      <c r="Y176" s="54" t="e">
        <f t="shared" si="26"/>
        <v>#DIV/0!</v>
      </c>
      <c r="Z176" s="54" t="e">
        <f t="shared" si="26"/>
        <v>#DIV/0!</v>
      </c>
    </row>
    <row r="177" spans="1:26" ht="15" hidden="1" outlineLevel="1" x14ac:dyDescent="0.25">
      <c r="A177" s="93">
        <f t="shared" si="24"/>
        <v>0</v>
      </c>
      <c r="B177" s="93" t="s">
        <v>258</v>
      </c>
      <c r="C177" s="93">
        <f t="shared" si="22"/>
        <v>0</v>
      </c>
      <c r="D177" s="888">
        <f t="shared" si="22"/>
        <v>0</v>
      </c>
      <c r="E177" s="49"/>
      <c r="F177" s="49"/>
      <c r="G177" s="49"/>
      <c r="H177" s="49"/>
      <c r="I177" s="49"/>
      <c r="J177" s="48"/>
      <c r="K177" s="12"/>
      <c r="L177" s="11"/>
      <c r="M177" s="11"/>
      <c r="N177" s="11"/>
      <c r="O177" s="54" t="e">
        <f t="shared" si="26"/>
        <v>#DIV/0!</v>
      </c>
      <c r="P177" s="54" t="e">
        <f t="shared" si="26"/>
        <v>#DIV/0!</v>
      </c>
      <c r="Q177" s="54" t="e">
        <f t="shared" si="26"/>
        <v>#DIV/0!</v>
      </c>
      <c r="R177" s="54" t="e">
        <f t="shared" si="26"/>
        <v>#DIV/0!</v>
      </c>
      <c r="S177" s="54" t="e">
        <f t="shared" si="26"/>
        <v>#DIV/0!</v>
      </c>
      <c r="T177" s="54" t="e">
        <f t="shared" si="26"/>
        <v>#DIV/0!</v>
      </c>
      <c r="U177" s="54" t="e">
        <f t="shared" si="26"/>
        <v>#DIV/0!</v>
      </c>
      <c r="V177" s="54" t="e">
        <f t="shared" si="26"/>
        <v>#DIV/0!</v>
      </c>
      <c r="W177" s="54" t="e">
        <f t="shared" si="26"/>
        <v>#DIV/0!</v>
      </c>
      <c r="X177" s="54" t="e">
        <f t="shared" si="26"/>
        <v>#DIV/0!</v>
      </c>
      <c r="Y177" s="54" t="e">
        <f t="shared" si="26"/>
        <v>#DIV/0!</v>
      </c>
      <c r="Z177" s="54" t="e">
        <f t="shared" si="26"/>
        <v>#DIV/0!</v>
      </c>
    </row>
    <row r="178" spans="1:26" ht="15" hidden="1" outlineLevel="1" x14ac:dyDescent="0.25">
      <c r="A178" s="93">
        <f t="shared" si="24"/>
        <v>0</v>
      </c>
      <c r="B178" s="93" t="s">
        <v>259</v>
      </c>
      <c r="C178" s="93">
        <f t="shared" si="22"/>
        <v>0</v>
      </c>
      <c r="D178" s="888">
        <f t="shared" si="22"/>
        <v>0</v>
      </c>
      <c r="E178" s="49"/>
      <c r="F178" s="49"/>
      <c r="G178" s="49"/>
      <c r="H178" s="49"/>
      <c r="I178" s="49"/>
      <c r="J178" s="48"/>
      <c r="K178" s="12"/>
      <c r="L178" s="11"/>
      <c r="M178" s="11"/>
      <c r="N178" s="11"/>
      <c r="O178" s="54" t="e">
        <f t="shared" si="26"/>
        <v>#DIV/0!</v>
      </c>
      <c r="P178" s="54" t="e">
        <f t="shared" si="26"/>
        <v>#DIV/0!</v>
      </c>
      <c r="Q178" s="54" t="e">
        <f t="shared" si="26"/>
        <v>#DIV/0!</v>
      </c>
      <c r="R178" s="54" t="e">
        <f t="shared" si="26"/>
        <v>#DIV/0!</v>
      </c>
      <c r="S178" s="54" t="e">
        <f t="shared" si="26"/>
        <v>#DIV/0!</v>
      </c>
      <c r="T178" s="54" t="e">
        <f t="shared" si="26"/>
        <v>#DIV/0!</v>
      </c>
      <c r="U178" s="54" t="e">
        <f t="shared" si="26"/>
        <v>#DIV/0!</v>
      </c>
      <c r="V178" s="54" t="e">
        <f t="shared" si="26"/>
        <v>#DIV/0!</v>
      </c>
      <c r="W178" s="54" t="e">
        <f t="shared" si="26"/>
        <v>#DIV/0!</v>
      </c>
      <c r="X178" s="54" t="e">
        <f t="shared" si="26"/>
        <v>#DIV/0!</v>
      </c>
      <c r="Y178" s="54" t="e">
        <f t="shared" si="26"/>
        <v>#DIV/0!</v>
      </c>
      <c r="Z178" s="54" t="e">
        <f t="shared" si="26"/>
        <v>#DIV/0!</v>
      </c>
    </row>
    <row r="179" spans="1:26" ht="15" hidden="1" outlineLevel="1" x14ac:dyDescent="0.25">
      <c r="A179" s="93">
        <f t="shared" si="24"/>
        <v>0</v>
      </c>
      <c r="B179" s="93" t="s">
        <v>260</v>
      </c>
      <c r="C179" s="93">
        <f t="shared" si="22"/>
        <v>0</v>
      </c>
      <c r="D179" s="888">
        <f t="shared" si="22"/>
        <v>0</v>
      </c>
      <c r="E179" s="49"/>
      <c r="F179" s="49"/>
      <c r="G179" s="49"/>
      <c r="H179" s="49"/>
      <c r="I179" s="49"/>
      <c r="J179" s="48"/>
      <c r="K179" s="12" t="s">
        <v>5</v>
      </c>
      <c r="L179" s="11"/>
      <c r="M179" s="11"/>
      <c r="N179" s="11"/>
      <c r="O179" s="54" t="e">
        <f t="shared" si="26"/>
        <v>#VALUE!</v>
      </c>
      <c r="P179" s="54" t="e">
        <f t="shared" si="26"/>
        <v>#DIV/0!</v>
      </c>
      <c r="Q179" s="54" t="e">
        <f t="shared" si="26"/>
        <v>#DIV/0!</v>
      </c>
      <c r="R179" s="54" t="e">
        <f t="shared" si="26"/>
        <v>#DIV/0!</v>
      </c>
      <c r="S179" s="54" t="e">
        <f t="shared" si="26"/>
        <v>#DIV/0!</v>
      </c>
      <c r="T179" s="54" t="e">
        <f t="shared" si="26"/>
        <v>#DIV/0!</v>
      </c>
      <c r="U179" s="54" t="e">
        <f t="shared" si="26"/>
        <v>#DIV/0!</v>
      </c>
      <c r="V179" s="54" t="e">
        <f t="shared" si="26"/>
        <v>#DIV/0!</v>
      </c>
      <c r="W179" s="54" t="e">
        <f t="shared" si="26"/>
        <v>#DIV/0!</v>
      </c>
      <c r="X179" s="54" t="e">
        <f t="shared" si="26"/>
        <v>#DIV/0!</v>
      </c>
      <c r="Y179" s="54" t="e">
        <f t="shared" si="26"/>
        <v>#DIV/0!</v>
      </c>
      <c r="Z179" s="54" t="e">
        <f t="shared" si="26"/>
        <v>#DIV/0!</v>
      </c>
    </row>
    <row r="180" spans="1:26" s="35" customFormat="1" ht="22.5" customHeight="1" outlineLevel="1" x14ac:dyDescent="0.25">
      <c r="A180" s="33"/>
      <c r="B180" s="34"/>
      <c r="C180" s="34"/>
      <c r="D180" s="34"/>
      <c r="E180" s="50"/>
      <c r="F180" s="50"/>
      <c r="G180" s="50"/>
      <c r="H180" s="50"/>
      <c r="I180" s="50"/>
      <c r="J180" s="51" t="s">
        <v>20</v>
      </c>
      <c r="K180" s="68"/>
      <c r="L180" s="32" t="s">
        <v>48</v>
      </c>
      <c r="M180" s="32" t="s">
        <v>55</v>
      </c>
      <c r="N180" s="126">
        <f>SUM(N170:N179)</f>
        <v>12</v>
      </c>
      <c r="O180" s="54">
        <f t="shared" si="26"/>
        <v>0.1186023015009204</v>
      </c>
      <c r="P180" s="54">
        <f t="shared" si="26"/>
        <v>0.15910997448993572</v>
      </c>
      <c r="Q180" s="54">
        <f t="shared" si="26"/>
        <v>9.4134540523360954E-2</v>
      </c>
      <c r="R180" s="54">
        <f t="shared" si="26"/>
        <v>9.7106472877557234E-2</v>
      </c>
      <c r="S180" s="54">
        <f t="shared" si="26"/>
        <v>8.9883987001303414E-2</v>
      </c>
      <c r="T180" s="54">
        <f t="shared" si="26"/>
        <v>0.12692720514818862</v>
      </c>
      <c r="U180" s="54">
        <f t="shared" si="26"/>
        <v>6.6554690559536653E-2</v>
      </c>
      <c r="V180" s="54">
        <f t="shared" si="26"/>
        <v>6.6855360727380839E-2</v>
      </c>
      <c r="W180" s="54">
        <f t="shared" si="26"/>
        <v>5.4789377439471362E-2</v>
      </c>
      <c r="X180" s="54">
        <f t="shared" si="26"/>
        <v>8.0789248618776982E-2</v>
      </c>
      <c r="Y180" s="54">
        <f t="shared" si="26"/>
        <v>1.8050220803614174E-2</v>
      </c>
      <c r="Z180" s="54">
        <f t="shared" si="26"/>
        <v>2.7196620309953706E-2</v>
      </c>
    </row>
    <row r="182" spans="1:26" x14ac:dyDescent="0.25">
      <c r="B182" s="27" t="s">
        <v>21</v>
      </c>
      <c r="C182" s="28">
        <v>43102</v>
      </c>
    </row>
    <row r="183" spans="1:26" x14ac:dyDescent="0.25">
      <c r="B183" s="27" t="s">
        <v>23</v>
      </c>
      <c r="C183" s="28">
        <v>42917</v>
      </c>
    </row>
    <row r="185" spans="1:26" ht="18" x14ac:dyDescent="0.25">
      <c r="A185" s="132" t="s">
        <v>262</v>
      </c>
    </row>
    <row r="186" spans="1:26" ht="18" x14ac:dyDescent="0.25">
      <c r="A186" s="127" t="s">
        <v>302</v>
      </c>
      <c r="B186" s="128"/>
    </row>
    <row r="187" spans="1:26" ht="18" x14ac:dyDescent="0.25">
      <c r="A187" s="127" t="s">
        <v>323</v>
      </c>
      <c r="B187" s="128"/>
    </row>
    <row r="189" spans="1:26" ht="18" x14ac:dyDescent="0.25">
      <c r="A189" s="128" t="s">
        <v>316</v>
      </c>
      <c r="B189" s="131" t="s">
        <v>288</v>
      </c>
      <c r="C189" s="131" t="s">
        <v>320</v>
      </c>
    </row>
    <row r="190" spans="1:26" ht="36" x14ac:dyDescent="0.25">
      <c r="A190" s="130" t="s">
        <v>310</v>
      </c>
      <c r="B190" s="131" t="s">
        <v>289</v>
      </c>
      <c r="C190" s="131" t="s">
        <v>321</v>
      </c>
    </row>
    <row r="191" spans="1:26" ht="54" x14ac:dyDescent="0.25">
      <c r="A191" s="130" t="s">
        <v>311</v>
      </c>
      <c r="B191" s="131" t="s">
        <v>290</v>
      </c>
      <c r="C191" s="131" t="s">
        <v>319</v>
      </c>
    </row>
    <row r="192" spans="1:26" ht="54" x14ac:dyDescent="0.25">
      <c r="A192" s="130" t="s">
        <v>312</v>
      </c>
      <c r="B192" s="131" t="s">
        <v>291</v>
      </c>
      <c r="C192" s="131" t="s">
        <v>322</v>
      </c>
    </row>
    <row r="193" spans="1:3" ht="72" x14ac:dyDescent="0.25">
      <c r="A193" s="130" t="s">
        <v>313</v>
      </c>
      <c r="B193" s="131" t="s">
        <v>292</v>
      </c>
      <c r="C193" s="131" t="s">
        <v>327</v>
      </c>
    </row>
    <row r="194" spans="1:3" ht="54" x14ac:dyDescent="0.25">
      <c r="A194" s="130" t="s">
        <v>314</v>
      </c>
      <c r="B194" s="131" t="s">
        <v>293</v>
      </c>
      <c r="C194" s="131" t="s">
        <v>317</v>
      </c>
    </row>
    <row r="195" spans="1:3" ht="72" x14ac:dyDescent="0.25">
      <c r="A195" s="130" t="s">
        <v>315</v>
      </c>
      <c r="B195" s="131" t="s">
        <v>296</v>
      </c>
      <c r="C195" s="131" t="s">
        <v>318</v>
      </c>
    </row>
    <row r="197" spans="1:3" ht="54" x14ac:dyDescent="0.25">
      <c r="A197" s="129" t="s">
        <v>301</v>
      </c>
      <c r="B197" s="128" t="s">
        <v>305</v>
      </c>
    </row>
    <row r="199" spans="1:3" ht="36" x14ac:dyDescent="0.25">
      <c r="A199" s="129" t="s">
        <v>303</v>
      </c>
      <c r="B199" s="128" t="s">
        <v>306</v>
      </c>
    </row>
    <row r="200" spans="1:3" ht="18" x14ac:dyDescent="0.25">
      <c r="A200" s="128"/>
    </row>
    <row r="201" spans="1:3" ht="54" x14ac:dyDescent="0.25">
      <c r="A201" s="129" t="s">
        <v>304</v>
      </c>
      <c r="B201" s="9" t="s">
        <v>307</v>
      </c>
    </row>
    <row r="202" spans="1:3" ht="18" x14ac:dyDescent="0.25">
      <c r="A202" s="128"/>
    </row>
    <row r="203" spans="1:3" ht="36" x14ac:dyDescent="0.25">
      <c r="A203" s="128" t="s">
        <v>308</v>
      </c>
      <c r="B203" s="128" t="s">
        <v>309</v>
      </c>
    </row>
  </sheetData>
  <mergeCells count="33">
    <mergeCell ref="E50:K50"/>
    <mergeCell ref="E33:K33"/>
    <mergeCell ref="E38:K38"/>
    <mergeCell ref="E39:K39"/>
    <mergeCell ref="E41:K41"/>
    <mergeCell ref="E42:K42"/>
    <mergeCell ref="E43:K43"/>
    <mergeCell ref="E44:K44"/>
    <mergeCell ref="E45:K45"/>
    <mergeCell ref="E47:K47"/>
    <mergeCell ref="E48:K48"/>
    <mergeCell ref="E49:K49"/>
    <mergeCell ref="E65:K65"/>
    <mergeCell ref="E51:K51"/>
    <mergeCell ref="E53:K53"/>
    <mergeCell ref="E54:K54"/>
    <mergeCell ref="E55:K55"/>
    <mergeCell ref="E56:K56"/>
    <mergeCell ref="E57:K57"/>
    <mergeCell ref="E59:K59"/>
    <mergeCell ref="E60:K60"/>
    <mergeCell ref="E61:K61"/>
    <mergeCell ref="E62:K62"/>
    <mergeCell ref="E63:K63"/>
    <mergeCell ref="E73:K73"/>
    <mergeCell ref="E74:K74"/>
    <mergeCell ref="E75:K75"/>
    <mergeCell ref="E66:K66"/>
    <mergeCell ref="E67:K67"/>
    <mergeCell ref="E68:K68"/>
    <mergeCell ref="E69:K69"/>
    <mergeCell ref="E71:K71"/>
    <mergeCell ref="E72:K72"/>
  </mergeCells>
  <dataValidations count="5">
    <dataValidation type="list" allowBlank="1" showInputMessage="1" showErrorMessage="1" sqref="L41:L45 L47:L51 L53:L57 L59:L63 L65:L69 L71:L75 L35:L36 L38:L39">
      <formula1>$G$2:$G$8</formula1>
    </dataValidation>
    <dataValidation type="list" allowBlank="1" showInputMessage="1" showErrorMessage="1" sqref="J137 L180">
      <formula1>$C$3:$C$14</formula1>
    </dataValidation>
    <dataValidation type="list" allowBlank="1" showInputMessage="1" showErrorMessage="1" sqref="L27 L17:L19">
      <formula1>$D$4:$D$15</formula1>
    </dataValidation>
    <dataValidation type="list" allowBlank="1" showInputMessage="1" showErrorMessage="1" sqref="M170:M180 L170:L179 H154:K157 H147:K150 H140:K143 H133:K136 H144:J144 H151:J151 H158:J158 H165:J165 H161:K164 H137:I137">
      <formula1>$C$3:$C$15</formula1>
    </dataValidation>
    <dataValidation type="list" allowBlank="1" showInputMessage="1" showErrorMessage="1" sqref="F161:F165 F154:F158 F147:F151 F140:F144 F133:F137">
      <formula1>$A$3:$A$9</formula1>
    </dataValidation>
  </dataValidations>
  <printOptions horizontalCentered="1"/>
  <pageMargins left="0.31496062992125984" right="0.31496062992125984" top="1.1811023622047245" bottom="1.1811023622047245" header="0.31496062992125984" footer="0.31496062992125984"/>
  <pageSetup paperSize="17" scale="32"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'C:\Users\michael.leyton\Desktop\Proyectos Mes\201801\[20171031 Presupuesto y Contract Register R5_1.xlsx]Lists'!#REF!</xm:f>
          </x14:formula1>
          <xm:sqref>F80:F86 F124:F129 H80:K86 H124:K129 H90:K119 F90:F120</xm:sqref>
        </x14:dataValidation>
        <x14:dataValidation type="list" allowBlank="1" showInputMessage="1" showErrorMessage="1">
          <x14:formula1>
            <xm:f>'\Users\michaelleyton\Desktop\Users\michaelleyton\Desktop\Contract Register\C:\Users\gineva.alcota\AppData\Local\Microsoft\Windows\INetCache\Content.Outlook\ZG6HJCZN\[Formato Finanzas SubSumas 24 AGO_GA_Enviado (002).xlsx]CCs &amp; Accounts'!#REF!</xm:f>
          </x14:formula1>
          <xm:sqref>E17:E26 E124:E129 E133:E137 E140:E144 E147:E151 E154:E158 E161:E165 E86 E90:E120</xm:sqref>
        </x14:dataValidation>
        <x14:dataValidation type="list" allowBlank="1" showInputMessage="1" showErrorMessage="1">
          <x14:formula1>
            <xm:f>'\Users\michaelleyton\Desktop\Users\michaelleyton\Desktop\Contract Register\C:\Users\gineva.alcota\AppData\Local\Microsoft\Windows\INetCache\Content.Outlook\ZG6HJCZN\[Formato Finanzas SubSumas 24 AGO_GA_Enviado (002).xlsx]Lists'!#REF!</xm:f>
          </x14:formula1>
          <xm:sqref>L128:L129 B8 N170:N179 L32:L33 L86 L133:M136 L140:M143 L147:M150 L154:M157 L161:M164 M124:M129 L124 L90:M91 H120:M120 AC90:AC120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pageSetUpPr fitToPage="1"/>
  </sheetPr>
  <dimension ref="A1:AA175"/>
  <sheetViews>
    <sheetView showGridLines="0" topLeftCell="A24" zoomScale="60" zoomScaleNormal="60" zoomScalePageLayoutView="60" workbookViewId="0">
      <selection activeCell="N152" sqref="N152"/>
    </sheetView>
  </sheetViews>
  <sheetFormatPr baseColWidth="10" defaultColWidth="11.42578125" defaultRowHeight="14.25" outlineLevelRow="1" outlineLevelCol="1" x14ac:dyDescent="0.25"/>
  <cols>
    <col min="1" max="1" width="10.85546875" style="9" customWidth="1"/>
    <col min="2" max="2" width="41.28515625" style="9" customWidth="1"/>
    <col min="3" max="3" width="43.7109375" style="9" customWidth="1"/>
    <col min="4" max="4" width="79.42578125" style="9" customWidth="1"/>
    <col min="5" max="5" width="17.5703125" style="9" customWidth="1"/>
    <col min="6" max="6" width="36.140625" style="9" hidden="1" customWidth="1"/>
    <col min="7" max="8" width="17.5703125" style="9" hidden="1" customWidth="1"/>
    <col min="9" max="10" width="11.5703125" style="9" hidden="1" customWidth="1"/>
    <col min="11" max="11" width="17.5703125" style="9" hidden="1" customWidth="1"/>
    <col min="12" max="13" width="17.7109375" style="9" hidden="1" customWidth="1"/>
    <col min="14" max="14" width="13.5703125" style="9" customWidth="1"/>
    <col min="15" max="15" width="13"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334</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VLOOKUP(B8,[15]Lists!E2:G41,3,)</f>
        <v>684 SERA</v>
      </c>
      <c r="C10" s="84"/>
      <c r="D10" s="77" t="str">
        <f>VLOOKUP(B8,[15]Lists!$E$3:$F$41,2,)</f>
        <v>Petri Sopera</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t="s">
        <v>154</v>
      </c>
      <c r="B17" s="93" t="s">
        <v>27</v>
      </c>
      <c r="C17" s="93" t="s">
        <v>1379</v>
      </c>
      <c r="D17" s="10"/>
      <c r="E17" s="11" t="s">
        <v>222</v>
      </c>
      <c r="F17" s="48"/>
      <c r="G17" s="48"/>
      <c r="H17" s="48"/>
      <c r="I17" s="48"/>
      <c r="J17" s="48"/>
      <c r="K17" s="48"/>
      <c r="L17" s="11">
        <v>6</v>
      </c>
      <c r="M17" s="53">
        <f>+M85</f>
        <v>0</v>
      </c>
      <c r="N17" s="11">
        <f>SUM(O17:Z17)</f>
        <v>1527873.0343137258</v>
      </c>
      <c r="O17" s="11">
        <f>O85</f>
        <v>326879.55261437909</v>
      </c>
      <c r="P17" s="11">
        <f t="shared" ref="P17:Z17" si="0">P85</f>
        <v>288132.49379084969</v>
      </c>
      <c r="Q17" s="11">
        <f t="shared" si="0"/>
        <v>292605.02320261439</v>
      </c>
      <c r="R17" s="11">
        <f t="shared" si="0"/>
        <v>76492.680392156864</v>
      </c>
      <c r="S17" s="11">
        <f t="shared" si="0"/>
        <v>62893.389215686264</v>
      </c>
      <c r="T17" s="11">
        <f t="shared" si="0"/>
        <v>67365.918627450985</v>
      </c>
      <c r="U17" s="11">
        <f t="shared" si="0"/>
        <v>62893.389215686264</v>
      </c>
      <c r="V17" s="11">
        <f t="shared" si="0"/>
        <v>76492.680392156864</v>
      </c>
      <c r="W17" s="11">
        <f t="shared" si="0"/>
        <v>67365.918627450985</v>
      </c>
      <c r="X17" s="11">
        <f t="shared" si="0"/>
        <v>62893.389215686264</v>
      </c>
      <c r="Y17" s="11">
        <f t="shared" si="0"/>
        <v>62893.389215686264</v>
      </c>
      <c r="Z17" s="11">
        <f t="shared" si="0"/>
        <v>80965.209803921563</v>
      </c>
    </row>
    <row r="18" spans="1:26" ht="15" x14ac:dyDescent="0.25">
      <c r="A18" s="93" t="s">
        <v>157</v>
      </c>
      <c r="B18" s="93" t="s">
        <v>29</v>
      </c>
      <c r="C18" s="93" t="s">
        <v>1380</v>
      </c>
      <c r="D18" s="10"/>
      <c r="E18" s="11" t="s">
        <v>220</v>
      </c>
      <c r="F18" s="48"/>
      <c r="G18" s="48"/>
      <c r="H18" s="48"/>
      <c r="I18" s="48"/>
      <c r="J18" s="48"/>
      <c r="K18" s="48"/>
      <c r="L18" s="11">
        <v>6</v>
      </c>
      <c r="M18" s="53">
        <f>+M96</f>
        <v>0</v>
      </c>
      <c r="N18" s="11">
        <f>SUM(O18:Z18)</f>
        <v>6089064.9966193382</v>
      </c>
      <c r="O18" s="11">
        <f>O96</f>
        <v>607735.76148298394</v>
      </c>
      <c r="P18" s="11">
        <f t="shared" ref="P18:Z18" si="1">P96</f>
        <v>1045552.2948163173</v>
      </c>
      <c r="Q18" s="11">
        <f t="shared" si="1"/>
        <v>432343.07913004281</v>
      </c>
      <c r="R18" s="11">
        <f t="shared" si="1"/>
        <v>618307.33011043502</v>
      </c>
      <c r="S18" s="11">
        <f t="shared" si="1"/>
        <v>531358.96148298401</v>
      </c>
      <c r="T18" s="11">
        <f t="shared" si="1"/>
        <v>943472.64775749389</v>
      </c>
      <c r="U18" s="11">
        <f t="shared" si="1"/>
        <v>448472.87913004274</v>
      </c>
      <c r="V18" s="11">
        <f t="shared" si="1"/>
        <v>399828.23599278793</v>
      </c>
      <c r="W18" s="11">
        <f t="shared" si="1"/>
        <v>343855.82030651334</v>
      </c>
      <c r="X18" s="11">
        <f t="shared" si="1"/>
        <v>521244.05560063099</v>
      </c>
      <c r="Y18" s="11">
        <f t="shared" si="1"/>
        <v>44211.898737885953</v>
      </c>
      <c r="Z18" s="11">
        <f t="shared" si="1"/>
        <v>152682.03207121929</v>
      </c>
    </row>
    <row r="19" spans="1:26" ht="15" x14ac:dyDescent="0.25">
      <c r="A19" s="93" t="s">
        <v>158</v>
      </c>
      <c r="B19" s="93" t="s">
        <v>30</v>
      </c>
      <c r="C19" s="93" t="s">
        <v>1381</v>
      </c>
      <c r="D19" s="10"/>
      <c r="E19" s="11" t="s">
        <v>224</v>
      </c>
      <c r="F19" s="48"/>
      <c r="G19" s="48"/>
      <c r="H19" s="48"/>
      <c r="I19" s="48"/>
      <c r="J19" s="48"/>
      <c r="K19" s="48"/>
      <c r="L19" s="11"/>
      <c r="M19" s="53">
        <f>+M102</f>
        <v>0</v>
      </c>
      <c r="N19" s="11">
        <f t="shared" ref="N19" si="2">SUM(O19:Z19)</f>
        <v>426915.09411764704</v>
      </c>
      <c r="O19" s="11">
        <f>O102</f>
        <v>47193.917647058821</v>
      </c>
      <c r="P19" s="11">
        <f t="shared" ref="P19:Z19" si="3">P102</f>
        <v>46496.470588235294</v>
      </c>
      <c r="Q19" s="11">
        <f t="shared" si="3"/>
        <v>54245.882352941175</v>
      </c>
      <c r="R19" s="11">
        <f t="shared" si="3"/>
        <v>54245.882352941175</v>
      </c>
      <c r="S19" s="11">
        <f t="shared" si="3"/>
        <v>54245.882352941175</v>
      </c>
      <c r="T19" s="11">
        <f t="shared" si="3"/>
        <v>54245.882352941175</v>
      </c>
      <c r="U19" s="11">
        <f t="shared" si="3"/>
        <v>19373.529411764706</v>
      </c>
      <c r="V19" s="11">
        <f t="shared" si="3"/>
        <v>19373.529411764706</v>
      </c>
      <c r="W19" s="11">
        <f t="shared" si="3"/>
        <v>19373.529411764706</v>
      </c>
      <c r="X19" s="11">
        <f t="shared" si="3"/>
        <v>19373.529411764706</v>
      </c>
      <c r="Y19" s="11">
        <f t="shared" si="3"/>
        <v>19373.529411764706</v>
      </c>
      <c r="Z19" s="11">
        <f t="shared" si="3"/>
        <v>19373.529411764706</v>
      </c>
    </row>
    <row r="20" spans="1:26" ht="15" x14ac:dyDescent="0.25">
      <c r="A20" s="93"/>
      <c r="B20" s="93"/>
      <c r="C20" s="93"/>
      <c r="D20" s="10"/>
      <c r="E20" s="11"/>
      <c r="F20" s="48"/>
      <c r="G20" s="48"/>
      <c r="H20" s="48"/>
      <c r="I20" s="48"/>
      <c r="J20" s="48"/>
      <c r="K20" s="48"/>
      <c r="L20" s="11"/>
      <c r="M20" s="48"/>
      <c r="N20" s="12"/>
      <c r="O20" s="12"/>
      <c r="P20" s="12"/>
      <c r="Q20" s="12"/>
      <c r="R20" s="12"/>
      <c r="S20" s="12"/>
      <c r="T20" s="12"/>
      <c r="U20" s="12"/>
      <c r="V20" s="12"/>
      <c r="W20" s="12"/>
      <c r="X20" s="12"/>
      <c r="Y20" s="12"/>
      <c r="Z20" s="12"/>
    </row>
    <row r="21" spans="1:26" ht="15"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0</v>
      </c>
      <c r="N27" s="32">
        <f>SUM(N16:N26)</f>
        <v>8043853.1250507105</v>
      </c>
      <c r="O27" s="32">
        <f>SUM(O17:O26)</f>
        <v>981809.23174442188</v>
      </c>
      <c r="P27" s="32">
        <f t="shared" ref="P27:Z27" si="4">SUM(P17:P26)</f>
        <v>1380181.2591954023</v>
      </c>
      <c r="Q27" s="32">
        <f t="shared" si="4"/>
        <v>779193.98468559841</v>
      </c>
      <c r="R27" s="32">
        <f t="shared" si="4"/>
        <v>749045.89285553305</v>
      </c>
      <c r="S27" s="32">
        <f t="shared" si="4"/>
        <v>648498.23305161146</v>
      </c>
      <c r="T27" s="32">
        <f t="shared" si="4"/>
        <v>1065084.448737886</v>
      </c>
      <c r="U27" s="32">
        <f t="shared" si="4"/>
        <v>530739.79775749368</v>
      </c>
      <c r="V27" s="32">
        <f t="shared" si="4"/>
        <v>495694.44579670951</v>
      </c>
      <c r="W27" s="32">
        <f t="shared" si="4"/>
        <v>430595.26834572904</v>
      </c>
      <c r="X27" s="32">
        <f t="shared" si="4"/>
        <v>603510.97422808199</v>
      </c>
      <c r="Y27" s="32">
        <f t="shared" si="4"/>
        <v>126478.81736533693</v>
      </c>
      <c r="Z27" s="32">
        <f t="shared" si="4"/>
        <v>253020.77128690557</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 xml:space="preserve">Objective 1 Environmental Monitoring </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x14ac:dyDescent="0.25">
      <c r="A32" s="93"/>
      <c r="B32" s="7"/>
      <c r="C32" s="7"/>
      <c r="D32" s="10"/>
      <c r="E32" s="354"/>
      <c r="F32" s="354"/>
      <c r="G32" s="354"/>
      <c r="H32" s="354"/>
      <c r="I32" s="354"/>
      <c r="J32" s="354"/>
      <c r="K32" s="355"/>
      <c r="L32" s="11"/>
      <c r="M32" s="48"/>
      <c r="N32" s="12"/>
      <c r="O32" s="52"/>
      <c r="P32" s="52"/>
      <c r="Q32" s="52"/>
      <c r="R32" s="52"/>
      <c r="S32" s="52"/>
      <c r="T32" s="52"/>
      <c r="U32" s="52"/>
      <c r="V32" s="52"/>
      <c r="W32" s="52"/>
      <c r="X32" s="52"/>
      <c r="Y32" s="52"/>
      <c r="Z32" s="52"/>
    </row>
    <row r="33" spans="1:26" ht="15" x14ac:dyDescent="0.25">
      <c r="A33" s="93"/>
      <c r="B33" s="7"/>
      <c r="C33" s="7"/>
      <c r="D33" s="10"/>
      <c r="E33" s="1001" t="s">
        <v>5</v>
      </c>
      <c r="F33" s="1001" t="s">
        <v>5</v>
      </c>
      <c r="G33" s="1001" t="s">
        <v>5</v>
      </c>
      <c r="H33" s="1001"/>
      <c r="I33" s="1001"/>
      <c r="J33" s="1001"/>
      <c r="K33" s="1002" t="s">
        <v>5</v>
      </c>
      <c r="L33" s="11"/>
      <c r="M33" s="48"/>
      <c r="N33" s="12"/>
      <c r="O33" s="12" t="s">
        <v>5</v>
      </c>
      <c r="P33" s="12"/>
      <c r="Q33" s="12"/>
      <c r="R33" s="12"/>
      <c r="S33" s="12"/>
      <c r="T33" s="12"/>
      <c r="U33" s="12"/>
      <c r="V33" s="12"/>
      <c r="W33" s="12"/>
      <c r="X33" s="12"/>
      <c r="Y33" s="12"/>
      <c r="Z33" s="12"/>
    </row>
    <row r="34" spans="1:26" ht="18" x14ac:dyDescent="0.25">
      <c r="A34" s="30" t="str">
        <f>CONCATENATE(B18," ",C18)</f>
        <v>Objective 2 Environmental EIA</v>
      </c>
      <c r="B34" s="30"/>
      <c r="C34" s="31"/>
      <c r="D34" s="31"/>
      <c r="E34" s="29"/>
      <c r="F34" s="29"/>
      <c r="G34" s="29"/>
      <c r="H34" s="29"/>
      <c r="I34" s="29"/>
      <c r="J34" s="29"/>
      <c r="K34" s="29"/>
      <c r="L34" s="29"/>
      <c r="M34" s="29"/>
      <c r="N34" s="29"/>
      <c r="O34" s="29" t="s">
        <v>5</v>
      </c>
      <c r="P34" s="29"/>
      <c r="Q34" s="29"/>
      <c r="R34" s="29"/>
      <c r="S34" s="29"/>
      <c r="T34" s="29"/>
      <c r="U34" s="29"/>
      <c r="V34" s="29"/>
      <c r="W34" s="29"/>
      <c r="X34" s="29"/>
      <c r="Y34" s="29"/>
      <c r="Z34" s="29"/>
    </row>
    <row r="35" spans="1:26" ht="28.5" x14ac:dyDescent="0.25">
      <c r="A35" s="93"/>
      <c r="B35" s="7"/>
      <c r="C35" s="7" t="e">
        <f>#REF!</f>
        <v>#REF!</v>
      </c>
      <c r="D35" s="10" t="s">
        <v>1382</v>
      </c>
      <c r="E35" s="354"/>
      <c r="F35" s="354"/>
      <c r="G35" s="354"/>
      <c r="H35" s="354"/>
      <c r="I35" s="354"/>
      <c r="J35" s="354"/>
      <c r="K35" s="355"/>
      <c r="L35" s="161"/>
      <c r="M35" s="48"/>
      <c r="N35" s="12"/>
      <c r="O35" s="52"/>
      <c r="P35" s="52"/>
      <c r="Q35" s="52"/>
      <c r="R35" s="52"/>
      <c r="S35" s="52"/>
      <c r="T35" s="52"/>
      <c r="U35" s="52"/>
      <c r="V35" s="52"/>
      <c r="W35" s="52"/>
      <c r="X35" s="52"/>
      <c r="Y35" s="52"/>
      <c r="Z35" s="52"/>
    </row>
    <row r="36" spans="1:26" ht="15" x14ac:dyDescent="0.25">
      <c r="A36" s="93"/>
      <c r="B36" s="7"/>
      <c r="C36" s="7"/>
      <c r="D36" s="10"/>
      <c r="E36" s="354"/>
      <c r="F36" s="354"/>
      <c r="G36" s="354"/>
      <c r="H36" s="354"/>
      <c r="I36" s="354"/>
      <c r="J36" s="354"/>
      <c r="K36" s="355"/>
      <c r="L36" s="11"/>
      <c r="M36" s="48"/>
      <c r="N36" s="12"/>
      <c r="O36" s="12"/>
      <c r="P36" s="12"/>
      <c r="Q36" s="12"/>
      <c r="R36" s="12"/>
      <c r="S36" s="12"/>
      <c r="T36" s="12"/>
      <c r="U36" s="12"/>
      <c r="V36" s="12"/>
      <c r="W36" s="12"/>
      <c r="X36" s="12"/>
      <c r="Y36" s="12"/>
      <c r="Z36" s="12"/>
    </row>
    <row r="37" spans="1:26" ht="18" x14ac:dyDescent="0.25">
      <c r="A37" s="30" t="str">
        <f>CONCATENATE(B19," ",C19)</f>
        <v>Objective 3 Permits Pre-construcción</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x14ac:dyDescent="0.25">
      <c r="A38" s="93" t="s">
        <v>265</v>
      </c>
      <c r="B38" s="7"/>
      <c r="C38" s="7"/>
      <c r="D38" s="10"/>
      <c r="E38" s="1001" t="s">
        <v>5</v>
      </c>
      <c r="F38" s="1001" t="s">
        <v>5</v>
      </c>
      <c r="G38" s="1001" t="s">
        <v>5</v>
      </c>
      <c r="H38" s="1001"/>
      <c r="I38" s="1001"/>
      <c r="J38" s="1001"/>
      <c r="K38" s="1002" t="s">
        <v>5</v>
      </c>
      <c r="L38" s="11"/>
      <c r="M38" s="48"/>
      <c r="N38" s="12"/>
      <c r="O38" s="12" t="s">
        <v>5</v>
      </c>
      <c r="P38" s="12"/>
      <c r="Q38" s="12"/>
      <c r="R38" s="12"/>
      <c r="S38" s="12"/>
      <c r="T38" s="12"/>
      <c r="U38" s="12"/>
      <c r="V38" s="12"/>
      <c r="W38" s="12"/>
      <c r="X38" s="12"/>
      <c r="Y38" s="12"/>
      <c r="Z38" s="12"/>
    </row>
    <row r="39" spans="1:26" ht="15" x14ac:dyDescent="0.25">
      <c r="A39" s="93" t="s">
        <v>266</v>
      </c>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8" hidden="1" outlineLevel="1" x14ac:dyDescent="0.25">
      <c r="A40" s="30" t="str">
        <f>CONCATENATE(B21," ",C21)</f>
        <v xml:space="preserve"> </v>
      </c>
      <c r="B40" s="30"/>
      <c r="C40" s="31"/>
      <c r="D40" s="31"/>
      <c r="E40" s="29"/>
      <c r="F40" s="29"/>
      <c r="G40" s="29"/>
      <c r="H40" s="29"/>
      <c r="I40" s="29"/>
      <c r="J40" s="29"/>
      <c r="K40" s="29"/>
      <c r="L40" s="29"/>
      <c r="M40" s="29"/>
      <c r="N40" s="29"/>
      <c r="O40" s="29" t="s">
        <v>5</v>
      </c>
      <c r="P40" s="29"/>
      <c r="Q40" s="29"/>
      <c r="R40" s="29"/>
      <c r="S40" s="29"/>
      <c r="T40" s="29"/>
      <c r="U40" s="29"/>
      <c r="V40" s="29"/>
      <c r="W40" s="29"/>
      <c r="X40" s="29"/>
      <c r="Y40" s="29"/>
      <c r="Z40" s="29"/>
    </row>
    <row r="41" spans="1:26" ht="15" hidden="1" outlineLevel="1" x14ac:dyDescent="0.25">
      <c r="A41" s="93" t="s">
        <v>269</v>
      </c>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outlineLevel="1" x14ac:dyDescent="0.25">
      <c r="A42" s="93" t="s">
        <v>270</v>
      </c>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5" hidden="1" outlineLevel="1" x14ac:dyDescent="0.25">
      <c r="A43" s="93"/>
      <c r="B43" s="7"/>
      <c r="C43" s="7"/>
      <c r="D43" s="10"/>
      <c r="E43" s="1001" t="s">
        <v>5</v>
      </c>
      <c r="F43" s="1001" t="s">
        <v>5</v>
      </c>
      <c r="G43" s="1001" t="s">
        <v>5</v>
      </c>
      <c r="H43" s="1001"/>
      <c r="I43" s="1001"/>
      <c r="J43" s="1001"/>
      <c r="K43" s="1002" t="s">
        <v>5</v>
      </c>
      <c r="L43" s="11"/>
      <c r="M43" s="48"/>
      <c r="N43" s="12"/>
      <c r="O43" s="12" t="s">
        <v>5</v>
      </c>
      <c r="P43" s="12"/>
      <c r="Q43" s="12"/>
      <c r="R43" s="12"/>
      <c r="S43" s="12"/>
      <c r="T43" s="12"/>
      <c r="U43" s="12"/>
      <c r="V43" s="12"/>
      <c r="W43" s="12"/>
      <c r="X43" s="12"/>
      <c r="Y43" s="12"/>
      <c r="Z43" s="12"/>
    </row>
    <row r="44" spans="1:26" ht="15" hidden="1" outlineLevel="1" x14ac:dyDescent="0.25">
      <c r="A44" s="93"/>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outlineLevel="1" x14ac:dyDescent="0.25">
      <c r="A45" s="93"/>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8" hidden="1" outlineLevel="1" x14ac:dyDescent="0.25">
      <c r="A46" s="30" t="str">
        <f>CONCATENATE(B22," ",C22)</f>
        <v xml:space="preserve"> </v>
      </c>
      <c r="B46" s="30"/>
      <c r="C46" s="31"/>
      <c r="D46" s="31"/>
      <c r="E46" s="29"/>
      <c r="F46" s="29"/>
      <c r="G46" s="29"/>
      <c r="H46" s="29"/>
      <c r="I46" s="29"/>
      <c r="J46" s="29"/>
      <c r="K46" s="29"/>
      <c r="L46" s="29"/>
      <c r="M46" s="29"/>
      <c r="N46" s="29"/>
      <c r="O46" s="29" t="s">
        <v>5</v>
      </c>
      <c r="P46" s="29"/>
      <c r="Q46" s="29"/>
      <c r="R46" s="29"/>
      <c r="S46" s="29"/>
      <c r="T46" s="29"/>
      <c r="U46" s="29"/>
      <c r="V46" s="29"/>
      <c r="W46" s="29"/>
      <c r="X46" s="29"/>
      <c r="Y46" s="29"/>
      <c r="Z46" s="29"/>
    </row>
    <row r="47" spans="1:26" ht="15" hidden="1" outlineLevel="1" x14ac:dyDescent="0.25">
      <c r="A47" s="93" t="s">
        <v>271</v>
      </c>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outlineLevel="1" x14ac:dyDescent="0.25">
      <c r="A48" s="93" t="s">
        <v>272</v>
      </c>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5" hidden="1" outlineLevel="1" x14ac:dyDescent="0.25">
      <c r="A49" s="93"/>
      <c r="B49" s="7"/>
      <c r="C49" s="7"/>
      <c r="D49" s="10"/>
      <c r="E49" s="1001" t="s">
        <v>5</v>
      </c>
      <c r="F49" s="1001" t="s">
        <v>5</v>
      </c>
      <c r="G49" s="1001" t="s">
        <v>5</v>
      </c>
      <c r="H49" s="1001"/>
      <c r="I49" s="1001"/>
      <c r="J49" s="1001"/>
      <c r="K49" s="1002" t="s">
        <v>5</v>
      </c>
      <c r="L49" s="11"/>
      <c r="M49" s="48"/>
      <c r="N49" s="12"/>
      <c r="O49" s="12" t="s">
        <v>5</v>
      </c>
      <c r="P49" s="12"/>
      <c r="Q49" s="12"/>
      <c r="R49" s="12"/>
      <c r="S49" s="12"/>
      <c r="T49" s="12"/>
      <c r="U49" s="12"/>
      <c r="V49" s="12"/>
      <c r="W49" s="12"/>
      <c r="X49" s="12"/>
      <c r="Y49" s="12"/>
      <c r="Z49" s="12"/>
    </row>
    <row r="50" spans="1:26" ht="15" hidden="1" outlineLevel="1" x14ac:dyDescent="0.25">
      <c r="A50" s="93"/>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8" hidden="1" outlineLevel="1" x14ac:dyDescent="0.25">
      <c r="A52" s="30" t="str">
        <f>CONCATENATE(B23," ",C23)</f>
        <v xml:space="preserve"> </v>
      </c>
      <c r="B52" s="30"/>
      <c r="C52" s="31"/>
      <c r="D52" s="31"/>
      <c r="E52" s="29"/>
      <c r="F52" s="29"/>
      <c r="G52" s="29"/>
      <c r="H52" s="29"/>
      <c r="I52" s="29"/>
      <c r="J52" s="29"/>
      <c r="K52" s="29"/>
      <c r="L52" s="29"/>
      <c r="M52" s="29"/>
      <c r="N52" s="29"/>
      <c r="O52" s="29" t="s">
        <v>5</v>
      </c>
      <c r="P52" s="29"/>
      <c r="Q52" s="29"/>
      <c r="R52" s="29"/>
      <c r="S52" s="29"/>
      <c r="T52" s="29"/>
      <c r="U52" s="29"/>
      <c r="V52" s="29"/>
      <c r="W52" s="29"/>
      <c r="X52" s="29"/>
      <c r="Y52" s="29"/>
      <c r="Z52" s="29"/>
    </row>
    <row r="53" spans="1:26" ht="15" hidden="1" outlineLevel="1" x14ac:dyDescent="0.25">
      <c r="A53" s="93" t="s">
        <v>273</v>
      </c>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t="s">
        <v>274</v>
      </c>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5" hidden="1" outlineLevel="1" x14ac:dyDescent="0.25">
      <c r="A55" s="93"/>
      <c r="B55" s="7"/>
      <c r="C55" s="7"/>
      <c r="D55" s="10"/>
      <c r="E55" s="1001" t="s">
        <v>5</v>
      </c>
      <c r="F55" s="1001" t="s">
        <v>5</v>
      </c>
      <c r="G55" s="1001" t="s">
        <v>5</v>
      </c>
      <c r="H55" s="1001"/>
      <c r="I55" s="1001"/>
      <c r="J55" s="1001"/>
      <c r="K55" s="1002" t="s">
        <v>5</v>
      </c>
      <c r="L55" s="11"/>
      <c r="M55" s="48"/>
      <c r="N55" s="12"/>
      <c r="O55" s="12" t="s">
        <v>5</v>
      </c>
      <c r="P55" s="12"/>
      <c r="Q55" s="12"/>
      <c r="R55" s="12"/>
      <c r="S55" s="12"/>
      <c r="T55" s="12"/>
      <c r="U55" s="12"/>
      <c r="V55" s="12"/>
      <c r="W55" s="12"/>
      <c r="X55" s="12"/>
      <c r="Y55" s="12"/>
      <c r="Z55" s="12"/>
    </row>
    <row r="56" spans="1:26" ht="15" hidden="1" outlineLevel="1" x14ac:dyDescent="0.25">
      <c r="A56" s="93"/>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8" hidden="1" outlineLevel="1" x14ac:dyDescent="0.25">
      <c r="A58" s="30" t="str">
        <f>CONCATENATE(B24," ",C24)</f>
        <v xml:space="preserve"> </v>
      </c>
      <c r="B58" s="30"/>
      <c r="C58" s="31"/>
      <c r="D58" s="31"/>
      <c r="E58" s="29"/>
      <c r="F58" s="29"/>
      <c r="G58" s="29"/>
      <c r="H58" s="29"/>
      <c r="I58" s="29"/>
      <c r="J58" s="29"/>
      <c r="K58" s="29"/>
      <c r="L58" s="29"/>
      <c r="M58" s="29"/>
      <c r="N58" s="29"/>
      <c r="O58" s="29" t="s">
        <v>5</v>
      </c>
      <c r="P58" s="29"/>
      <c r="Q58" s="29"/>
      <c r="R58" s="29"/>
      <c r="S58" s="29"/>
      <c r="T58" s="29"/>
      <c r="U58" s="29"/>
      <c r="V58" s="29"/>
      <c r="W58" s="29"/>
      <c r="X58" s="29"/>
      <c r="Y58" s="29"/>
      <c r="Z58" s="29"/>
    </row>
    <row r="59" spans="1:26" ht="15" hidden="1" outlineLevel="1" x14ac:dyDescent="0.25">
      <c r="A59" s="93" t="s">
        <v>275</v>
      </c>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t="s">
        <v>276</v>
      </c>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5" hidden="1" outlineLevel="1" x14ac:dyDescent="0.25">
      <c r="A61" s="93"/>
      <c r="B61" s="7"/>
      <c r="C61" s="7"/>
      <c r="D61" s="10"/>
      <c r="E61" s="1001" t="s">
        <v>5</v>
      </c>
      <c r="F61" s="1001" t="s">
        <v>5</v>
      </c>
      <c r="G61" s="1001" t="s">
        <v>5</v>
      </c>
      <c r="H61" s="1001"/>
      <c r="I61" s="1001"/>
      <c r="J61" s="1001"/>
      <c r="K61" s="1002" t="s">
        <v>5</v>
      </c>
      <c r="L61" s="11"/>
      <c r="M61" s="48"/>
      <c r="N61" s="12"/>
      <c r="O61" s="12" t="s">
        <v>5</v>
      </c>
      <c r="P61" s="12"/>
      <c r="Q61" s="12"/>
      <c r="R61" s="12"/>
      <c r="S61" s="12"/>
      <c r="T61" s="12"/>
      <c r="U61" s="12"/>
      <c r="V61" s="12"/>
      <c r="W61" s="12"/>
      <c r="X61" s="12"/>
      <c r="Y61" s="12"/>
      <c r="Z61" s="12"/>
    </row>
    <row r="62" spans="1:26" ht="15" hidden="1" outlineLevel="1" x14ac:dyDescent="0.25">
      <c r="A62" s="93"/>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8" hidden="1" outlineLevel="1" x14ac:dyDescent="0.25">
      <c r="A64" s="30" t="str">
        <f>CONCATENATE(B25," ",C25)</f>
        <v xml:space="preserve"> </v>
      </c>
      <c r="B64" s="30"/>
      <c r="C64" s="31"/>
      <c r="D64" s="31"/>
      <c r="E64" s="29"/>
      <c r="F64" s="29"/>
      <c r="G64" s="29"/>
      <c r="H64" s="29"/>
      <c r="I64" s="29"/>
      <c r="J64" s="29"/>
      <c r="K64" s="29"/>
      <c r="L64" s="29"/>
      <c r="M64" s="29"/>
      <c r="N64" s="29"/>
      <c r="O64" s="29" t="s">
        <v>5</v>
      </c>
      <c r="P64" s="29"/>
      <c r="Q64" s="29"/>
      <c r="R64" s="29"/>
      <c r="S64" s="29"/>
      <c r="T64" s="29"/>
      <c r="U64" s="29"/>
      <c r="V64" s="29"/>
      <c r="W64" s="29"/>
      <c r="X64" s="29"/>
      <c r="Y64" s="29"/>
      <c r="Z64" s="29"/>
    </row>
    <row r="65" spans="1:26" ht="15" hidden="1" outlineLevel="1" x14ac:dyDescent="0.25">
      <c r="A65" s="93" t="s">
        <v>277</v>
      </c>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t="s">
        <v>278</v>
      </c>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5" hidden="1" outlineLevel="1" x14ac:dyDescent="0.25">
      <c r="A67" s="93"/>
      <c r="B67" s="7"/>
      <c r="C67" s="7"/>
      <c r="D67" s="10"/>
      <c r="E67" s="1001" t="s">
        <v>5</v>
      </c>
      <c r="F67" s="1001" t="s">
        <v>5</v>
      </c>
      <c r="G67" s="1001" t="s">
        <v>5</v>
      </c>
      <c r="H67" s="1001"/>
      <c r="I67" s="1001"/>
      <c r="J67" s="1001"/>
      <c r="K67" s="1002" t="s">
        <v>5</v>
      </c>
      <c r="L67" s="11"/>
      <c r="M67" s="48"/>
      <c r="N67" s="12"/>
      <c r="O67" s="12" t="s">
        <v>5</v>
      </c>
      <c r="P67" s="12"/>
      <c r="Q67" s="12"/>
      <c r="R67" s="12"/>
      <c r="S67" s="12"/>
      <c r="T67" s="12"/>
      <c r="U67" s="12"/>
      <c r="V67" s="12"/>
      <c r="W67" s="12"/>
      <c r="X67" s="12"/>
      <c r="Y67" s="12"/>
      <c r="Z67" s="12"/>
    </row>
    <row r="68" spans="1:26" ht="15" hidden="1" outlineLevel="1" x14ac:dyDescent="0.25">
      <c r="A68" s="93"/>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8" hidden="1" outlineLevel="1" x14ac:dyDescent="0.25">
      <c r="A70" s="30" t="str">
        <f>CONCATENATE(B26," ",C26)</f>
        <v xml:space="preserve"> </v>
      </c>
      <c r="B70" s="30"/>
      <c r="C70" s="31"/>
      <c r="D70" s="31"/>
      <c r="E70" s="29"/>
      <c r="F70" s="29"/>
      <c r="G70" s="29"/>
      <c r="H70" s="29"/>
      <c r="I70" s="29"/>
      <c r="J70" s="29"/>
      <c r="K70" s="29"/>
      <c r="L70" s="29"/>
      <c r="M70" s="29"/>
      <c r="N70" s="29"/>
      <c r="O70" s="29" t="s">
        <v>5</v>
      </c>
      <c r="P70" s="29"/>
      <c r="Q70" s="29"/>
      <c r="R70" s="29"/>
      <c r="S70" s="29"/>
      <c r="T70" s="29"/>
      <c r="U70" s="29"/>
      <c r="V70" s="29"/>
      <c r="W70" s="29"/>
      <c r="X70" s="29"/>
      <c r="Y70" s="29"/>
      <c r="Z70" s="29"/>
    </row>
    <row r="71" spans="1:26" ht="15" hidden="1" outlineLevel="1" x14ac:dyDescent="0.25">
      <c r="A71" s="93" t="s">
        <v>279</v>
      </c>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t="s">
        <v>280</v>
      </c>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5" hidden="1" outlineLevel="1" x14ac:dyDescent="0.25">
      <c r="A73" s="93"/>
      <c r="B73" s="7"/>
      <c r="C73" s="7"/>
      <c r="D73" s="10"/>
      <c r="E73" s="1001" t="s">
        <v>5</v>
      </c>
      <c r="F73" s="1001" t="s">
        <v>5</v>
      </c>
      <c r="G73" s="1001" t="s">
        <v>5</v>
      </c>
      <c r="H73" s="1001"/>
      <c r="I73" s="1001"/>
      <c r="J73" s="1001"/>
      <c r="K73" s="1002" t="s">
        <v>5</v>
      </c>
      <c r="L73" s="11"/>
      <c r="M73" s="48"/>
      <c r="N73" s="12"/>
      <c r="O73" s="12" t="s">
        <v>5</v>
      </c>
      <c r="P73" s="12"/>
      <c r="Q73" s="12"/>
      <c r="R73" s="12"/>
      <c r="S73" s="12"/>
      <c r="T73" s="12"/>
      <c r="U73" s="12"/>
      <c r="V73" s="12"/>
      <c r="W73" s="12"/>
      <c r="X73" s="12"/>
      <c r="Y73" s="12"/>
      <c r="Z73" s="12"/>
    </row>
    <row r="74" spans="1:26" ht="15" hidden="1" outlineLevel="1" x14ac:dyDescent="0.25">
      <c r="A74" s="93"/>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6.75" customHeight="1" collapsed="1" x14ac:dyDescent="0.25"/>
    <row r="77" spans="1:26" ht="18" x14ac:dyDescent="0.25">
      <c r="A77" s="41" t="s">
        <v>37</v>
      </c>
      <c r="B77" s="41"/>
      <c r="C77" s="42"/>
      <c r="D77" s="42"/>
      <c r="E77" s="43"/>
      <c r="F77" s="43"/>
      <c r="G77" s="43"/>
      <c r="H77" s="44"/>
      <c r="I77" s="44"/>
      <c r="J77" s="43"/>
      <c r="K77" s="43"/>
      <c r="L77" s="43"/>
      <c r="M77" s="43"/>
      <c r="N77" s="43"/>
      <c r="O77" s="43" t="s">
        <v>5</v>
      </c>
      <c r="P77" s="43"/>
      <c r="Q77" s="43"/>
      <c r="R77" s="43"/>
      <c r="S77" s="43"/>
      <c r="T77" s="43"/>
      <c r="U77" s="43"/>
      <c r="V77" s="43"/>
      <c r="W77" s="43"/>
      <c r="X77" s="43"/>
      <c r="Y77" s="43"/>
      <c r="Z77" s="43"/>
    </row>
    <row r="78" spans="1:26" ht="18" x14ac:dyDescent="0.25">
      <c r="A78" s="30" t="str">
        <f>CONCATENATE(B17," ",C17)</f>
        <v xml:space="preserve">Objective 1 Environmental Monitoring </v>
      </c>
      <c r="B78" s="30"/>
      <c r="C78" s="31"/>
      <c r="D78" s="31"/>
      <c r="E78" s="29"/>
      <c r="F78" s="29"/>
      <c r="G78" s="29"/>
      <c r="H78" s="29"/>
      <c r="I78" s="29"/>
      <c r="J78" s="29"/>
      <c r="K78" s="29"/>
      <c r="L78" s="29"/>
      <c r="M78" s="29"/>
      <c r="N78" s="29"/>
      <c r="O78" s="29" t="s">
        <v>5</v>
      </c>
      <c r="P78" s="29"/>
      <c r="Q78" s="29"/>
      <c r="R78" s="29"/>
      <c r="S78" s="29"/>
      <c r="T78" s="29"/>
      <c r="U78" s="29"/>
      <c r="V78" s="29"/>
      <c r="W78" s="29"/>
      <c r="X78" s="29"/>
      <c r="Y78" s="29"/>
      <c r="Z78" s="29"/>
    </row>
    <row r="79" spans="1:26" ht="60" x14ac:dyDescent="0.25">
      <c r="A79" s="92" t="s">
        <v>261</v>
      </c>
      <c r="B79" s="92" t="s">
        <v>13</v>
      </c>
      <c r="C79" s="92" t="s">
        <v>14</v>
      </c>
      <c r="D79" s="133" t="s">
        <v>286</v>
      </c>
      <c r="E79" s="32" t="s">
        <v>16</v>
      </c>
      <c r="F79" s="32" t="s">
        <v>295</v>
      </c>
      <c r="G79" s="32" t="s">
        <v>39</v>
      </c>
      <c r="H79" s="32" t="s">
        <v>297</v>
      </c>
      <c r="I79" s="32" t="s">
        <v>298</v>
      </c>
      <c r="J79" s="32" t="s">
        <v>299</v>
      </c>
      <c r="K79" s="32" t="s">
        <v>300</v>
      </c>
      <c r="L79" s="32" t="s">
        <v>17</v>
      </c>
      <c r="M79" s="32" t="s">
        <v>18</v>
      </c>
      <c r="N79" s="32" t="s">
        <v>19</v>
      </c>
      <c r="O79" s="66">
        <v>43101</v>
      </c>
      <c r="P79" s="66">
        <v>43132</v>
      </c>
      <c r="Q79" s="66">
        <v>43160</v>
      </c>
      <c r="R79" s="66">
        <v>43191</v>
      </c>
      <c r="S79" s="66">
        <v>43221</v>
      </c>
      <c r="T79" s="66">
        <v>43252</v>
      </c>
      <c r="U79" s="66">
        <v>43282</v>
      </c>
      <c r="V79" s="66">
        <v>43313</v>
      </c>
      <c r="W79" s="66">
        <v>43344</v>
      </c>
      <c r="X79" s="66">
        <v>43374</v>
      </c>
      <c r="Y79" s="66">
        <v>43405</v>
      </c>
      <c r="Z79" s="66">
        <v>43435</v>
      </c>
    </row>
    <row r="80" spans="1:26" ht="15.75" x14ac:dyDescent="0.25">
      <c r="A80" s="92"/>
      <c r="B80" s="93" t="s">
        <v>1379</v>
      </c>
      <c r="C80" s="93" t="s">
        <v>1379</v>
      </c>
      <c r="D80" s="356" t="s">
        <v>1383</v>
      </c>
      <c r="E80" s="356" t="s">
        <v>222</v>
      </c>
      <c r="F80" s="395" t="s">
        <v>293</v>
      </c>
      <c r="G80" s="32"/>
      <c r="H80" s="32"/>
      <c r="I80" s="32"/>
      <c r="J80" s="32"/>
      <c r="K80" s="32"/>
      <c r="L80" s="32"/>
      <c r="M80" s="32"/>
      <c r="N80" s="137">
        <f>SUM(O80:Z80)</f>
        <v>1204142.5872549019</v>
      </c>
      <c r="O80" s="137">
        <v>299902.01535947714</v>
      </c>
      <c r="P80" s="137">
        <v>261154.95653594771</v>
      </c>
      <c r="Q80" s="137">
        <v>265627.48594771244</v>
      </c>
      <c r="R80" s="137">
        <v>49515.143137254898</v>
      </c>
      <c r="S80" s="137">
        <v>35915.851960784312</v>
      </c>
      <c r="T80" s="137">
        <v>40388.381372549018</v>
      </c>
      <c r="U80" s="137">
        <v>35915.851960784312</v>
      </c>
      <c r="V80" s="137">
        <v>49515.143137254898</v>
      </c>
      <c r="W80" s="137">
        <v>40388.381372549018</v>
      </c>
      <c r="X80" s="137">
        <v>35915.851960784312</v>
      </c>
      <c r="Y80" s="137">
        <v>35915.851960784312</v>
      </c>
      <c r="Z80" s="137">
        <v>53987.672549019604</v>
      </c>
    </row>
    <row r="81" spans="1:26" ht="15.75" x14ac:dyDescent="0.25">
      <c r="A81" s="92"/>
      <c r="B81" s="92"/>
      <c r="C81" s="93"/>
      <c r="D81" s="356" t="s">
        <v>1384</v>
      </c>
      <c r="E81" s="356" t="s">
        <v>222</v>
      </c>
      <c r="F81" s="395" t="s">
        <v>293</v>
      </c>
      <c r="G81" s="32"/>
      <c r="H81" s="32"/>
      <c r="I81" s="32"/>
      <c r="J81" s="32"/>
      <c r="K81" s="32"/>
      <c r="L81" s="32"/>
      <c r="M81" s="32"/>
      <c r="N81" s="137">
        <f t="shared" ref="N81:N84" si="5">SUM(O81:Z81)</f>
        <v>224926.47058823527</v>
      </c>
      <c r="O81" s="137">
        <v>18743.872549019605</v>
      </c>
      <c r="P81" s="137">
        <v>18743.872549019605</v>
      </c>
      <c r="Q81" s="137">
        <v>18743.872549019605</v>
      </c>
      <c r="R81" s="137">
        <v>18743.872549019605</v>
      </c>
      <c r="S81" s="137">
        <v>18743.872549019605</v>
      </c>
      <c r="T81" s="137">
        <v>18743.872549019605</v>
      </c>
      <c r="U81" s="137">
        <v>18743.872549019605</v>
      </c>
      <c r="V81" s="137">
        <v>18743.872549019605</v>
      </c>
      <c r="W81" s="137">
        <v>18743.872549019605</v>
      </c>
      <c r="X81" s="137">
        <v>18743.872549019605</v>
      </c>
      <c r="Y81" s="137">
        <v>18743.872549019605</v>
      </c>
      <c r="Z81" s="137">
        <v>18743.872549019605</v>
      </c>
    </row>
    <row r="82" spans="1:26" ht="15.75" x14ac:dyDescent="0.25">
      <c r="A82" s="92"/>
      <c r="B82" s="92"/>
      <c r="C82" s="93"/>
      <c r="D82" s="356" t="s">
        <v>1385</v>
      </c>
      <c r="E82" s="356" t="s">
        <v>222</v>
      </c>
      <c r="F82" s="396"/>
      <c r="G82" s="32"/>
      <c r="H82" s="32"/>
      <c r="I82" s="32"/>
      <c r="J82" s="32"/>
      <c r="K82" s="32"/>
      <c r="L82" s="32"/>
      <c r="M82" s="32"/>
      <c r="N82" s="137">
        <f t="shared" si="5"/>
        <v>98803.976470588255</v>
      </c>
      <c r="O82" s="137">
        <v>8233.6647058823528</v>
      </c>
      <c r="P82" s="137">
        <v>8233.6647058823528</v>
      </c>
      <c r="Q82" s="137">
        <v>8233.6647058823528</v>
      </c>
      <c r="R82" s="137">
        <v>8233.6647058823528</v>
      </c>
      <c r="S82" s="137">
        <v>8233.6647058823528</v>
      </c>
      <c r="T82" s="137">
        <v>8233.6647058823528</v>
      </c>
      <c r="U82" s="137">
        <v>8233.6647058823528</v>
      </c>
      <c r="V82" s="137">
        <v>8233.6647058823528</v>
      </c>
      <c r="W82" s="137">
        <v>8233.6647058823528</v>
      </c>
      <c r="X82" s="137">
        <v>8233.6647058823528</v>
      </c>
      <c r="Y82" s="137">
        <v>8233.6647058823528</v>
      </c>
      <c r="Z82" s="137">
        <v>8233.6647058823528</v>
      </c>
    </row>
    <row r="83" spans="1:26" ht="15.75" x14ac:dyDescent="0.25">
      <c r="A83" s="92"/>
      <c r="B83" s="92"/>
      <c r="C83" s="93"/>
      <c r="D83" s="356"/>
      <c r="E83" s="32"/>
      <c r="F83" s="32"/>
      <c r="G83" s="32"/>
      <c r="H83" s="32"/>
      <c r="I83" s="32"/>
      <c r="J83" s="32"/>
      <c r="K83" s="32"/>
      <c r="L83" s="32"/>
      <c r="M83" s="32"/>
      <c r="N83" s="137">
        <f t="shared" si="5"/>
        <v>0</v>
      </c>
      <c r="O83" s="137"/>
      <c r="P83" s="137"/>
      <c r="Q83" s="137"/>
      <c r="R83" s="137"/>
      <c r="S83" s="137"/>
      <c r="T83" s="137"/>
      <c r="U83" s="137"/>
      <c r="V83" s="137"/>
      <c r="W83" s="137"/>
      <c r="X83" s="137"/>
      <c r="Y83" s="137"/>
      <c r="Z83" s="137"/>
    </row>
    <row r="84" spans="1:26" ht="15" x14ac:dyDescent="0.25">
      <c r="A84" s="93"/>
      <c r="B84" s="93"/>
      <c r="C84" s="93"/>
      <c r="D84" s="356"/>
      <c r="E84" s="11"/>
      <c r="F84" s="11"/>
      <c r="G84" s="11"/>
      <c r="H84" s="11"/>
      <c r="I84" s="11"/>
      <c r="J84" s="11"/>
      <c r="K84" s="11"/>
      <c r="L84" s="11"/>
      <c r="M84" s="11"/>
      <c r="N84" s="137">
        <f t="shared" si="5"/>
        <v>0</v>
      </c>
      <c r="O84" s="11"/>
      <c r="P84" s="11"/>
      <c r="Q84" s="11"/>
      <c r="R84" s="11"/>
      <c r="S84" s="11"/>
      <c r="T84" s="11"/>
      <c r="U84" s="11"/>
      <c r="V84" s="11"/>
      <c r="W84" s="11"/>
      <c r="X84" s="11"/>
      <c r="Y84" s="11"/>
      <c r="Z84" s="11"/>
    </row>
    <row r="85" spans="1:26" s="35" customFormat="1" ht="22.5" customHeight="1" x14ac:dyDescent="0.25">
      <c r="A85" s="33"/>
      <c r="B85" s="34"/>
      <c r="C85" s="34"/>
      <c r="D85" s="34"/>
      <c r="E85" s="50"/>
      <c r="F85" s="50"/>
      <c r="G85" s="50"/>
      <c r="H85" s="50"/>
      <c r="I85" s="50"/>
      <c r="J85" s="51" t="s">
        <v>20</v>
      </c>
      <c r="K85" s="50"/>
      <c r="L85" s="32">
        <f>SUM(L84:L84)</f>
        <v>0</v>
      </c>
      <c r="M85" s="32">
        <f>SUM(M84:M84)</f>
        <v>0</v>
      </c>
      <c r="N85" s="32">
        <f t="shared" ref="N85:Z85" si="6">SUM(N80:N84)</f>
        <v>1527873.0343137253</v>
      </c>
      <c r="O85" s="32">
        <f t="shared" si="6"/>
        <v>326879.55261437909</v>
      </c>
      <c r="P85" s="32">
        <f t="shared" si="6"/>
        <v>288132.49379084969</v>
      </c>
      <c r="Q85" s="32">
        <f t="shared" si="6"/>
        <v>292605.02320261439</v>
      </c>
      <c r="R85" s="32">
        <f t="shared" si="6"/>
        <v>76492.680392156864</v>
      </c>
      <c r="S85" s="32">
        <f t="shared" si="6"/>
        <v>62893.389215686264</v>
      </c>
      <c r="T85" s="32">
        <f t="shared" si="6"/>
        <v>67365.918627450985</v>
      </c>
      <c r="U85" s="32">
        <f t="shared" si="6"/>
        <v>62893.389215686264</v>
      </c>
      <c r="V85" s="32">
        <f t="shared" si="6"/>
        <v>76492.680392156864</v>
      </c>
      <c r="W85" s="32">
        <f t="shared" si="6"/>
        <v>67365.918627450985</v>
      </c>
      <c r="X85" s="32">
        <f t="shared" si="6"/>
        <v>62893.389215686264</v>
      </c>
      <c r="Y85" s="32">
        <f t="shared" si="6"/>
        <v>62893.389215686264</v>
      </c>
      <c r="Z85" s="32">
        <f t="shared" si="6"/>
        <v>80965.209803921563</v>
      </c>
    </row>
    <row r="86" spans="1:26" ht="18" x14ac:dyDescent="0.25">
      <c r="A86" s="30" t="str">
        <f>CONCATENATE(B18," ",C18)</f>
        <v>Objective 2 Environmental EIA</v>
      </c>
      <c r="B86" s="30"/>
      <c r="C86" s="31"/>
      <c r="D86" s="31"/>
      <c r="E86" s="29"/>
      <c r="F86" s="29"/>
      <c r="G86" s="29"/>
      <c r="H86" s="29"/>
      <c r="I86" s="29"/>
      <c r="J86" s="29"/>
      <c r="K86" s="29"/>
      <c r="L86" s="29"/>
      <c r="M86" s="29"/>
      <c r="N86" s="29"/>
      <c r="O86" s="29" t="s">
        <v>5</v>
      </c>
      <c r="P86" s="29"/>
      <c r="Q86" s="29"/>
      <c r="R86" s="29"/>
      <c r="S86" s="29"/>
      <c r="T86" s="29"/>
      <c r="U86" s="29"/>
      <c r="V86" s="29"/>
      <c r="W86" s="29"/>
      <c r="X86" s="29"/>
      <c r="Y86" s="29"/>
      <c r="Z86" s="29"/>
    </row>
    <row r="87" spans="1:26" ht="60" x14ac:dyDescent="0.25">
      <c r="A87" s="92" t="s">
        <v>261</v>
      </c>
      <c r="B87" s="92" t="s">
        <v>13</v>
      </c>
      <c r="C87" s="92" t="s">
        <v>14</v>
      </c>
      <c r="D87" s="133" t="s">
        <v>286</v>
      </c>
      <c r="E87" s="32" t="s">
        <v>16</v>
      </c>
      <c r="F87" s="32" t="s">
        <v>295</v>
      </c>
      <c r="G87" s="32" t="s">
        <v>39</v>
      </c>
      <c r="H87" s="32" t="s">
        <v>297</v>
      </c>
      <c r="I87" s="32" t="s">
        <v>298</v>
      </c>
      <c r="J87" s="32" t="s">
        <v>299</v>
      </c>
      <c r="K87" s="32" t="s">
        <v>300</v>
      </c>
      <c r="L87" s="32" t="s">
        <v>17</v>
      </c>
      <c r="M87" s="32" t="s">
        <v>18</v>
      </c>
      <c r="N87" s="32" t="s">
        <v>19</v>
      </c>
      <c r="O87" s="66">
        <v>43101</v>
      </c>
      <c r="P87" s="66">
        <v>43132</v>
      </c>
      <c r="Q87" s="66">
        <v>43160</v>
      </c>
      <c r="R87" s="66">
        <v>43191</v>
      </c>
      <c r="S87" s="66">
        <v>43221</v>
      </c>
      <c r="T87" s="66">
        <v>43252</v>
      </c>
      <c r="U87" s="66">
        <v>43282</v>
      </c>
      <c r="V87" s="66">
        <v>43313</v>
      </c>
      <c r="W87" s="66">
        <v>43344</v>
      </c>
      <c r="X87" s="66">
        <v>43374</v>
      </c>
      <c r="Y87" s="66">
        <v>43405</v>
      </c>
      <c r="Z87" s="66">
        <v>43435</v>
      </c>
    </row>
    <row r="88" spans="1:26" ht="15" x14ac:dyDescent="0.25">
      <c r="A88" s="93"/>
      <c r="B88" s="93" t="s">
        <v>1380</v>
      </c>
      <c r="C88" s="93" t="s">
        <v>1380</v>
      </c>
      <c r="D88" s="356" t="s">
        <v>1386</v>
      </c>
      <c r="E88" s="11" t="s">
        <v>220</v>
      </c>
      <c r="F88" s="11"/>
      <c r="G88" s="11"/>
      <c r="H88" s="11"/>
      <c r="I88" s="11"/>
      <c r="J88" s="11"/>
      <c r="K88" s="11"/>
      <c r="L88" s="11"/>
      <c r="M88" s="11"/>
      <c r="N88" s="137">
        <f>SUM(O88:Z88)</f>
        <v>0</v>
      </c>
      <c r="O88" s="11">
        <v>0</v>
      </c>
      <c r="P88" s="11">
        <v>0</v>
      </c>
      <c r="Q88" s="11">
        <v>0</v>
      </c>
      <c r="R88" s="11">
        <v>0</v>
      </c>
      <c r="S88" s="11">
        <v>0</v>
      </c>
      <c r="T88" s="11">
        <v>0</v>
      </c>
      <c r="U88" s="11">
        <v>0</v>
      </c>
      <c r="V88" s="11">
        <v>0</v>
      </c>
      <c r="W88" s="11">
        <v>0</v>
      </c>
      <c r="X88" s="11">
        <v>0</v>
      </c>
      <c r="Y88" s="11">
        <v>0</v>
      </c>
      <c r="Z88" s="11">
        <v>0</v>
      </c>
    </row>
    <row r="89" spans="1:26" ht="15" x14ac:dyDescent="0.25">
      <c r="A89" s="93"/>
      <c r="B89" s="93"/>
      <c r="C89" s="93"/>
      <c r="D89" s="356" t="s">
        <v>1387</v>
      </c>
      <c r="E89" s="11" t="s">
        <v>220</v>
      </c>
      <c r="F89" s="395" t="s">
        <v>293</v>
      </c>
      <c r="G89" s="11"/>
      <c r="H89" s="11"/>
      <c r="I89" s="11"/>
      <c r="J89" s="11"/>
      <c r="K89" s="11"/>
      <c r="L89" s="11"/>
      <c r="M89" s="11"/>
      <c r="N89" s="137">
        <f t="shared" ref="N89:N95" si="7">SUM(O89:Z89)</f>
        <v>4007529.7411764706</v>
      </c>
      <c r="O89" s="11">
        <v>498118.82745098037</v>
      </c>
      <c r="P89" s="11">
        <v>721918.23921568622</v>
      </c>
      <c r="Q89" s="11">
        <v>376507.06274509802</v>
      </c>
      <c r="R89" s="11">
        <v>454001.18039215682</v>
      </c>
      <c r="S89" s="11">
        <v>471648.23921568622</v>
      </c>
      <c r="T89" s="11">
        <v>647736.47450980404</v>
      </c>
      <c r="U89" s="11">
        <v>308633.23921568628</v>
      </c>
      <c r="V89" s="11">
        <v>336574.41568627453</v>
      </c>
      <c r="W89" s="11">
        <v>192392.06274509802</v>
      </c>
      <c r="X89" s="11">
        <v>0</v>
      </c>
      <c r="Y89" s="11">
        <v>0</v>
      </c>
      <c r="Z89" s="11">
        <v>0</v>
      </c>
    </row>
    <row r="90" spans="1:26" ht="15" x14ac:dyDescent="0.25">
      <c r="A90" s="93"/>
      <c r="B90" s="93"/>
      <c r="C90" s="93"/>
      <c r="D90" s="356" t="s">
        <v>1388</v>
      </c>
      <c r="E90" s="11" t="s">
        <v>220</v>
      </c>
      <c r="F90" s="11" t="s">
        <v>293</v>
      </c>
      <c r="G90" s="11"/>
      <c r="H90" s="11"/>
      <c r="I90" s="11"/>
      <c r="J90" s="11"/>
      <c r="K90" s="11"/>
      <c r="L90" s="11"/>
      <c r="M90" s="11"/>
      <c r="N90" s="137">
        <f t="shared" si="7"/>
        <v>1082592.8235294118</v>
      </c>
      <c r="O90" s="11">
        <v>80903.858823529416</v>
      </c>
      <c r="P90" s="11">
        <v>259605.29411764702</v>
      </c>
      <c r="Q90" s="11">
        <v>27122.941176470587</v>
      </c>
      <c r="R90" s="11">
        <v>100277.38823529411</v>
      </c>
      <c r="S90" s="11">
        <v>27122.941176470587</v>
      </c>
      <c r="T90" s="11">
        <v>259605.29411764702</v>
      </c>
      <c r="U90" s="11">
        <v>100277.38823529411</v>
      </c>
      <c r="V90" s="11">
        <v>27122.941176470587</v>
      </c>
      <c r="W90" s="11">
        <v>100277.38823529411</v>
      </c>
      <c r="X90" s="11">
        <v>27122.941176470587</v>
      </c>
      <c r="Y90" s="11">
        <v>0</v>
      </c>
      <c r="Z90" s="11">
        <v>73154.447058823527</v>
      </c>
    </row>
    <row r="91" spans="1:26" ht="15" x14ac:dyDescent="0.25">
      <c r="A91" s="93"/>
      <c r="B91" s="93"/>
      <c r="C91" s="93"/>
      <c r="D91" s="356" t="s">
        <v>1389</v>
      </c>
      <c r="E91" s="11" t="s">
        <v>220</v>
      </c>
      <c r="F91" s="11" t="s">
        <v>291</v>
      </c>
      <c r="G91" s="356" t="s">
        <v>493</v>
      </c>
      <c r="H91" s="11" t="s">
        <v>48</v>
      </c>
      <c r="I91" s="11"/>
      <c r="J91" s="11"/>
      <c r="K91" s="11"/>
      <c r="L91" s="11"/>
      <c r="M91" s="11"/>
      <c r="N91" s="137">
        <f t="shared" si="7"/>
        <v>538584.11764705868</v>
      </c>
      <c r="O91" s="11">
        <v>0</v>
      </c>
      <c r="P91" s="11">
        <v>0</v>
      </c>
      <c r="Q91" s="11">
        <v>0</v>
      </c>
      <c r="R91" s="11">
        <v>0</v>
      </c>
      <c r="S91" s="11">
        <v>0</v>
      </c>
      <c r="T91" s="11">
        <v>0</v>
      </c>
      <c r="U91" s="11">
        <v>0</v>
      </c>
      <c r="V91" s="11">
        <v>0</v>
      </c>
      <c r="W91" s="11">
        <v>11624.117647058823</v>
      </c>
      <c r="X91" s="11">
        <v>464964.70588235289</v>
      </c>
      <c r="Y91" s="11">
        <v>11624.117647058823</v>
      </c>
      <c r="Z91" s="11">
        <v>50371.176470588238</v>
      </c>
    </row>
    <row r="92" spans="1:26" ht="15" x14ac:dyDescent="0.25">
      <c r="A92" s="93"/>
      <c r="B92" s="93"/>
      <c r="C92" s="93"/>
      <c r="D92" s="356" t="s">
        <v>1390</v>
      </c>
      <c r="E92" s="11" t="s">
        <v>220</v>
      </c>
      <c r="F92" s="11" t="s">
        <v>293</v>
      </c>
      <c r="G92" s="356"/>
      <c r="H92" s="11"/>
      <c r="I92" s="11"/>
      <c r="J92" s="11"/>
      <c r="K92" s="11"/>
      <c r="L92" s="11"/>
      <c r="M92" s="11"/>
      <c r="N92" s="137">
        <f t="shared" si="7"/>
        <v>389770.07897227857</v>
      </c>
      <c r="O92" s="11">
        <v>22830.722267297722</v>
      </c>
      <c r="P92" s="11">
        <v>58146.408541807526</v>
      </c>
      <c r="Q92" s="11">
        <v>22830.722267297722</v>
      </c>
      <c r="R92" s="11">
        <v>58146.408541807526</v>
      </c>
      <c r="S92" s="11">
        <v>26705.428149650663</v>
      </c>
      <c r="T92" s="11">
        <v>30248.526188866352</v>
      </c>
      <c r="U92" s="11">
        <v>33679.898737885953</v>
      </c>
      <c r="V92" s="11">
        <v>30248.526188866352</v>
      </c>
      <c r="W92" s="11">
        <v>33679.898737885953</v>
      </c>
      <c r="X92" s="11">
        <v>23274.055600631058</v>
      </c>
      <c r="Y92" s="11">
        <v>26705.428149650663</v>
      </c>
      <c r="Z92" s="11">
        <v>23274.055600631058</v>
      </c>
    </row>
    <row r="93" spans="1:26" ht="15" x14ac:dyDescent="0.25">
      <c r="A93" s="93"/>
      <c r="B93" s="93"/>
      <c r="C93" s="93"/>
      <c r="D93" s="356" t="s">
        <v>1391</v>
      </c>
      <c r="E93" s="11" t="s">
        <v>220</v>
      </c>
      <c r="F93" s="11" t="s">
        <v>293</v>
      </c>
      <c r="G93" s="11"/>
      <c r="H93" s="11"/>
      <c r="I93" s="11"/>
      <c r="J93" s="11"/>
      <c r="K93" s="11"/>
      <c r="L93" s="11"/>
      <c r="M93" s="11"/>
      <c r="N93" s="137">
        <f t="shared" si="7"/>
        <v>70588.235294117636</v>
      </c>
      <c r="O93" s="11">
        <v>5882.3529411764703</v>
      </c>
      <c r="P93" s="11">
        <v>5882.3529411764703</v>
      </c>
      <c r="Q93" s="11">
        <v>5882.3529411764703</v>
      </c>
      <c r="R93" s="11">
        <v>5882.3529411764703</v>
      </c>
      <c r="S93" s="11">
        <v>5882.3529411764703</v>
      </c>
      <c r="T93" s="11">
        <v>5882.3529411764703</v>
      </c>
      <c r="U93" s="11">
        <v>5882.3529411764703</v>
      </c>
      <c r="V93" s="11">
        <v>5882.3529411764703</v>
      </c>
      <c r="W93" s="11">
        <v>5882.3529411764703</v>
      </c>
      <c r="X93" s="11">
        <v>5882.3529411764703</v>
      </c>
      <c r="Y93" s="11">
        <v>5882.3529411764703</v>
      </c>
      <c r="Z93" s="11">
        <v>5882.3529411764703</v>
      </c>
    </row>
    <row r="94" spans="1:26" ht="15" x14ac:dyDescent="0.25">
      <c r="A94" s="93"/>
      <c r="B94" s="93"/>
      <c r="C94" s="93"/>
      <c r="D94" s="356"/>
      <c r="E94" s="11"/>
      <c r="F94" s="11"/>
      <c r="G94" s="11"/>
      <c r="H94" s="11"/>
      <c r="I94" s="11"/>
      <c r="J94" s="11"/>
      <c r="K94" s="11"/>
      <c r="L94" s="11"/>
      <c r="M94" s="11"/>
      <c r="N94" s="137">
        <f t="shared" si="7"/>
        <v>0</v>
      </c>
      <c r="O94" s="11"/>
      <c r="P94" s="11"/>
      <c r="Q94" s="11"/>
      <c r="R94" s="11"/>
      <c r="S94" s="11"/>
      <c r="T94" s="11"/>
      <c r="U94" s="11"/>
      <c r="V94" s="11"/>
      <c r="W94" s="11"/>
      <c r="X94" s="11"/>
      <c r="Y94" s="11"/>
      <c r="Z94" s="11"/>
    </row>
    <row r="95" spans="1:26" ht="15" x14ac:dyDescent="0.25">
      <c r="A95" s="93"/>
      <c r="B95" s="93"/>
      <c r="C95" s="93"/>
      <c r="D95" s="356"/>
      <c r="E95" s="11"/>
      <c r="F95" s="11"/>
      <c r="G95" s="11"/>
      <c r="H95" s="11"/>
      <c r="I95" s="11"/>
      <c r="J95" s="11"/>
      <c r="K95" s="11"/>
      <c r="L95" s="11"/>
      <c r="M95" s="11"/>
      <c r="N95" s="137">
        <f t="shared" si="7"/>
        <v>0</v>
      </c>
      <c r="O95" s="11"/>
      <c r="P95" s="11"/>
      <c r="Q95" s="11"/>
      <c r="R95" s="11"/>
      <c r="S95" s="11"/>
      <c r="T95" s="11"/>
      <c r="U95" s="11"/>
      <c r="V95" s="11"/>
      <c r="W95" s="11"/>
      <c r="X95" s="11"/>
      <c r="Y95" s="11"/>
      <c r="Z95" s="11"/>
    </row>
    <row r="96" spans="1:26" s="35" customFormat="1" ht="22.5" customHeight="1" x14ac:dyDescent="0.25">
      <c r="A96" s="33"/>
      <c r="B96" s="34"/>
      <c r="C96" s="34"/>
      <c r="D96" s="34"/>
      <c r="E96" s="50"/>
      <c r="F96" s="50"/>
      <c r="G96" s="50"/>
      <c r="H96" s="50"/>
      <c r="I96" s="50"/>
      <c r="J96" s="51" t="s">
        <v>20</v>
      </c>
      <c r="K96" s="50"/>
      <c r="L96" s="32">
        <f>SUM(L95:L95)</f>
        <v>0</v>
      </c>
      <c r="M96" s="32">
        <f>SUM(M95:M95)</f>
        <v>0</v>
      </c>
      <c r="N96" s="32">
        <f>SUM(N88:N95)</f>
        <v>6089064.9966193363</v>
      </c>
      <c r="O96" s="32">
        <f>SUM(O88:O95)</f>
        <v>607735.76148298394</v>
      </c>
      <c r="P96" s="32">
        <f t="shared" ref="P96:Z96" si="8">SUM(P88:P95)</f>
        <v>1045552.2948163173</v>
      </c>
      <c r="Q96" s="32">
        <f t="shared" si="8"/>
        <v>432343.07913004281</v>
      </c>
      <c r="R96" s="32">
        <f t="shared" si="8"/>
        <v>618307.33011043502</v>
      </c>
      <c r="S96" s="32">
        <f t="shared" si="8"/>
        <v>531358.96148298401</v>
      </c>
      <c r="T96" s="32">
        <f t="shared" si="8"/>
        <v>943472.64775749389</v>
      </c>
      <c r="U96" s="32">
        <f t="shared" si="8"/>
        <v>448472.87913004274</v>
      </c>
      <c r="V96" s="32">
        <f t="shared" si="8"/>
        <v>399828.23599278793</v>
      </c>
      <c r="W96" s="32">
        <f t="shared" si="8"/>
        <v>343855.82030651334</v>
      </c>
      <c r="X96" s="32">
        <f t="shared" si="8"/>
        <v>521244.05560063099</v>
      </c>
      <c r="Y96" s="32">
        <f t="shared" si="8"/>
        <v>44211.898737885953</v>
      </c>
      <c r="Z96" s="32">
        <f t="shared" si="8"/>
        <v>152682.03207121929</v>
      </c>
    </row>
    <row r="97" spans="1:27" ht="18" x14ac:dyDescent="0.25">
      <c r="A97" s="30" t="str">
        <f>CONCATENATE(B19," ",C19)</f>
        <v>Objective 3 Permits Pre-construcción</v>
      </c>
      <c r="B97" s="30"/>
      <c r="C97" s="31"/>
      <c r="D97" s="31"/>
      <c r="E97" s="29"/>
      <c r="F97" s="29"/>
      <c r="G97" s="29"/>
      <c r="H97" s="29"/>
      <c r="I97" s="29"/>
      <c r="J97" s="29"/>
      <c r="K97" s="29"/>
      <c r="L97" s="29"/>
      <c r="M97" s="29"/>
      <c r="N97" s="29"/>
      <c r="O97" s="29" t="s">
        <v>5</v>
      </c>
      <c r="P97" s="29"/>
      <c r="Q97" s="29"/>
      <c r="R97" s="29"/>
      <c r="S97" s="29"/>
      <c r="T97" s="29"/>
      <c r="U97" s="29"/>
      <c r="V97" s="29"/>
      <c r="W97" s="29"/>
      <c r="X97" s="29"/>
      <c r="Y97" s="29"/>
      <c r="Z97" s="29"/>
    </row>
    <row r="98" spans="1:27" ht="60" x14ac:dyDescent="0.25">
      <c r="A98" s="92" t="s">
        <v>261</v>
      </c>
      <c r="B98" s="92" t="s">
        <v>13</v>
      </c>
      <c r="C98" s="92" t="s">
        <v>14</v>
      </c>
      <c r="D98" s="133" t="s">
        <v>286</v>
      </c>
      <c r="E98" s="32" t="s">
        <v>16</v>
      </c>
      <c r="F98" s="32" t="s">
        <v>295</v>
      </c>
      <c r="G98" s="32" t="s">
        <v>39</v>
      </c>
      <c r="H98" s="32" t="s">
        <v>297</v>
      </c>
      <c r="I98" s="32" t="s">
        <v>298</v>
      </c>
      <c r="J98" s="32" t="s">
        <v>299</v>
      </c>
      <c r="K98" s="32" t="s">
        <v>300</v>
      </c>
      <c r="L98" s="32" t="s">
        <v>17</v>
      </c>
      <c r="M98" s="32" t="s">
        <v>18</v>
      </c>
      <c r="N98" s="32" t="s">
        <v>19</v>
      </c>
      <c r="O98" s="66">
        <v>43101</v>
      </c>
      <c r="P98" s="66">
        <v>43132</v>
      </c>
      <c r="Q98" s="66">
        <v>43160</v>
      </c>
      <c r="R98" s="66">
        <v>43191</v>
      </c>
      <c r="S98" s="66">
        <v>43221</v>
      </c>
      <c r="T98" s="66">
        <v>43252</v>
      </c>
      <c r="U98" s="66">
        <v>43282</v>
      </c>
      <c r="V98" s="66">
        <v>43313</v>
      </c>
      <c r="W98" s="66">
        <v>43344</v>
      </c>
      <c r="X98" s="66">
        <v>43374</v>
      </c>
      <c r="Y98" s="66">
        <v>43405</v>
      </c>
      <c r="Z98" s="66">
        <v>43435</v>
      </c>
    </row>
    <row r="99" spans="1:27" ht="15" x14ac:dyDescent="0.25">
      <c r="A99" s="93"/>
      <c r="B99" s="93" t="s">
        <v>1381</v>
      </c>
      <c r="C99" s="93" t="s">
        <v>1381</v>
      </c>
      <c r="D99" s="356" t="s">
        <v>1392</v>
      </c>
      <c r="E99" s="11" t="s">
        <v>224</v>
      </c>
      <c r="F99" s="11" t="s">
        <v>288</v>
      </c>
      <c r="G99" s="11" t="s">
        <v>493</v>
      </c>
      <c r="H99" s="11" t="s">
        <v>43</v>
      </c>
      <c r="I99" s="11"/>
      <c r="J99" s="11"/>
      <c r="K99" s="11"/>
      <c r="L99" s="11"/>
      <c r="M99" s="11"/>
      <c r="N99" s="137">
        <f>SUM(O99:Z99)</f>
        <v>426915.09411764704</v>
      </c>
      <c r="O99" s="11">
        <v>47193.917647058821</v>
      </c>
      <c r="P99" s="11">
        <v>46496.470588235294</v>
      </c>
      <c r="Q99" s="11">
        <v>54245.882352941175</v>
      </c>
      <c r="R99" s="11">
        <v>54245.882352941175</v>
      </c>
      <c r="S99" s="11">
        <v>54245.882352941175</v>
      </c>
      <c r="T99" s="11">
        <v>54245.882352941175</v>
      </c>
      <c r="U99" s="11">
        <v>19373.529411764706</v>
      </c>
      <c r="V99" s="11">
        <v>19373.529411764706</v>
      </c>
      <c r="W99" s="11">
        <v>19373.529411764706</v>
      </c>
      <c r="X99" s="11">
        <v>19373.529411764706</v>
      </c>
      <c r="Y99" s="11">
        <v>19373.529411764706</v>
      </c>
      <c r="Z99" s="11">
        <v>19373.529411764706</v>
      </c>
    </row>
    <row r="100" spans="1:27" ht="15" x14ac:dyDescent="0.25">
      <c r="A100" s="93"/>
      <c r="B100" s="93"/>
      <c r="C100" s="93"/>
      <c r="D100" s="356"/>
      <c r="E100" s="11"/>
      <c r="F100" s="11"/>
      <c r="G100" s="11"/>
      <c r="H100" s="11"/>
      <c r="I100" s="11"/>
      <c r="J100" s="11"/>
      <c r="K100" s="11"/>
      <c r="L100" s="11"/>
      <c r="M100" s="11"/>
      <c r="N100" s="137"/>
      <c r="O100" s="11"/>
      <c r="P100" s="11"/>
      <c r="Q100" s="11"/>
      <c r="R100" s="11"/>
      <c r="S100" s="11"/>
      <c r="T100" s="11"/>
      <c r="U100" s="11"/>
      <c r="V100" s="11"/>
      <c r="W100" s="11"/>
      <c r="X100" s="11"/>
      <c r="Y100" s="11"/>
      <c r="Z100" s="11"/>
    </row>
    <row r="101" spans="1:27" ht="15" x14ac:dyDescent="0.25">
      <c r="A101" s="93"/>
      <c r="B101" s="93"/>
      <c r="C101" s="93"/>
      <c r="D101" s="356"/>
      <c r="E101" s="11"/>
      <c r="F101" s="11"/>
      <c r="G101" s="53"/>
      <c r="H101" s="11"/>
      <c r="I101" s="11"/>
      <c r="J101" s="11"/>
      <c r="K101" s="11"/>
      <c r="L101" s="11"/>
      <c r="M101" s="11"/>
      <c r="N101" s="137"/>
      <c r="O101" s="11"/>
      <c r="P101" s="11"/>
      <c r="Q101" s="11"/>
      <c r="R101" s="11"/>
      <c r="S101" s="11"/>
      <c r="T101" s="11"/>
      <c r="U101" s="11"/>
      <c r="V101" s="11"/>
      <c r="W101" s="11"/>
      <c r="X101" s="11"/>
      <c r="Y101" s="11"/>
      <c r="Z101" s="11"/>
    </row>
    <row r="102" spans="1:27" s="35" customFormat="1" ht="22.5" customHeight="1" x14ac:dyDescent="0.25">
      <c r="A102" s="33"/>
      <c r="B102" s="34"/>
      <c r="C102" s="34"/>
      <c r="D102" s="34"/>
      <c r="E102" s="50"/>
      <c r="F102" s="50"/>
      <c r="G102" s="50"/>
      <c r="H102" s="50"/>
      <c r="I102" s="50"/>
      <c r="J102" s="51" t="s">
        <v>20</v>
      </c>
      <c r="K102" s="50"/>
      <c r="L102" s="32">
        <f>SUM(L101:L101)</f>
        <v>0</v>
      </c>
      <c r="M102" s="32">
        <f>SUM(M101:M101)</f>
        <v>0</v>
      </c>
      <c r="N102" s="32">
        <f t="shared" ref="N102:Z102" si="9">SUM(N99:N101)</f>
        <v>426915.09411764704</v>
      </c>
      <c r="O102" s="32">
        <f t="shared" si="9"/>
        <v>47193.917647058821</v>
      </c>
      <c r="P102" s="32">
        <f t="shared" si="9"/>
        <v>46496.470588235294</v>
      </c>
      <c r="Q102" s="32">
        <f t="shared" si="9"/>
        <v>54245.882352941175</v>
      </c>
      <c r="R102" s="32">
        <f t="shared" si="9"/>
        <v>54245.882352941175</v>
      </c>
      <c r="S102" s="32">
        <f t="shared" si="9"/>
        <v>54245.882352941175</v>
      </c>
      <c r="T102" s="32">
        <f t="shared" si="9"/>
        <v>54245.882352941175</v>
      </c>
      <c r="U102" s="32">
        <f t="shared" si="9"/>
        <v>19373.529411764706</v>
      </c>
      <c r="V102" s="32">
        <f t="shared" si="9"/>
        <v>19373.529411764706</v>
      </c>
      <c r="W102" s="32">
        <f t="shared" si="9"/>
        <v>19373.529411764706</v>
      </c>
      <c r="X102" s="32">
        <f t="shared" si="9"/>
        <v>19373.529411764706</v>
      </c>
      <c r="Y102" s="32">
        <f t="shared" si="9"/>
        <v>19373.529411764706</v>
      </c>
      <c r="Z102" s="32">
        <f t="shared" si="9"/>
        <v>19373.529411764706</v>
      </c>
    </row>
    <row r="103" spans="1:27" ht="18" hidden="1" outlineLevel="1" x14ac:dyDescent="0.25">
      <c r="A103" s="30" t="str">
        <f>CONCATENATE(B21," ",C21)</f>
        <v xml:space="preserve"> </v>
      </c>
      <c r="B103" s="30"/>
      <c r="C103" s="31"/>
      <c r="D103" s="31"/>
      <c r="E103" s="29"/>
      <c r="F103" s="29"/>
      <c r="G103" s="29"/>
      <c r="H103" s="29"/>
      <c r="I103" s="29"/>
      <c r="J103" s="29"/>
      <c r="K103" s="29"/>
      <c r="L103" s="29"/>
      <c r="M103" s="29"/>
      <c r="N103" s="29"/>
      <c r="O103" s="29" t="s">
        <v>5</v>
      </c>
      <c r="P103" s="29"/>
      <c r="Q103" s="29"/>
      <c r="R103" s="29"/>
      <c r="S103" s="29"/>
      <c r="T103" s="29"/>
      <c r="U103" s="29"/>
      <c r="V103" s="29"/>
      <c r="W103" s="29"/>
      <c r="X103" s="29"/>
      <c r="Y103" s="29"/>
      <c r="Z103" s="29"/>
    </row>
    <row r="104" spans="1:27" ht="41.45" hidden="1" customHeight="1" outlineLevel="1" x14ac:dyDescent="0.25">
      <c r="A104" s="92" t="s">
        <v>261</v>
      </c>
      <c r="B104" s="92" t="s">
        <v>13</v>
      </c>
      <c r="C104" s="92" t="s">
        <v>14</v>
      </c>
      <c r="D104" s="133" t="s">
        <v>286</v>
      </c>
      <c r="E104" s="32" t="s">
        <v>16</v>
      </c>
      <c r="F104" s="32" t="s">
        <v>295</v>
      </c>
      <c r="G104" s="32" t="s">
        <v>39</v>
      </c>
      <c r="H104" s="32" t="s">
        <v>297</v>
      </c>
      <c r="I104" s="32" t="s">
        <v>298</v>
      </c>
      <c r="J104" s="32" t="s">
        <v>299</v>
      </c>
      <c r="K104" s="32" t="s">
        <v>300</v>
      </c>
      <c r="L104" s="32" t="s">
        <v>17</v>
      </c>
      <c r="M104" s="32" t="s">
        <v>18</v>
      </c>
      <c r="N104" s="32" t="s">
        <v>19</v>
      </c>
      <c r="O104" s="66">
        <v>43101</v>
      </c>
      <c r="P104" s="66">
        <v>43132</v>
      </c>
      <c r="Q104" s="66">
        <v>43160</v>
      </c>
      <c r="R104" s="66">
        <v>43191</v>
      </c>
      <c r="S104" s="66">
        <v>43221</v>
      </c>
      <c r="T104" s="66">
        <v>43252</v>
      </c>
      <c r="U104" s="66">
        <v>43282</v>
      </c>
      <c r="V104" s="66">
        <v>43313</v>
      </c>
      <c r="W104" s="66">
        <v>43344</v>
      </c>
      <c r="X104" s="66">
        <v>43374</v>
      </c>
      <c r="Y104" s="66">
        <v>43405</v>
      </c>
      <c r="Z104" s="66">
        <v>43435</v>
      </c>
    </row>
    <row r="105" spans="1:27" ht="15" hidden="1" customHeight="1" outlineLevel="1" x14ac:dyDescent="0.25">
      <c r="A105" s="93" t="s">
        <v>265</v>
      </c>
      <c r="B105" s="93"/>
      <c r="C105" s="93"/>
      <c r="D105" s="356"/>
      <c r="E105" s="11"/>
      <c r="F105" s="11"/>
      <c r="G105" s="11"/>
      <c r="H105" s="11"/>
      <c r="I105" s="11"/>
      <c r="J105" s="11"/>
      <c r="K105" s="11"/>
      <c r="L105" s="11"/>
      <c r="M105" s="11"/>
      <c r="N105" s="11">
        <f t="shared" ref="N105:N108" si="10">SUM(O105:Z105)</f>
        <v>0</v>
      </c>
      <c r="O105" s="11"/>
      <c r="P105" s="11"/>
      <c r="Q105" s="11"/>
      <c r="R105" s="11"/>
      <c r="S105" s="11"/>
      <c r="T105" s="11"/>
      <c r="U105" s="11"/>
      <c r="V105" s="11"/>
      <c r="W105" s="11"/>
      <c r="X105" s="11"/>
      <c r="Y105" s="11"/>
      <c r="Z105" s="11"/>
    </row>
    <row r="106" spans="1:27" ht="15" hidden="1" customHeight="1" outlineLevel="1" x14ac:dyDescent="0.25">
      <c r="A106" s="93" t="s">
        <v>266</v>
      </c>
      <c r="B106" s="93"/>
      <c r="C106" s="93"/>
      <c r="D106" s="356"/>
      <c r="E106" s="11"/>
      <c r="F106" s="11"/>
      <c r="G106" s="11"/>
      <c r="H106" s="11"/>
      <c r="I106" s="11"/>
      <c r="J106" s="11"/>
      <c r="K106" s="11"/>
      <c r="L106" s="11"/>
      <c r="M106" s="11"/>
      <c r="N106" s="11">
        <f t="shared" si="10"/>
        <v>0</v>
      </c>
      <c r="O106" s="11"/>
      <c r="P106" s="11"/>
      <c r="Q106" s="11"/>
      <c r="R106" s="11"/>
      <c r="S106" s="11"/>
      <c r="T106" s="11"/>
      <c r="U106" s="11"/>
      <c r="V106" s="11"/>
      <c r="W106" s="11"/>
      <c r="X106" s="11"/>
      <c r="Y106" s="11"/>
      <c r="Z106" s="11"/>
    </row>
    <row r="107" spans="1:27" ht="15" hidden="1" customHeight="1" outlineLevel="1" x14ac:dyDescent="0.25">
      <c r="A107" s="93" t="s">
        <v>283</v>
      </c>
      <c r="B107" s="93"/>
      <c r="C107" s="93"/>
      <c r="D107" s="356"/>
      <c r="E107" s="11"/>
      <c r="F107" s="11"/>
      <c r="G107" s="11"/>
      <c r="H107" s="11"/>
      <c r="I107" s="11"/>
      <c r="J107" s="11"/>
      <c r="K107" s="11"/>
      <c r="L107" s="11"/>
      <c r="M107" s="11"/>
      <c r="N107" s="11">
        <f t="shared" si="10"/>
        <v>0</v>
      </c>
      <c r="O107" s="11"/>
      <c r="P107" s="11"/>
      <c r="Q107" s="11"/>
      <c r="R107" s="11"/>
      <c r="S107" s="11"/>
      <c r="T107" s="11"/>
      <c r="U107" s="11"/>
      <c r="V107" s="11"/>
      <c r="W107" s="11"/>
      <c r="X107" s="11"/>
      <c r="Y107" s="11"/>
      <c r="Z107" s="11"/>
    </row>
    <row r="108" spans="1:27" ht="15" hidden="1" customHeight="1" outlineLevel="1" x14ac:dyDescent="0.25">
      <c r="A108" s="93" t="s">
        <v>284</v>
      </c>
      <c r="B108" s="93"/>
      <c r="C108" s="93"/>
      <c r="D108" s="356"/>
      <c r="E108" s="11"/>
      <c r="F108" s="11"/>
      <c r="G108" s="11"/>
      <c r="H108" s="11"/>
      <c r="I108" s="11"/>
      <c r="J108" s="11"/>
      <c r="K108" s="11"/>
      <c r="L108" s="11"/>
      <c r="M108" s="11"/>
      <c r="N108" s="11">
        <f t="shared" si="10"/>
        <v>0</v>
      </c>
      <c r="O108" s="11"/>
      <c r="P108" s="11"/>
      <c r="Q108" s="11"/>
      <c r="R108" s="11"/>
      <c r="S108" s="11"/>
      <c r="T108" s="11"/>
      <c r="U108" s="11"/>
      <c r="V108" s="11"/>
      <c r="W108" s="11"/>
      <c r="X108" s="11"/>
      <c r="Y108" s="11"/>
      <c r="Z108" s="11"/>
    </row>
    <row r="109" spans="1:27" ht="21" hidden="1" customHeight="1" outlineLevel="1" x14ac:dyDescent="0.25">
      <c r="A109" s="93" t="s">
        <v>285</v>
      </c>
      <c r="B109" s="93"/>
      <c r="C109" s="93"/>
      <c r="D109" s="356"/>
      <c r="E109" s="11"/>
      <c r="F109" s="11"/>
      <c r="G109" s="45"/>
      <c r="H109" s="11"/>
      <c r="I109" s="11"/>
      <c r="J109" s="11"/>
      <c r="K109" s="68" t="s">
        <v>20</v>
      </c>
      <c r="L109" s="32">
        <f>SUM(L104:L108)</f>
        <v>0</v>
      </c>
      <c r="M109" s="32">
        <f>SUM(M104:M108)</f>
        <v>0</v>
      </c>
      <c r="N109" s="11">
        <f>SUM(N105:N108)</f>
        <v>0</v>
      </c>
      <c r="O109" s="11">
        <f t="shared" ref="O109:Z109" si="11">SUM(O105:O108)</f>
        <v>0</v>
      </c>
      <c r="P109" s="11">
        <f t="shared" si="11"/>
        <v>0</v>
      </c>
      <c r="Q109" s="11">
        <f t="shared" si="11"/>
        <v>0</v>
      </c>
      <c r="R109" s="11">
        <f t="shared" si="11"/>
        <v>0</v>
      </c>
      <c r="S109" s="11">
        <f t="shared" si="11"/>
        <v>0</v>
      </c>
      <c r="T109" s="11">
        <f t="shared" si="11"/>
        <v>0</v>
      </c>
      <c r="U109" s="11">
        <f t="shared" si="11"/>
        <v>0</v>
      </c>
      <c r="V109" s="11">
        <f t="shared" si="11"/>
        <v>0</v>
      </c>
      <c r="W109" s="11">
        <f t="shared" si="11"/>
        <v>0</v>
      </c>
      <c r="X109" s="11">
        <f t="shared" si="11"/>
        <v>0</v>
      </c>
      <c r="Y109" s="11">
        <f t="shared" si="11"/>
        <v>0</v>
      </c>
      <c r="Z109" s="11">
        <f t="shared" si="11"/>
        <v>0</v>
      </c>
      <c r="AA109" s="35"/>
    </row>
    <row r="110" spans="1:27" ht="18" hidden="1" outlineLevel="1" x14ac:dyDescent="0.25">
      <c r="A110" s="30" t="str">
        <f>CONCATENATE(B22," ",C22)</f>
        <v xml:space="preserve"> </v>
      </c>
      <c r="B110" s="30"/>
      <c r="C110" s="31"/>
      <c r="D110" s="31"/>
      <c r="E110" s="29"/>
      <c r="F110" s="29"/>
      <c r="G110" s="29"/>
      <c r="H110" s="29"/>
      <c r="I110" s="29"/>
      <c r="J110" s="29"/>
      <c r="K110" s="29"/>
      <c r="L110" s="29"/>
      <c r="M110" s="29"/>
      <c r="N110" s="29"/>
      <c r="O110" s="29" t="s">
        <v>5</v>
      </c>
      <c r="P110" s="29"/>
      <c r="Q110" s="29"/>
      <c r="R110" s="29"/>
      <c r="S110" s="29"/>
      <c r="T110" s="29"/>
      <c r="U110" s="29"/>
      <c r="V110" s="29"/>
      <c r="W110" s="29"/>
      <c r="X110" s="29"/>
      <c r="Y110" s="29"/>
      <c r="Z110" s="29"/>
    </row>
    <row r="111" spans="1:27" ht="41.45" hidden="1" customHeight="1" outlineLevel="1" x14ac:dyDescent="0.25">
      <c r="A111" s="92" t="s">
        <v>261</v>
      </c>
      <c r="B111" s="92" t="s">
        <v>13</v>
      </c>
      <c r="C111" s="92" t="s">
        <v>14</v>
      </c>
      <c r="D111" s="133" t="s">
        <v>286</v>
      </c>
      <c r="E111" s="32" t="s">
        <v>16</v>
      </c>
      <c r="F111" s="32" t="s">
        <v>295</v>
      </c>
      <c r="G111" s="32" t="s">
        <v>39</v>
      </c>
      <c r="H111" s="32" t="s">
        <v>297</v>
      </c>
      <c r="I111" s="32" t="s">
        <v>298</v>
      </c>
      <c r="J111" s="32" t="s">
        <v>299</v>
      </c>
      <c r="K111" s="32" t="s">
        <v>300</v>
      </c>
      <c r="L111" s="32" t="s">
        <v>17</v>
      </c>
      <c r="M111" s="32" t="s">
        <v>18</v>
      </c>
      <c r="N111" s="32" t="s">
        <v>19</v>
      </c>
      <c r="O111" s="66">
        <v>43101</v>
      </c>
      <c r="P111" s="66">
        <v>43132</v>
      </c>
      <c r="Q111" s="66">
        <v>43160</v>
      </c>
      <c r="R111" s="66">
        <v>43191</v>
      </c>
      <c r="S111" s="66">
        <v>43221</v>
      </c>
      <c r="T111" s="66">
        <v>43252</v>
      </c>
      <c r="U111" s="66">
        <v>43282</v>
      </c>
      <c r="V111" s="66">
        <v>43313</v>
      </c>
      <c r="W111" s="66">
        <v>43344</v>
      </c>
      <c r="X111" s="66">
        <v>43374</v>
      </c>
      <c r="Y111" s="66">
        <v>43405</v>
      </c>
      <c r="Z111" s="66">
        <v>43435</v>
      </c>
    </row>
    <row r="112" spans="1:27" ht="15" hidden="1" customHeight="1" outlineLevel="1" x14ac:dyDescent="0.25">
      <c r="A112" s="93" t="s">
        <v>265</v>
      </c>
      <c r="B112" s="93"/>
      <c r="C112" s="93"/>
      <c r="D112" s="356"/>
      <c r="E112" s="11"/>
      <c r="F112" s="11"/>
      <c r="G112" s="11"/>
      <c r="H112" s="11"/>
      <c r="I112" s="11"/>
      <c r="J112" s="11"/>
      <c r="K112" s="11"/>
      <c r="L112" s="11"/>
      <c r="M112" s="11"/>
      <c r="N112" s="11">
        <f t="shared" ref="N112:N115" si="12">SUM(O112:Z112)</f>
        <v>0</v>
      </c>
      <c r="O112" s="11"/>
      <c r="P112" s="11"/>
      <c r="Q112" s="11"/>
      <c r="R112" s="11"/>
      <c r="S112" s="11"/>
      <c r="T112" s="11"/>
      <c r="U112" s="11"/>
      <c r="V112" s="11"/>
      <c r="W112" s="11"/>
      <c r="X112" s="11"/>
      <c r="Y112" s="11"/>
      <c r="Z112" s="11"/>
    </row>
    <row r="113" spans="1:27" ht="15" hidden="1" customHeight="1" outlineLevel="1" x14ac:dyDescent="0.25">
      <c r="A113" s="93" t="s">
        <v>266</v>
      </c>
      <c r="B113" s="93"/>
      <c r="C113" s="93"/>
      <c r="D113" s="356"/>
      <c r="E113" s="11"/>
      <c r="F113" s="11"/>
      <c r="G113" s="11"/>
      <c r="H113" s="11"/>
      <c r="I113" s="11"/>
      <c r="J113" s="11"/>
      <c r="K113" s="11"/>
      <c r="L113" s="11"/>
      <c r="M113" s="11"/>
      <c r="N113" s="11">
        <f t="shared" si="12"/>
        <v>0</v>
      </c>
      <c r="O113" s="11"/>
      <c r="P113" s="11"/>
      <c r="Q113" s="11"/>
      <c r="R113" s="11"/>
      <c r="S113" s="11"/>
      <c r="T113" s="11"/>
      <c r="U113" s="11"/>
      <c r="V113" s="11"/>
      <c r="W113" s="11"/>
      <c r="X113" s="11"/>
      <c r="Y113" s="11"/>
      <c r="Z113" s="11"/>
    </row>
    <row r="114" spans="1:27" ht="15" hidden="1" customHeight="1" outlineLevel="1" x14ac:dyDescent="0.25">
      <c r="A114" s="93" t="s">
        <v>283</v>
      </c>
      <c r="B114" s="93"/>
      <c r="C114" s="93"/>
      <c r="D114" s="356"/>
      <c r="E114" s="11"/>
      <c r="F114" s="11"/>
      <c r="G114" s="11"/>
      <c r="H114" s="11"/>
      <c r="I114" s="11"/>
      <c r="J114" s="11"/>
      <c r="K114" s="11"/>
      <c r="L114" s="11"/>
      <c r="M114" s="11"/>
      <c r="N114" s="11">
        <f t="shared" si="12"/>
        <v>0</v>
      </c>
      <c r="O114" s="11"/>
      <c r="P114" s="11"/>
      <c r="Q114" s="11"/>
      <c r="R114" s="11"/>
      <c r="S114" s="11"/>
      <c r="T114" s="11"/>
      <c r="U114" s="11"/>
      <c r="V114" s="11"/>
      <c r="W114" s="11"/>
      <c r="X114" s="11"/>
      <c r="Y114" s="11"/>
      <c r="Z114" s="11"/>
    </row>
    <row r="115" spans="1:27" ht="15" hidden="1" customHeight="1" outlineLevel="1" x14ac:dyDescent="0.25">
      <c r="A115" s="93" t="s">
        <v>284</v>
      </c>
      <c r="B115" s="93"/>
      <c r="C115" s="93"/>
      <c r="D115" s="356"/>
      <c r="E115" s="11"/>
      <c r="F115" s="11"/>
      <c r="G115" s="11"/>
      <c r="H115" s="11"/>
      <c r="I115" s="11"/>
      <c r="J115" s="11"/>
      <c r="K115" s="11"/>
      <c r="L115" s="11"/>
      <c r="M115" s="11"/>
      <c r="N115" s="11">
        <f t="shared" si="12"/>
        <v>0</v>
      </c>
      <c r="O115" s="11"/>
      <c r="P115" s="11"/>
      <c r="Q115" s="11"/>
      <c r="R115" s="11"/>
      <c r="S115" s="11"/>
      <c r="T115" s="11"/>
      <c r="U115" s="11"/>
      <c r="V115" s="11"/>
      <c r="W115" s="11"/>
      <c r="X115" s="11"/>
      <c r="Y115" s="11"/>
      <c r="Z115" s="11"/>
    </row>
    <row r="116" spans="1:27" ht="21" hidden="1" customHeight="1" outlineLevel="1" x14ac:dyDescent="0.25">
      <c r="A116" s="93" t="s">
        <v>285</v>
      </c>
      <c r="B116" s="93"/>
      <c r="C116" s="93"/>
      <c r="D116" s="356"/>
      <c r="E116" s="11"/>
      <c r="F116" s="11"/>
      <c r="G116" s="45"/>
      <c r="H116" s="11"/>
      <c r="I116" s="11"/>
      <c r="J116" s="11"/>
      <c r="K116" s="68" t="s">
        <v>20</v>
      </c>
      <c r="L116" s="32">
        <f>SUM(L111:L115)</f>
        <v>0</v>
      </c>
      <c r="M116" s="32">
        <f>SUM(M111:M115)</f>
        <v>0</v>
      </c>
      <c r="N116" s="11">
        <f>SUM(N112:N115)</f>
        <v>0</v>
      </c>
      <c r="O116" s="11">
        <f t="shared" ref="O116:Z116" si="13">SUM(O112:O115)</f>
        <v>0</v>
      </c>
      <c r="P116" s="11">
        <f t="shared" si="13"/>
        <v>0</v>
      </c>
      <c r="Q116" s="11">
        <f t="shared" si="13"/>
        <v>0</v>
      </c>
      <c r="R116" s="11">
        <f t="shared" si="13"/>
        <v>0</v>
      </c>
      <c r="S116" s="11">
        <f t="shared" si="13"/>
        <v>0</v>
      </c>
      <c r="T116" s="11">
        <f t="shared" si="13"/>
        <v>0</v>
      </c>
      <c r="U116" s="11">
        <f t="shared" si="13"/>
        <v>0</v>
      </c>
      <c r="V116" s="11">
        <f t="shared" si="13"/>
        <v>0</v>
      </c>
      <c r="W116" s="11">
        <f t="shared" si="13"/>
        <v>0</v>
      </c>
      <c r="X116" s="11">
        <f t="shared" si="13"/>
        <v>0</v>
      </c>
      <c r="Y116" s="11">
        <f t="shared" si="13"/>
        <v>0</v>
      </c>
      <c r="Z116" s="11">
        <f t="shared" si="13"/>
        <v>0</v>
      </c>
      <c r="AA116" s="35"/>
    </row>
    <row r="117" spans="1:27" ht="18" hidden="1" outlineLevel="1" x14ac:dyDescent="0.25">
      <c r="A117" s="30" t="str">
        <f>CONCATENATE(B23," ",C23)</f>
        <v xml:space="preserve"> </v>
      </c>
      <c r="B117" s="30"/>
      <c r="C117" s="31"/>
      <c r="D117" s="31"/>
      <c r="E117" s="29"/>
      <c r="F117" s="29"/>
      <c r="G117" s="29"/>
      <c r="H117" s="29"/>
      <c r="I117" s="29"/>
      <c r="J117" s="29"/>
      <c r="K117" s="29"/>
      <c r="L117" s="29"/>
      <c r="M117" s="29"/>
      <c r="N117" s="29"/>
      <c r="O117" s="29" t="s">
        <v>5</v>
      </c>
      <c r="P117" s="29"/>
      <c r="Q117" s="29"/>
      <c r="R117" s="29"/>
      <c r="S117" s="29"/>
      <c r="T117" s="29"/>
      <c r="U117" s="29"/>
      <c r="V117" s="29"/>
      <c r="W117" s="29"/>
      <c r="X117" s="29"/>
      <c r="Y117" s="29"/>
      <c r="Z117" s="29"/>
    </row>
    <row r="118" spans="1:27" ht="41.45" hidden="1" customHeight="1" outlineLevel="1" x14ac:dyDescent="0.25">
      <c r="A118" s="92" t="s">
        <v>261</v>
      </c>
      <c r="B118" s="92" t="s">
        <v>13</v>
      </c>
      <c r="C118" s="92" t="s">
        <v>14</v>
      </c>
      <c r="D118" s="133" t="s">
        <v>286</v>
      </c>
      <c r="E118" s="32" t="s">
        <v>16</v>
      </c>
      <c r="F118" s="32" t="s">
        <v>295</v>
      </c>
      <c r="G118" s="32" t="s">
        <v>39</v>
      </c>
      <c r="H118" s="32" t="s">
        <v>297</v>
      </c>
      <c r="I118" s="32" t="s">
        <v>298</v>
      </c>
      <c r="J118" s="32" t="s">
        <v>299</v>
      </c>
      <c r="K118" s="32" t="s">
        <v>300</v>
      </c>
      <c r="L118" s="32" t="s">
        <v>17</v>
      </c>
      <c r="M118" s="32" t="s">
        <v>18</v>
      </c>
      <c r="N118" s="32" t="s">
        <v>19</v>
      </c>
      <c r="O118" s="66">
        <v>43101</v>
      </c>
      <c r="P118" s="66">
        <v>43132</v>
      </c>
      <c r="Q118" s="66">
        <v>43160</v>
      </c>
      <c r="R118" s="66">
        <v>43191</v>
      </c>
      <c r="S118" s="66">
        <v>43221</v>
      </c>
      <c r="T118" s="66">
        <v>43252</v>
      </c>
      <c r="U118" s="66">
        <v>43282</v>
      </c>
      <c r="V118" s="66">
        <v>43313</v>
      </c>
      <c r="W118" s="66">
        <v>43344</v>
      </c>
      <c r="X118" s="66">
        <v>43374</v>
      </c>
      <c r="Y118" s="66">
        <v>43405</v>
      </c>
      <c r="Z118" s="66">
        <v>43435</v>
      </c>
    </row>
    <row r="119" spans="1:27" ht="15" hidden="1" customHeight="1" outlineLevel="1" x14ac:dyDescent="0.25">
      <c r="A119" s="93" t="s">
        <v>265</v>
      </c>
      <c r="B119" s="93"/>
      <c r="C119" s="93"/>
      <c r="D119" s="356"/>
      <c r="E119" s="11"/>
      <c r="F119" s="11"/>
      <c r="G119" s="11"/>
      <c r="H119" s="11"/>
      <c r="I119" s="11"/>
      <c r="J119" s="11"/>
      <c r="K119" s="11"/>
      <c r="L119" s="11"/>
      <c r="M119" s="11"/>
      <c r="N119" s="11">
        <f t="shared" ref="N119:N122" si="14">SUM(O119:Z119)</f>
        <v>0</v>
      </c>
      <c r="O119" s="11"/>
      <c r="P119" s="11"/>
      <c r="Q119" s="11"/>
      <c r="R119" s="11"/>
      <c r="S119" s="11"/>
      <c r="T119" s="11"/>
      <c r="U119" s="11"/>
      <c r="V119" s="11"/>
      <c r="W119" s="11"/>
      <c r="X119" s="11"/>
      <c r="Y119" s="11"/>
      <c r="Z119" s="11"/>
    </row>
    <row r="120" spans="1:27" ht="15" hidden="1" customHeight="1" outlineLevel="1" x14ac:dyDescent="0.25">
      <c r="A120" s="93" t="s">
        <v>266</v>
      </c>
      <c r="B120" s="93"/>
      <c r="C120" s="93"/>
      <c r="D120" s="356"/>
      <c r="E120" s="11"/>
      <c r="F120" s="11"/>
      <c r="G120" s="11"/>
      <c r="H120" s="11"/>
      <c r="I120" s="11"/>
      <c r="J120" s="11"/>
      <c r="K120" s="11"/>
      <c r="L120" s="11"/>
      <c r="M120" s="11"/>
      <c r="N120" s="11">
        <f t="shared" si="14"/>
        <v>0</v>
      </c>
      <c r="O120" s="11"/>
      <c r="P120" s="11"/>
      <c r="Q120" s="11"/>
      <c r="R120" s="11"/>
      <c r="S120" s="11"/>
      <c r="T120" s="11"/>
      <c r="U120" s="11"/>
      <c r="V120" s="11"/>
      <c r="W120" s="11"/>
      <c r="X120" s="11"/>
      <c r="Y120" s="11"/>
      <c r="Z120" s="11"/>
    </row>
    <row r="121" spans="1:27" ht="15" hidden="1" customHeight="1" outlineLevel="1" x14ac:dyDescent="0.25">
      <c r="A121" s="93" t="s">
        <v>283</v>
      </c>
      <c r="B121" s="93"/>
      <c r="C121" s="93"/>
      <c r="D121" s="356"/>
      <c r="E121" s="11"/>
      <c r="F121" s="11"/>
      <c r="G121" s="11"/>
      <c r="H121" s="11"/>
      <c r="I121" s="11"/>
      <c r="J121" s="11"/>
      <c r="K121" s="11"/>
      <c r="L121" s="11"/>
      <c r="M121" s="11"/>
      <c r="N121" s="11">
        <f t="shared" si="14"/>
        <v>0</v>
      </c>
      <c r="O121" s="11"/>
      <c r="P121" s="11"/>
      <c r="Q121" s="11"/>
      <c r="R121" s="11"/>
      <c r="S121" s="11"/>
      <c r="T121" s="11"/>
      <c r="U121" s="11"/>
      <c r="V121" s="11"/>
      <c r="W121" s="11"/>
      <c r="X121" s="11"/>
      <c r="Y121" s="11"/>
      <c r="Z121" s="11"/>
    </row>
    <row r="122" spans="1:27" ht="15" hidden="1" customHeight="1" outlineLevel="1" x14ac:dyDescent="0.25">
      <c r="A122" s="93" t="s">
        <v>284</v>
      </c>
      <c r="B122" s="93"/>
      <c r="C122" s="93"/>
      <c r="D122" s="356"/>
      <c r="E122" s="11"/>
      <c r="F122" s="11"/>
      <c r="G122" s="11"/>
      <c r="H122" s="11"/>
      <c r="I122" s="11"/>
      <c r="J122" s="11"/>
      <c r="K122" s="11"/>
      <c r="L122" s="11"/>
      <c r="M122" s="11"/>
      <c r="N122" s="11">
        <f t="shared" si="14"/>
        <v>0</v>
      </c>
      <c r="O122" s="11"/>
      <c r="P122" s="11"/>
      <c r="Q122" s="11"/>
      <c r="R122" s="11"/>
      <c r="S122" s="11"/>
      <c r="T122" s="11"/>
      <c r="U122" s="11"/>
      <c r="V122" s="11"/>
      <c r="W122" s="11"/>
      <c r="X122" s="11"/>
      <c r="Y122" s="11"/>
      <c r="Z122" s="11"/>
    </row>
    <row r="123" spans="1:27" ht="21" hidden="1" customHeight="1" outlineLevel="1" x14ac:dyDescent="0.25">
      <c r="A123" s="93" t="s">
        <v>285</v>
      </c>
      <c r="B123" s="93"/>
      <c r="C123" s="93"/>
      <c r="D123" s="356"/>
      <c r="E123" s="11"/>
      <c r="F123" s="11"/>
      <c r="G123" s="45"/>
      <c r="H123" s="11"/>
      <c r="I123" s="11"/>
      <c r="J123" s="11"/>
      <c r="K123" s="68" t="s">
        <v>20</v>
      </c>
      <c r="L123" s="32">
        <f>SUM(L118:L122)</f>
        <v>0</v>
      </c>
      <c r="M123" s="32">
        <f>SUM(M118:M122)</f>
        <v>0</v>
      </c>
      <c r="N123" s="11">
        <f>SUM(N119:N122)</f>
        <v>0</v>
      </c>
      <c r="O123" s="11">
        <f t="shared" ref="O123:T123" si="15">SUM(O119:O122)</f>
        <v>0</v>
      </c>
      <c r="P123" s="11">
        <f t="shared" si="15"/>
        <v>0</v>
      </c>
      <c r="Q123" s="11">
        <f t="shared" si="15"/>
        <v>0</v>
      </c>
      <c r="R123" s="11">
        <f t="shared" si="15"/>
        <v>0</v>
      </c>
      <c r="S123" s="11">
        <f t="shared" si="15"/>
        <v>0</v>
      </c>
      <c r="T123" s="11">
        <f t="shared" si="15"/>
        <v>0</v>
      </c>
      <c r="U123" s="11">
        <f t="shared" ref="U123" si="16">SUM(U119:U122)</f>
        <v>0</v>
      </c>
      <c r="V123" s="11">
        <f t="shared" ref="V123:Z123" si="17">SUM(V119:V122)</f>
        <v>0</v>
      </c>
      <c r="W123" s="11">
        <f t="shared" si="17"/>
        <v>0</v>
      </c>
      <c r="X123" s="11">
        <f t="shared" si="17"/>
        <v>0</v>
      </c>
      <c r="Y123" s="11">
        <f t="shared" si="17"/>
        <v>0</v>
      </c>
      <c r="Z123" s="11">
        <f t="shared" si="17"/>
        <v>0</v>
      </c>
      <c r="AA123" s="35"/>
    </row>
    <row r="124" spans="1:27" ht="18" hidden="1" outlineLevel="1" x14ac:dyDescent="0.25">
      <c r="A124" s="30" t="str">
        <f>CONCATENATE(B24," ",C24)</f>
        <v xml:space="preserve"> </v>
      </c>
      <c r="B124" s="30"/>
      <c r="C124" s="31"/>
      <c r="D124" s="31"/>
      <c r="E124" s="29"/>
      <c r="F124" s="29"/>
      <c r="G124" s="29"/>
      <c r="H124" s="29"/>
      <c r="I124" s="29"/>
      <c r="J124" s="29"/>
      <c r="K124" s="29"/>
      <c r="L124" s="29"/>
      <c r="M124" s="29"/>
      <c r="N124" s="29"/>
      <c r="O124" s="29" t="s">
        <v>5</v>
      </c>
      <c r="P124" s="29"/>
      <c r="Q124" s="29"/>
      <c r="R124" s="29"/>
      <c r="S124" s="29"/>
      <c r="T124" s="29"/>
      <c r="U124" s="29"/>
      <c r="V124" s="29"/>
      <c r="W124" s="29"/>
      <c r="X124" s="29"/>
      <c r="Y124" s="29"/>
      <c r="Z124" s="29"/>
    </row>
    <row r="125" spans="1:27" ht="41.45" hidden="1" customHeight="1" outlineLevel="1" x14ac:dyDescent="0.25">
      <c r="A125" s="92" t="s">
        <v>261</v>
      </c>
      <c r="B125" s="92" t="s">
        <v>13</v>
      </c>
      <c r="C125" s="92" t="s">
        <v>14</v>
      </c>
      <c r="D125" s="133" t="s">
        <v>286</v>
      </c>
      <c r="E125" s="32" t="s">
        <v>16</v>
      </c>
      <c r="F125" s="32" t="s">
        <v>295</v>
      </c>
      <c r="G125" s="32" t="s">
        <v>39</v>
      </c>
      <c r="H125" s="32" t="s">
        <v>297</v>
      </c>
      <c r="I125" s="32" t="s">
        <v>298</v>
      </c>
      <c r="J125" s="32" t="s">
        <v>299</v>
      </c>
      <c r="K125" s="32" t="s">
        <v>300</v>
      </c>
      <c r="L125" s="32" t="s">
        <v>17</v>
      </c>
      <c r="M125" s="32" t="s">
        <v>18</v>
      </c>
      <c r="N125" s="32" t="s">
        <v>19</v>
      </c>
      <c r="O125" s="66">
        <v>43101</v>
      </c>
      <c r="P125" s="66">
        <v>43132</v>
      </c>
      <c r="Q125" s="66">
        <v>43160</v>
      </c>
      <c r="R125" s="66">
        <v>43191</v>
      </c>
      <c r="S125" s="66">
        <v>43221</v>
      </c>
      <c r="T125" s="66">
        <v>43252</v>
      </c>
      <c r="U125" s="66">
        <v>43282</v>
      </c>
      <c r="V125" s="66">
        <v>43313</v>
      </c>
      <c r="W125" s="66">
        <v>43344</v>
      </c>
      <c r="X125" s="66">
        <v>43374</v>
      </c>
      <c r="Y125" s="66">
        <v>43405</v>
      </c>
      <c r="Z125" s="66">
        <v>43435</v>
      </c>
    </row>
    <row r="126" spans="1:27" ht="15" hidden="1" customHeight="1" outlineLevel="1" x14ac:dyDescent="0.25">
      <c r="A126" s="93" t="s">
        <v>265</v>
      </c>
      <c r="B126" s="93"/>
      <c r="C126" s="93"/>
      <c r="D126" s="356"/>
      <c r="E126" s="11"/>
      <c r="F126" s="11"/>
      <c r="G126" s="11"/>
      <c r="H126" s="11"/>
      <c r="I126" s="11"/>
      <c r="J126" s="11"/>
      <c r="K126" s="11"/>
      <c r="L126" s="11"/>
      <c r="M126" s="11"/>
      <c r="N126" s="11">
        <f t="shared" ref="N126:N129" si="18">SUM(O126:Z126)</f>
        <v>0</v>
      </c>
      <c r="O126" s="11"/>
      <c r="P126" s="11"/>
      <c r="Q126" s="11"/>
      <c r="R126" s="11"/>
      <c r="S126" s="11"/>
      <c r="T126" s="11"/>
      <c r="U126" s="11"/>
      <c r="V126" s="11"/>
      <c r="W126" s="11"/>
      <c r="X126" s="11"/>
      <c r="Y126" s="11"/>
      <c r="Z126" s="11"/>
    </row>
    <row r="127" spans="1:27" ht="15" hidden="1" customHeight="1" outlineLevel="1" x14ac:dyDescent="0.25">
      <c r="A127" s="93" t="s">
        <v>266</v>
      </c>
      <c r="B127" s="93"/>
      <c r="C127" s="93"/>
      <c r="D127" s="356"/>
      <c r="E127" s="11"/>
      <c r="F127" s="11"/>
      <c r="G127" s="11"/>
      <c r="H127" s="11"/>
      <c r="I127" s="11"/>
      <c r="J127" s="11"/>
      <c r="K127" s="11"/>
      <c r="L127" s="11"/>
      <c r="M127" s="11"/>
      <c r="N127" s="11">
        <f t="shared" si="18"/>
        <v>0</v>
      </c>
      <c r="O127" s="11"/>
      <c r="P127" s="11"/>
      <c r="Q127" s="11"/>
      <c r="R127" s="11"/>
      <c r="S127" s="11"/>
      <c r="T127" s="11"/>
      <c r="U127" s="11"/>
      <c r="V127" s="11"/>
      <c r="W127" s="11"/>
      <c r="X127" s="11"/>
      <c r="Y127" s="11"/>
      <c r="Z127" s="11"/>
    </row>
    <row r="128" spans="1:27" ht="15" hidden="1" customHeight="1" outlineLevel="1" x14ac:dyDescent="0.25">
      <c r="A128" s="93" t="s">
        <v>283</v>
      </c>
      <c r="B128" s="93"/>
      <c r="C128" s="93"/>
      <c r="D128" s="356"/>
      <c r="E128" s="11"/>
      <c r="F128" s="11"/>
      <c r="G128" s="11"/>
      <c r="H128" s="11"/>
      <c r="I128" s="11"/>
      <c r="J128" s="11"/>
      <c r="K128" s="11"/>
      <c r="L128" s="11"/>
      <c r="M128" s="11"/>
      <c r="N128" s="11">
        <f t="shared" si="18"/>
        <v>0</v>
      </c>
      <c r="O128" s="11"/>
      <c r="P128" s="11"/>
      <c r="Q128" s="11"/>
      <c r="R128" s="11"/>
      <c r="S128" s="11"/>
      <c r="T128" s="11"/>
      <c r="U128" s="11"/>
      <c r="V128" s="11"/>
      <c r="W128" s="11"/>
      <c r="X128" s="11"/>
      <c r="Y128" s="11"/>
      <c r="Z128" s="11"/>
    </row>
    <row r="129" spans="1:27" ht="15" hidden="1" customHeight="1" outlineLevel="1" x14ac:dyDescent="0.25">
      <c r="A129" s="93" t="s">
        <v>284</v>
      </c>
      <c r="B129" s="93"/>
      <c r="C129" s="93"/>
      <c r="D129" s="356"/>
      <c r="E129" s="11"/>
      <c r="F129" s="11"/>
      <c r="G129" s="11"/>
      <c r="H129" s="11"/>
      <c r="I129" s="11"/>
      <c r="J129" s="11"/>
      <c r="K129" s="11"/>
      <c r="L129" s="11"/>
      <c r="M129" s="11"/>
      <c r="N129" s="11">
        <f t="shared" si="18"/>
        <v>0</v>
      </c>
      <c r="O129" s="11"/>
      <c r="P129" s="11"/>
      <c r="Q129" s="11"/>
      <c r="R129" s="11"/>
      <c r="S129" s="11"/>
      <c r="T129" s="11"/>
      <c r="U129" s="11"/>
      <c r="V129" s="11"/>
      <c r="W129" s="11"/>
      <c r="X129" s="11"/>
      <c r="Y129" s="11"/>
      <c r="Z129" s="11"/>
    </row>
    <row r="130" spans="1:27" ht="21" hidden="1" customHeight="1" outlineLevel="1" x14ac:dyDescent="0.25">
      <c r="A130" s="93" t="s">
        <v>285</v>
      </c>
      <c r="B130" s="93"/>
      <c r="C130" s="93"/>
      <c r="D130" s="356"/>
      <c r="E130" s="11"/>
      <c r="F130" s="11"/>
      <c r="G130" s="45"/>
      <c r="H130" s="11"/>
      <c r="I130" s="11"/>
      <c r="J130" s="11"/>
      <c r="K130" s="68" t="s">
        <v>20</v>
      </c>
      <c r="L130" s="32">
        <f>SUM(L125:L129)</f>
        <v>0</v>
      </c>
      <c r="M130" s="32">
        <f>SUM(M125:M129)</f>
        <v>0</v>
      </c>
      <c r="N130" s="11">
        <f>SUM(N126:N129)</f>
        <v>0</v>
      </c>
      <c r="O130" s="11">
        <f t="shared" ref="O130:Z130" si="19">SUM(O126:O129)</f>
        <v>0</v>
      </c>
      <c r="P130" s="11">
        <f t="shared" si="19"/>
        <v>0</v>
      </c>
      <c r="Q130" s="11">
        <f t="shared" si="19"/>
        <v>0</v>
      </c>
      <c r="R130" s="11">
        <f t="shared" si="19"/>
        <v>0</v>
      </c>
      <c r="S130" s="11">
        <f t="shared" si="19"/>
        <v>0</v>
      </c>
      <c r="T130" s="11">
        <f t="shared" si="19"/>
        <v>0</v>
      </c>
      <c r="U130" s="11">
        <f t="shared" si="19"/>
        <v>0</v>
      </c>
      <c r="V130" s="11">
        <f t="shared" si="19"/>
        <v>0</v>
      </c>
      <c r="W130" s="11">
        <f t="shared" si="19"/>
        <v>0</v>
      </c>
      <c r="X130" s="11">
        <f t="shared" si="19"/>
        <v>0</v>
      </c>
      <c r="Y130" s="11">
        <f t="shared" si="19"/>
        <v>0</v>
      </c>
      <c r="Z130" s="11">
        <f t="shared" si="19"/>
        <v>0</v>
      </c>
      <c r="AA130" s="35"/>
    </row>
    <row r="131" spans="1:27" ht="18" hidden="1" outlineLevel="1" x14ac:dyDescent="0.25">
      <c r="A131" s="30" t="str">
        <f>CONCATENATE(B25," ",C25)</f>
        <v xml:space="preserve"> </v>
      </c>
      <c r="B131" s="30"/>
      <c r="C131" s="31"/>
      <c r="D131" s="31"/>
      <c r="E131" s="29"/>
      <c r="F131" s="29"/>
      <c r="G131" s="29"/>
      <c r="H131" s="29"/>
      <c r="I131" s="29"/>
      <c r="J131" s="29"/>
      <c r="K131" s="29"/>
      <c r="L131" s="29"/>
      <c r="M131" s="29"/>
      <c r="N131" s="29"/>
      <c r="O131" s="29" t="s">
        <v>5</v>
      </c>
      <c r="P131" s="29"/>
      <c r="Q131" s="29"/>
      <c r="R131" s="29"/>
      <c r="S131" s="29"/>
      <c r="T131" s="29"/>
      <c r="U131" s="29"/>
      <c r="V131" s="29"/>
      <c r="W131" s="29"/>
      <c r="X131" s="29"/>
      <c r="Y131" s="29"/>
      <c r="Z131" s="29"/>
    </row>
    <row r="132" spans="1:27" ht="41.45" hidden="1" customHeight="1" outlineLevel="1" x14ac:dyDescent="0.25">
      <c r="A132" s="92" t="s">
        <v>261</v>
      </c>
      <c r="B132" s="92" t="s">
        <v>13</v>
      </c>
      <c r="C132" s="92" t="s">
        <v>14</v>
      </c>
      <c r="D132" s="133" t="s">
        <v>286</v>
      </c>
      <c r="E132" s="32" t="s">
        <v>16</v>
      </c>
      <c r="F132" s="32" t="s">
        <v>295</v>
      </c>
      <c r="G132" s="32" t="s">
        <v>39</v>
      </c>
      <c r="H132" s="32" t="s">
        <v>297</v>
      </c>
      <c r="I132" s="32" t="s">
        <v>298</v>
      </c>
      <c r="J132" s="32" t="s">
        <v>299</v>
      </c>
      <c r="K132" s="32" t="s">
        <v>300</v>
      </c>
      <c r="L132" s="32" t="s">
        <v>17</v>
      </c>
      <c r="M132" s="32" t="s">
        <v>18</v>
      </c>
      <c r="N132" s="32" t="s">
        <v>19</v>
      </c>
      <c r="O132" s="66">
        <v>43101</v>
      </c>
      <c r="P132" s="66">
        <v>43132</v>
      </c>
      <c r="Q132" s="66">
        <v>43160</v>
      </c>
      <c r="R132" s="66">
        <v>43191</v>
      </c>
      <c r="S132" s="66">
        <v>43221</v>
      </c>
      <c r="T132" s="66">
        <v>43252</v>
      </c>
      <c r="U132" s="66">
        <v>43282</v>
      </c>
      <c r="V132" s="66">
        <v>43313</v>
      </c>
      <c r="W132" s="66">
        <v>43344</v>
      </c>
      <c r="X132" s="66">
        <v>43374</v>
      </c>
      <c r="Y132" s="66">
        <v>43405</v>
      </c>
      <c r="Z132" s="66">
        <v>43435</v>
      </c>
    </row>
    <row r="133" spans="1:27" ht="15" hidden="1" customHeight="1" outlineLevel="1" x14ac:dyDescent="0.25">
      <c r="A133" s="93" t="s">
        <v>265</v>
      </c>
      <c r="B133" s="93"/>
      <c r="C133" s="93"/>
      <c r="D133" s="356"/>
      <c r="E133" s="11"/>
      <c r="F133" s="11"/>
      <c r="G133" s="11"/>
      <c r="H133" s="11"/>
      <c r="I133" s="11"/>
      <c r="J133" s="11"/>
      <c r="K133" s="11"/>
      <c r="L133" s="11"/>
      <c r="M133" s="11"/>
      <c r="N133" s="11">
        <f t="shared" ref="N133:N136" si="20">SUM(O133:Z133)</f>
        <v>0</v>
      </c>
      <c r="O133" s="11"/>
      <c r="P133" s="11"/>
      <c r="Q133" s="11"/>
      <c r="R133" s="11"/>
      <c r="S133" s="11"/>
      <c r="T133" s="11"/>
      <c r="U133" s="11"/>
      <c r="V133" s="11"/>
      <c r="W133" s="11"/>
      <c r="X133" s="11"/>
      <c r="Y133" s="11"/>
      <c r="Z133" s="11"/>
    </row>
    <row r="134" spans="1:27" ht="15" hidden="1" customHeight="1" outlineLevel="1" x14ac:dyDescent="0.25">
      <c r="A134" s="93" t="s">
        <v>266</v>
      </c>
      <c r="B134" s="93"/>
      <c r="C134" s="93"/>
      <c r="D134" s="356"/>
      <c r="E134" s="11"/>
      <c r="F134" s="11"/>
      <c r="G134" s="11"/>
      <c r="H134" s="11"/>
      <c r="I134" s="11"/>
      <c r="J134" s="11"/>
      <c r="K134" s="11"/>
      <c r="L134" s="11"/>
      <c r="M134" s="11"/>
      <c r="N134" s="11">
        <f t="shared" si="20"/>
        <v>0</v>
      </c>
      <c r="O134" s="11"/>
      <c r="P134" s="11"/>
      <c r="Q134" s="11"/>
      <c r="R134" s="11"/>
      <c r="S134" s="11"/>
      <c r="T134" s="11"/>
      <c r="U134" s="11"/>
      <c r="V134" s="11"/>
      <c r="W134" s="11"/>
      <c r="X134" s="11"/>
      <c r="Y134" s="11"/>
      <c r="Z134" s="11"/>
    </row>
    <row r="135" spans="1:27" ht="15" hidden="1" customHeight="1" outlineLevel="1" x14ac:dyDescent="0.25">
      <c r="A135" s="93" t="s">
        <v>283</v>
      </c>
      <c r="B135" s="93"/>
      <c r="C135" s="93"/>
      <c r="D135" s="356"/>
      <c r="E135" s="11"/>
      <c r="F135" s="11"/>
      <c r="G135" s="11"/>
      <c r="H135" s="11"/>
      <c r="I135" s="11"/>
      <c r="J135" s="11"/>
      <c r="K135" s="11"/>
      <c r="L135" s="11"/>
      <c r="M135" s="11"/>
      <c r="N135" s="11">
        <f t="shared" si="20"/>
        <v>0</v>
      </c>
      <c r="O135" s="11"/>
      <c r="P135" s="11"/>
      <c r="Q135" s="11"/>
      <c r="R135" s="11"/>
      <c r="S135" s="11"/>
      <c r="T135" s="11"/>
      <c r="U135" s="11"/>
      <c r="V135" s="11"/>
      <c r="W135" s="11"/>
      <c r="X135" s="11"/>
      <c r="Y135" s="11"/>
      <c r="Z135" s="11"/>
    </row>
    <row r="136" spans="1:27" ht="15" hidden="1" customHeight="1" outlineLevel="1" x14ac:dyDescent="0.25">
      <c r="A136" s="93" t="s">
        <v>284</v>
      </c>
      <c r="B136" s="93"/>
      <c r="C136" s="93"/>
      <c r="D136" s="356"/>
      <c r="E136" s="11"/>
      <c r="F136" s="11"/>
      <c r="G136" s="11"/>
      <c r="H136" s="11"/>
      <c r="I136" s="11"/>
      <c r="J136" s="11"/>
      <c r="K136" s="11"/>
      <c r="L136" s="11"/>
      <c r="M136" s="11"/>
      <c r="N136" s="11">
        <f t="shared" si="20"/>
        <v>0</v>
      </c>
      <c r="O136" s="11"/>
      <c r="P136" s="11"/>
      <c r="Q136" s="11"/>
      <c r="R136" s="11"/>
      <c r="S136" s="11"/>
      <c r="T136" s="11"/>
      <c r="U136" s="11"/>
      <c r="V136" s="11"/>
      <c r="W136" s="11"/>
      <c r="X136" s="11"/>
      <c r="Y136" s="11"/>
      <c r="Z136" s="11"/>
    </row>
    <row r="137" spans="1:27" ht="21" hidden="1" customHeight="1" outlineLevel="1" x14ac:dyDescent="0.25">
      <c r="A137" s="93" t="s">
        <v>285</v>
      </c>
      <c r="B137" s="93"/>
      <c r="C137" s="93"/>
      <c r="D137" s="356"/>
      <c r="E137" s="11"/>
      <c r="F137" s="11"/>
      <c r="G137" s="45"/>
      <c r="H137" s="11"/>
      <c r="I137" s="11"/>
      <c r="J137" s="11"/>
      <c r="K137" s="68" t="s">
        <v>20</v>
      </c>
      <c r="L137" s="32">
        <f>SUM(L132:L136)</f>
        <v>0</v>
      </c>
      <c r="M137" s="32">
        <f>SUM(M132:M136)</f>
        <v>0</v>
      </c>
      <c r="N137" s="11">
        <f>SUM(N133:N136)</f>
        <v>0</v>
      </c>
      <c r="O137" s="11">
        <f t="shared" ref="O137:Z137" si="21">SUM(O133:O136)</f>
        <v>0</v>
      </c>
      <c r="P137" s="11">
        <f t="shared" si="21"/>
        <v>0</v>
      </c>
      <c r="Q137" s="11">
        <f t="shared" si="21"/>
        <v>0</v>
      </c>
      <c r="R137" s="11">
        <f t="shared" si="21"/>
        <v>0</v>
      </c>
      <c r="S137" s="11">
        <f t="shared" si="21"/>
        <v>0</v>
      </c>
      <c r="T137" s="11">
        <f t="shared" si="21"/>
        <v>0</v>
      </c>
      <c r="U137" s="11">
        <f t="shared" si="21"/>
        <v>0</v>
      </c>
      <c r="V137" s="11">
        <f t="shared" si="21"/>
        <v>0</v>
      </c>
      <c r="W137" s="11">
        <f t="shared" si="21"/>
        <v>0</v>
      </c>
      <c r="X137" s="11">
        <f t="shared" si="21"/>
        <v>0</v>
      </c>
      <c r="Y137" s="11">
        <f t="shared" si="21"/>
        <v>0</v>
      </c>
      <c r="Z137" s="11">
        <f t="shared" si="21"/>
        <v>0</v>
      </c>
      <c r="AA137" s="35"/>
    </row>
    <row r="138" spans="1:27" ht="18" outlineLevel="1" x14ac:dyDescent="0.25">
      <c r="A138" s="30" t="str">
        <f>CONCATENATE(B26," ",C26)</f>
        <v xml:space="preserve"> </v>
      </c>
      <c r="B138" s="30"/>
      <c r="C138" s="31"/>
      <c r="D138" s="31"/>
      <c r="E138" s="29"/>
      <c r="F138" s="29"/>
      <c r="G138" s="29"/>
      <c r="H138" s="29"/>
      <c r="I138" s="29"/>
      <c r="J138" s="29"/>
      <c r="K138" s="29"/>
      <c r="L138" s="29"/>
      <c r="M138" s="29"/>
      <c r="N138" s="29"/>
      <c r="O138" s="29" t="s">
        <v>5</v>
      </c>
      <c r="P138" s="29"/>
      <c r="Q138" s="29"/>
      <c r="R138" s="29"/>
      <c r="S138" s="29"/>
      <c r="T138" s="29"/>
      <c r="U138" s="29"/>
      <c r="V138" s="29"/>
      <c r="W138" s="29"/>
      <c r="X138" s="29"/>
      <c r="Y138" s="29"/>
      <c r="Z138" s="29"/>
    </row>
    <row r="139" spans="1:27" ht="6.75" customHeight="1" x14ac:dyDescent="0.25"/>
    <row r="140" spans="1:27" ht="18" x14ac:dyDescent="0.25">
      <c r="A140" s="41" t="s">
        <v>324</v>
      </c>
      <c r="B140" s="41"/>
      <c r="C140" s="42"/>
      <c r="D140" s="42"/>
      <c r="E140" s="43"/>
      <c r="F140" s="43"/>
      <c r="G140" s="43"/>
      <c r="H140" s="44"/>
      <c r="I140" s="44"/>
      <c r="J140" s="43"/>
      <c r="K140" s="43"/>
      <c r="L140" s="43"/>
      <c r="M140" s="43"/>
      <c r="N140" s="43"/>
      <c r="O140" s="43" t="s">
        <v>5</v>
      </c>
      <c r="P140" s="43"/>
      <c r="Q140" s="43"/>
      <c r="R140" s="43"/>
      <c r="S140" s="43"/>
      <c r="T140" s="43"/>
      <c r="U140" s="43"/>
      <c r="V140" s="43"/>
      <c r="W140" s="43"/>
      <c r="X140" s="43"/>
      <c r="Y140" s="43"/>
      <c r="Z140" s="43"/>
    </row>
    <row r="141" spans="1:27" ht="15.75" outlineLevel="1" x14ac:dyDescent="0.25">
      <c r="A141" s="92" t="s">
        <v>261</v>
      </c>
      <c r="B141" s="92" t="s">
        <v>13</v>
      </c>
      <c r="C141" s="92" t="s">
        <v>14</v>
      </c>
      <c r="D141" s="8" t="s">
        <v>15</v>
      </c>
      <c r="E141" s="49"/>
      <c r="F141" s="49"/>
      <c r="G141" s="49"/>
      <c r="H141" s="49"/>
      <c r="I141" s="49"/>
      <c r="J141" s="48"/>
      <c r="K141" s="12"/>
      <c r="L141" s="32" t="s">
        <v>52</v>
      </c>
      <c r="M141" s="32" t="s">
        <v>53</v>
      </c>
      <c r="N141" s="32" t="s">
        <v>54</v>
      </c>
      <c r="O141" s="66">
        <v>43101</v>
      </c>
      <c r="P141" s="66">
        <v>43132</v>
      </c>
      <c r="Q141" s="66">
        <v>43160</v>
      </c>
      <c r="R141" s="66">
        <v>43191</v>
      </c>
      <c r="S141" s="66">
        <v>43221</v>
      </c>
      <c r="T141" s="66">
        <v>43252</v>
      </c>
      <c r="U141" s="66">
        <v>43282</v>
      </c>
      <c r="V141" s="66">
        <v>43313</v>
      </c>
      <c r="W141" s="66">
        <v>43344</v>
      </c>
      <c r="X141" s="66">
        <v>43374</v>
      </c>
      <c r="Y141" s="66">
        <v>43405</v>
      </c>
      <c r="Z141" s="66">
        <v>43435</v>
      </c>
    </row>
    <row r="142" spans="1:27" ht="15" outlineLevel="1" x14ac:dyDescent="0.25">
      <c r="A142" s="93"/>
      <c r="B142" s="93" t="s">
        <v>27</v>
      </c>
      <c r="C142" s="93" t="str">
        <f t="shared" ref="C142:D151" si="22">C17</f>
        <v xml:space="preserve">Environmental Monitoring </v>
      </c>
      <c r="D142" s="7">
        <f t="shared" si="22"/>
        <v>0</v>
      </c>
      <c r="E142" s="49"/>
      <c r="F142" s="49"/>
      <c r="G142" s="49"/>
      <c r="H142" s="49"/>
      <c r="I142" s="49"/>
      <c r="J142" s="48"/>
      <c r="K142" s="12" t="s">
        <v>5</v>
      </c>
      <c r="L142" s="11" t="s">
        <v>48</v>
      </c>
      <c r="M142" s="11" t="s">
        <v>55</v>
      </c>
      <c r="N142" s="11">
        <v>6</v>
      </c>
      <c r="O142" s="54">
        <f t="shared" ref="O142:Z142" si="23">+O17/SUM($O17:$Z17)</f>
        <v>0.21394418598480172</v>
      </c>
      <c r="P142" s="54">
        <f t="shared" si="23"/>
        <v>0.18858405595218197</v>
      </c>
      <c r="Q142" s="54">
        <f t="shared" si="23"/>
        <v>0.19151134723314472</v>
      </c>
      <c r="R142" s="54">
        <f t="shared" si="23"/>
        <v>5.0064814728872455E-2</v>
      </c>
      <c r="S142" s="54">
        <f t="shared" si="23"/>
        <v>4.116401546672762E-2</v>
      </c>
      <c r="T142" s="54">
        <f t="shared" si="23"/>
        <v>4.4091306747690399E-2</v>
      </c>
      <c r="U142" s="54">
        <f t="shared" si="23"/>
        <v>4.116401546672762E-2</v>
      </c>
      <c r="V142" s="54">
        <f t="shared" si="23"/>
        <v>5.0064814728872455E-2</v>
      </c>
      <c r="W142" s="54">
        <f t="shared" si="23"/>
        <v>4.4091306747690399E-2</v>
      </c>
      <c r="X142" s="54">
        <f t="shared" si="23"/>
        <v>4.116401546672762E-2</v>
      </c>
      <c r="Y142" s="54">
        <f t="shared" si="23"/>
        <v>4.116401546672762E-2</v>
      </c>
      <c r="Z142" s="54">
        <f t="shared" si="23"/>
        <v>5.299210600983522E-2</v>
      </c>
    </row>
    <row r="143" spans="1:27" ht="15" outlineLevel="1" x14ac:dyDescent="0.25">
      <c r="A143" s="93" t="str">
        <f t="shared" ref="A143:A151" si="24">+A18</f>
        <v>5.2</v>
      </c>
      <c r="B143" s="93" t="s">
        <v>29</v>
      </c>
      <c r="C143" s="93" t="str">
        <f t="shared" si="22"/>
        <v>Environmental EIA</v>
      </c>
      <c r="D143" s="7">
        <f t="shared" si="22"/>
        <v>0</v>
      </c>
      <c r="E143" s="49"/>
      <c r="F143" s="49"/>
      <c r="G143" s="49"/>
      <c r="H143" s="49"/>
      <c r="I143" s="49"/>
      <c r="J143" s="48"/>
      <c r="K143" s="12" t="s">
        <v>5</v>
      </c>
      <c r="L143" s="11" t="s">
        <v>48</v>
      </c>
      <c r="M143" s="11" t="s">
        <v>55</v>
      </c>
      <c r="N143" s="11">
        <v>6</v>
      </c>
      <c r="O143" s="54">
        <f t="shared" ref="O143:Z143" si="25">+O18/SUM($O18:$Z18)</f>
        <v>9.9807731042516404E-2</v>
      </c>
      <c r="P143" s="54">
        <f t="shared" si="25"/>
        <v>0.17170982661489245</v>
      </c>
      <c r="Q143" s="54">
        <f t="shared" si="25"/>
        <v>7.1003196610658709E-2</v>
      </c>
      <c r="R143" s="54">
        <f t="shared" si="25"/>
        <v>0.10154388735441658</v>
      </c>
      <c r="S143" s="54">
        <f t="shared" si="25"/>
        <v>8.7264458792605373E-2</v>
      </c>
      <c r="T143" s="54">
        <f t="shared" si="25"/>
        <v>0.15494540595006162</v>
      </c>
      <c r="U143" s="54">
        <f t="shared" si="25"/>
        <v>7.3652174739313153E-2</v>
      </c>
      <c r="V143" s="54">
        <f t="shared" si="25"/>
        <v>6.5663322072399194E-2</v>
      </c>
      <c r="W143" s="54">
        <f t="shared" si="25"/>
        <v>5.6471037917549378E-2</v>
      </c>
      <c r="X143" s="54">
        <f t="shared" si="25"/>
        <v>8.5603299667523142E-2</v>
      </c>
      <c r="Y143" s="54">
        <f t="shared" si="25"/>
        <v>7.2608682552136481E-3</v>
      </c>
      <c r="Z143" s="54">
        <f t="shared" si="25"/>
        <v>2.507479098285019E-2</v>
      </c>
    </row>
    <row r="144" spans="1:27" ht="15" outlineLevel="1" x14ac:dyDescent="0.25">
      <c r="A144" s="93" t="str">
        <f t="shared" si="24"/>
        <v>5.3</v>
      </c>
      <c r="B144" s="93" t="s">
        <v>30</v>
      </c>
      <c r="C144" s="93" t="str">
        <f t="shared" si="22"/>
        <v>Permits Pre-construcción</v>
      </c>
      <c r="D144" s="7">
        <f t="shared" si="22"/>
        <v>0</v>
      </c>
      <c r="E144" s="49"/>
      <c r="F144" s="49"/>
      <c r="G144" s="49"/>
      <c r="H144" s="49"/>
      <c r="I144" s="49"/>
      <c r="J144" s="48"/>
      <c r="K144" s="12" t="s">
        <v>5</v>
      </c>
      <c r="L144" s="11"/>
      <c r="M144" s="11"/>
      <c r="N144" s="11"/>
      <c r="O144" s="54">
        <f t="shared" ref="O144:Z152" si="26">+O19/SUM($O19:$Z19)</f>
        <v>0.11054637865311309</v>
      </c>
      <c r="P144" s="54">
        <f t="shared" si="26"/>
        <v>0.10891268832819023</v>
      </c>
      <c r="Q144" s="54">
        <f t="shared" si="26"/>
        <v>0.12706480304955528</v>
      </c>
      <c r="R144" s="54">
        <f t="shared" si="26"/>
        <v>0.12706480304955528</v>
      </c>
      <c r="S144" s="54">
        <f t="shared" si="26"/>
        <v>0.12706480304955528</v>
      </c>
      <c r="T144" s="54">
        <f t="shared" si="26"/>
        <v>0.12706480304955528</v>
      </c>
      <c r="U144" s="54">
        <f t="shared" si="26"/>
        <v>4.5380286803412599E-2</v>
      </c>
      <c r="V144" s="54">
        <f t="shared" si="26"/>
        <v>4.5380286803412599E-2</v>
      </c>
      <c r="W144" s="54">
        <f t="shared" si="26"/>
        <v>4.5380286803412599E-2</v>
      </c>
      <c r="X144" s="54">
        <f t="shared" si="26"/>
        <v>4.5380286803412599E-2</v>
      </c>
      <c r="Y144" s="54">
        <f t="shared" si="26"/>
        <v>4.5380286803412599E-2</v>
      </c>
      <c r="Z144" s="54">
        <f t="shared" si="26"/>
        <v>4.5380286803412599E-2</v>
      </c>
    </row>
    <row r="145" spans="1:26" ht="15" hidden="1" outlineLevel="1" x14ac:dyDescent="0.25">
      <c r="A145" s="93">
        <f t="shared" si="24"/>
        <v>0</v>
      </c>
      <c r="B145" s="93" t="s">
        <v>31</v>
      </c>
      <c r="C145" s="93">
        <f t="shared" si="22"/>
        <v>0</v>
      </c>
      <c r="D145" s="356">
        <f t="shared" si="22"/>
        <v>0</v>
      </c>
      <c r="E145" s="49"/>
      <c r="F145" s="49"/>
      <c r="G145" s="49"/>
      <c r="H145" s="49"/>
      <c r="I145" s="49"/>
      <c r="J145" s="48"/>
      <c r="K145" s="12" t="s">
        <v>5</v>
      </c>
      <c r="L145" s="11"/>
      <c r="M145" s="11"/>
      <c r="N145" s="11"/>
      <c r="O145" s="54" t="e">
        <f t="shared" si="26"/>
        <v>#DIV/0!</v>
      </c>
      <c r="P145" s="54" t="e">
        <f t="shared" si="26"/>
        <v>#DIV/0!</v>
      </c>
      <c r="Q145" s="54" t="e">
        <f t="shared" si="26"/>
        <v>#DIV/0!</v>
      </c>
      <c r="R145" s="54" t="e">
        <f t="shared" si="26"/>
        <v>#DIV/0!</v>
      </c>
      <c r="S145" s="54" t="e">
        <f t="shared" si="26"/>
        <v>#DIV/0!</v>
      </c>
      <c r="T145" s="54" t="e">
        <f t="shared" si="26"/>
        <v>#DIV/0!</v>
      </c>
      <c r="U145" s="54" t="e">
        <f t="shared" si="26"/>
        <v>#DIV/0!</v>
      </c>
      <c r="V145" s="54" t="e">
        <f t="shared" si="26"/>
        <v>#DIV/0!</v>
      </c>
      <c r="W145" s="54" t="e">
        <f t="shared" si="26"/>
        <v>#DIV/0!</v>
      </c>
      <c r="X145" s="54" t="e">
        <f t="shared" si="26"/>
        <v>#DIV/0!</v>
      </c>
      <c r="Y145" s="54" t="e">
        <f t="shared" si="26"/>
        <v>#DIV/0!</v>
      </c>
      <c r="Z145" s="54" t="e">
        <f t="shared" si="26"/>
        <v>#DIV/0!</v>
      </c>
    </row>
    <row r="146" spans="1:26" ht="15" hidden="1" outlineLevel="1" x14ac:dyDescent="0.25">
      <c r="A146" s="93">
        <f t="shared" si="24"/>
        <v>0</v>
      </c>
      <c r="B146" s="93" t="s">
        <v>32</v>
      </c>
      <c r="C146" s="93">
        <f t="shared" si="22"/>
        <v>0</v>
      </c>
      <c r="D146" s="356">
        <f t="shared" si="22"/>
        <v>0</v>
      </c>
      <c r="E146" s="49"/>
      <c r="F146" s="49"/>
      <c r="G146" s="49"/>
      <c r="H146" s="49"/>
      <c r="I146" s="49"/>
      <c r="J146" s="48"/>
      <c r="K146" s="12"/>
      <c r="L146" s="11"/>
      <c r="M146" s="11"/>
      <c r="N146" s="11"/>
      <c r="O146" s="54" t="e">
        <f t="shared" si="26"/>
        <v>#DIV/0!</v>
      </c>
      <c r="P146" s="54" t="e">
        <f t="shared" si="26"/>
        <v>#DIV/0!</v>
      </c>
      <c r="Q146" s="54" t="e">
        <f t="shared" si="26"/>
        <v>#DIV/0!</v>
      </c>
      <c r="R146" s="54" t="e">
        <f t="shared" si="26"/>
        <v>#DIV/0!</v>
      </c>
      <c r="S146" s="54" t="e">
        <f t="shared" si="26"/>
        <v>#DIV/0!</v>
      </c>
      <c r="T146" s="54" t="e">
        <f t="shared" si="26"/>
        <v>#DIV/0!</v>
      </c>
      <c r="U146" s="54" t="e">
        <f t="shared" si="26"/>
        <v>#DIV/0!</v>
      </c>
      <c r="V146" s="54" t="e">
        <f t="shared" si="26"/>
        <v>#DIV/0!</v>
      </c>
      <c r="W146" s="54" t="e">
        <f t="shared" si="26"/>
        <v>#DIV/0!</v>
      </c>
      <c r="X146" s="54" t="e">
        <f t="shared" si="26"/>
        <v>#DIV/0!</v>
      </c>
      <c r="Y146" s="54" t="e">
        <f t="shared" si="26"/>
        <v>#DIV/0!</v>
      </c>
      <c r="Z146" s="54" t="e">
        <f t="shared" si="26"/>
        <v>#DIV/0!</v>
      </c>
    </row>
    <row r="147" spans="1:26" ht="15" hidden="1" outlineLevel="1" x14ac:dyDescent="0.25">
      <c r="A147" s="93">
        <f t="shared" si="24"/>
        <v>0</v>
      </c>
      <c r="B147" s="93" t="s">
        <v>256</v>
      </c>
      <c r="C147" s="93">
        <f t="shared" si="22"/>
        <v>0</v>
      </c>
      <c r="D147" s="356">
        <f t="shared" si="22"/>
        <v>0</v>
      </c>
      <c r="E147" s="49"/>
      <c r="F147" s="49"/>
      <c r="G147" s="49"/>
      <c r="H147" s="49"/>
      <c r="I147" s="49"/>
      <c r="J147" s="48"/>
      <c r="K147" s="12"/>
      <c r="L147" s="11"/>
      <c r="M147" s="11"/>
      <c r="N147" s="11"/>
      <c r="O147" s="54" t="e">
        <f t="shared" si="26"/>
        <v>#DIV/0!</v>
      </c>
      <c r="P147" s="54" t="e">
        <f t="shared" si="26"/>
        <v>#DIV/0!</v>
      </c>
      <c r="Q147" s="54" t="e">
        <f t="shared" si="26"/>
        <v>#DIV/0!</v>
      </c>
      <c r="R147" s="54" t="e">
        <f t="shared" si="26"/>
        <v>#DIV/0!</v>
      </c>
      <c r="S147" s="54" t="e">
        <f t="shared" si="26"/>
        <v>#DIV/0!</v>
      </c>
      <c r="T147" s="54" t="e">
        <f t="shared" si="26"/>
        <v>#DIV/0!</v>
      </c>
      <c r="U147" s="54" t="e">
        <f t="shared" si="26"/>
        <v>#DIV/0!</v>
      </c>
      <c r="V147" s="54" t="e">
        <f t="shared" si="26"/>
        <v>#DIV/0!</v>
      </c>
      <c r="W147" s="54" t="e">
        <f t="shared" si="26"/>
        <v>#DIV/0!</v>
      </c>
      <c r="X147" s="54" t="e">
        <f t="shared" si="26"/>
        <v>#DIV/0!</v>
      </c>
      <c r="Y147" s="54" t="e">
        <f t="shared" si="26"/>
        <v>#DIV/0!</v>
      </c>
      <c r="Z147" s="54" t="e">
        <f t="shared" si="26"/>
        <v>#DIV/0!</v>
      </c>
    </row>
    <row r="148" spans="1:26" ht="15" hidden="1" outlineLevel="1" x14ac:dyDescent="0.25">
      <c r="A148" s="93">
        <f t="shared" si="24"/>
        <v>0</v>
      </c>
      <c r="B148" s="93" t="s">
        <v>257</v>
      </c>
      <c r="C148" s="93">
        <f t="shared" si="22"/>
        <v>0</v>
      </c>
      <c r="D148" s="356">
        <f t="shared" si="22"/>
        <v>0</v>
      </c>
      <c r="E148" s="49"/>
      <c r="F148" s="49"/>
      <c r="G148" s="49"/>
      <c r="H148" s="49"/>
      <c r="I148" s="49"/>
      <c r="J148" s="48"/>
      <c r="K148" s="12"/>
      <c r="L148" s="11"/>
      <c r="M148" s="11"/>
      <c r="N148" s="11"/>
      <c r="O148" s="54" t="e">
        <f t="shared" si="26"/>
        <v>#DIV/0!</v>
      </c>
      <c r="P148" s="54" t="e">
        <f t="shared" si="26"/>
        <v>#DIV/0!</v>
      </c>
      <c r="Q148" s="54" t="e">
        <f t="shared" si="26"/>
        <v>#DIV/0!</v>
      </c>
      <c r="R148" s="54" t="e">
        <f t="shared" si="26"/>
        <v>#DIV/0!</v>
      </c>
      <c r="S148" s="54" t="e">
        <f t="shared" si="26"/>
        <v>#DIV/0!</v>
      </c>
      <c r="T148" s="54" t="e">
        <f t="shared" si="26"/>
        <v>#DIV/0!</v>
      </c>
      <c r="U148" s="54" t="e">
        <f t="shared" si="26"/>
        <v>#DIV/0!</v>
      </c>
      <c r="V148" s="54" t="e">
        <f t="shared" si="26"/>
        <v>#DIV/0!</v>
      </c>
      <c r="W148" s="54" t="e">
        <f t="shared" si="26"/>
        <v>#DIV/0!</v>
      </c>
      <c r="X148" s="54" t="e">
        <f t="shared" si="26"/>
        <v>#DIV/0!</v>
      </c>
      <c r="Y148" s="54" t="e">
        <f t="shared" si="26"/>
        <v>#DIV/0!</v>
      </c>
      <c r="Z148" s="54" t="e">
        <f t="shared" si="26"/>
        <v>#DIV/0!</v>
      </c>
    </row>
    <row r="149" spans="1:26" ht="15" hidden="1" outlineLevel="1" x14ac:dyDescent="0.25">
      <c r="A149" s="93">
        <f t="shared" si="24"/>
        <v>0</v>
      </c>
      <c r="B149" s="93" t="s">
        <v>258</v>
      </c>
      <c r="C149" s="93">
        <f t="shared" si="22"/>
        <v>0</v>
      </c>
      <c r="D149" s="356">
        <f t="shared" si="22"/>
        <v>0</v>
      </c>
      <c r="E149" s="49"/>
      <c r="F149" s="49"/>
      <c r="G149" s="49"/>
      <c r="H149" s="49"/>
      <c r="I149" s="49"/>
      <c r="J149" s="48"/>
      <c r="K149" s="12"/>
      <c r="L149" s="11"/>
      <c r="M149" s="11"/>
      <c r="N149" s="11"/>
      <c r="O149" s="54" t="e">
        <f t="shared" si="26"/>
        <v>#DIV/0!</v>
      </c>
      <c r="P149" s="54" t="e">
        <f t="shared" si="26"/>
        <v>#DIV/0!</v>
      </c>
      <c r="Q149" s="54" t="e">
        <f t="shared" si="26"/>
        <v>#DIV/0!</v>
      </c>
      <c r="R149" s="54" t="e">
        <f t="shared" si="26"/>
        <v>#DIV/0!</v>
      </c>
      <c r="S149" s="54" t="e">
        <f t="shared" si="26"/>
        <v>#DIV/0!</v>
      </c>
      <c r="T149" s="54" t="e">
        <f t="shared" si="26"/>
        <v>#DIV/0!</v>
      </c>
      <c r="U149" s="54" t="e">
        <f t="shared" si="26"/>
        <v>#DIV/0!</v>
      </c>
      <c r="V149" s="54" t="e">
        <f t="shared" si="26"/>
        <v>#DIV/0!</v>
      </c>
      <c r="W149" s="54" t="e">
        <f t="shared" si="26"/>
        <v>#DIV/0!</v>
      </c>
      <c r="X149" s="54" t="e">
        <f t="shared" si="26"/>
        <v>#DIV/0!</v>
      </c>
      <c r="Y149" s="54" t="e">
        <f t="shared" si="26"/>
        <v>#DIV/0!</v>
      </c>
      <c r="Z149" s="54" t="e">
        <f t="shared" si="26"/>
        <v>#DIV/0!</v>
      </c>
    </row>
    <row r="150" spans="1:26" ht="15" hidden="1" outlineLevel="1" x14ac:dyDescent="0.25">
      <c r="A150" s="93">
        <f t="shared" si="24"/>
        <v>0</v>
      </c>
      <c r="B150" s="93" t="s">
        <v>259</v>
      </c>
      <c r="C150" s="93">
        <f t="shared" si="22"/>
        <v>0</v>
      </c>
      <c r="D150" s="356">
        <f t="shared" si="22"/>
        <v>0</v>
      </c>
      <c r="E150" s="49"/>
      <c r="F150" s="49"/>
      <c r="G150" s="49"/>
      <c r="H150" s="49"/>
      <c r="I150" s="49"/>
      <c r="J150" s="48"/>
      <c r="K150" s="12"/>
      <c r="L150" s="11"/>
      <c r="M150" s="11"/>
      <c r="N150" s="11"/>
      <c r="O150" s="54" t="e">
        <f t="shared" si="26"/>
        <v>#DIV/0!</v>
      </c>
      <c r="P150" s="54" t="e">
        <f t="shared" si="26"/>
        <v>#DIV/0!</v>
      </c>
      <c r="Q150" s="54" t="e">
        <f t="shared" si="26"/>
        <v>#DIV/0!</v>
      </c>
      <c r="R150" s="54" t="e">
        <f t="shared" si="26"/>
        <v>#DIV/0!</v>
      </c>
      <c r="S150" s="54" t="e">
        <f t="shared" si="26"/>
        <v>#DIV/0!</v>
      </c>
      <c r="T150" s="54" t="e">
        <f t="shared" si="26"/>
        <v>#DIV/0!</v>
      </c>
      <c r="U150" s="54" t="e">
        <f t="shared" si="26"/>
        <v>#DIV/0!</v>
      </c>
      <c r="V150" s="54" t="e">
        <f t="shared" si="26"/>
        <v>#DIV/0!</v>
      </c>
      <c r="W150" s="54" t="e">
        <f t="shared" si="26"/>
        <v>#DIV/0!</v>
      </c>
      <c r="X150" s="54" t="e">
        <f t="shared" si="26"/>
        <v>#DIV/0!</v>
      </c>
      <c r="Y150" s="54" t="e">
        <f t="shared" si="26"/>
        <v>#DIV/0!</v>
      </c>
      <c r="Z150" s="54" t="e">
        <f t="shared" si="26"/>
        <v>#DIV/0!</v>
      </c>
    </row>
    <row r="151" spans="1:26" ht="15" hidden="1" outlineLevel="1" x14ac:dyDescent="0.25">
      <c r="A151" s="93">
        <f t="shared" si="24"/>
        <v>0</v>
      </c>
      <c r="B151" s="93" t="s">
        <v>260</v>
      </c>
      <c r="C151" s="93">
        <f t="shared" si="22"/>
        <v>0</v>
      </c>
      <c r="D151" s="356">
        <f t="shared" si="22"/>
        <v>0</v>
      </c>
      <c r="E151" s="49"/>
      <c r="F151" s="49"/>
      <c r="G151" s="49"/>
      <c r="H151" s="49"/>
      <c r="I151" s="49"/>
      <c r="J151" s="48"/>
      <c r="K151" s="12" t="s">
        <v>5</v>
      </c>
      <c r="L151" s="11"/>
      <c r="M151" s="11"/>
      <c r="N151" s="11"/>
      <c r="O151" s="54" t="e">
        <f t="shared" si="26"/>
        <v>#VALUE!</v>
      </c>
      <c r="P151" s="54" t="e">
        <f t="shared" si="26"/>
        <v>#DIV/0!</v>
      </c>
      <c r="Q151" s="54" t="e">
        <f t="shared" si="26"/>
        <v>#DIV/0!</v>
      </c>
      <c r="R151" s="54" t="e">
        <f t="shared" si="26"/>
        <v>#DIV/0!</v>
      </c>
      <c r="S151" s="54" t="e">
        <f t="shared" si="26"/>
        <v>#DIV/0!</v>
      </c>
      <c r="T151" s="54" t="e">
        <f t="shared" si="26"/>
        <v>#DIV/0!</v>
      </c>
      <c r="U151" s="54" t="e">
        <f t="shared" si="26"/>
        <v>#DIV/0!</v>
      </c>
      <c r="V151" s="54" t="e">
        <f t="shared" si="26"/>
        <v>#DIV/0!</v>
      </c>
      <c r="W151" s="54" t="e">
        <f t="shared" si="26"/>
        <v>#DIV/0!</v>
      </c>
      <c r="X151" s="54" t="e">
        <f t="shared" si="26"/>
        <v>#DIV/0!</v>
      </c>
      <c r="Y151" s="54" t="e">
        <f t="shared" si="26"/>
        <v>#DIV/0!</v>
      </c>
      <c r="Z151" s="54" t="e">
        <f t="shared" si="26"/>
        <v>#DIV/0!</v>
      </c>
    </row>
    <row r="152" spans="1:26" s="35" customFormat="1" ht="22.5" customHeight="1" outlineLevel="1" x14ac:dyDescent="0.25">
      <c r="A152" s="33"/>
      <c r="B152" s="34"/>
      <c r="C152" s="34"/>
      <c r="D152" s="34"/>
      <c r="E152" s="50"/>
      <c r="F152" s="50"/>
      <c r="G152" s="50"/>
      <c r="H152" s="50"/>
      <c r="I152" s="50"/>
      <c r="J152" s="51" t="s">
        <v>20</v>
      </c>
      <c r="K152" s="68"/>
      <c r="L152" s="32" t="s">
        <v>48</v>
      </c>
      <c r="M152" s="32" t="s">
        <v>55</v>
      </c>
      <c r="N152" s="126">
        <f>SUM(N142:N151)</f>
        <v>12</v>
      </c>
      <c r="O152" s="54">
        <f t="shared" si="26"/>
        <v>0.1220570809139721</v>
      </c>
      <c r="P152" s="54">
        <f t="shared" si="26"/>
        <v>0.17158210595580728</v>
      </c>
      <c r="Q152" s="54">
        <f t="shared" si="26"/>
        <v>9.6868251144340264E-2</v>
      </c>
      <c r="R152" s="54">
        <f t="shared" si="26"/>
        <v>9.3120284670887871E-2</v>
      </c>
      <c r="S152" s="54">
        <f t="shared" si="26"/>
        <v>8.0620347359652123E-2</v>
      </c>
      <c r="T152" s="54">
        <f t="shared" si="26"/>
        <v>0.13240973351700422</v>
      </c>
      <c r="U152" s="54">
        <f t="shared" si="26"/>
        <v>6.5980791730847005E-2</v>
      </c>
      <c r="V152" s="54">
        <f t="shared" si="26"/>
        <v>6.1624005074506452E-2</v>
      </c>
      <c r="W152" s="54">
        <f t="shared" si="26"/>
        <v>5.3530970997560885E-2</v>
      </c>
      <c r="X152" s="54">
        <f t="shared" si="26"/>
        <v>7.5027597451846478E-2</v>
      </c>
      <c r="Y152" s="54">
        <f t="shared" si="26"/>
        <v>1.5723660713228102E-2</v>
      </c>
      <c r="Z152" s="54">
        <f t="shared" si="26"/>
        <v>3.1455170470347259E-2</v>
      </c>
    </row>
    <row r="154" spans="1:26" x14ac:dyDescent="0.25">
      <c r="B154" s="27" t="s">
        <v>21</v>
      </c>
      <c r="C154" s="28">
        <v>43102</v>
      </c>
    </row>
    <row r="155" spans="1:26" x14ac:dyDescent="0.25">
      <c r="B155" s="27" t="s">
        <v>23</v>
      </c>
      <c r="C155" s="28">
        <v>42917</v>
      </c>
    </row>
    <row r="157" spans="1:26" ht="18" x14ac:dyDescent="0.25">
      <c r="A157" s="132" t="s">
        <v>262</v>
      </c>
    </row>
    <row r="158" spans="1:26" ht="18" x14ac:dyDescent="0.25">
      <c r="A158" s="127" t="s">
        <v>302</v>
      </c>
      <c r="B158" s="128"/>
    </row>
    <row r="159" spans="1:26" ht="18" x14ac:dyDescent="0.25">
      <c r="A159" s="127" t="s">
        <v>323</v>
      </c>
      <c r="B159" s="128"/>
    </row>
    <row r="161" spans="1:3" ht="36" x14ac:dyDescent="0.25">
      <c r="A161" s="128" t="s">
        <v>316</v>
      </c>
      <c r="B161" s="131" t="s">
        <v>288</v>
      </c>
      <c r="C161" s="131" t="s">
        <v>320</v>
      </c>
    </row>
    <row r="162" spans="1:3" ht="36" x14ac:dyDescent="0.25">
      <c r="A162" s="130" t="s">
        <v>310</v>
      </c>
      <c r="B162" s="131" t="s">
        <v>289</v>
      </c>
      <c r="C162" s="131" t="s">
        <v>321</v>
      </c>
    </row>
    <row r="163" spans="1:3" ht="54" x14ac:dyDescent="0.25">
      <c r="A163" s="130" t="s">
        <v>311</v>
      </c>
      <c r="B163" s="131" t="s">
        <v>290</v>
      </c>
      <c r="C163" s="131" t="s">
        <v>319</v>
      </c>
    </row>
    <row r="164" spans="1:3" ht="36" x14ac:dyDescent="0.25">
      <c r="A164" s="130" t="s">
        <v>312</v>
      </c>
      <c r="B164" s="131" t="s">
        <v>291</v>
      </c>
      <c r="C164" s="131" t="s">
        <v>322</v>
      </c>
    </row>
    <row r="165" spans="1:3" ht="54" x14ac:dyDescent="0.25">
      <c r="A165" s="130" t="s">
        <v>313</v>
      </c>
      <c r="B165" s="131" t="s">
        <v>292</v>
      </c>
      <c r="C165" s="131" t="s">
        <v>327</v>
      </c>
    </row>
    <row r="166" spans="1:3" ht="36" x14ac:dyDescent="0.25">
      <c r="A166" s="130" t="s">
        <v>314</v>
      </c>
      <c r="B166" s="131" t="s">
        <v>293</v>
      </c>
      <c r="C166" s="131" t="s">
        <v>317</v>
      </c>
    </row>
    <row r="167" spans="1:3" ht="54" x14ac:dyDescent="0.25">
      <c r="A167" s="130" t="s">
        <v>315</v>
      </c>
      <c r="B167" s="131" t="s">
        <v>296</v>
      </c>
      <c r="C167" s="131" t="s">
        <v>318</v>
      </c>
    </row>
    <row r="169" spans="1:3" ht="54" x14ac:dyDescent="0.25">
      <c r="A169" s="129" t="s">
        <v>301</v>
      </c>
      <c r="B169" s="128" t="s">
        <v>305</v>
      </c>
    </row>
    <row r="171" spans="1:3" ht="36" x14ac:dyDescent="0.25">
      <c r="A171" s="129" t="s">
        <v>303</v>
      </c>
      <c r="B171" s="128" t="s">
        <v>306</v>
      </c>
    </row>
    <row r="172" spans="1:3" ht="18" x14ac:dyDescent="0.25">
      <c r="A172" s="128"/>
    </row>
    <row r="173" spans="1:3" ht="54" x14ac:dyDescent="0.25">
      <c r="A173" s="129" t="s">
        <v>304</v>
      </c>
      <c r="B173" s="9" t="s">
        <v>307</v>
      </c>
    </row>
    <row r="174" spans="1:3" ht="18" x14ac:dyDescent="0.25">
      <c r="A174" s="128"/>
    </row>
    <row r="175" spans="1:3" ht="36" x14ac:dyDescent="0.25">
      <c r="A175" s="128" t="s">
        <v>308</v>
      </c>
      <c r="B175" s="128" t="s">
        <v>309</v>
      </c>
    </row>
  </sheetData>
  <mergeCells count="33">
    <mergeCell ref="E73:K73"/>
    <mergeCell ref="E74:K74"/>
    <mergeCell ref="E75:K75"/>
    <mergeCell ref="E66:K66"/>
    <mergeCell ref="E67:K67"/>
    <mergeCell ref="E68:K68"/>
    <mergeCell ref="E69:K69"/>
    <mergeCell ref="E71:K71"/>
    <mergeCell ref="E72:K72"/>
    <mergeCell ref="E65:K65"/>
    <mergeCell ref="E51:K51"/>
    <mergeCell ref="E53:K53"/>
    <mergeCell ref="E54:K54"/>
    <mergeCell ref="E55:K55"/>
    <mergeCell ref="E56:K56"/>
    <mergeCell ref="E57:K57"/>
    <mergeCell ref="E59:K59"/>
    <mergeCell ref="E60:K60"/>
    <mergeCell ref="E61:K61"/>
    <mergeCell ref="E62:K62"/>
    <mergeCell ref="E63:K63"/>
    <mergeCell ref="E50:K50"/>
    <mergeCell ref="E33:K33"/>
    <mergeCell ref="E38:K38"/>
    <mergeCell ref="E39:K39"/>
    <mergeCell ref="E41:K41"/>
    <mergeCell ref="E42:K42"/>
    <mergeCell ref="E43:K43"/>
    <mergeCell ref="E44:K44"/>
    <mergeCell ref="E45:K45"/>
    <mergeCell ref="E47:K47"/>
    <mergeCell ref="E48:K48"/>
    <mergeCell ref="E49:K49"/>
  </mergeCells>
  <dataValidations count="5">
    <dataValidation type="list" allowBlank="1" showInputMessage="1" showErrorMessage="1" sqref="F133:F137 F126:F130 F119:F123 F112:F116 F105:F109 F100:F101">
      <formula1>$A$3:$A$9</formula1>
    </dataValidation>
    <dataValidation type="list" allowBlank="1" showInputMessage="1" showErrorMessage="1" sqref="M142:M152 L142:L151 H126:K129 H119:K122 H112:K115 H105:K108 H116:J116 H123:J123 H130:J130 H137:J137 H133:K136 H109:I109 K84 I99:K101 H100:H101">
      <formula1>$C$3:$C$15</formula1>
    </dataValidation>
    <dataValidation type="list" allowBlank="1" showInputMessage="1" showErrorMessage="1" sqref="L27 L17:L19">
      <formula1>$D$4:$D$15</formula1>
    </dataValidation>
    <dataValidation type="list" allowBlank="1" showInputMessage="1" showErrorMessage="1" sqref="J109 L152 J84">
      <formula1>$C$3:$C$14</formula1>
    </dataValidation>
    <dataValidation type="list" allowBlank="1" showInputMessage="1" showErrorMessage="1" sqref="L41:L45 L47:L51 L53:L57 L59:L63 L65:L69 L71:L75 L35:L36 L38:L39">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'C:\Users\gineva.alcota\AppData\Local\Microsoft\Windows\INetCache\Content.Outlook\ZG6HJCZN\[Formato Finanzas SubSumas 24 AGO_GA_Enviado (002).xlsx]Lists'!#REF!</xm:f>
          </x14:formula1>
          <xm:sqref>H84:I84</xm:sqref>
        </x14:dataValidation>
        <x14:dataValidation type="list" allowBlank="1" showInputMessage="1" showErrorMessage="1">
          <x14:formula1>
            <xm:f>'C:\Users\gineva.alcota\AppData\Local\Microsoft\Windows\INetCache\Content.Outlook\ZG6HJCZN\[Formato Finanzas SubSumas 24 AGO_GA_Enviado (002).xlsx]Lists'!#REF!</xm:f>
          </x14:formula1>
          <xm:sqref>L32:L33</xm:sqref>
        </x14:dataValidation>
        <x14:dataValidation type="list" allowBlank="1" showInputMessage="1" showErrorMessage="1">
          <x14:formula1>
            <xm:f>'C:\Users\gineva.alcota\AppData\Local\Microsoft\Windows\INetCache\Content.Outlook\ZG6HJCZN\[Formato Finanzas SubSumas 24 AGO_GA_Enviado (002).xlsx]Lists'!#REF!</xm:f>
          </x14:formula1>
          <xm:sqref>L88:L95 L105:M108 L112:M115 L119:M122 L126:M129 L133:M136 L84 L99:M101</xm:sqref>
        </x14:dataValidation>
        <x14:dataValidation type="list" allowBlank="1" showInputMessage="1" showErrorMessage="1">
          <x14:formula1>
            <xm:f>'C:\Users\gineva.alcota\AppData\Local\Microsoft\Windows\INetCache\Content.Outlook\ZG6HJCZN\[Formato Finanzas SubSumas 24 AGO_GA_Enviado (002).xlsx]Lists'!#REF!</xm:f>
          </x14:formula1>
          <xm:sqref>F88:F95 F84 F99 F80:F82</xm:sqref>
        </x14:dataValidation>
        <x14:dataValidation type="list" allowBlank="1" showInputMessage="1" showErrorMessage="1">
          <x14:formula1>
            <xm:f>'C:\Users\gineva.alcota\AppData\Local\Microsoft\Windows\INetCache\Content.Outlook\ZG6HJCZN\[Formato Finanzas SubSumas 24 AGO_GA_Enviado (002).xlsx]Lists'!#REF!</xm:f>
          </x14:formula1>
          <xm:sqref>H88:K95 M88:M95 H99</xm:sqref>
        </x14:dataValidation>
        <x14:dataValidation type="list" allowBlank="1" showInputMessage="1" showErrorMessage="1">
          <x14:formula1>
            <xm:f>'C:\Users\gineva.alcota\AppData\Local\Microsoft\Windows\INetCache\Content.Outlook\ZG6HJCZN\[Formato Finanzas SubSumas 24 AGO_GA_Enviado (002).xlsx]Lists'!#REF!</xm:f>
          </x14:formula1>
          <xm:sqref>N142:N151</xm:sqref>
        </x14:dataValidation>
        <x14:dataValidation type="list" allowBlank="1" showInputMessage="1" showErrorMessage="1">
          <x14:formula1>
            <xm:f>'C:\Users\gineva.alcota\AppData\Local\Microsoft\Windows\INetCache\Content.Outlook\ZG6HJCZN\[Formato Finanzas SubSumas 24 AGO_GA_Enviado (002).xlsx]Lists'!#REF!</xm:f>
          </x14:formula1>
          <xm:sqref>B8</xm:sqref>
        </x14:dataValidation>
        <x14:dataValidation type="list" allowBlank="1" showInputMessage="1" showErrorMessage="1">
          <x14:formula1>
            <xm:f>'C:\Users\gineva.alcota\AppData\Local\Microsoft\Windows\INetCache\Content.Outlook\ZG6HJCZN\[Formato Finanzas SubSumas 24 AGO_GA_Enviado (002).xlsx]CCs &amp; Accounts'!#REF!</xm:f>
          </x14:formula1>
          <xm:sqref>E17:E26 E99:E101 E105:E109 E112:E116 E119:E123 E126:E130 E133:E137 E84 E88:E95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BK87"/>
  <sheetViews>
    <sheetView showGridLines="0" topLeftCell="J22" zoomScale="60" zoomScaleNormal="60" workbookViewId="0">
      <selection activeCell="X79" sqref="X79"/>
    </sheetView>
  </sheetViews>
  <sheetFormatPr baseColWidth="10" defaultRowHeight="15" x14ac:dyDescent="0.25"/>
  <cols>
    <col min="1" max="1" width="3" customWidth="1"/>
    <col min="2" max="2" width="16.85546875" customWidth="1"/>
    <col min="3" max="3" width="3.42578125" style="182" customWidth="1"/>
    <col min="4" max="4" width="20" style="182" customWidth="1"/>
    <col min="5" max="5" width="12.5703125" customWidth="1"/>
    <col min="6" max="6" width="6.28515625" hidden="1" customWidth="1"/>
    <col min="7" max="9" width="5.7109375" hidden="1" customWidth="1"/>
    <col min="10" max="10" width="13.7109375" customWidth="1"/>
    <col min="11" max="13" width="0" hidden="1" customWidth="1"/>
    <col min="14" max="14" width="3.28515625" customWidth="1"/>
    <col min="15" max="15" width="2.42578125" customWidth="1"/>
    <col min="16" max="16" width="2.7109375" customWidth="1"/>
    <col min="17" max="17" width="5" customWidth="1"/>
    <col min="18" max="20" width="8.42578125" customWidth="1"/>
    <col min="21" max="21" width="13.140625" customWidth="1"/>
    <col min="22" max="41" width="8.42578125" customWidth="1"/>
    <col min="42" max="42" width="12.7109375" customWidth="1"/>
    <col min="43" max="44" width="8.42578125" customWidth="1"/>
    <col min="45" max="45" width="7.85546875" customWidth="1"/>
    <col min="46" max="48" width="7" customWidth="1"/>
    <col min="49" max="49" width="8.42578125" customWidth="1"/>
    <col min="50" max="52" width="7" customWidth="1"/>
    <col min="53" max="56" width="5.140625" customWidth="1"/>
  </cols>
  <sheetData>
    <row r="1" spans="1:56" s="177" customFormat="1" x14ac:dyDescent="0.25">
      <c r="C1" s="178"/>
      <c r="D1" s="178"/>
      <c r="K1" s="179"/>
      <c r="L1" s="179"/>
      <c r="M1" s="179"/>
      <c r="N1" s="179"/>
    </row>
    <row r="2" spans="1:56" s="177" customFormat="1" x14ac:dyDescent="0.25">
      <c r="C2" s="178"/>
      <c r="D2" s="180"/>
      <c r="E2" s="179" t="s">
        <v>1152</v>
      </c>
      <c r="F2" s="179"/>
      <c r="G2" s="179"/>
      <c r="H2" s="179"/>
      <c r="I2" s="179"/>
      <c r="J2" s="179"/>
    </row>
    <row r="3" spans="1:56" s="177" customFormat="1" x14ac:dyDescent="0.25">
      <c r="C3" s="178"/>
      <c r="D3" s="181" t="s">
        <v>1153</v>
      </c>
      <c r="E3" s="177" t="s">
        <v>1154</v>
      </c>
    </row>
    <row r="4" spans="1:56" ht="15.75" thickBot="1" x14ac:dyDescent="0.3">
      <c r="D4" s="181" t="s">
        <v>1155</v>
      </c>
      <c r="E4" s="177" t="s">
        <v>1156</v>
      </c>
      <c r="F4" s="177"/>
      <c r="G4" s="177"/>
      <c r="H4" s="177"/>
      <c r="I4" s="177"/>
      <c r="J4" s="177"/>
    </row>
    <row r="5" spans="1:56" ht="15.75" thickBot="1" x14ac:dyDescent="0.3">
      <c r="O5" s="1011">
        <v>2015</v>
      </c>
      <c r="P5" s="1012"/>
      <c r="Q5" s="1012"/>
      <c r="R5" s="1012"/>
      <c r="S5" s="1012"/>
      <c r="T5" s="1013"/>
      <c r="U5" s="1011">
        <v>2016</v>
      </c>
      <c r="V5" s="1012"/>
      <c r="W5" s="1012"/>
      <c r="X5" s="1012"/>
      <c r="Y5" s="1012"/>
      <c r="Z5" s="1012"/>
      <c r="AA5" s="1012"/>
      <c r="AB5" s="1012"/>
      <c r="AC5" s="1012"/>
      <c r="AD5" s="1012"/>
      <c r="AE5" s="1012"/>
      <c r="AF5" s="1012"/>
      <c r="AG5" s="1011">
        <v>2017</v>
      </c>
      <c r="AH5" s="1012"/>
      <c r="AI5" s="1012"/>
      <c r="AJ5" s="1012"/>
      <c r="AK5" s="1012"/>
      <c r="AL5" s="1012"/>
      <c r="AM5" s="1012"/>
      <c r="AN5" s="1012"/>
      <c r="AO5" s="1012"/>
      <c r="AP5" s="1012"/>
      <c r="AQ5" s="1012"/>
      <c r="AR5" s="1013"/>
      <c r="AS5" s="1011">
        <v>2018</v>
      </c>
      <c r="AT5" s="1012"/>
      <c r="AU5" s="1012"/>
      <c r="AV5" s="1012"/>
      <c r="AW5" s="1012"/>
      <c r="AX5" s="1012"/>
      <c r="AY5" s="1012"/>
      <c r="AZ5" s="1012"/>
      <c r="BA5" s="1012"/>
      <c r="BB5" s="1012"/>
      <c r="BC5" s="1012"/>
      <c r="BD5" s="1013"/>
    </row>
    <row r="6" spans="1:56" ht="16.5" thickBot="1" x14ac:dyDescent="0.3">
      <c r="L6" s="1005"/>
      <c r="M6" s="1006"/>
      <c r="O6" s="1007"/>
      <c r="P6" s="1008"/>
      <c r="Q6" s="1008"/>
      <c r="R6" s="1008"/>
      <c r="S6" s="1008"/>
      <c r="T6" s="1009"/>
      <c r="U6" s="183"/>
      <c r="V6" s="184"/>
      <c r="W6" s="184"/>
      <c r="X6" s="184"/>
      <c r="Y6" s="184"/>
      <c r="Z6" s="184"/>
      <c r="AA6" s="184"/>
      <c r="AB6" s="184"/>
      <c r="AC6" s="184"/>
      <c r="AD6" s="184"/>
      <c r="AE6" s="184"/>
      <c r="AF6" s="184"/>
      <c r="AG6" s="185"/>
      <c r="AH6" s="186"/>
      <c r="AI6" s="186"/>
      <c r="AJ6" s="186"/>
      <c r="AK6" s="186"/>
      <c r="AL6" s="186"/>
      <c r="AM6" s="186"/>
      <c r="AN6" s="186"/>
      <c r="AO6" s="186"/>
      <c r="AP6" s="186"/>
      <c r="AQ6" s="186"/>
      <c r="AR6" s="186"/>
      <c r="AS6" s="187"/>
      <c r="AT6" s="188"/>
      <c r="AU6" s="188"/>
      <c r="AV6" s="188"/>
      <c r="AW6" s="188"/>
      <c r="AX6" s="188"/>
      <c r="AY6" s="188"/>
      <c r="AZ6" s="189" t="s">
        <v>1157</v>
      </c>
      <c r="BA6" s="188"/>
      <c r="BB6" s="188"/>
      <c r="BC6" s="188"/>
      <c r="BD6" s="188"/>
    </row>
    <row r="7" spans="1:56" ht="16.5" thickBot="1" x14ac:dyDescent="0.3">
      <c r="B7" s="190" t="s">
        <v>1158</v>
      </c>
      <c r="C7" s="191"/>
      <c r="D7" s="192"/>
      <c r="E7" s="193"/>
      <c r="F7" s="193"/>
      <c r="G7" s="194">
        <v>2015</v>
      </c>
      <c r="H7" s="194">
        <v>2016</v>
      </c>
      <c r="I7" s="194">
        <v>2017</v>
      </c>
      <c r="J7" s="195"/>
      <c r="L7" s="196"/>
      <c r="M7" s="197"/>
      <c r="O7" s="198" t="s">
        <v>1159</v>
      </c>
      <c r="P7" s="199" t="s">
        <v>1160</v>
      </c>
      <c r="Q7" s="199" t="s">
        <v>1161</v>
      </c>
      <c r="R7" s="199" t="s">
        <v>1162</v>
      </c>
      <c r="S7" s="199" t="s">
        <v>1163</v>
      </c>
      <c r="T7" s="200" t="s">
        <v>1164</v>
      </c>
      <c r="U7" s="201" t="s">
        <v>1159</v>
      </c>
      <c r="V7" s="202" t="s">
        <v>1165</v>
      </c>
      <c r="W7" s="202" t="s">
        <v>1166</v>
      </c>
      <c r="X7" s="202" t="s">
        <v>1160</v>
      </c>
      <c r="Y7" s="202" t="s">
        <v>1166</v>
      </c>
      <c r="Z7" s="203" t="s">
        <v>1159</v>
      </c>
      <c r="AA7" s="203" t="s">
        <v>1159</v>
      </c>
      <c r="AB7" s="203" t="s">
        <v>1160</v>
      </c>
      <c r="AC7" s="203" t="s">
        <v>1161</v>
      </c>
      <c r="AD7" s="203" t="s">
        <v>1162</v>
      </c>
      <c r="AE7" s="203" t="s">
        <v>1163</v>
      </c>
      <c r="AF7" s="202" t="s">
        <v>1164</v>
      </c>
      <c r="AG7" s="204" t="s">
        <v>1159</v>
      </c>
      <c r="AH7" s="205" t="s">
        <v>1165</v>
      </c>
      <c r="AI7" s="205" t="s">
        <v>1166</v>
      </c>
      <c r="AJ7" s="205" t="s">
        <v>1160</v>
      </c>
      <c r="AK7" s="205" t="s">
        <v>1166</v>
      </c>
      <c r="AL7" s="206" t="s">
        <v>1159</v>
      </c>
      <c r="AM7" s="206" t="s">
        <v>1159</v>
      </c>
      <c r="AN7" s="206" t="s">
        <v>1160</v>
      </c>
      <c r="AO7" s="206" t="s">
        <v>1161</v>
      </c>
      <c r="AP7" s="206" t="s">
        <v>1162</v>
      </c>
      <c r="AQ7" s="206" t="s">
        <v>1163</v>
      </c>
      <c r="AR7" s="205" t="s">
        <v>1164</v>
      </c>
      <c r="AS7" s="207" t="s">
        <v>1159</v>
      </c>
      <c r="AT7" s="208" t="s">
        <v>1165</v>
      </c>
      <c r="AU7" s="208" t="s">
        <v>1166</v>
      </c>
      <c r="AV7" s="208" t="s">
        <v>1160</v>
      </c>
      <c r="AW7" s="208" t="s">
        <v>1166</v>
      </c>
      <c r="AX7" s="209" t="s">
        <v>1159</v>
      </c>
      <c r="AY7" s="209" t="s">
        <v>1159</v>
      </c>
      <c r="AZ7" s="210" t="s">
        <v>1160</v>
      </c>
      <c r="BA7" s="209" t="s">
        <v>1161</v>
      </c>
      <c r="BB7" s="209" t="s">
        <v>1162</v>
      </c>
      <c r="BC7" s="209" t="s">
        <v>1163</v>
      </c>
      <c r="BD7" s="208" t="s">
        <v>1164</v>
      </c>
    </row>
    <row r="8" spans="1:56" ht="15.75" thickTop="1" x14ac:dyDescent="0.25">
      <c r="A8">
        <v>1</v>
      </c>
      <c r="B8" s="211"/>
      <c r="C8" s="212" t="s">
        <v>1167</v>
      </c>
      <c r="D8" s="213"/>
      <c r="E8" s="214"/>
      <c r="F8" s="215"/>
      <c r="G8" s="216"/>
      <c r="H8" s="216"/>
      <c r="I8" s="216"/>
      <c r="J8" s="217"/>
      <c r="L8" s="218"/>
      <c r="M8" s="219"/>
      <c r="O8" s="220"/>
      <c r="P8" s="221"/>
      <c r="Q8" s="221"/>
      <c r="R8" s="222"/>
      <c r="S8" s="222"/>
      <c r="T8" s="222"/>
      <c r="U8" s="222"/>
      <c r="V8" s="222"/>
      <c r="W8" s="222"/>
      <c r="X8" s="222"/>
      <c r="Y8" s="222"/>
      <c r="Z8" s="222"/>
      <c r="AA8" s="223"/>
      <c r="AB8" s="223"/>
      <c r="AC8" s="223"/>
      <c r="AD8" s="223"/>
      <c r="AE8" s="223"/>
      <c r="AF8" s="223"/>
      <c r="AG8" s="223"/>
      <c r="AH8" s="223"/>
      <c r="AI8" s="223"/>
      <c r="AJ8" s="223"/>
      <c r="AK8" s="223"/>
      <c r="AL8" s="223"/>
      <c r="AM8" s="224"/>
      <c r="AN8" s="224"/>
      <c r="AO8" s="224"/>
      <c r="AP8" s="224"/>
      <c r="AQ8" s="224"/>
      <c r="AR8" s="224"/>
      <c r="AS8" s="225"/>
      <c r="AT8" s="225"/>
      <c r="AU8" s="225"/>
      <c r="AV8" s="224"/>
      <c r="AW8" s="224"/>
      <c r="AX8" s="224"/>
      <c r="AY8" s="224"/>
      <c r="AZ8" s="224"/>
      <c r="BA8" s="221"/>
      <c r="BB8" s="221"/>
      <c r="BC8" s="221"/>
      <c r="BD8" s="226"/>
    </row>
    <row r="9" spans="1:56" x14ac:dyDescent="0.25">
      <c r="A9">
        <v>2</v>
      </c>
      <c r="B9" s="227"/>
      <c r="C9" s="228"/>
      <c r="D9" s="229" t="s">
        <v>127</v>
      </c>
      <c r="E9" s="214"/>
      <c r="F9" s="215"/>
      <c r="G9" s="216"/>
      <c r="H9" s="216"/>
      <c r="I9" s="216"/>
      <c r="J9" s="217">
        <f>SUM(O9:BD9)</f>
        <v>16610.58148076923</v>
      </c>
      <c r="L9" s="230"/>
      <c r="M9" s="231"/>
      <c r="O9" s="232"/>
      <c r="P9" s="233"/>
      <c r="Q9" s="233"/>
      <c r="R9" s="234">
        <v>115.01925000000001</v>
      </c>
      <c r="S9" s="234">
        <v>138.76925</v>
      </c>
      <c r="T9" s="234">
        <v>179.01925</v>
      </c>
      <c r="U9" s="234">
        <v>277.23985192307691</v>
      </c>
      <c r="V9" s="234">
        <v>288.37088269230765</v>
      </c>
      <c r="W9" s="234">
        <v>314.56738076923079</v>
      </c>
      <c r="X9" s="234">
        <v>319.40854615384615</v>
      </c>
      <c r="Y9" s="234">
        <v>494.91116923076925</v>
      </c>
      <c r="Z9" s="234">
        <v>277.56196923076925</v>
      </c>
      <c r="AA9" s="235">
        <v>284.0930115384615</v>
      </c>
      <c r="AB9" s="235">
        <v>574.91381153846146</v>
      </c>
      <c r="AC9" s="235">
        <v>345.38501153846153</v>
      </c>
      <c r="AD9" s="235">
        <v>612.06691538461541</v>
      </c>
      <c r="AE9" s="235">
        <v>362.17811538461535</v>
      </c>
      <c r="AF9" s="235">
        <v>362.22855000000004</v>
      </c>
      <c r="AG9" s="235">
        <v>475.78624230769231</v>
      </c>
      <c r="AH9" s="235">
        <v>477.53904230769228</v>
      </c>
      <c r="AI9" s="235">
        <v>726.66689615384621</v>
      </c>
      <c r="AJ9" s="235">
        <v>488.36348461538461</v>
      </c>
      <c r="AK9" s="235">
        <v>727.93839615384616</v>
      </c>
      <c r="AL9" s="235">
        <v>471.83919615384616</v>
      </c>
      <c r="AM9" s="236">
        <v>524.13349230769222</v>
      </c>
      <c r="AN9" s="236">
        <v>725.67331153846158</v>
      </c>
      <c r="AO9" s="236">
        <v>487.82222307692314</v>
      </c>
      <c r="AP9" s="236">
        <v>736.35102307692318</v>
      </c>
      <c r="AQ9" s="236">
        <v>485.74320384615385</v>
      </c>
      <c r="AR9" s="236">
        <v>536.99200384615381</v>
      </c>
      <c r="AS9" s="237">
        <v>600</v>
      </c>
      <c r="AT9" s="237">
        <v>600</v>
      </c>
      <c r="AU9" s="237">
        <v>600</v>
      </c>
      <c r="AV9" s="237">
        <v>600</v>
      </c>
      <c r="AW9" s="237">
        <v>600</v>
      </c>
      <c r="AX9" s="237">
        <v>600</v>
      </c>
      <c r="AY9" s="237">
        <v>600</v>
      </c>
      <c r="AZ9" s="237">
        <v>600</v>
      </c>
      <c r="BA9" s="233"/>
      <c r="BB9" s="233"/>
      <c r="BC9" s="233"/>
      <c r="BD9" s="238"/>
    </row>
    <row r="10" spans="1:56" collapsed="1" x14ac:dyDescent="0.25">
      <c r="A10">
        <v>3</v>
      </c>
      <c r="B10" s="227"/>
      <c r="C10" s="228"/>
      <c r="D10" s="239" t="s">
        <v>334</v>
      </c>
      <c r="E10" s="214"/>
      <c r="F10" s="215"/>
      <c r="G10" s="216"/>
      <c r="H10" s="216"/>
      <c r="I10" s="216"/>
      <c r="J10" s="217">
        <f t="shared" ref="J10:J16" si="0">SUM(O10:BD10)</f>
        <v>24593.043019230772</v>
      </c>
      <c r="L10" s="230"/>
      <c r="M10" s="231"/>
      <c r="O10" s="232"/>
      <c r="P10" s="233"/>
      <c r="Q10" s="233">
        <v>0</v>
      </c>
      <c r="R10" s="234">
        <v>115.01925000000001</v>
      </c>
      <c r="S10" s="234">
        <v>178.76925</v>
      </c>
      <c r="T10" s="234">
        <v>219.01925</v>
      </c>
      <c r="U10" s="234">
        <v>254.47062115384614</v>
      </c>
      <c r="V10" s="234">
        <v>255.6016519230769</v>
      </c>
      <c r="W10" s="234">
        <v>281.79815000000002</v>
      </c>
      <c r="X10" s="234">
        <v>309.90854615384615</v>
      </c>
      <c r="Y10" s="234">
        <v>285.41116923076925</v>
      </c>
      <c r="Z10" s="234">
        <v>291.33119999999997</v>
      </c>
      <c r="AA10" s="235">
        <v>474.70839615384614</v>
      </c>
      <c r="AB10" s="235">
        <v>587.22150384615384</v>
      </c>
      <c r="AC10" s="235">
        <v>597.69270384615379</v>
      </c>
      <c r="AD10" s="235">
        <v>614.37460769230768</v>
      </c>
      <c r="AE10" s="235">
        <v>707.56273076923071</v>
      </c>
      <c r="AF10" s="235">
        <v>800.69008846153849</v>
      </c>
      <c r="AG10" s="235">
        <v>864.24778076923076</v>
      </c>
      <c r="AH10" s="235">
        <v>866.00058076923074</v>
      </c>
      <c r="AI10" s="235">
        <v>772.05151153846157</v>
      </c>
      <c r="AJ10" s="235">
        <v>783.74810000000002</v>
      </c>
      <c r="AK10" s="235">
        <v>773.32301153846151</v>
      </c>
      <c r="AL10" s="235">
        <v>767.22381153846163</v>
      </c>
      <c r="AM10" s="236">
        <v>1005.6719538461539</v>
      </c>
      <c r="AN10" s="236">
        <v>957.21177307692312</v>
      </c>
      <c r="AO10" s="236">
        <v>969.36068461538468</v>
      </c>
      <c r="AP10" s="236">
        <v>967.88948461538462</v>
      </c>
      <c r="AQ10" s="236">
        <v>967.28166538461539</v>
      </c>
      <c r="AR10" s="236">
        <v>925.45354230769226</v>
      </c>
      <c r="AS10" s="236">
        <v>1000</v>
      </c>
      <c r="AT10" s="236">
        <v>1000</v>
      </c>
      <c r="AU10" s="236">
        <v>1000</v>
      </c>
      <c r="AV10" s="236">
        <v>1000</v>
      </c>
      <c r="AW10" s="236">
        <v>1000</v>
      </c>
      <c r="AX10" s="236">
        <v>1000</v>
      </c>
      <c r="AY10" s="236">
        <v>1000</v>
      </c>
      <c r="AZ10" s="236">
        <v>1000</v>
      </c>
      <c r="BA10" s="233"/>
      <c r="BB10" s="233"/>
      <c r="BC10" s="233"/>
      <c r="BD10" s="238"/>
    </row>
    <row r="11" spans="1:56" x14ac:dyDescent="0.25">
      <c r="B11" s="227"/>
      <c r="C11" s="228" t="s">
        <v>1168</v>
      </c>
      <c r="D11" s="239"/>
      <c r="E11" s="214"/>
      <c r="F11" s="215"/>
      <c r="G11" s="216"/>
      <c r="H11" s="216"/>
      <c r="I11" s="216"/>
      <c r="J11" s="217">
        <f t="shared" si="0"/>
        <v>22747.60770769231</v>
      </c>
      <c r="L11" s="230"/>
      <c r="M11" s="231"/>
      <c r="O11" s="232"/>
      <c r="P11" s="233"/>
      <c r="Q11" s="233">
        <v>0</v>
      </c>
      <c r="R11" s="234">
        <v>0</v>
      </c>
      <c r="S11" s="234">
        <v>0</v>
      </c>
      <c r="T11" s="234">
        <v>0</v>
      </c>
      <c r="U11" s="234">
        <v>1785.6807692307693</v>
      </c>
      <c r="V11" s="234">
        <v>24.665384615384617</v>
      </c>
      <c r="W11" s="234">
        <v>1126.6961538461539</v>
      </c>
      <c r="X11" s="234">
        <v>268.20115384615383</v>
      </c>
      <c r="Y11" s="234">
        <v>332.75</v>
      </c>
      <c r="Z11" s="234">
        <v>28.993461538461538</v>
      </c>
      <c r="AA11" s="235">
        <v>24.665384615384617</v>
      </c>
      <c r="AB11" s="235">
        <v>24.665384615384617</v>
      </c>
      <c r="AC11" s="235">
        <v>291.4703846153846</v>
      </c>
      <c r="AD11" s="235">
        <v>62.82692307692308</v>
      </c>
      <c r="AE11" s="235">
        <v>52.262692307692305</v>
      </c>
      <c r="AF11" s="235">
        <v>52.588461538461537</v>
      </c>
      <c r="AG11" s="235">
        <v>142.26621538461541</v>
      </c>
      <c r="AH11" s="235">
        <v>57.363307692307693</v>
      </c>
      <c r="AI11" s="235">
        <v>6962.8482000000004</v>
      </c>
      <c r="AJ11" s="235">
        <v>823.87038461538464</v>
      </c>
      <c r="AK11" s="235">
        <v>86.136176923076931</v>
      </c>
      <c r="AL11" s="235">
        <v>61.651361538461551</v>
      </c>
      <c r="AM11" s="236">
        <v>60.398546153846162</v>
      </c>
      <c r="AN11" s="236">
        <v>60.398546153846162</v>
      </c>
      <c r="AO11" s="236">
        <v>4235.7864999999993</v>
      </c>
      <c r="AP11" s="236">
        <v>73.429315384615393</v>
      </c>
      <c r="AQ11" s="236">
        <v>2595.4769923076924</v>
      </c>
      <c r="AR11" s="236">
        <v>312.51600769230765</v>
      </c>
      <c r="AS11" s="236">
        <v>400</v>
      </c>
      <c r="AT11" s="236">
        <v>400</v>
      </c>
      <c r="AU11" s="236">
        <v>400</v>
      </c>
      <c r="AV11" s="236">
        <v>400</v>
      </c>
      <c r="AW11" s="236">
        <v>400</v>
      </c>
      <c r="AX11" s="236">
        <v>400</v>
      </c>
      <c r="AY11" s="236">
        <v>400</v>
      </c>
      <c r="AZ11" s="236">
        <v>400</v>
      </c>
      <c r="BA11" s="233"/>
      <c r="BB11" s="233"/>
      <c r="BC11" s="233"/>
      <c r="BD11" s="238"/>
    </row>
    <row r="12" spans="1:56" collapsed="1" x14ac:dyDescent="0.25">
      <c r="A12">
        <v>4</v>
      </c>
      <c r="B12" s="227"/>
      <c r="C12" s="228" t="s">
        <v>1169</v>
      </c>
      <c r="D12" s="239"/>
      <c r="E12" s="214"/>
      <c r="F12" s="215"/>
      <c r="G12" s="216"/>
      <c r="H12" s="216"/>
      <c r="I12" s="216"/>
      <c r="J12" s="217">
        <f t="shared" si="0"/>
        <v>0</v>
      </c>
      <c r="L12" s="230"/>
      <c r="M12" s="231"/>
      <c r="O12" s="232"/>
      <c r="P12" s="233"/>
      <c r="Q12" s="233"/>
      <c r="R12" s="234"/>
      <c r="S12" s="234"/>
      <c r="T12" s="234"/>
      <c r="U12" s="234"/>
      <c r="V12" s="234"/>
      <c r="W12" s="234"/>
      <c r="X12" s="234"/>
      <c r="Y12" s="234"/>
      <c r="Z12" s="234"/>
      <c r="AA12" s="235"/>
      <c r="AB12" s="235"/>
      <c r="AC12" s="235"/>
      <c r="AD12" s="235"/>
      <c r="AE12" s="235"/>
      <c r="AF12" s="235"/>
      <c r="AG12" s="235"/>
      <c r="AH12" s="235"/>
      <c r="AI12" s="235"/>
      <c r="AJ12" s="235"/>
      <c r="AK12" s="235"/>
      <c r="AL12" s="235"/>
      <c r="AM12" s="236"/>
      <c r="AN12" s="236"/>
      <c r="AO12" s="236"/>
      <c r="AP12" s="236"/>
      <c r="AQ12" s="236"/>
      <c r="AR12" s="236"/>
      <c r="AS12" s="236"/>
      <c r="AT12" s="236"/>
      <c r="AU12" s="236"/>
      <c r="AV12" s="236"/>
      <c r="AW12" s="236"/>
      <c r="AX12" s="236"/>
      <c r="AY12" s="236"/>
      <c r="AZ12" s="236"/>
      <c r="BA12" s="233"/>
      <c r="BB12" s="233"/>
      <c r="BC12" s="233"/>
      <c r="BD12" s="238"/>
    </row>
    <row r="13" spans="1:56" collapsed="1" x14ac:dyDescent="0.25">
      <c r="A13">
        <v>5</v>
      </c>
      <c r="B13" s="227"/>
      <c r="C13" s="228"/>
      <c r="D13" s="239" t="s">
        <v>1170</v>
      </c>
      <c r="E13" s="214"/>
      <c r="F13" s="215"/>
      <c r="G13" s="216"/>
      <c r="H13" s="216"/>
      <c r="I13" s="216"/>
      <c r="J13" s="217">
        <f t="shared" si="0"/>
        <v>5455.0682999999999</v>
      </c>
      <c r="L13" s="230"/>
      <c r="M13" s="231"/>
      <c r="O13" s="232"/>
      <c r="P13" s="233"/>
      <c r="Q13" s="233">
        <v>0</v>
      </c>
      <c r="R13" s="234">
        <v>238.03850000000003</v>
      </c>
      <c r="S13" s="234">
        <v>285.5385</v>
      </c>
      <c r="T13" s="234">
        <v>366.0385</v>
      </c>
      <c r="U13" s="234">
        <v>541.09350384615379</v>
      </c>
      <c r="V13" s="234">
        <v>600.72636538461529</v>
      </c>
      <c r="W13" s="234">
        <v>1628.7085615384615</v>
      </c>
      <c r="X13" s="234">
        <v>857.80169230769229</v>
      </c>
      <c r="Y13" s="234">
        <v>543.83613846153844</v>
      </c>
      <c r="Z13" s="234">
        <v>393.28653846153844</v>
      </c>
      <c r="AA13" s="235"/>
      <c r="AB13" s="235"/>
      <c r="AC13" s="235"/>
      <c r="AD13" s="235"/>
      <c r="AE13" s="235"/>
      <c r="AF13" s="235"/>
      <c r="AG13" s="235"/>
      <c r="AH13" s="235"/>
      <c r="AI13" s="235"/>
      <c r="AJ13" s="235"/>
      <c r="AK13" s="235"/>
      <c r="AL13" s="235"/>
      <c r="AM13" s="236"/>
      <c r="AN13" s="236"/>
      <c r="AO13" s="236"/>
      <c r="AP13" s="236"/>
      <c r="AQ13" s="236"/>
      <c r="AR13" s="236"/>
      <c r="AS13" s="236"/>
      <c r="AT13" s="236"/>
      <c r="AU13" s="236"/>
      <c r="AV13" s="236"/>
      <c r="AW13" s="236"/>
      <c r="AX13" s="236"/>
      <c r="AY13" s="236"/>
      <c r="AZ13" s="236"/>
      <c r="BA13" s="233"/>
      <c r="BB13" s="233"/>
      <c r="BC13" s="233"/>
      <c r="BD13" s="238"/>
    </row>
    <row r="14" spans="1:56" collapsed="1" x14ac:dyDescent="0.25">
      <c r="A14">
        <v>6</v>
      </c>
      <c r="B14" s="227"/>
      <c r="C14" s="228"/>
      <c r="D14" s="239" t="s">
        <v>1171</v>
      </c>
      <c r="E14" s="214"/>
      <c r="F14" s="215"/>
      <c r="G14" s="216"/>
      <c r="H14" s="216"/>
      <c r="I14" s="216"/>
      <c r="J14" s="217">
        <f t="shared" si="0"/>
        <v>21665.443746153844</v>
      </c>
      <c r="L14" s="230"/>
      <c r="M14" s="231"/>
      <c r="O14" s="232"/>
      <c r="P14" s="233"/>
      <c r="Q14" s="233"/>
      <c r="R14" s="234"/>
      <c r="S14" s="234"/>
      <c r="T14" s="234"/>
      <c r="U14" s="234"/>
      <c r="V14" s="234"/>
      <c r="W14" s="234"/>
      <c r="X14" s="234"/>
      <c r="Y14" s="234"/>
      <c r="Z14" s="234"/>
      <c r="AA14" s="235">
        <v>418.29982307692308</v>
      </c>
      <c r="AB14" s="235">
        <v>698.71022307692306</v>
      </c>
      <c r="AC14" s="235">
        <v>1128.945823076923</v>
      </c>
      <c r="AD14" s="235">
        <v>1344.5164307692307</v>
      </c>
      <c r="AE14" s="235">
        <v>1234.5720307692307</v>
      </c>
      <c r="AF14" s="235">
        <v>1512.7997</v>
      </c>
      <c r="AG14" s="235">
        <v>2903.1862846153845</v>
      </c>
      <c r="AH14" s="235">
        <v>2764.0626846153846</v>
      </c>
      <c r="AI14" s="235">
        <v>3452.9075923076925</v>
      </c>
      <c r="AJ14" s="235">
        <v>3505.7115692307693</v>
      </c>
      <c r="AK14" s="235">
        <v>1889.8905923076923</v>
      </c>
      <c r="AL14" s="235">
        <v>811.84099230769232</v>
      </c>
      <c r="AM14" s="236"/>
      <c r="AN14" s="236"/>
      <c r="AO14" s="236"/>
      <c r="AP14" s="236"/>
      <c r="AQ14" s="236"/>
      <c r="AR14" s="236"/>
      <c r="AS14" s="236"/>
      <c r="AT14" s="236"/>
      <c r="AU14" s="236"/>
      <c r="AV14" s="236"/>
      <c r="AW14" s="236"/>
      <c r="AX14" s="236"/>
      <c r="AY14" s="236"/>
      <c r="AZ14" s="236"/>
      <c r="BA14" s="233"/>
      <c r="BB14" s="233"/>
      <c r="BC14" s="233"/>
      <c r="BD14" s="238"/>
    </row>
    <row r="15" spans="1:56" collapsed="1" x14ac:dyDescent="0.25">
      <c r="A15">
        <v>7</v>
      </c>
      <c r="B15" s="227"/>
      <c r="C15" s="228" t="s">
        <v>125</v>
      </c>
      <c r="D15" s="239"/>
      <c r="E15" s="214"/>
      <c r="F15" s="215"/>
      <c r="G15" s="216"/>
      <c r="H15" s="216"/>
      <c r="I15" s="216"/>
      <c r="J15" s="217">
        <f t="shared" si="0"/>
        <v>37344.543715384614</v>
      </c>
      <c r="L15" s="230"/>
      <c r="M15" s="231"/>
      <c r="O15" s="232"/>
      <c r="P15" s="233"/>
      <c r="Q15" s="233"/>
      <c r="R15" s="234"/>
      <c r="S15" s="234"/>
      <c r="T15" s="234"/>
      <c r="U15" s="234"/>
      <c r="V15" s="234"/>
      <c r="W15" s="234"/>
      <c r="X15" s="234"/>
      <c r="Y15" s="234"/>
      <c r="Z15" s="234"/>
      <c r="AA15" s="235"/>
      <c r="AB15" s="235"/>
      <c r="AC15" s="235"/>
      <c r="AD15" s="235"/>
      <c r="AE15" s="235"/>
      <c r="AF15" s="235"/>
      <c r="AG15" s="235"/>
      <c r="AH15" s="235"/>
      <c r="AI15" s="235"/>
      <c r="AJ15" s="235"/>
      <c r="AK15" s="235"/>
      <c r="AL15" s="235"/>
      <c r="AM15" s="236">
        <v>1743.3807846153845</v>
      </c>
      <c r="AN15" s="236">
        <v>1800.2292230769231</v>
      </c>
      <c r="AO15" s="236">
        <v>2493.8202461538463</v>
      </c>
      <c r="AP15" s="236">
        <v>3183.0846461538463</v>
      </c>
      <c r="AQ15" s="236">
        <v>3466.7022076923076</v>
      </c>
      <c r="AR15" s="236">
        <v>3957.3266076923078</v>
      </c>
      <c r="AS15" s="236">
        <v>4000</v>
      </c>
      <c r="AT15" s="236">
        <v>4000</v>
      </c>
      <c r="AU15" s="236">
        <v>4000</v>
      </c>
      <c r="AV15" s="236">
        <v>4000</v>
      </c>
      <c r="AW15" s="236">
        <v>4000</v>
      </c>
      <c r="AX15" s="236">
        <v>500</v>
      </c>
      <c r="AY15" s="236">
        <v>100</v>
      </c>
      <c r="AZ15" s="236">
        <v>100</v>
      </c>
      <c r="BA15" s="233"/>
      <c r="BB15" s="233"/>
      <c r="BC15" s="233"/>
      <c r="BD15" s="238"/>
    </row>
    <row r="16" spans="1:56" collapsed="1" x14ac:dyDescent="0.25">
      <c r="A16">
        <v>8</v>
      </c>
      <c r="B16" s="227"/>
      <c r="C16" s="228"/>
      <c r="D16" s="239"/>
      <c r="E16" s="214"/>
      <c r="F16" s="215"/>
      <c r="G16" s="216"/>
      <c r="H16" s="216"/>
      <c r="I16" s="216"/>
      <c r="J16" s="217">
        <f t="shared" si="0"/>
        <v>0</v>
      </c>
      <c r="L16" s="230"/>
      <c r="M16" s="231"/>
      <c r="O16" s="232"/>
      <c r="P16" s="233"/>
      <c r="Q16" s="233"/>
      <c r="R16" s="234"/>
      <c r="S16" s="234"/>
      <c r="T16" s="234"/>
      <c r="U16" s="234"/>
      <c r="V16" s="234"/>
      <c r="W16" s="234"/>
      <c r="X16" s="234"/>
      <c r="Y16" s="234"/>
      <c r="Z16" s="234"/>
      <c r="AA16" s="235"/>
      <c r="AB16" s="235"/>
      <c r="AC16" s="235"/>
      <c r="AD16" s="235"/>
      <c r="AE16" s="235"/>
      <c r="AF16" s="235"/>
      <c r="AG16" s="235"/>
      <c r="AH16" s="235"/>
      <c r="AI16" s="235"/>
      <c r="AJ16" s="235"/>
      <c r="AK16" s="235"/>
      <c r="AL16" s="235"/>
      <c r="AM16" s="236"/>
      <c r="AN16" s="236"/>
      <c r="AO16" s="236"/>
      <c r="AP16" s="236"/>
      <c r="AQ16" s="236"/>
      <c r="AR16" s="236"/>
      <c r="AS16" s="236"/>
      <c r="AT16" s="236"/>
      <c r="AU16" s="236"/>
      <c r="AV16" s="236"/>
      <c r="AW16" s="236"/>
      <c r="AX16" s="236"/>
      <c r="AY16" s="236"/>
      <c r="AZ16" s="236"/>
      <c r="BA16" s="233"/>
      <c r="BB16" s="233"/>
      <c r="BC16" s="233"/>
      <c r="BD16" s="238"/>
    </row>
    <row r="17" spans="1:63" collapsed="1" x14ac:dyDescent="0.25">
      <c r="A17">
        <v>9</v>
      </c>
      <c r="B17" s="227"/>
      <c r="C17" s="228"/>
      <c r="D17" s="239"/>
      <c r="E17" s="214"/>
      <c r="F17" s="215"/>
      <c r="G17" s="216"/>
      <c r="H17" s="216"/>
      <c r="I17" s="216"/>
      <c r="J17" s="217"/>
      <c r="L17" s="230"/>
      <c r="M17" s="231"/>
      <c r="O17" s="232"/>
      <c r="P17" s="233"/>
      <c r="Q17" s="233"/>
      <c r="R17" s="234"/>
      <c r="S17" s="234"/>
      <c r="T17" s="234"/>
      <c r="U17" s="234"/>
      <c r="V17" s="234"/>
      <c r="W17" s="234"/>
      <c r="X17" s="234"/>
      <c r="Y17" s="234"/>
      <c r="Z17" s="234"/>
      <c r="AA17" s="235"/>
      <c r="AB17" s="235"/>
      <c r="AC17" s="235"/>
      <c r="AD17" s="235"/>
      <c r="AE17" s="235"/>
      <c r="AF17" s="235"/>
      <c r="AG17" s="235"/>
      <c r="AH17" s="235"/>
      <c r="AI17" s="235"/>
      <c r="AJ17" s="235"/>
      <c r="AK17" s="235"/>
      <c r="AL17" s="235"/>
      <c r="AM17" s="236"/>
      <c r="AN17" s="236"/>
      <c r="AO17" s="236"/>
      <c r="AP17" s="236"/>
      <c r="AQ17" s="236"/>
      <c r="AR17" s="236"/>
      <c r="AS17" s="236"/>
      <c r="AT17" s="236"/>
      <c r="AU17" s="236"/>
      <c r="AV17" s="236"/>
      <c r="AW17" s="236"/>
      <c r="AX17" s="236"/>
      <c r="AY17" s="236"/>
      <c r="AZ17" s="236"/>
      <c r="BA17" s="233"/>
      <c r="BB17" s="233"/>
      <c r="BC17" s="233"/>
      <c r="BD17" s="238"/>
    </row>
    <row r="18" spans="1:63" collapsed="1" x14ac:dyDescent="0.25">
      <c r="A18">
        <v>10</v>
      </c>
      <c r="B18" s="227"/>
      <c r="C18" s="228"/>
      <c r="D18" s="240"/>
      <c r="E18" s="214"/>
      <c r="F18" s="215"/>
      <c r="G18" s="216"/>
      <c r="H18" s="216"/>
      <c r="I18" s="216"/>
      <c r="J18" s="217"/>
      <c r="L18" s="230"/>
      <c r="M18" s="231"/>
      <c r="O18" s="232"/>
      <c r="P18" s="233"/>
      <c r="Q18" s="233"/>
      <c r="R18" s="234"/>
      <c r="S18" s="234"/>
      <c r="T18" s="234"/>
      <c r="U18" s="234"/>
      <c r="V18" s="234"/>
      <c r="W18" s="234"/>
      <c r="X18" s="234"/>
      <c r="Y18" s="234"/>
      <c r="Z18" s="234"/>
      <c r="AA18" s="235"/>
      <c r="AB18" s="235"/>
      <c r="AC18" s="235"/>
      <c r="AD18" s="235"/>
      <c r="AE18" s="235"/>
      <c r="AF18" s="235"/>
      <c r="AG18" s="235"/>
      <c r="AH18" s="235"/>
      <c r="AI18" s="235"/>
      <c r="AJ18" s="235"/>
      <c r="AK18" s="235"/>
      <c r="AL18" s="235"/>
      <c r="AM18" s="236"/>
      <c r="AN18" s="236"/>
      <c r="AO18" s="236"/>
      <c r="AP18" s="236"/>
      <c r="AQ18" s="236"/>
      <c r="AR18" s="236"/>
      <c r="AS18" s="236"/>
      <c r="AT18" s="236"/>
      <c r="AU18" s="236"/>
      <c r="AV18" s="236"/>
      <c r="AW18" s="236"/>
      <c r="AX18" s="236"/>
      <c r="AY18" s="236"/>
      <c r="AZ18" s="236"/>
      <c r="BA18" s="233"/>
      <c r="BB18" s="233"/>
      <c r="BC18" s="233"/>
      <c r="BD18" s="238"/>
    </row>
    <row r="19" spans="1:63" x14ac:dyDescent="0.25">
      <c r="A19">
        <v>11</v>
      </c>
      <c r="B19" s="241"/>
      <c r="C19" s="228"/>
      <c r="D19" s="239"/>
      <c r="E19" s="242"/>
      <c r="F19" s="243"/>
      <c r="G19" s="216"/>
      <c r="H19" s="216"/>
      <c r="I19" s="216"/>
      <c r="J19" s="217"/>
      <c r="L19" s="230"/>
      <c r="M19" s="231"/>
      <c r="O19" s="232"/>
      <c r="P19" s="233"/>
      <c r="Q19" s="233"/>
      <c r="R19" s="234"/>
      <c r="S19" s="234"/>
      <c r="T19" s="234"/>
      <c r="U19" s="234"/>
      <c r="V19" s="234"/>
      <c r="W19" s="234"/>
      <c r="X19" s="234"/>
      <c r="Y19" s="234"/>
      <c r="Z19" s="234"/>
      <c r="AA19" s="235"/>
      <c r="AB19" s="235"/>
      <c r="AC19" s="235"/>
      <c r="AD19" s="235"/>
      <c r="AE19" s="235"/>
      <c r="AF19" s="235"/>
      <c r="AG19" s="235"/>
      <c r="AH19" s="235"/>
      <c r="AI19" s="235"/>
      <c r="AJ19" s="235"/>
      <c r="AK19" s="235"/>
      <c r="AL19" s="235"/>
      <c r="AM19" s="236"/>
      <c r="AN19" s="236"/>
      <c r="AO19" s="236"/>
      <c r="AP19" s="236"/>
      <c r="AQ19" s="236"/>
      <c r="AR19" s="236"/>
      <c r="AS19" s="236"/>
      <c r="AT19" s="236"/>
      <c r="AU19" s="236"/>
      <c r="AV19" s="236"/>
      <c r="AW19" s="236"/>
      <c r="AX19" s="236"/>
      <c r="AY19" s="236"/>
      <c r="AZ19" s="236"/>
      <c r="BA19" s="233"/>
      <c r="BB19" s="233"/>
      <c r="BC19" s="233"/>
      <c r="BD19" s="238"/>
    </row>
    <row r="20" spans="1:63" ht="15.75" thickBot="1" x14ac:dyDescent="0.3">
      <c r="B20" s="244"/>
      <c r="C20" s="245"/>
      <c r="D20" s="246"/>
      <c r="E20" s="247"/>
      <c r="F20" s="248"/>
      <c r="G20" s="249"/>
      <c r="H20" s="249"/>
      <c r="I20" s="249"/>
      <c r="J20" s="217"/>
      <c r="L20" s="250"/>
      <c r="M20" s="251"/>
      <c r="O20" s="252"/>
      <c r="P20" s="253"/>
      <c r="Q20" s="253"/>
      <c r="R20" s="254"/>
      <c r="S20" s="254"/>
      <c r="T20" s="254"/>
      <c r="U20" s="254"/>
      <c r="V20" s="254"/>
      <c r="W20" s="254"/>
      <c r="X20" s="254"/>
      <c r="Y20" s="254"/>
      <c r="Z20" s="254"/>
      <c r="AA20" s="255"/>
      <c r="AB20" s="255"/>
      <c r="AC20" s="255"/>
      <c r="AD20" s="255"/>
      <c r="AE20" s="255"/>
      <c r="AF20" s="255"/>
      <c r="AG20" s="255"/>
      <c r="AH20" s="255"/>
      <c r="AI20" s="255"/>
      <c r="AJ20" s="255"/>
      <c r="AK20" s="255"/>
      <c r="AL20" s="255"/>
      <c r="AM20" s="256"/>
      <c r="AN20" s="256"/>
      <c r="AO20" s="256"/>
      <c r="AP20" s="256"/>
      <c r="AQ20" s="256"/>
      <c r="AR20" s="256"/>
      <c r="AS20" s="256"/>
      <c r="AT20" s="256"/>
      <c r="AU20" s="256"/>
      <c r="AV20" s="256"/>
      <c r="AW20" s="256"/>
      <c r="AX20" s="256"/>
      <c r="AY20" s="256"/>
      <c r="AZ20" s="256"/>
      <c r="BA20" s="253"/>
      <c r="BB20" s="253"/>
      <c r="BC20" s="253"/>
      <c r="BD20" s="257"/>
    </row>
    <row r="21" spans="1:63" ht="15.75" thickBot="1" x14ac:dyDescent="0.3">
      <c r="B21" s="258"/>
      <c r="C21" s="259"/>
      <c r="D21" s="259"/>
      <c r="E21" s="260"/>
      <c r="F21" s="261" t="s">
        <v>20</v>
      </c>
      <c r="G21" s="262"/>
      <c r="H21" s="262"/>
      <c r="I21" s="262"/>
      <c r="J21" s="263">
        <f>SUM(J8:J20)</f>
        <v>128416.28796923078</v>
      </c>
      <c r="L21" s="264"/>
      <c r="M21" s="265"/>
      <c r="O21" s="266"/>
      <c r="P21" s="267"/>
      <c r="Q21" s="267"/>
      <c r="R21" s="268">
        <f t="shared" ref="R21:BD21" si="1">SUM(R8:R20)</f>
        <v>468.07700000000006</v>
      </c>
      <c r="S21" s="268">
        <f t="shared" si="1"/>
        <v>603.077</v>
      </c>
      <c r="T21" s="268">
        <f t="shared" si="1"/>
        <v>764.077</v>
      </c>
      <c r="U21" s="269">
        <f t="shared" si="1"/>
        <v>2858.4847461538466</v>
      </c>
      <c r="V21" s="268">
        <f t="shared" si="1"/>
        <v>1169.3642846153843</v>
      </c>
      <c r="W21" s="268">
        <f t="shared" si="1"/>
        <v>3351.7702461538465</v>
      </c>
      <c r="X21" s="268">
        <f t="shared" si="1"/>
        <v>1755.3199384615384</v>
      </c>
      <c r="Y21" s="268">
        <f t="shared" si="1"/>
        <v>1656.9084769230769</v>
      </c>
      <c r="Z21" s="268">
        <f t="shared" si="1"/>
        <v>991.17316923076919</v>
      </c>
      <c r="AA21" s="270">
        <f t="shared" si="1"/>
        <v>1201.7666153846153</v>
      </c>
      <c r="AB21" s="270">
        <f t="shared" si="1"/>
        <v>1885.5109230769231</v>
      </c>
      <c r="AC21" s="270">
        <f t="shared" si="1"/>
        <v>2363.4939230769232</v>
      </c>
      <c r="AD21" s="270">
        <f t="shared" si="1"/>
        <v>2633.7848769230768</v>
      </c>
      <c r="AE21" s="270">
        <f t="shared" si="1"/>
        <v>2356.5755692307694</v>
      </c>
      <c r="AF21" s="270">
        <f t="shared" si="1"/>
        <v>2728.3068000000003</v>
      </c>
      <c r="AG21" s="270">
        <f t="shared" si="1"/>
        <v>4385.4865230769228</v>
      </c>
      <c r="AH21" s="270">
        <f t="shared" si="1"/>
        <v>4164.9656153846154</v>
      </c>
      <c r="AI21" s="270">
        <f t="shared" si="1"/>
        <v>11914.474200000001</v>
      </c>
      <c r="AJ21" s="270">
        <f t="shared" si="1"/>
        <v>5601.693538461539</v>
      </c>
      <c r="AK21" s="270">
        <f t="shared" si="1"/>
        <v>3477.2881769230771</v>
      </c>
      <c r="AL21" s="270">
        <f t="shared" si="1"/>
        <v>2112.5553615384615</v>
      </c>
      <c r="AM21" s="271">
        <f t="shared" si="1"/>
        <v>3333.5847769230768</v>
      </c>
      <c r="AN21" s="271">
        <f t="shared" si="1"/>
        <v>3543.512853846154</v>
      </c>
      <c r="AO21" s="271">
        <f t="shared" si="1"/>
        <v>8186.7896538461537</v>
      </c>
      <c r="AP21" s="271">
        <f t="shared" si="1"/>
        <v>4960.7544692307692</v>
      </c>
      <c r="AQ21" s="271">
        <f t="shared" si="1"/>
        <v>7515.2040692307692</v>
      </c>
      <c r="AR21" s="271">
        <f t="shared" si="1"/>
        <v>5732.2881615384613</v>
      </c>
      <c r="AS21" s="271">
        <f t="shared" si="1"/>
        <v>6000</v>
      </c>
      <c r="AT21" s="271">
        <f t="shared" si="1"/>
        <v>6000</v>
      </c>
      <c r="AU21" s="271">
        <f t="shared" si="1"/>
        <v>6000</v>
      </c>
      <c r="AV21" s="271">
        <f t="shared" si="1"/>
        <v>6000</v>
      </c>
      <c r="AW21" s="271">
        <f t="shared" si="1"/>
        <v>6000</v>
      </c>
      <c r="AX21" s="271">
        <f t="shared" si="1"/>
        <v>2500</v>
      </c>
      <c r="AY21" s="271">
        <f t="shared" si="1"/>
        <v>2100</v>
      </c>
      <c r="AZ21" s="271">
        <f t="shared" si="1"/>
        <v>2100</v>
      </c>
      <c r="BA21" s="267">
        <f t="shared" si="1"/>
        <v>0</v>
      </c>
      <c r="BB21" s="267">
        <f t="shared" si="1"/>
        <v>0</v>
      </c>
      <c r="BC21" s="267">
        <f t="shared" si="1"/>
        <v>0</v>
      </c>
      <c r="BD21" s="267">
        <f t="shared" si="1"/>
        <v>0</v>
      </c>
    </row>
    <row r="24" spans="1:63" hidden="1" x14ac:dyDescent="0.25">
      <c r="E24" s="272"/>
    </row>
    <row r="25" spans="1:63" hidden="1" x14ac:dyDescent="0.25"/>
    <row r="26" spans="1:63" hidden="1" x14ac:dyDescent="0.25"/>
    <row r="27" spans="1:63" ht="15" hidden="1" customHeight="1" x14ac:dyDescent="0.25"/>
    <row r="28" spans="1:63" ht="39" hidden="1" customHeight="1" x14ac:dyDescent="0.25">
      <c r="B28" s="273" t="s">
        <v>1172</v>
      </c>
      <c r="C28" s="274"/>
      <c r="D28" s="275"/>
      <c r="E28" s="193"/>
      <c r="F28" s="193"/>
      <c r="G28" s="194">
        <v>2015</v>
      </c>
      <c r="H28" s="194">
        <v>2016</v>
      </c>
      <c r="I28" s="194">
        <v>2017</v>
      </c>
      <c r="J28" s="195" t="s">
        <v>1173</v>
      </c>
      <c r="L28" s="196"/>
      <c r="M28" s="197" t="s">
        <v>1174</v>
      </c>
      <c r="O28" s="198" t="s">
        <v>1159</v>
      </c>
      <c r="P28" s="199" t="s">
        <v>1160</v>
      </c>
      <c r="Q28" s="199" t="s">
        <v>1161</v>
      </c>
      <c r="R28" s="199" t="s">
        <v>1162</v>
      </c>
      <c r="S28" s="199" t="s">
        <v>1163</v>
      </c>
      <c r="T28" s="200" t="s">
        <v>1164</v>
      </c>
      <c r="U28" s="201" t="s">
        <v>1159</v>
      </c>
      <c r="V28" s="202" t="s">
        <v>1165</v>
      </c>
      <c r="W28" s="202" t="s">
        <v>1166</v>
      </c>
      <c r="X28" s="202" t="s">
        <v>1160</v>
      </c>
      <c r="Y28" s="202" t="s">
        <v>1166</v>
      </c>
      <c r="Z28" s="203" t="s">
        <v>1159</v>
      </c>
      <c r="AA28" s="203" t="s">
        <v>1159</v>
      </c>
      <c r="AB28" s="203" t="s">
        <v>1160</v>
      </c>
      <c r="AC28" s="203" t="s">
        <v>1161</v>
      </c>
      <c r="AD28" s="203" t="s">
        <v>1162</v>
      </c>
      <c r="AE28" s="203" t="s">
        <v>1163</v>
      </c>
      <c r="AF28" s="202" t="s">
        <v>1164</v>
      </c>
      <c r="AG28" s="204" t="s">
        <v>1159</v>
      </c>
      <c r="AH28" s="205" t="s">
        <v>1165</v>
      </c>
      <c r="AI28" s="205" t="s">
        <v>1166</v>
      </c>
      <c r="AJ28" s="205" t="s">
        <v>1160</v>
      </c>
      <c r="AK28" s="205" t="s">
        <v>1166</v>
      </c>
      <c r="AL28" s="206" t="s">
        <v>1159</v>
      </c>
      <c r="AM28" s="206" t="s">
        <v>1159</v>
      </c>
      <c r="AN28" s="206" t="s">
        <v>1160</v>
      </c>
      <c r="AO28" s="206" t="s">
        <v>1161</v>
      </c>
      <c r="AP28" s="206" t="s">
        <v>1162</v>
      </c>
      <c r="AQ28" s="206" t="s">
        <v>1163</v>
      </c>
      <c r="AR28" s="205" t="s">
        <v>1164</v>
      </c>
      <c r="AW28" s="276" t="s">
        <v>20</v>
      </c>
      <c r="AX28" s="169"/>
      <c r="AY28" s="207" t="s">
        <v>1159</v>
      </c>
      <c r="AZ28" s="208" t="s">
        <v>1165</v>
      </c>
      <c r="BA28" s="208" t="s">
        <v>1166</v>
      </c>
      <c r="BB28" s="208" t="s">
        <v>1160</v>
      </c>
      <c r="BC28" s="208" t="s">
        <v>1166</v>
      </c>
      <c r="BD28" s="209" t="s">
        <v>1159</v>
      </c>
      <c r="BE28" s="209" t="s">
        <v>1159</v>
      </c>
      <c r="BF28" s="209" t="s">
        <v>1160</v>
      </c>
      <c r="BG28" s="209" t="s">
        <v>1161</v>
      </c>
      <c r="BH28" s="209" t="s">
        <v>1162</v>
      </c>
      <c r="BI28" s="209" t="s">
        <v>1163</v>
      </c>
      <c r="BJ28" s="208" t="s">
        <v>1164</v>
      </c>
      <c r="BK28" s="277" t="s">
        <v>20</v>
      </c>
    </row>
    <row r="29" spans="1:63" ht="15.75" hidden="1" thickBot="1" x14ac:dyDescent="0.3">
      <c r="F29" t="s">
        <v>20</v>
      </c>
      <c r="G29">
        <v>1895.241</v>
      </c>
      <c r="H29">
        <v>29220.666000000001</v>
      </c>
      <c r="I29">
        <v>66607.227999999988</v>
      </c>
      <c r="J29" s="263">
        <v>97723.134999999995</v>
      </c>
      <c r="L29" s="264">
        <v>36100</v>
      </c>
      <c r="M29" s="265"/>
      <c r="O29" s="266">
        <v>0</v>
      </c>
      <c r="P29" s="267">
        <v>0</v>
      </c>
      <c r="Q29" s="267"/>
      <c r="R29" s="267">
        <v>516.74700000000007</v>
      </c>
      <c r="S29" s="267">
        <v>591.74700000000007</v>
      </c>
      <c r="T29" s="267">
        <v>786.74700000000007</v>
      </c>
      <c r="U29" s="4">
        <v>3105.4569999999999</v>
      </c>
      <c r="V29" s="267">
        <v>1352.8989999999999</v>
      </c>
      <c r="W29" s="267">
        <v>3822.9369999999999</v>
      </c>
      <c r="X29" s="267">
        <v>2669.7190000000001</v>
      </c>
      <c r="Y29" s="267">
        <v>2338.4369999999999</v>
      </c>
      <c r="Z29" s="267">
        <v>1176.8390000000002</v>
      </c>
      <c r="AA29" s="267">
        <v>1370.7350000000001</v>
      </c>
      <c r="AB29" s="267">
        <v>2012.787</v>
      </c>
      <c r="AC29" s="267">
        <v>2630.6149999999998</v>
      </c>
      <c r="AD29" s="267">
        <v>2988.0210000000002</v>
      </c>
      <c r="AE29" s="267">
        <v>2736.9489999999996</v>
      </c>
      <c r="AF29" s="267">
        <v>3015.2710000000002</v>
      </c>
      <c r="AG29" s="267">
        <v>4419.3649999999998</v>
      </c>
      <c r="AH29" s="267">
        <v>4192.5290000000005</v>
      </c>
      <c r="AI29" s="267">
        <v>12550.663</v>
      </c>
      <c r="AJ29" s="267">
        <v>5782.6190000000006</v>
      </c>
      <c r="AK29" s="267">
        <v>2803.8399999999997</v>
      </c>
      <c r="AL29" s="267">
        <v>2237.2859999999996</v>
      </c>
      <c r="AM29" s="267">
        <v>3473.1379999999999</v>
      </c>
      <c r="AN29" s="267">
        <v>3683.28</v>
      </c>
      <c r="AO29" s="267">
        <v>8637.6219999999994</v>
      </c>
      <c r="AP29" s="267">
        <v>5101.99</v>
      </c>
      <c r="AQ29" s="267">
        <v>7843.8159999999998</v>
      </c>
      <c r="AR29" s="267">
        <v>5881.08</v>
      </c>
      <c r="AW29">
        <v>66607.227999999988</v>
      </c>
      <c r="AY29">
        <v>4865</v>
      </c>
      <c r="AZ29">
        <v>4265</v>
      </c>
      <c r="BA29">
        <v>3575</v>
      </c>
      <c r="BB29">
        <v>2140</v>
      </c>
      <c r="BC29">
        <v>450</v>
      </c>
      <c r="BD29">
        <v>200</v>
      </c>
      <c r="BE29">
        <v>150</v>
      </c>
      <c r="BF29">
        <v>0</v>
      </c>
      <c r="BG29">
        <v>0</v>
      </c>
      <c r="BH29">
        <v>0</v>
      </c>
      <c r="BI29">
        <v>0</v>
      </c>
      <c r="BJ29">
        <v>0</v>
      </c>
      <c r="BK29">
        <v>15645</v>
      </c>
    </row>
    <row r="30" spans="1:63" hidden="1" x14ac:dyDescent="0.25"/>
    <row r="31" spans="1:63" hidden="1" x14ac:dyDescent="0.25">
      <c r="R31" s="278" t="str">
        <f>IF(ABS(R29-R21)&lt;1,"ok","Error")</f>
        <v>Error</v>
      </c>
      <c r="S31" s="278" t="str">
        <f t="shared" ref="S31:AR31" si="2">IF(ABS(S29-S21)&lt;1,"ok","Error")</f>
        <v>Error</v>
      </c>
      <c r="T31" s="278" t="str">
        <f t="shared" si="2"/>
        <v>Error</v>
      </c>
      <c r="U31" s="278" t="str">
        <f t="shared" si="2"/>
        <v>Error</v>
      </c>
      <c r="V31" s="278" t="str">
        <f t="shared" si="2"/>
        <v>Error</v>
      </c>
      <c r="W31" s="278" t="str">
        <f t="shared" si="2"/>
        <v>Error</v>
      </c>
      <c r="X31" s="278" t="str">
        <f t="shared" si="2"/>
        <v>Error</v>
      </c>
      <c r="Y31" s="278" t="str">
        <f t="shared" si="2"/>
        <v>Error</v>
      </c>
      <c r="Z31" s="278" t="str">
        <f t="shared" si="2"/>
        <v>Error</v>
      </c>
      <c r="AA31" s="278" t="str">
        <f t="shared" si="2"/>
        <v>Error</v>
      </c>
      <c r="AB31" s="278" t="str">
        <f t="shared" si="2"/>
        <v>Error</v>
      </c>
      <c r="AC31" s="278" t="str">
        <f t="shared" si="2"/>
        <v>Error</v>
      </c>
      <c r="AD31" s="278" t="str">
        <f t="shared" si="2"/>
        <v>Error</v>
      </c>
      <c r="AE31" s="278" t="str">
        <f t="shared" si="2"/>
        <v>Error</v>
      </c>
      <c r="AF31" s="278" t="str">
        <f t="shared" si="2"/>
        <v>Error</v>
      </c>
      <c r="AG31" s="278" t="str">
        <f t="shared" si="2"/>
        <v>Error</v>
      </c>
      <c r="AH31" s="278" t="str">
        <f t="shared" si="2"/>
        <v>Error</v>
      </c>
      <c r="AI31" s="278" t="str">
        <f t="shared" si="2"/>
        <v>Error</v>
      </c>
      <c r="AJ31" s="278" t="str">
        <f t="shared" si="2"/>
        <v>Error</v>
      </c>
      <c r="AK31" s="278" t="str">
        <f t="shared" si="2"/>
        <v>Error</v>
      </c>
      <c r="AL31" s="278" t="str">
        <f t="shared" si="2"/>
        <v>Error</v>
      </c>
      <c r="AM31" s="278" t="str">
        <f t="shared" si="2"/>
        <v>Error</v>
      </c>
      <c r="AN31" s="278" t="str">
        <f t="shared" si="2"/>
        <v>Error</v>
      </c>
      <c r="AO31" s="278" t="str">
        <f t="shared" si="2"/>
        <v>Error</v>
      </c>
      <c r="AP31" s="278" t="str">
        <f t="shared" si="2"/>
        <v>Error</v>
      </c>
      <c r="AQ31" s="278" t="str">
        <f t="shared" si="2"/>
        <v>Error</v>
      </c>
      <c r="AR31" s="278" t="str">
        <f t="shared" si="2"/>
        <v>Error</v>
      </c>
    </row>
    <row r="32" spans="1:63" hidden="1" x14ac:dyDescent="0.25"/>
    <row r="33" spans="1:56" hidden="1" x14ac:dyDescent="0.25"/>
    <row r="34" spans="1:56" hidden="1" x14ac:dyDescent="0.25"/>
    <row r="38" spans="1:56" ht="46.5" x14ac:dyDescent="0.7">
      <c r="U38" s="279" t="s">
        <v>1175</v>
      </c>
      <c r="W38" s="1010">
        <f>SUM(R21:Z21)</f>
        <v>13618.251861538462</v>
      </c>
      <c r="X38" s="1010"/>
      <c r="Y38" s="1010"/>
      <c r="Z38" s="1010"/>
      <c r="AE38" s="279" t="s">
        <v>1169</v>
      </c>
      <c r="AG38" s="1010">
        <f>SUM(AA21:AL21)</f>
        <v>44825.902123076921</v>
      </c>
      <c r="AH38" s="1010"/>
      <c r="AI38" s="1010"/>
      <c r="AJ38" s="1010"/>
      <c r="AR38" s="279" t="s">
        <v>125</v>
      </c>
      <c r="AS38" s="1010">
        <f>SUM(AM21:AZ21)</f>
        <v>69972.133984615386</v>
      </c>
      <c r="AT38" s="1010"/>
      <c r="AU38" s="1010"/>
      <c r="AV38" s="1010"/>
    </row>
    <row r="39" spans="1:56" ht="46.5" x14ac:dyDescent="0.7">
      <c r="U39" s="279" t="s">
        <v>1167</v>
      </c>
      <c r="AW39">
        <f>54-36</f>
        <v>18</v>
      </c>
    </row>
    <row r="40" spans="1:56" ht="46.5" x14ac:dyDescent="0.7">
      <c r="U40" s="279" t="s">
        <v>1168</v>
      </c>
    </row>
    <row r="44" spans="1:56" ht="15.75" thickBot="1" x14ac:dyDescent="0.3"/>
    <row r="45" spans="1:56" ht="15.75" thickBot="1" x14ac:dyDescent="0.3">
      <c r="O45" s="1011">
        <v>2015</v>
      </c>
      <c r="P45" s="1012"/>
      <c r="Q45" s="1012"/>
      <c r="R45" s="1012"/>
      <c r="S45" s="1012"/>
      <c r="T45" s="1013"/>
      <c r="U45" s="1011">
        <v>2016</v>
      </c>
      <c r="V45" s="1012"/>
      <c r="W45" s="1012"/>
      <c r="X45" s="1012"/>
      <c r="Y45" s="1012"/>
      <c r="Z45" s="1012"/>
      <c r="AA45" s="1012"/>
      <c r="AB45" s="1012"/>
      <c r="AC45" s="1012"/>
      <c r="AD45" s="1012"/>
      <c r="AE45" s="1012"/>
      <c r="AF45" s="1012"/>
      <c r="AG45" s="1011">
        <v>2017</v>
      </c>
      <c r="AH45" s="1012"/>
      <c r="AI45" s="1012"/>
      <c r="AJ45" s="1012"/>
      <c r="AK45" s="1012"/>
      <c r="AL45" s="1012"/>
      <c r="AM45" s="1012"/>
      <c r="AN45" s="1012"/>
      <c r="AO45" s="1012"/>
      <c r="AP45" s="1012"/>
      <c r="AQ45" s="1012"/>
      <c r="AR45" s="1013"/>
      <c r="AS45" s="1011">
        <v>2018</v>
      </c>
      <c r="AT45" s="1012"/>
      <c r="AU45" s="1012"/>
      <c r="AV45" s="1012"/>
      <c r="AW45" s="1012"/>
      <c r="AX45" s="1012"/>
      <c r="AY45" s="1012"/>
      <c r="AZ45" s="1012"/>
      <c r="BA45" s="1012"/>
      <c r="BB45" s="1012"/>
      <c r="BC45" s="1012"/>
      <c r="BD45" s="1013"/>
    </row>
    <row r="46" spans="1:56" ht="16.5" thickBot="1" x14ac:dyDescent="0.3">
      <c r="L46" s="1005"/>
      <c r="M46" s="1006"/>
      <c r="O46" s="1007"/>
      <c r="P46" s="1008"/>
      <c r="Q46" s="1008"/>
      <c r="R46" s="1008"/>
      <c r="S46" s="1008"/>
      <c r="T46" s="1009"/>
      <c r="U46" s="183"/>
      <c r="V46" s="184"/>
      <c r="W46" s="184"/>
      <c r="X46" s="184"/>
      <c r="Y46" s="184"/>
      <c r="Z46" s="184"/>
      <c r="AA46" s="184"/>
      <c r="AB46" s="184"/>
      <c r="AC46" s="184"/>
      <c r="AD46" s="184"/>
      <c r="AE46" s="184"/>
      <c r="AF46" s="184"/>
      <c r="AG46" s="185"/>
      <c r="AH46" s="186"/>
      <c r="AI46" s="186"/>
      <c r="AJ46" s="186"/>
      <c r="AK46" s="186"/>
      <c r="AL46" s="186"/>
      <c r="AM46" s="186"/>
      <c r="AN46" s="186"/>
      <c r="AO46" s="186"/>
      <c r="AP46" s="186"/>
      <c r="AQ46" s="186"/>
      <c r="AR46" s="186"/>
      <c r="AS46" s="187"/>
      <c r="AT46" s="188"/>
      <c r="AU46" s="188"/>
      <c r="AV46" s="188"/>
      <c r="AW46" s="188"/>
      <c r="AX46" s="188"/>
      <c r="AY46" s="188"/>
      <c r="AZ46" s="189" t="s">
        <v>1157</v>
      </c>
      <c r="BA46" s="188"/>
      <c r="BB46" s="188"/>
      <c r="BC46" s="188"/>
      <c r="BD46" s="188"/>
    </row>
    <row r="47" spans="1:56" ht="16.5" thickBot="1" x14ac:dyDescent="0.3">
      <c r="B47" s="190" t="s">
        <v>1158</v>
      </c>
      <c r="C47" s="191"/>
      <c r="D47" s="192"/>
      <c r="E47" s="193"/>
      <c r="F47" s="193"/>
      <c r="G47" s="194">
        <v>2015</v>
      </c>
      <c r="H47" s="194">
        <v>2016</v>
      </c>
      <c r="I47" s="194">
        <v>2017</v>
      </c>
      <c r="J47" s="195"/>
      <c r="L47" s="196"/>
      <c r="M47" s="197"/>
      <c r="O47" s="198" t="s">
        <v>1159</v>
      </c>
      <c r="P47" s="199" t="s">
        <v>1160</v>
      </c>
      <c r="Q47" s="199" t="s">
        <v>1161</v>
      </c>
      <c r="R47" s="199" t="s">
        <v>1162</v>
      </c>
      <c r="S47" s="199" t="s">
        <v>1163</v>
      </c>
      <c r="T47" s="200" t="s">
        <v>1164</v>
      </c>
      <c r="U47" s="201" t="s">
        <v>1159</v>
      </c>
      <c r="V47" s="202" t="s">
        <v>1165</v>
      </c>
      <c r="W47" s="202" t="s">
        <v>1166</v>
      </c>
      <c r="X47" s="202" t="s">
        <v>1160</v>
      </c>
      <c r="Y47" s="202" t="s">
        <v>1166</v>
      </c>
      <c r="Z47" s="203" t="s">
        <v>1159</v>
      </c>
      <c r="AA47" s="203" t="s">
        <v>1159</v>
      </c>
      <c r="AB47" s="203" t="s">
        <v>1160</v>
      </c>
      <c r="AC47" s="203" t="s">
        <v>1161</v>
      </c>
      <c r="AD47" s="203" t="s">
        <v>1162</v>
      </c>
      <c r="AE47" s="203" t="s">
        <v>1163</v>
      </c>
      <c r="AF47" s="202" t="s">
        <v>1164</v>
      </c>
      <c r="AG47" s="204" t="s">
        <v>1159</v>
      </c>
      <c r="AH47" s="205" t="s">
        <v>1165</v>
      </c>
      <c r="AI47" s="205" t="s">
        <v>1166</v>
      </c>
      <c r="AJ47" s="205" t="s">
        <v>1160</v>
      </c>
      <c r="AK47" s="205" t="s">
        <v>1166</v>
      </c>
      <c r="AL47" s="206" t="s">
        <v>1159</v>
      </c>
      <c r="AM47" s="206" t="s">
        <v>1159</v>
      </c>
      <c r="AN47" s="206" t="s">
        <v>1160</v>
      </c>
      <c r="AO47" s="206" t="s">
        <v>1161</v>
      </c>
      <c r="AP47" s="206" t="s">
        <v>1162</v>
      </c>
      <c r="AQ47" s="206" t="s">
        <v>1163</v>
      </c>
      <c r="AR47" s="205" t="s">
        <v>1164</v>
      </c>
      <c r="AS47" s="207" t="s">
        <v>1159</v>
      </c>
      <c r="AT47" s="208" t="s">
        <v>1165</v>
      </c>
      <c r="AU47" s="208" t="s">
        <v>1166</v>
      </c>
      <c r="AV47" s="208" t="s">
        <v>1160</v>
      </c>
      <c r="AW47" s="208" t="s">
        <v>1166</v>
      </c>
      <c r="AX47" s="209" t="s">
        <v>1159</v>
      </c>
      <c r="AY47" s="209" t="s">
        <v>1159</v>
      </c>
      <c r="AZ47" s="210" t="s">
        <v>1160</v>
      </c>
      <c r="BA47" s="209" t="s">
        <v>1161</v>
      </c>
      <c r="BB47" s="209" t="s">
        <v>1162</v>
      </c>
      <c r="BC47" s="209" t="s">
        <v>1163</v>
      </c>
      <c r="BD47" s="208" t="s">
        <v>1164</v>
      </c>
    </row>
    <row r="48" spans="1:56" ht="15.75" thickTop="1" x14ac:dyDescent="0.25">
      <c r="A48">
        <v>1</v>
      </c>
      <c r="B48" s="211"/>
      <c r="C48" s="212" t="s">
        <v>1167</v>
      </c>
      <c r="D48" s="213"/>
      <c r="E48" s="214"/>
      <c r="F48" s="215"/>
      <c r="G48" s="216"/>
      <c r="H48" s="216"/>
      <c r="I48" s="216"/>
      <c r="J48" s="217"/>
      <c r="L48" s="218"/>
      <c r="M48" s="219"/>
      <c r="O48" s="220"/>
      <c r="P48" s="221"/>
      <c r="Q48" s="221"/>
      <c r="R48" s="222"/>
      <c r="S48" s="222"/>
      <c r="T48" s="222"/>
      <c r="U48" s="222"/>
      <c r="V48" s="222"/>
      <c r="W48" s="222"/>
      <c r="X48" s="222"/>
      <c r="Y48" s="222"/>
      <c r="Z48" s="222"/>
      <c r="AA48" s="223"/>
      <c r="AB48" s="223"/>
      <c r="AC48" s="223"/>
      <c r="AD48" s="223"/>
      <c r="AE48" s="223"/>
      <c r="AF48" s="223"/>
      <c r="AG48" s="223"/>
      <c r="AH48" s="223"/>
      <c r="AI48" s="223"/>
      <c r="AJ48" s="223"/>
      <c r="AK48" s="223"/>
      <c r="AL48" s="223"/>
      <c r="AM48" s="224"/>
      <c r="AN48" s="224"/>
      <c r="AO48" s="224"/>
      <c r="AP48" s="224"/>
      <c r="AQ48" s="224"/>
      <c r="AR48" s="224"/>
      <c r="AS48" s="225"/>
      <c r="AT48" s="225"/>
      <c r="AU48" s="225"/>
      <c r="AV48" s="224"/>
      <c r="AW48" s="224"/>
      <c r="AX48" s="224"/>
      <c r="AY48" s="224"/>
      <c r="AZ48" s="224"/>
      <c r="BA48" s="221"/>
      <c r="BB48" s="221"/>
      <c r="BC48" s="221"/>
      <c r="BD48" s="226"/>
    </row>
    <row r="49" spans="1:56" x14ac:dyDescent="0.25">
      <c r="A49">
        <v>2</v>
      </c>
      <c r="B49" s="227"/>
      <c r="C49" s="228"/>
      <c r="D49" s="229" t="s">
        <v>127</v>
      </c>
      <c r="E49" s="214"/>
      <c r="F49" s="215"/>
      <c r="G49" s="216"/>
      <c r="H49" s="216"/>
      <c r="I49" s="216"/>
      <c r="J49" s="217">
        <f>SUM(O49:BD49)</f>
        <v>16610.58148076923</v>
      </c>
      <c r="L49" s="230"/>
      <c r="M49" s="231"/>
      <c r="O49" s="232"/>
      <c r="P49" s="233"/>
      <c r="Q49" s="233"/>
      <c r="R49" s="234">
        <v>115.01925000000001</v>
      </c>
      <c r="S49" s="234">
        <v>138.76925</v>
      </c>
      <c r="T49" s="234">
        <v>179.01925</v>
      </c>
      <c r="U49" s="234">
        <v>277.23985192307691</v>
      </c>
      <c r="V49" s="234">
        <v>288.37088269230765</v>
      </c>
      <c r="W49" s="234">
        <v>314.56738076923079</v>
      </c>
      <c r="X49" s="234">
        <v>319.40854615384615</v>
      </c>
      <c r="Y49" s="234">
        <v>494.91116923076925</v>
      </c>
      <c r="Z49" s="234">
        <v>277.56196923076925</v>
      </c>
      <c r="AD49" s="235">
        <v>284.0930115384615</v>
      </c>
      <c r="AE49" s="235">
        <v>574.91381153846146</v>
      </c>
      <c r="AF49" s="235">
        <v>345.38501153846153</v>
      </c>
      <c r="AG49" s="235">
        <v>612.06691538461541</v>
      </c>
      <c r="AH49" s="235">
        <v>362.17811538461535</v>
      </c>
      <c r="AI49" s="235">
        <v>362.22855000000004</v>
      </c>
      <c r="AJ49" s="235">
        <v>475.78624230769231</v>
      </c>
      <c r="AK49" s="235">
        <v>477.53904230769228</v>
      </c>
      <c r="AL49" s="235">
        <v>726.66689615384621</v>
      </c>
      <c r="AM49" s="235">
        <v>488.36348461538461</v>
      </c>
      <c r="AN49" s="235">
        <v>727.93839615384616</v>
      </c>
      <c r="AO49" s="235">
        <v>471.83919615384616</v>
      </c>
      <c r="AP49" s="236">
        <v>524.13349230769222</v>
      </c>
      <c r="AQ49" s="236">
        <v>725.67331153846158</v>
      </c>
      <c r="AR49" s="236">
        <v>487.82222307692314</v>
      </c>
      <c r="AS49" s="236">
        <v>736.35102307692318</v>
      </c>
      <c r="AT49" s="236">
        <v>485.74320384615385</v>
      </c>
      <c r="AU49" s="236">
        <v>536.99200384615381</v>
      </c>
      <c r="AV49" s="237">
        <v>600</v>
      </c>
      <c r="AW49" s="237">
        <v>600</v>
      </c>
      <c r="AX49" s="237">
        <v>600</v>
      </c>
      <c r="AY49" s="237">
        <v>600</v>
      </c>
      <c r="AZ49" s="237">
        <v>600</v>
      </c>
      <c r="BA49" s="237">
        <v>600</v>
      </c>
      <c r="BB49" s="237">
        <v>600</v>
      </c>
      <c r="BC49" s="237">
        <v>600</v>
      </c>
      <c r="BD49" s="238"/>
    </row>
    <row r="50" spans="1:56" collapsed="1" x14ac:dyDescent="0.25">
      <c r="A50">
        <v>3</v>
      </c>
      <c r="B50" s="227"/>
      <c r="C50" s="228"/>
      <c r="D50" s="239" t="s">
        <v>334</v>
      </c>
      <c r="E50" s="214"/>
      <c r="F50" s="215"/>
      <c r="G50" s="216"/>
      <c r="H50" s="216"/>
      <c r="I50" s="216"/>
      <c r="J50" s="217">
        <f t="shared" ref="J50:J56" si="3">SUM(O50:BD50)</f>
        <v>24593.043019230772</v>
      </c>
      <c r="L50" s="230"/>
      <c r="M50" s="231"/>
      <c r="O50" s="232"/>
      <c r="P50" s="233"/>
      <c r="Q50" s="233">
        <v>0</v>
      </c>
      <c r="R50" s="234">
        <v>115.01925000000001</v>
      </c>
      <c r="S50" s="234">
        <v>178.76925</v>
      </c>
      <c r="T50" s="234">
        <v>219.01925</v>
      </c>
      <c r="U50" s="234">
        <v>254.47062115384614</v>
      </c>
      <c r="V50" s="234">
        <v>255.6016519230769</v>
      </c>
      <c r="W50" s="234">
        <v>281.79815000000002</v>
      </c>
      <c r="X50" s="234">
        <v>309.90854615384615</v>
      </c>
      <c r="Y50" s="234">
        <v>285.41116923076925</v>
      </c>
      <c r="Z50" s="234">
        <v>291.33119999999997</v>
      </c>
      <c r="AD50" s="235">
        <v>474.70839615384614</v>
      </c>
      <c r="AE50" s="235">
        <v>587.22150384615384</v>
      </c>
      <c r="AF50" s="235">
        <v>597.69270384615379</v>
      </c>
      <c r="AG50" s="235">
        <v>614.37460769230768</v>
      </c>
      <c r="AH50" s="235">
        <v>707.56273076923071</v>
      </c>
      <c r="AI50" s="235">
        <v>800.69008846153849</v>
      </c>
      <c r="AJ50" s="235">
        <v>864.24778076923076</v>
      </c>
      <c r="AK50" s="235">
        <v>866.00058076923074</v>
      </c>
      <c r="AL50" s="235">
        <v>772.05151153846157</v>
      </c>
      <c r="AM50" s="235">
        <v>783.74810000000002</v>
      </c>
      <c r="AN50" s="235">
        <v>773.32301153846151</v>
      </c>
      <c r="AO50" s="235">
        <v>767.22381153846163</v>
      </c>
      <c r="AP50" s="236">
        <v>1005.6719538461539</v>
      </c>
      <c r="AQ50" s="236">
        <v>957.21177307692312</v>
      </c>
      <c r="AR50" s="236">
        <v>969.36068461538468</v>
      </c>
      <c r="AS50" s="236">
        <v>967.88948461538462</v>
      </c>
      <c r="AT50" s="236">
        <v>967.28166538461539</v>
      </c>
      <c r="AU50" s="236">
        <v>925.45354230769226</v>
      </c>
      <c r="AV50" s="236">
        <v>1000</v>
      </c>
      <c r="AW50" s="236">
        <v>1000</v>
      </c>
      <c r="AX50" s="236">
        <v>1000</v>
      </c>
      <c r="AY50" s="236">
        <v>1000</v>
      </c>
      <c r="AZ50" s="236">
        <v>1000</v>
      </c>
      <c r="BA50" s="236">
        <v>1000</v>
      </c>
      <c r="BB50" s="236">
        <v>1000</v>
      </c>
      <c r="BC50" s="236">
        <v>1000</v>
      </c>
      <c r="BD50" s="238"/>
    </row>
    <row r="51" spans="1:56" x14ac:dyDescent="0.25">
      <c r="B51" s="227"/>
      <c r="C51" s="228" t="s">
        <v>1168</v>
      </c>
      <c r="D51" s="239"/>
      <c r="E51" s="214"/>
      <c r="F51" s="215"/>
      <c r="G51" s="216"/>
      <c r="H51" s="216"/>
      <c r="I51" s="216"/>
      <c r="J51" s="217">
        <f>SUM(O51:BD51)</f>
        <v>22747.60770769231</v>
      </c>
      <c r="L51" s="230"/>
      <c r="M51" s="231"/>
      <c r="O51" s="232"/>
      <c r="P51" s="233"/>
      <c r="Q51" s="233">
        <v>0</v>
      </c>
      <c r="R51" s="234">
        <v>0</v>
      </c>
      <c r="S51" s="234">
        <v>0</v>
      </c>
      <c r="T51" s="234">
        <v>0</v>
      </c>
      <c r="U51" s="234">
        <v>1785.6807692307693</v>
      </c>
      <c r="V51" s="234">
        <v>24.665384615384617</v>
      </c>
      <c r="W51" s="234">
        <v>1126.6961538461539</v>
      </c>
      <c r="X51" s="234">
        <v>268.20115384615383</v>
      </c>
      <c r="Y51" s="234">
        <v>332.75</v>
      </c>
      <c r="Z51" s="234">
        <v>28.993461538461538</v>
      </c>
      <c r="AD51" s="235">
        <v>24.665384615384617</v>
      </c>
      <c r="AE51" s="235">
        <v>24.665384615384617</v>
      </c>
      <c r="AF51" s="235">
        <v>291.4703846153846</v>
      </c>
      <c r="AG51" s="235">
        <v>62.82692307692308</v>
      </c>
      <c r="AH51" s="235">
        <v>52.262692307692305</v>
      </c>
      <c r="AI51" s="235">
        <v>52.588461538461537</v>
      </c>
      <c r="AJ51" s="235">
        <v>142.26621538461541</v>
      </c>
      <c r="AK51" s="235">
        <v>57.363307692307693</v>
      </c>
      <c r="AL51" s="235">
        <v>6962.8482000000004</v>
      </c>
      <c r="AM51" s="235">
        <v>823.87038461538464</v>
      </c>
      <c r="AN51" s="235">
        <v>86.136176923076931</v>
      </c>
      <c r="AO51" s="235">
        <v>61.651361538461551</v>
      </c>
      <c r="AP51" s="236">
        <v>60.398546153846162</v>
      </c>
      <c r="AQ51" s="236">
        <v>60.398546153846162</v>
      </c>
      <c r="AR51" s="236">
        <v>4235.7864999999993</v>
      </c>
      <c r="AS51" s="236">
        <v>73.429315384615393</v>
      </c>
      <c r="AT51" s="236">
        <v>2595.4769923076924</v>
      </c>
      <c r="AU51" s="236">
        <v>312.51600769230765</v>
      </c>
      <c r="AV51" s="236">
        <v>400</v>
      </c>
      <c r="AW51" s="236">
        <v>400</v>
      </c>
      <c r="AX51" s="236">
        <v>400</v>
      </c>
      <c r="AY51" s="236">
        <v>400</v>
      </c>
      <c r="AZ51" s="236">
        <v>400</v>
      </c>
      <c r="BA51" s="236">
        <v>400</v>
      </c>
      <c r="BB51" s="236">
        <v>400</v>
      </c>
      <c r="BC51" s="236">
        <v>400</v>
      </c>
      <c r="BD51" s="238"/>
    </row>
    <row r="52" spans="1:56" collapsed="1" x14ac:dyDescent="0.25">
      <c r="A52">
        <v>4</v>
      </c>
      <c r="B52" s="227"/>
      <c r="C52" s="228" t="s">
        <v>1169</v>
      </c>
      <c r="D52" s="239"/>
      <c r="E52" s="214"/>
      <c r="F52" s="215"/>
      <c r="G52" s="216"/>
      <c r="H52" s="216"/>
      <c r="I52" s="216"/>
      <c r="J52" s="217">
        <f t="shared" si="3"/>
        <v>0</v>
      </c>
      <c r="L52" s="230"/>
      <c r="M52" s="231"/>
      <c r="O52" s="232"/>
      <c r="P52" s="233"/>
      <c r="Q52" s="233"/>
      <c r="R52" s="234"/>
      <c r="S52" s="234"/>
      <c r="T52" s="234"/>
      <c r="U52" s="234"/>
      <c r="V52" s="234"/>
      <c r="W52" s="234"/>
      <c r="X52" s="234"/>
      <c r="Y52" s="234"/>
      <c r="Z52" s="234"/>
      <c r="AD52" s="235"/>
      <c r="AE52" s="235"/>
      <c r="AF52" s="235"/>
      <c r="AG52" s="235"/>
      <c r="AH52" s="235"/>
      <c r="AI52" s="235"/>
      <c r="AJ52" s="235"/>
      <c r="AK52" s="235"/>
      <c r="AL52" s="235"/>
      <c r="AM52" s="235"/>
      <c r="AN52" s="235"/>
      <c r="AO52" s="235"/>
      <c r="AP52" s="236"/>
      <c r="AQ52" s="236"/>
      <c r="AR52" s="236"/>
      <c r="AS52" s="236"/>
      <c r="AT52" s="236"/>
      <c r="AU52" s="236"/>
      <c r="AV52" s="236"/>
      <c r="AW52" s="236"/>
      <c r="AX52" s="236"/>
      <c r="AY52" s="236"/>
      <c r="AZ52" s="236"/>
      <c r="BA52" s="236"/>
      <c r="BB52" s="236"/>
      <c r="BC52" s="236"/>
      <c r="BD52" s="238"/>
    </row>
    <row r="53" spans="1:56" collapsed="1" x14ac:dyDescent="0.25">
      <c r="A53">
        <v>5</v>
      </c>
      <c r="B53" s="227"/>
      <c r="C53" s="228"/>
      <c r="D53" s="239" t="s">
        <v>1170</v>
      </c>
      <c r="E53" s="214"/>
      <c r="F53" s="215"/>
      <c r="G53" s="216"/>
      <c r="H53" s="216"/>
      <c r="I53" s="216"/>
      <c r="J53" s="217">
        <f t="shared" si="3"/>
        <v>5455.0682999999999</v>
      </c>
      <c r="L53" s="230"/>
      <c r="M53" s="231"/>
      <c r="O53" s="232"/>
      <c r="P53" s="233"/>
      <c r="Q53" s="233">
        <v>0</v>
      </c>
      <c r="R53" s="234">
        <v>238.03850000000003</v>
      </c>
      <c r="S53" s="234">
        <v>285.5385</v>
      </c>
      <c r="T53" s="234">
        <v>366.0385</v>
      </c>
      <c r="U53" s="234">
        <v>541.09350384615379</v>
      </c>
      <c r="V53" s="234">
        <v>600.72636538461529</v>
      </c>
      <c r="W53" s="234">
        <v>1628.7085615384615</v>
      </c>
      <c r="X53" s="234">
        <v>857.80169230769229</v>
      </c>
      <c r="Y53" s="234">
        <v>543.83613846153844</v>
      </c>
      <c r="Z53" s="234">
        <v>393.28653846153844</v>
      </c>
      <c r="AD53" s="235"/>
      <c r="AE53" s="235"/>
      <c r="AF53" s="235"/>
      <c r="AG53" s="235"/>
      <c r="AH53" s="235"/>
      <c r="AI53" s="235"/>
      <c r="AJ53" s="235"/>
      <c r="AK53" s="235"/>
      <c r="AL53" s="235"/>
      <c r="AM53" s="235"/>
      <c r="AN53" s="235"/>
      <c r="AO53" s="235"/>
      <c r="AP53" s="236"/>
      <c r="AQ53" s="236"/>
      <c r="AR53" s="236"/>
      <c r="AS53" s="236"/>
      <c r="AT53" s="236"/>
      <c r="AU53" s="236"/>
      <c r="AV53" s="236"/>
      <c r="AW53" s="236"/>
      <c r="AX53" s="236"/>
      <c r="AY53" s="236"/>
      <c r="AZ53" s="236"/>
      <c r="BA53" s="236"/>
      <c r="BB53" s="236"/>
      <c r="BC53" s="236"/>
      <c r="BD53" s="238"/>
    </row>
    <row r="54" spans="1:56" collapsed="1" x14ac:dyDescent="0.25">
      <c r="A54">
        <v>6</v>
      </c>
      <c r="B54" s="227"/>
      <c r="C54" s="228"/>
      <c r="D54" s="239" t="s">
        <v>1171</v>
      </c>
      <c r="E54" s="214"/>
      <c r="F54" s="215"/>
      <c r="G54" s="216"/>
      <c r="H54" s="216"/>
      <c r="I54" s="216"/>
      <c r="J54" s="217">
        <f t="shared" si="3"/>
        <v>21665.443746153844</v>
      </c>
      <c r="L54" s="230"/>
      <c r="M54" s="231"/>
      <c r="O54" s="232"/>
      <c r="P54" s="233"/>
      <c r="Q54" s="233"/>
      <c r="R54" s="234"/>
      <c r="S54" s="234"/>
      <c r="T54" s="234"/>
      <c r="U54" s="234"/>
      <c r="V54" s="234"/>
      <c r="W54" s="234"/>
      <c r="X54" s="234"/>
      <c r="Y54" s="234"/>
      <c r="Z54" s="234"/>
      <c r="AD54" s="235">
        <v>418.29982307692308</v>
      </c>
      <c r="AE54" s="235">
        <v>698.71022307692306</v>
      </c>
      <c r="AF54" s="235">
        <v>1128.945823076923</v>
      </c>
      <c r="AG54" s="235">
        <v>1344.5164307692307</v>
      </c>
      <c r="AH54" s="235">
        <v>1234.5720307692307</v>
      </c>
      <c r="AI54" s="235">
        <v>1512.7997</v>
      </c>
      <c r="AJ54" s="235">
        <v>2903.1862846153845</v>
      </c>
      <c r="AK54" s="235">
        <v>2764.0626846153846</v>
      </c>
      <c r="AL54" s="235">
        <v>3452.9075923076925</v>
      </c>
      <c r="AM54" s="235">
        <v>3505.7115692307693</v>
      </c>
      <c r="AN54" s="235">
        <v>1889.8905923076923</v>
      </c>
      <c r="AO54" s="235">
        <v>811.84099230769232</v>
      </c>
      <c r="AP54" s="236"/>
      <c r="AQ54" s="236"/>
      <c r="AR54" s="236"/>
      <c r="AS54" s="236"/>
      <c r="AT54" s="236"/>
      <c r="AU54" s="236"/>
      <c r="AV54" s="236"/>
      <c r="AW54" s="236"/>
      <c r="AX54" s="236"/>
      <c r="AY54" s="236"/>
      <c r="AZ54" s="236"/>
      <c r="BA54" s="236"/>
      <c r="BB54" s="236"/>
      <c r="BC54" s="236"/>
      <c r="BD54" s="238"/>
    </row>
    <row r="55" spans="1:56" collapsed="1" x14ac:dyDescent="0.25">
      <c r="A55">
        <v>7</v>
      </c>
      <c r="B55" s="227"/>
      <c r="C55" s="228" t="s">
        <v>125</v>
      </c>
      <c r="D55" s="239"/>
      <c r="E55" s="214"/>
      <c r="F55" s="215"/>
      <c r="G55" s="216"/>
      <c r="H55" s="216"/>
      <c r="I55" s="216"/>
      <c r="J55" s="217">
        <f t="shared" si="3"/>
        <v>37344.543715384614</v>
      </c>
      <c r="L55" s="230"/>
      <c r="M55" s="231"/>
      <c r="O55" s="232"/>
      <c r="P55" s="233"/>
      <c r="Q55" s="233"/>
      <c r="R55" s="234"/>
      <c r="S55" s="234"/>
      <c r="T55" s="234"/>
      <c r="U55" s="234"/>
      <c r="V55" s="234"/>
      <c r="W55" s="234"/>
      <c r="X55" s="234"/>
      <c r="Y55" s="234"/>
      <c r="Z55" s="234"/>
      <c r="AD55" s="235"/>
      <c r="AE55" s="235"/>
      <c r="AF55" s="235"/>
      <c r="AG55" s="235"/>
      <c r="AH55" s="235"/>
      <c r="AI55" s="235"/>
      <c r="AJ55" s="235"/>
      <c r="AK55" s="235"/>
      <c r="AL55" s="235"/>
      <c r="AM55" s="235"/>
      <c r="AN55" s="235"/>
      <c r="AO55" s="235"/>
      <c r="AP55" s="236">
        <v>1743.3807846153845</v>
      </c>
      <c r="AQ55" s="236">
        <v>1800.2292230769231</v>
      </c>
      <c r="AR55" s="236">
        <v>2493.8202461538463</v>
      </c>
      <c r="AS55" s="236">
        <v>3183.0846461538463</v>
      </c>
      <c r="AT55" s="236">
        <v>3466.7022076923076</v>
      </c>
      <c r="AU55" s="236">
        <v>3957.3266076923078</v>
      </c>
      <c r="AV55" s="236">
        <v>4000</v>
      </c>
      <c r="AW55" s="236">
        <v>4000</v>
      </c>
      <c r="AX55" s="236">
        <v>4000</v>
      </c>
      <c r="AY55" s="236">
        <v>4000</v>
      </c>
      <c r="AZ55" s="236">
        <v>4000</v>
      </c>
      <c r="BA55" s="236">
        <v>500</v>
      </c>
      <c r="BB55" s="236">
        <v>100</v>
      </c>
      <c r="BC55" s="236">
        <v>100</v>
      </c>
      <c r="BD55" s="238"/>
    </row>
    <row r="56" spans="1:56" collapsed="1" x14ac:dyDescent="0.25">
      <c r="A56">
        <v>8</v>
      </c>
      <c r="B56" s="227"/>
      <c r="C56" s="228"/>
      <c r="D56" s="239"/>
      <c r="E56" s="214"/>
      <c r="F56" s="215"/>
      <c r="G56" s="216"/>
      <c r="H56" s="216"/>
      <c r="I56" s="216"/>
      <c r="J56" s="217">
        <f t="shared" si="3"/>
        <v>0</v>
      </c>
      <c r="L56" s="230"/>
      <c r="M56" s="231"/>
      <c r="O56" s="232"/>
      <c r="P56" s="233"/>
      <c r="Q56" s="233"/>
      <c r="R56" s="234"/>
      <c r="S56" s="234"/>
      <c r="T56" s="234"/>
      <c r="U56" s="234"/>
      <c r="V56" s="234"/>
      <c r="W56" s="234"/>
      <c r="X56" s="234"/>
      <c r="Y56" s="234"/>
      <c r="Z56" s="234"/>
      <c r="AD56" s="235"/>
      <c r="AE56" s="235"/>
      <c r="AF56" s="235"/>
      <c r="AG56" s="235"/>
      <c r="AH56" s="235"/>
      <c r="AI56" s="235"/>
      <c r="AJ56" s="235"/>
      <c r="AK56" s="235"/>
      <c r="AL56" s="235"/>
      <c r="AM56" s="235"/>
      <c r="AN56" s="235"/>
      <c r="AO56" s="235"/>
      <c r="AP56" s="236"/>
      <c r="AQ56" s="236"/>
      <c r="AR56" s="236"/>
      <c r="AS56" s="236"/>
      <c r="AT56" s="236"/>
      <c r="AU56" s="236"/>
      <c r="AV56" s="236"/>
      <c r="AW56" s="236"/>
      <c r="AX56" s="236"/>
      <c r="AY56" s="236"/>
      <c r="AZ56" s="236"/>
      <c r="BA56" s="236"/>
      <c r="BB56" s="236"/>
      <c r="BC56" s="236"/>
      <c r="BD56" s="238"/>
    </row>
    <row r="57" spans="1:56" collapsed="1" x14ac:dyDescent="0.25">
      <c r="A57">
        <v>9</v>
      </c>
      <c r="B57" s="227"/>
      <c r="C57" s="228"/>
      <c r="D57" s="239"/>
      <c r="E57" s="214"/>
      <c r="F57" s="215"/>
      <c r="G57" s="216"/>
      <c r="H57" s="216"/>
      <c r="I57" s="216"/>
      <c r="J57" s="217"/>
      <c r="L57" s="230"/>
      <c r="M57" s="231"/>
      <c r="O57" s="232"/>
      <c r="P57" s="233"/>
      <c r="Q57" s="233"/>
      <c r="R57" s="234"/>
      <c r="S57" s="234"/>
      <c r="T57" s="234"/>
      <c r="U57" s="234"/>
      <c r="V57" s="234"/>
      <c r="W57" s="234"/>
      <c r="X57" s="234"/>
      <c r="Y57" s="234"/>
      <c r="Z57" s="234"/>
      <c r="AD57" s="235"/>
      <c r="AE57" s="235"/>
      <c r="AF57" s="235"/>
      <c r="AG57" s="235"/>
      <c r="AH57" s="235"/>
      <c r="AI57" s="235"/>
      <c r="AJ57" s="235"/>
      <c r="AK57" s="235"/>
      <c r="AL57" s="235"/>
      <c r="AM57" s="235"/>
      <c r="AN57" s="235"/>
      <c r="AO57" s="235"/>
      <c r="AP57" s="236"/>
      <c r="AQ57" s="236"/>
      <c r="AR57" s="236"/>
      <c r="AS57" s="236"/>
      <c r="AT57" s="236"/>
      <c r="AU57" s="236"/>
      <c r="AV57" s="236"/>
      <c r="AW57" s="236"/>
      <c r="AX57" s="236"/>
      <c r="AY57" s="236"/>
      <c r="AZ57" s="236"/>
      <c r="BA57" s="236"/>
      <c r="BB57" s="236"/>
      <c r="BC57" s="236"/>
      <c r="BD57" s="238"/>
    </row>
    <row r="58" spans="1:56" collapsed="1" x14ac:dyDescent="0.25">
      <c r="A58">
        <v>10</v>
      </c>
      <c r="B58" s="227"/>
      <c r="C58" s="228"/>
      <c r="D58" s="240"/>
      <c r="E58" s="214"/>
      <c r="F58" s="215"/>
      <c r="G58" s="216"/>
      <c r="H58" s="216"/>
      <c r="I58" s="216"/>
      <c r="J58" s="217"/>
      <c r="L58" s="230"/>
      <c r="M58" s="231"/>
      <c r="O58" s="232"/>
      <c r="P58" s="233"/>
      <c r="Q58" s="233"/>
      <c r="R58" s="234"/>
      <c r="S58" s="234"/>
      <c r="T58" s="234"/>
      <c r="U58" s="234"/>
      <c r="V58" s="234"/>
      <c r="W58" s="234"/>
      <c r="X58" s="234"/>
      <c r="Y58" s="234"/>
      <c r="Z58" s="234"/>
      <c r="AD58" s="235"/>
      <c r="AE58" s="235"/>
      <c r="AF58" s="235"/>
      <c r="AG58" s="235"/>
      <c r="AH58" s="235"/>
      <c r="AI58" s="235"/>
      <c r="AJ58" s="235"/>
      <c r="AK58" s="235"/>
      <c r="AL58" s="235"/>
      <c r="AM58" s="235"/>
      <c r="AN58" s="235"/>
      <c r="AO58" s="235"/>
      <c r="AP58" s="236"/>
      <c r="AQ58" s="236"/>
      <c r="AR58" s="236"/>
      <c r="AS58" s="236"/>
      <c r="AT58" s="236"/>
      <c r="AU58" s="236"/>
      <c r="AV58" s="236"/>
      <c r="AW58" s="236"/>
      <c r="AX58" s="236"/>
      <c r="AY58" s="236"/>
      <c r="AZ58" s="236"/>
      <c r="BA58" s="236"/>
      <c r="BB58" s="236"/>
      <c r="BC58" s="236"/>
      <c r="BD58" s="238"/>
    </row>
    <row r="59" spans="1:56" x14ac:dyDescent="0.25">
      <c r="A59">
        <v>11</v>
      </c>
      <c r="B59" s="241"/>
      <c r="C59" s="228"/>
      <c r="D59" s="239"/>
      <c r="E59" s="242"/>
      <c r="F59" s="243"/>
      <c r="G59" s="216"/>
      <c r="H59" s="216"/>
      <c r="I59" s="216"/>
      <c r="J59" s="217"/>
      <c r="L59" s="230"/>
      <c r="M59" s="231"/>
      <c r="O59" s="232"/>
      <c r="P59" s="233"/>
      <c r="Q59" s="233"/>
      <c r="R59" s="234"/>
      <c r="S59" s="234"/>
      <c r="T59" s="234"/>
      <c r="U59" s="234"/>
      <c r="V59" s="234"/>
      <c r="W59" s="234"/>
      <c r="X59" s="234"/>
      <c r="Y59" s="234"/>
      <c r="Z59" s="234"/>
      <c r="AD59" s="235"/>
      <c r="AE59" s="235"/>
      <c r="AF59" s="235"/>
      <c r="AG59" s="235"/>
      <c r="AH59" s="235"/>
      <c r="AI59" s="235"/>
      <c r="AJ59" s="235"/>
      <c r="AK59" s="235"/>
      <c r="AL59" s="235"/>
      <c r="AM59" s="235"/>
      <c r="AN59" s="235"/>
      <c r="AO59" s="235"/>
      <c r="AP59" s="236"/>
      <c r="AQ59" s="236"/>
      <c r="AR59" s="236"/>
      <c r="AS59" s="236"/>
      <c r="AT59" s="236"/>
      <c r="AU59" s="236"/>
      <c r="AV59" s="236"/>
      <c r="AW59" s="236"/>
      <c r="AX59" s="236"/>
      <c r="AY59" s="236"/>
      <c r="AZ59" s="236"/>
      <c r="BA59" s="236"/>
      <c r="BB59" s="236"/>
      <c r="BC59" s="236"/>
      <c r="BD59" s="238"/>
    </row>
    <row r="60" spans="1:56" ht="15.75" thickBot="1" x14ac:dyDescent="0.3">
      <c r="B60" s="244"/>
      <c r="C60" s="245"/>
      <c r="D60" s="246"/>
      <c r="E60" s="247"/>
      <c r="F60" s="248"/>
      <c r="G60" s="249"/>
      <c r="H60" s="249"/>
      <c r="I60" s="249"/>
      <c r="J60" s="217"/>
      <c r="L60" s="250"/>
      <c r="M60" s="251"/>
      <c r="O60" s="252"/>
      <c r="P60" s="253"/>
      <c r="Q60" s="253"/>
      <c r="R60" s="254"/>
      <c r="S60" s="254"/>
      <c r="T60" s="254"/>
      <c r="U60" s="254"/>
      <c r="V60" s="254"/>
      <c r="W60" s="254"/>
      <c r="X60" s="254"/>
      <c r="Y60" s="254"/>
      <c r="Z60" s="254"/>
      <c r="AD60" s="255"/>
      <c r="AE60" s="255"/>
      <c r="AF60" s="255"/>
      <c r="AG60" s="255"/>
      <c r="AH60" s="255"/>
      <c r="AI60" s="255"/>
      <c r="AJ60" s="255"/>
      <c r="AK60" s="255"/>
      <c r="AL60" s="255"/>
      <c r="AM60" s="255"/>
      <c r="AN60" s="255"/>
      <c r="AO60" s="255"/>
      <c r="AP60" s="256"/>
      <c r="AQ60" s="256"/>
      <c r="AR60" s="256"/>
      <c r="AS60" s="256"/>
      <c r="AT60" s="256"/>
      <c r="AU60" s="256"/>
      <c r="AV60" s="256"/>
      <c r="AW60" s="256"/>
      <c r="AX60" s="256"/>
      <c r="AY60" s="256"/>
      <c r="AZ60" s="256"/>
      <c r="BA60" s="256"/>
      <c r="BB60" s="256"/>
      <c r="BC60" s="256"/>
      <c r="BD60" s="257"/>
    </row>
    <row r="61" spans="1:56" ht="15.75" thickBot="1" x14ac:dyDescent="0.3">
      <c r="B61" s="258"/>
      <c r="C61" s="259"/>
      <c r="D61" s="259"/>
      <c r="E61" s="260"/>
      <c r="F61" s="261" t="s">
        <v>20</v>
      </c>
      <c r="G61" s="262"/>
      <c r="H61" s="262"/>
      <c r="I61" s="262"/>
      <c r="J61" s="263">
        <f>SUM(J48:J60)</f>
        <v>128416.28796923078</v>
      </c>
      <c r="L61" s="264"/>
      <c r="M61" s="265"/>
      <c r="O61" s="266"/>
      <c r="P61" s="267"/>
      <c r="Q61" s="267"/>
      <c r="R61" s="268">
        <f t="shared" ref="R61:BD61" si="4">SUM(R48:R60)</f>
        <v>468.07700000000006</v>
      </c>
      <c r="S61" s="268">
        <f t="shared" si="4"/>
        <v>603.077</v>
      </c>
      <c r="T61" s="268">
        <f t="shared" si="4"/>
        <v>764.077</v>
      </c>
      <c r="U61" s="269">
        <f t="shared" si="4"/>
        <v>2858.4847461538466</v>
      </c>
      <c r="V61" s="268">
        <f t="shared" si="4"/>
        <v>1169.3642846153843</v>
      </c>
      <c r="W61" s="268">
        <f t="shared" si="4"/>
        <v>3351.7702461538465</v>
      </c>
      <c r="X61" s="268">
        <f t="shared" si="4"/>
        <v>1755.3199384615384</v>
      </c>
      <c r="Y61" s="268">
        <f t="shared" si="4"/>
        <v>1656.9084769230769</v>
      </c>
      <c r="Z61" s="268">
        <f t="shared" si="4"/>
        <v>991.17316923076919</v>
      </c>
      <c r="AA61" s="270">
        <f t="shared" si="4"/>
        <v>0</v>
      </c>
      <c r="AB61" s="270">
        <f t="shared" si="4"/>
        <v>0</v>
      </c>
      <c r="AC61" s="270">
        <f t="shared" si="4"/>
        <v>0</v>
      </c>
      <c r="AD61" s="270">
        <f t="shared" si="4"/>
        <v>1201.7666153846153</v>
      </c>
      <c r="AE61" s="270">
        <f t="shared" si="4"/>
        <v>1885.5109230769231</v>
      </c>
      <c r="AF61" s="270">
        <f t="shared" si="4"/>
        <v>2363.4939230769232</v>
      </c>
      <c r="AG61" s="270">
        <f t="shared" si="4"/>
        <v>2633.7848769230768</v>
      </c>
      <c r="AH61" s="270">
        <f t="shared" si="4"/>
        <v>2356.5755692307694</v>
      </c>
      <c r="AI61" s="270">
        <f t="shared" si="4"/>
        <v>2728.3068000000003</v>
      </c>
      <c r="AJ61" s="270">
        <f t="shared" si="4"/>
        <v>4385.4865230769228</v>
      </c>
      <c r="AK61" s="270">
        <f t="shared" si="4"/>
        <v>4164.9656153846154</v>
      </c>
      <c r="AL61" s="270">
        <f t="shared" si="4"/>
        <v>11914.474200000001</v>
      </c>
      <c r="AM61" s="271">
        <f t="shared" si="4"/>
        <v>5601.693538461539</v>
      </c>
      <c r="AN61" s="271">
        <f t="shared" si="4"/>
        <v>3477.2881769230771</v>
      </c>
      <c r="AO61" s="271">
        <f t="shared" si="4"/>
        <v>2112.5553615384615</v>
      </c>
      <c r="AP61" s="280">
        <f t="shared" si="4"/>
        <v>3333.5847769230768</v>
      </c>
      <c r="AQ61" s="280">
        <f t="shared" si="4"/>
        <v>3543.512853846154</v>
      </c>
      <c r="AR61" s="280">
        <f t="shared" si="4"/>
        <v>8186.7896538461537</v>
      </c>
      <c r="AS61" s="280">
        <f t="shared" si="4"/>
        <v>4960.7544692307692</v>
      </c>
      <c r="AT61" s="280">
        <f t="shared" si="4"/>
        <v>7515.2040692307692</v>
      </c>
      <c r="AU61" s="280">
        <f t="shared" si="4"/>
        <v>5732.2881615384613</v>
      </c>
      <c r="AV61" s="280">
        <f t="shared" si="4"/>
        <v>6000</v>
      </c>
      <c r="AW61" s="280">
        <f t="shared" si="4"/>
        <v>6000</v>
      </c>
      <c r="AX61" s="280">
        <f t="shared" si="4"/>
        <v>6000</v>
      </c>
      <c r="AY61" s="280">
        <f t="shared" si="4"/>
        <v>6000</v>
      </c>
      <c r="AZ61" s="280">
        <f t="shared" si="4"/>
        <v>6000</v>
      </c>
      <c r="BA61" s="280">
        <f>SUM(BA48:BA60)</f>
        <v>2500</v>
      </c>
      <c r="BB61" s="280">
        <f>SUM(BB48:BB60)</f>
        <v>2100</v>
      </c>
      <c r="BC61" s="280">
        <f>SUM(BC48:BC60)</f>
        <v>2100</v>
      </c>
      <c r="BD61" s="267">
        <f t="shared" si="4"/>
        <v>0</v>
      </c>
    </row>
    <row r="64" spans="1:56" hidden="1" x14ac:dyDescent="0.25">
      <c r="E64" s="272"/>
    </row>
    <row r="65" spans="2:63" hidden="1" x14ac:dyDescent="0.25"/>
    <row r="66" spans="2:63" hidden="1" x14ac:dyDescent="0.25"/>
    <row r="67" spans="2:63" hidden="1" x14ac:dyDescent="0.25"/>
    <row r="68" spans="2:63" ht="39" hidden="1" customHeight="1" x14ac:dyDescent="0.25">
      <c r="B68" s="273" t="s">
        <v>1172</v>
      </c>
      <c r="C68" s="274"/>
      <c r="D68" s="275"/>
      <c r="E68" s="193"/>
      <c r="F68" s="193"/>
      <c r="G68" s="194">
        <v>2015</v>
      </c>
      <c r="H68" s="194">
        <v>2016</v>
      </c>
      <c r="I68" s="194">
        <v>2017</v>
      </c>
      <c r="J68" s="195" t="s">
        <v>1173</v>
      </c>
      <c r="L68" s="196"/>
      <c r="M68" s="197" t="s">
        <v>1174</v>
      </c>
      <c r="O68" s="198" t="s">
        <v>1159</v>
      </c>
      <c r="P68" s="199" t="s">
        <v>1160</v>
      </c>
      <c r="Q68" s="199" t="s">
        <v>1161</v>
      </c>
      <c r="R68" s="199" t="s">
        <v>1162</v>
      </c>
      <c r="S68" s="199" t="s">
        <v>1163</v>
      </c>
      <c r="T68" s="200" t="s">
        <v>1164</v>
      </c>
      <c r="U68" s="201" t="s">
        <v>1159</v>
      </c>
      <c r="V68" s="202" t="s">
        <v>1165</v>
      </c>
      <c r="W68" s="202" t="s">
        <v>1166</v>
      </c>
      <c r="X68" s="202" t="s">
        <v>1160</v>
      </c>
      <c r="Y68" s="202" t="s">
        <v>1166</v>
      </c>
      <c r="Z68" s="203" t="s">
        <v>1159</v>
      </c>
      <c r="AA68" s="203" t="s">
        <v>1159</v>
      </c>
      <c r="AB68" s="203" t="s">
        <v>1160</v>
      </c>
      <c r="AC68" s="203" t="s">
        <v>1161</v>
      </c>
      <c r="AD68" s="203" t="s">
        <v>1162</v>
      </c>
      <c r="AE68" s="203" t="s">
        <v>1163</v>
      </c>
      <c r="AF68" s="202" t="s">
        <v>1164</v>
      </c>
      <c r="AG68" s="204" t="s">
        <v>1159</v>
      </c>
      <c r="AH68" s="205" t="s">
        <v>1165</v>
      </c>
      <c r="AI68" s="205" t="s">
        <v>1166</v>
      </c>
      <c r="AJ68" s="205" t="s">
        <v>1160</v>
      </c>
      <c r="AK68" s="205" t="s">
        <v>1166</v>
      </c>
      <c r="AL68" s="206" t="s">
        <v>1159</v>
      </c>
      <c r="AM68" s="206" t="s">
        <v>1159</v>
      </c>
      <c r="AN68" s="206" t="s">
        <v>1160</v>
      </c>
      <c r="AO68" s="206" t="s">
        <v>1161</v>
      </c>
      <c r="AP68" s="206" t="s">
        <v>1162</v>
      </c>
      <c r="AQ68" s="206" t="s">
        <v>1163</v>
      </c>
      <c r="AR68" s="205" t="s">
        <v>1164</v>
      </c>
      <c r="AW68" s="276" t="s">
        <v>20</v>
      </c>
      <c r="AX68" s="169"/>
      <c r="AY68" s="207" t="s">
        <v>1159</v>
      </c>
      <c r="AZ68" s="208" t="s">
        <v>1165</v>
      </c>
      <c r="BA68" s="208" t="s">
        <v>1166</v>
      </c>
      <c r="BB68" s="208" t="s">
        <v>1160</v>
      </c>
      <c r="BC68" s="208" t="s">
        <v>1166</v>
      </c>
      <c r="BD68" s="209" t="s">
        <v>1159</v>
      </c>
      <c r="BE68" s="209" t="s">
        <v>1159</v>
      </c>
      <c r="BF68" s="209" t="s">
        <v>1160</v>
      </c>
      <c r="BG68" s="209" t="s">
        <v>1161</v>
      </c>
      <c r="BH68" s="209" t="s">
        <v>1162</v>
      </c>
      <c r="BI68" s="209" t="s">
        <v>1163</v>
      </c>
      <c r="BJ68" s="208" t="s">
        <v>1164</v>
      </c>
      <c r="BK68" s="277" t="s">
        <v>20</v>
      </c>
    </row>
    <row r="69" spans="2:63" ht="15.75" hidden="1" thickBot="1" x14ac:dyDescent="0.3">
      <c r="F69" t="s">
        <v>20</v>
      </c>
      <c r="G69">
        <v>1895.241</v>
      </c>
      <c r="H69">
        <v>29220.666000000001</v>
      </c>
      <c r="I69">
        <v>66607.227999999988</v>
      </c>
      <c r="J69" s="263">
        <v>97723.134999999995</v>
      </c>
      <c r="L69" s="264">
        <v>36100</v>
      </c>
      <c r="M69" s="265"/>
      <c r="O69" s="266">
        <v>0</v>
      </c>
      <c r="P69" s="267">
        <v>0</v>
      </c>
      <c r="Q69" s="267"/>
      <c r="R69" s="267">
        <v>516.74700000000007</v>
      </c>
      <c r="S69" s="267">
        <v>591.74700000000007</v>
      </c>
      <c r="T69" s="267">
        <v>786.74700000000007</v>
      </c>
      <c r="U69" s="4">
        <v>3105.4569999999999</v>
      </c>
      <c r="V69" s="267">
        <v>1352.8989999999999</v>
      </c>
      <c r="W69" s="267">
        <v>3822.9369999999999</v>
      </c>
      <c r="X69" s="267">
        <v>2669.7190000000001</v>
      </c>
      <c r="Y69" s="267">
        <v>2338.4369999999999</v>
      </c>
      <c r="Z69" s="267">
        <v>1176.8390000000002</v>
      </c>
      <c r="AA69" s="267">
        <v>1370.7350000000001</v>
      </c>
      <c r="AB69" s="267">
        <v>2012.787</v>
      </c>
      <c r="AC69" s="267">
        <v>2630.6149999999998</v>
      </c>
      <c r="AD69" s="267">
        <v>2988.0210000000002</v>
      </c>
      <c r="AE69" s="267">
        <v>2736.9489999999996</v>
      </c>
      <c r="AF69" s="267">
        <v>3015.2710000000002</v>
      </c>
      <c r="AG69" s="267">
        <v>4419.3649999999998</v>
      </c>
      <c r="AH69" s="267">
        <v>4192.5290000000005</v>
      </c>
      <c r="AI69" s="267">
        <v>12550.663</v>
      </c>
      <c r="AJ69" s="267">
        <v>5782.6190000000006</v>
      </c>
      <c r="AK69" s="267">
        <v>2803.8399999999997</v>
      </c>
      <c r="AL69" s="267">
        <v>2237.2859999999996</v>
      </c>
      <c r="AM69" s="267">
        <v>3473.1379999999999</v>
      </c>
      <c r="AN69" s="267">
        <v>3683.28</v>
      </c>
      <c r="AO69" s="267">
        <v>8637.6219999999994</v>
      </c>
      <c r="AP69" s="267">
        <v>5101.99</v>
      </c>
      <c r="AQ69" s="267">
        <v>7843.8159999999998</v>
      </c>
      <c r="AR69" s="267">
        <v>5881.08</v>
      </c>
      <c r="AW69">
        <v>66607.227999999988</v>
      </c>
      <c r="AY69">
        <v>4865</v>
      </c>
      <c r="AZ69">
        <v>4265</v>
      </c>
      <c r="BA69">
        <v>3575</v>
      </c>
      <c r="BB69">
        <v>2140</v>
      </c>
      <c r="BC69">
        <v>450</v>
      </c>
      <c r="BD69">
        <v>200</v>
      </c>
      <c r="BE69">
        <v>150</v>
      </c>
      <c r="BF69">
        <v>0</v>
      </c>
      <c r="BG69">
        <v>0</v>
      </c>
      <c r="BH69">
        <v>0</v>
      </c>
      <c r="BI69">
        <v>0</v>
      </c>
      <c r="BJ69">
        <v>0</v>
      </c>
      <c r="BK69">
        <v>15645</v>
      </c>
    </row>
    <row r="70" spans="2:63" hidden="1" x14ac:dyDescent="0.25"/>
    <row r="71" spans="2:63" hidden="1" x14ac:dyDescent="0.25">
      <c r="R71" s="278" t="str">
        <f>IF(ABS(R69-R61)&lt;1,"ok","Error")</f>
        <v>Error</v>
      </c>
      <c r="S71" s="278" t="str">
        <f t="shared" ref="S71:AR71" si="5">IF(ABS(S69-S61)&lt;1,"ok","Error")</f>
        <v>Error</v>
      </c>
      <c r="T71" s="278" t="str">
        <f t="shared" si="5"/>
        <v>Error</v>
      </c>
      <c r="U71" s="278" t="str">
        <f t="shared" si="5"/>
        <v>Error</v>
      </c>
      <c r="V71" s="278" t="str">
        <f t="shared" si="5"/>
        <v>Error</v>
      </c>
      <c r="W71" s="278" t="str">
        <f t="shared" si="5"/>
        <v>Error</v>
      </c>
      <c r="X71" s="278" t="str">
        <f t="shared" si="5"/>
        <v>Error</v>
      </c>
      <c r="Y71" s="278" t="str">
        <f t="shared" si="5"/>
        <v>Error</v>
      </c>
      <c r="Z71" s="278" t="str">
        <f t="shared" si="5"/>
        <v>Error</v>
      </c>
      <c r="AA71" s="278" t="str">
        <f t="shared" si="5"/>
        <v>Error</v>
      </c>
      <c r="AB71" s="278" t="str">
        <f t="shared" si="5"/>
        <v>Error</v>
      </c>
      <c r="AC71" s="278" t="str">
        <f t="shared" si="5"/>
        <v>Error</v>
      </c>
      <c r="AD71" s="278" t="str">
        <f t="shared" si="5"/>
        <v>Error</v>
      </c>
      <c r="AE71" s="278" t="str">
        <f t="shared" si="5"/>
        <v>Error</v>
      </c>
      <c r="AF71" s="278" t="str">
        <f t="shared" si="5"/>
        <v>Error</v>
      </c>
      <c r="AG71" s="278" t="str">
        <f t="shared" si="5"/>
        <v>Error</v>
      </c>
      <c r="AH71" s="278" t="str">
        <f t="shared" si="5"/>
        <v>Error</v>
      </c>
      <c r="AI71" s="278" t="str">
        <f t="shared" si="5"/>
        <v>Error</v>
      </c>
      <c r="AJ71" s="278" t="str">
        <f t="shared" si="5"/>
        <v>Error</v>
      </c>
      <c r="AK71" s="278" t="str">
        <f t="shared" si="5"/>
        <v>Error</v>
      </c>
      <c r="AL71" s="278" t="str">
        <f t="shared" si="5"/>
        <v>Error</v>
      </c>
      <c r="AM71" s="278" t="str">
        <f t="shared" si="5"/>
        <v>Error</v>
      </c>
      <c r="AN71" s="278" t="str">
        <f t="shared" si="5"/>
        <v>Error</v>
      </c>
      <c r="AO71" s="278" t="str">
        <f t="shared" si="5"/>
        <v>Error</v>
      </c>
      <c r="AP71" s="278" t="str">
        <f t="shared" si="5"/>
        <v>Error</v>
      </c>
      <c r="AQ71" s="278" t="str">
        <f t="shared" si="5"/>
        <v>Error</v>
      </c>
      <c r="AR71" s="278" t="str">
        <f t="shared" si="5"/>
        <v>Error</v>
      </c>
    </row>
    <row r="72" spans="2:63" hidden="1" x14ac:dyDescent="0.25"/>
    <row r="73" spans="2:63" hidden="1" x14ac:dyDescent="0.25"/>
    <row r="74" spans="2:63" hidden="1" x14ac:dyDescent="0.25"/>
    <row r="78" spans="2:63" ht="46.5" x14ac:dyDescent="0.7">
      <c r="U78" s="279" t="s">
        <v>1175</v>
      </c>
      <c r="W78" s="1010">
        <f>SUM(R61:Z61)</f>
        <v>13618.251861538462</v>
      </c>
      <c r="X78" s="1010"/>
      <c r="Y78" s="1010"/>
      <c r="Z78" s="1010"/>
      <c r="AE78" s="279" t="s">
        <v>1169</v>
      </c>
      <c r="AG78" s="1010">
        <f>SUM(AA61:AL61)</f>
        <v>33634.365046153849</v>
      </c>
      <c r="AH78" s="1010"/>
      <c r="AI78" s="1010"/>
      <c r="AJ78" s="1010"/>
      <c r="AR78" s="279" t="s">
        <v>125</v>
      </c>
      <c r="AS78" s="1010">
        <f>SUM(AM61:AZ61)</f>
        <v>74463.671061538465</v>
      </c>
      <c r="AT78" s="1010"/>
      <c r="AU78" s="1010"/>
      <c r="AV78" s="1010"/>
    </row>
    <row r="79" spans="2:63" ht="46.5" x14ac:dyDescent="0.7">
      <c r="U79" s="279" t="s">
        <v>1167</v>
      </c>
    </row>
    <row r="80" spans="2:63" ht="46.5" x14ac:dyDescent="0.7">
      <c r="U80" s="279" t="s">
        <v>1168</v>
      </c>
      <c r="AP80" s="176">
        <f>SUM(AP55:BC55)*1000</f>
        <v>37344543.715384617</v>
      </c>
    </row>
    <row r="82" spans="42:42" x14ac:dyDescent="0.25">
      <c r="AP82" s="176">
        <f>SUM(AP51:BC51)*1000</f>
        <v>10538005.907692308</v>
      </c>
    </row>
    <row r="84" spans="42:42" x14ac:dyDescent="0.25">
      <c r="AP84" s="176">
        <f>SUM(AP50:BC50)*1000</f>
        <v>13792869.103846155</v>
      </c>
    </row>
    <row r="86" spans="42:42" x14ac:dyDescent="0.25">
      <c r="AP86" s="176">
        <f>SUM(AP49:BC49)*1000</f>
        <v>8296715.2576923072</v>
      </c>
    </row>
    <row r="87" spans="42:42" x14ac:dyDescent="0.25">
      <c r="AP87" s="176">
        <f>SUM(AP61:BC61)*1000</f>
        <v>69972133.984615386</v>
      </c>
    </row>
  </sheetData>
  <mergeCells count="18">
    <mergeCell ref="O5:T5"/>
    <mergeCell ref="U5:AF5"/>
    <mergeCell ref="AG5:AR5"/>
    <mergeCell ref="AS5:BD5"/>
    <mergeCell ref="L6:M6"/>
    <mergeCell ref="O6:T6"/>
    <mergeCell ref="W38:Z38"/>
    <mergeCell ref="AG38:AJ38"/>
    <mergeCell ref="AS38:AV38"/>
    <mergeCell ref="O45:T45"/>
    <mergeCell ref="U45:AF45"/>
    <mergeCell ref="AG45:AR45"/>
    <mergeCell ref="AS45:BD45"/>
    <mergeCell ref="L46:M46"/>
    <mergeCell ref="O46:T46"/>
    <mergeCell ref="W78:Z78"/>
    <mergeCell ref="AG78:AJ78"/>
    <mergeCell ref="AS78:AV78"/>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pageSetUpPr fitToPage="1"/>
  </sheetPr>
  <dimension ref="A1:U23"/>
  <sheetViews>
    <sheetView showGridLines="0" view="pageLayout" topLeftCell="A7" zoomScale="60" zoomScaleNormal="70" zoomScalePageLayoutView="60" workbookViewId="0">
      <selection activeCell="G22" sqref="G22"/>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7" width="17.7109375" style="9" customWidth="1"/>
    <col min="8" max="8" width="15.7109375" style="9" customWidth="1"/>
    <col min="9" max="9" width="11.5703125" style="9" hidden="1" customWidth="1" outlineLevel="1"/>
    <col min="10" max="11" width="16.42578125" style="9" hidden="1" customWidth="1" outlineLevel="1"/>
    <col min="12" max="12" width="16.85546875" style="9" hidden="1" customWidth="1" outlineLevel="1"/>
    <col min="13" max="13" width="16.42578125" style="9" hidden="1" customWidth="1" outlineLevel="1"/>
    <col min="14" max="17" width="16.85546875" style="9" hidden="1" customWidth="1" outlineLevel="1"/>
    <col min="18" max="19" width="16.42578125" style="9" hidden="1" customWidth="1" outlineLevel="1"/>
    <col min="20" max="20" width="16.85546875" style="9" hidden="1" customWidth="1" outlineLevel="1"/>
    <col min="21" max="21" width="11.42578125" style="9" collapsed="1"/>
    <col min="22" max="16384" width="11.42578125" style="9"/>
  </cols>
  <sheetData>
    <row r="1" spans="1:20" s="1" customFormat="1" ht="36.6" customHeight="1" x14ac:dyDescent="0.2"/>
    <row r="2" spans="1:20" ht="24.75" customHeight="1" x14ac:dyDescent="0.25"/>
    <row r="3" spans="1:20" ht="36.6" customHeight="1" x14ac:dyDescent="0.25">
      <c r="A3" s="40" t="s">
        <v>4</v>
      </c>
      <c r="B3" s="36"/>
      <c r="C3" s="37"/>
      <c r="D3" s="38"/>
      <c r="E3" s="38"/>
      <c r="F3" s="43"/>
      <c r="G3" s="43"/>
      <c r="H3" s="43"/>
      <c r="I3" s="43" t="s">
        <v>5</v>
      </c>
      <c r="J3" s="43"/>
      <c r="K3" s="43"/>
      <c r="L3" s="43"/>
      <c r="M3" s="43"/>
      <c r="N3" s="43"/>
      <c r="O3" s="43"/>
      <c r="P3" s="43"/>
      <c r="Q3" s="43"/>
      <c r="R3" s="43"/>
      <c r="S3" s="43"/>
      <c r="T3" s="43"/>
    </row>
    <row r="4" spans="1:20" ht="18" x14ac:dyDescent="0.25">
      <c r="A4" s="17"/>
      <c r="B4" s="75" t="s">
        <v>6</v>
      </c>
      <c r="C4" s="75"/>
      <c r="D4" s="75"/>
      <c r="E4" s="75"/>
      <c r="F4" s="75"/>
      <c r="G4" s="75"/>
      <c r="H4" s="76"/>
      <c r="I4" s="16"/>
      <c r="J4" s="16"/>
      <c r="K4" s="16"/>
      <c r="L4" s="16"/>
      <c r="M4" s="16"/>
      <c r="N4" s="16"/>
      <c r="O4" s="16"/>
      <c r="P4" s="16"/>
      <c r="Q4" s="16"/>
      <c r="R4" s="16"/>
      <c r="S4" s="16"/>
      <c r="T4" s="18"/>
    </row>
    <row r="5" spans="1:20" ht="18" x14ac:dyDescent="0.25">
      <c r="A5" s="19"/>
      <c r="B5" s="77" t="str">
        <f>+Legal!B8</f>
        <v>Legal</v>
      </c>
      <c r="C5" s="78"/>
      <c r="D5" s="78"/>
      <c r="E5" s="79"/>
      <c r="F5" s="79"/>
      <c r="G5" s="79"/>
      <c r="H5" s="80" t="s">
        <v>7</v>
      </c>
      <c r="I5" s="13"/>
      <c r="J5" s="13"/>
      <c r="K5" s="13"/>
      <c r="L5" s="13"/>
      <c r="M5" s="13"/>
      <c r="N5" s="13"/>
      <c r="O5" s="13"/>
      <c r="P5" s="13"/>
      <c r="Q5" s="13"/>
      <c r="R5" s="13"/>
      <c r="S5" s="13"/>
      <c r="T5" s="25"/>
    </row>
    <row r="6" spans="1:20" ht="18" x14ac:dyDescent="0.25">
      <c r="A6" s="19"/>
      <c r="B6" s="81" t="s">
        <v>8</v>
      </c>
      <c r="C6" s="79"/>
      <c r="D6" s="81" t="s">
        <v>9</v>
      </c>
      <c r="E6" s="81"/>
      <c r="F6" s="81"/>
      <c r="G6" s="81"/>
      <c r="H6" s="82">
        <v>43101</v>
      </c>
      <c r="I6" s="14"/>
      <c r="J6" s="14"/>
      <c r="K6" s="14"/>
      <c r="L6" s="14"/>
      <c r="M6" s="14"/>
      <c r="N6" s="14"/>
      <c r="O6" s="14"/>
      <c r="P6" s="14"/>
      <c r="Q6" s="14"/>
      <c r="R6" s="14"/>
      <c r="S6" s="14"/>
      <c r="T6" s="26"/>
    </row>
    <row r="7" spans="1:20" ht="18" x14ac:dyDescent="0.25">
      <c r="A7" s="20"/>
      <c r="B7" s="83" t="str">
        <f>+Legal!B10</f>
        <v>683 Legal</v>
      </c>
      <c r="C7" s="84"/>
      <c r="D7" s="77" t="str">
        <f>+Legal!D10</f>
        <v>Ariel Scharfstein</v>
      </c>
      <c r="E7" s="79"/>
      <c r="F7" s="79"/>
      <c r="G7" s="79"/>
      <c r="H7" s="85"/>
      <c r="I7" s="13"/>
      <c r="J7" s="13"/>
      <c r="K7" s="13"/>
      <c r="L7" s="13"/>
      <c r="M7" s="13"/>
      <c r="N7" s="13"/>
      <c r="O7" s="13"/>
      <c r="P7" s="13"/>
      <c r="Q7" s="13"/>
      <c r="R7" s="13"/>
      <c r="S7" s="13"/>
      <c r="T7" s="25"/>
    </row>
    <row r="8" spans="1:20" ht="18" x14ac:dyDescent="0.25">
      <c r="A8" s="20"/>
      <c r="B8" s="86" t="s">
        <v>10</v>
      </c>
      <c r="C8" s="84"/>
      <c r="D8" s="86"/>
      <c r="E8" s="86"/>
      <c r="F8" s="86"/>
      <c r="G8" s="86"/>
      <c r="H8" s="87" t="s">
        <v>11</v>
      </c>
      <c r="I8" s="15"/>
      <c r="J8" s="15"/>
      <c r="K8" s="15"/>
      <c r="L8" s="15"/>
      <c r="M8" s="15"/>
      <c r="N8" s="15"/>
      <c r="O8" s="15"/>
      <c r="P8" s="15"/>
      <c r="Q8" s="15"/>
      <c r="R8" s="15"/>
      <c r="S8" s="15"/>
      <c r="T8" s="24"/>
    </row>
    <row r="9" spans="1:20" ht="18" x14ac:dyDescent="0.25">
      <c r="A9" s="20"/>
      <c r="B9" s="88">
        <f>+Legal!B12</f>
        <v>42958</v>
      </c>
      <c r="C9" s="84"/>
      <c r="D9" s="86"/>
      <c r="E9" s="79"/>
      <c r="F9" s="79"/>
      <c r="G9" s="79"/>
      <c r="H9" s="82">
        <v>43465</v>
      </c>
      <c r="I9" s="13"/>
      <c r="J9" s="13"/>
      <c r="K9" s="13"/>
      <c r="L9" s="13"/>
      <c r="M9" s="13"/>
      <c r="N9" s="13"/>
      <c r="O9" s="13"/>
      <c r="P9" s="13"/>
      <c r="Q9" s="13"/>
      <c r="R9" s="13"/>
      <c r="S9" s="13"/>
      <c r="T9" s="24"/>
    </row>
    <row r="10" spans="1:20" ht="18" x14ac:dyDescent="0.25">
      <c r="A10" s="21"/>
      <c r="B10" s="89"/>
      <c r="C10" s="90"/>
      <c r="D10" s="90"/>
      <c r="E10" s="90"/>
      <c r="F10" s="90"/>
      <c r="G10" s="90"/>
      <c r="H10" s="91"/>
      <c r="I10" s="22"/>
      <c r="J10" s="22"/>
      <c r="K10" s="22"/>
      <c r="L10" s="22"/>
      <c r="M10" s="22"/>
      <c r="N10" s="22"/>
      <c r="O10" s="22"/>
      <c r="P10" s="22"/>
      <c r="Q10" s="22"/>
      <c r="R10" s="22"/>
      <c r="S10" s="22"/>
      <c r="T10" s="23"/>
    </row>
    <row r="11" spans="1:20" ht="6.75" customHeight="1" x14ac:dyDescent="0.25"/>
    <row r="12" spans="1:20" ht="18" x14ac:dyDescent="0.25">
      <c r="A12" s="41" t="s">
        <v>12</v>
      </c>
      <c r="B12" s="41"/>
      <c r="C12" s="42"/>
      <c r="D12" s="42"/>
      <c r="E12" s="43"/>
      <c r="F12" s="43"/>
      <c r="G12" s="43"/>
      <c r="H12" s="43"/>
      <c r="I12" s="43" t="s">
        <v>5</v>
      </c>
      <c r="J12" s="43"/>
      <c r="K12" s="43"/>
      <c r="L12" s="43"/>
      <c r="M12" s="43"/>
      <c r="N12" s="43"/>
      <c r="O12" s="43"/>
      <c r="P12" s="43"/>
      <c r="Q12" s="43"/>
      <c r="R12" s="43"/>
      <c r="S12" s="43"/>
      <c r="T12" s="43"/>
    </row>
    <row r="13" spans="1:20" ht="30" outlineLevel="1" x14ac:dyDescent="0.25">
      <c r="A13" s="92"/>
      <c r="B13" s="92" t="s">
        <v>13</v>
      </c>
      <c r="C13" s="92" t="s">
        <v>14</v>
      </c>
      <c r="D13" s="8" t="s">
        <v>15</v>
      </c>
      <c r="E13" s="32" t="s">
        <v>16</v>
      </c>
      <c r="F13" s="32" t="s">
        <v>17</v>
      </c>
      <c r="G13" s="32" t="s">
        <v>18</v>
      </c>
      <c r="H13" s="32" t="s">
        <v>825</v>
      </c>
      <c r="I13" s="66">
        <v>43101</v>
      </c>
      <c r="J13" s="66">
        <v>43132</v>
      </c>
      <c r="K13" s="66">
        <v>43160</v>
      </c>
      <c r="L13" s="66">
        <v>43191</v>
      </c>
      <c r="M13" s="66">
        <v>43221</v>
      </c>
      <c r="N13" s="66">
        <v>43252</v>
      </c>
      <c r="O13" s="66">
        <v>43282</v>
      </c>
      <c r="P13" s="66">
        <v>43313</v>
      </c>
      <c r="Q13" s="66">
        <v>43344</v>
      </c>
      <c r="R13" s="66">
        <v>43374</v>
      </c>
      <c r="S13" s="66">
        <v>43405</v>
      </c>
      <c r="T13" s="66">
        <v>43435</v>
      </c>
    </row>
    <row r="14" spans="1:20" ht="15" outlineLevel="1" x14ac:dyDescent="0.25">
      <c r="A14" s="93" t="str">
        <f>+Legal!A17</f>
        <v>3.1</v>
      </c>
      <c r="B14" s="93" t="str">
        <f>+Legal!B17</f>
        <v>Objective 1</v>
      </c>
      <c r="C14" s="93" t="str">
        <f>+Legal!C17</f>
        <v>RE Mine Property</v>
      </c>
      <c r="D14" s="10" t="str">
        <f>+Legal!D17</f>
        <v>Tramitación, Mantención y Resguardo de la Propiedad Minera Relincho</v>
      </c>
      <c r="E14" s="11" t="str">
        <f>+Legal!E17</f>
        <v>683 / 51-11-3337</v>
      </c>
      <c r="F14" s="11">
        <f>+Legal!L17</f>
        <v>12</v>
      </c>
      <c r="G14" s="53">
        <f>+Legal!M17</f>
        <v>0</v>
      </c>
      <c r="H14" s="11">
        <f>+Legal!N17</f>
        <v>734828.13316176471</v>
      </c>
      <c r="I14" s="52" t="e">
        <f>+#REF!</f>
        <v>#REF!</v>
      </c>
      <c r="J14" s="52" t="e">
        <f>+#REF!</f>
        <v>#REF!</v>
      </c>
      <c r="K14" s="52" t="e">
        <f>+#REF!</f>
        <v>#REF!</v>
      </c>
      <c r="L14" s="52" t="e">
        <f>+#REF!</f>
        <v>#REF!</v>
      </c>
      <c r="M14" s="52" t="e">
        <f>+#REF!</f>
        <v>#REF!</v>
      </c>
      <c r="N14" s="52" t="e">
        <f>+#REF!</f>
        <v>#REF!</v>
      </c>
      <c r="O14" s="52" t="e">
        <f>+#REF!</f>
        <v>#REF!</v>
      </c>
      <c r="P14" s="52" t="e">
        <f>+#REF!</f>
        <v>#REF!</v>
      </c>
      <c r="Q14" s="52" t="e">
        <f>+#REF!</f>
        <v>#REF!</v>
      </c>
      <c r="R14" s="52" t="e">
        <f>+#REF!</f>
        <v>#REF!</v>
      </c>
      <c r="S14" s="52" t="e">
        <f>+#REF!</f>
        <v>#REF!</v>
      </c>
      <c r="T14" s="52" t="e">
        <f>+#REF!</f>
        <v>#REF!</v>
      </c>
    </row>
    <row r="15" spans="1:20" ht="15" outlineLevel="1" x14ac:dyDescent="0.25">
      <c r="A15" s="93" t="str">
        <f>+Legal!A18</f>
        <v>3.2</v>
      </c>
      <c r="B15" s="93" t="str">
        <f>+Legal!B18</f>
        <v>Objective 2</v>
      </c>
      <c r="C15" s="93" t="str">
        <f>+Legal!C18</f>
        <v>EM Mine Property</v>
      </c>
      <c r="D15" s="10" t="str">
        <f>+Legal!D18</f>
        <v>Tramitación, Mantención y Resguardo de la Propiedad Minera El Morro</v>
      </c>
      <c r="E15" s="11" t="str">
        <f>+Legal!E18</f>
        <v>683 / 51-11-3338</v>
      </c>
      <c r="F15" s="11">
        <f>+Legal!L18</f>
        <v>12</v>
      </c>
      <c r="G15" s="53">
        <f>+Legal!M18</f>
        <v>0</v>
      </c>
      <c r="H15" s="11">
        <f>+Legal!N18</f>
        <v>853671.81036764709</v>
      </c>
      <c r="I15" s="52" t="e">
        <f>+#REF!</f>
        <v>#REF!</v>
      </c>
      <c r="J15" s="52" t="e">
        <f>+#REF!</f>
        <v>#REF!</v>
      </c>
      <c r="K15" s="52" t="e">
        <f>+#REF!</f>
        <v>#REF!</v>
      </c>
      <c r="L15" s="52" t="e">
        <f>+#REF!</f>
        <v>#REF!</v>
      </c>
      <c r="M15" s="52" t="e">
        <f>+#REF!</f>
        <v>#REF!</v>
      </c>
      <c r="N15" s="52" t="e">
        <f>+#REF!</f>
        <v>#REF!</v>
      </c>
      <c r="O15" s="52" t="e">
        <f>+#REF!</f>
        <v>#REF!</v>
      </c>
      <c r="P15" s="52" t="e">
        <f>+#REF!</f>
        <v>#REF!</v>
      </c>
      <c r="Q15" s="52" t="e">
        <f>+#REF!</f>
        <v>#REF!</v>
      </c>
      <c r="R15" s="52" t="e">
        <f>+#REF!</f>
        <v>#REF!</v>
      </c>
      <c r="S15" s="52" t="e">
        <f>+#REF!</f>
        <v>#REF!</v>
      </c>
      <c r="T15" s="52" t="e">
        <f>+#REF!</f>
        <v>#REF!</v>
      </c>
    </row>
    <row r="16" spans="1:20" ht="15" outlineLevel="1" x14ac:dyDescent="0.25">
      <c r="A16" s="93" t="str">
        <f>+Legal!A19</f>
        <v>3.3</v>
      </c>
      <c r="B16" s="93" t="str">
        <f>+Legal!B19</f>
        <v>Objective 3</v>
      </c>
      <c r="C16" s="93" t="str">
        <f>+Legal!C19</f>
        <v>Legal/Consulting/Easments</v>
      </c>
      <c r="D16" s="10" t="str">
        <f>+Legal!D19</f>
        <v>Costo Consultores, Servidumbres y gastos varios área legal</v>
      </c>
      <c r="E16" s="11" t="str">
        <f>+Legal!E19</f>
        <v>683 / 51-11-3339</v>
      </c>
      <c r="F16" s="11">
        <f>+Legal!L19</f>
        <v>12</v>
      </c>
      <c r="G16" s="53">
        <f>+Legal!M19</f>
        <v>0</v>
      </c>
      <c r="H16" s="11">
        <f>+Legal!N19</f>
        <v>56417824.244484708</v>
      </c>
      <c r="I16" s="52" t="e">
        <f>+#REF!</f>
        <v>#REF!</v>
      </c>
      <c r="J16" s="52" t="e">
        <f>+#REF!</f>
        <v>#REF!</v>
      </c>
      <c r="K16" s="52" t="e">
        <f>+#REF!</f>
        <v>#REF!</v>
      </c>
      <c r="L16" s="52" t="e">
        <f>+#REF!</f>
        <v>#REF!</v>
      </c>
      <c r="M16" s="52" t="e">
        <f>+#REF!</f>
        <v>#REF!</v>
      </c>
      <c r="N16" s="52" t="e">
        <f>+#REF!</f>
        <v>#REF!</v>
      </c>
      <c r="O16" s="52" t="e">
        <f>+#REF!</f>
        <v>#REF!</v>
      </c>
      <c r="P16" s="52" t="e">
        <f>+#REF!</f>
        <v>#REF!</v>
      </c>
      <c r="Q16" s="52" t="e">
        <f>+#REF!</f>
        <v>#REF!</v>
      </c>
      <c r="R16" s="52" t="e">
        <f>+#REF!</f>
        <v>#REF!</v>
      </c>
      <c r="S16" s="52" t="e">
        <f>+#REF!</f>
        <v>#REF!</v>
      </c>
      <c r="T16" s="52" t="e">
        <f>+#REF!</f>
        <v>#REF!</v>
      </c>
    </row>
    <row r="17" spans="1:20" ht="13.5" customHeight="1" outlineLevel="1" x14ac:dyDescent="0.25">
      <c r="A17" s="93" t="str">
        <f>+Legal!A20</f>
        <v>3.4</v>
      </c>
      <c r="B17" s="93" t="str">
        <f>+Legal!B20</f>
        <v>Objective 4</v>
      </c>
      <c r="C17" s="93" t="str">
        <f>+Legal!C20</f>
        <v>Permits Licences</v>
      </c>
      <c r="D17" s="10" t="str">
        <f>IF(Legal!D20="","",Legal!D20)</f>
        <v>Pago de Contribuciones predios superficiales de propiedad del proyecto</v>
      </c>
      <c r="E17" s="11" t="str">
        <f>IF(Legal!E20="","",Legal!E20)</f>
        <v>683 / 51-11-3340</v>
      </c>
      <c r="F17" s="11">
        <f>IF(Legal!L20="","",Legal!L20)</f>
        <v>12</v>
      </c>
      <c r="G17" s="53">
        <v>0</v>
      </c>
      <c r="H17" s="11">
        <f>IF(Legal!N20="","",Legal!N20)</f>
        <v>14600</v>
      </c>
      <c r="I17" s="12" t="s">
        <v>5</v>
      </c>
      <c r="J17" s="12"/>
      <c r="K17" s="12"/>
      <c r="L17" s="12"/>
      <c r="M17" s="12"/>
      <c r="N17" s="12"/>
      <c r="O17" s="12"/>
      <c r="P17" s="12"/>
      <c r="Q17" s="12"/>
      <c r="R17" s="12"/>
      <c r="S17" s="12"/>
      <c r="T17" s="12"/>
    </row>
    <row r="18" spans="1:20" ht="15" outlineLevel="1" x14ac:dyDescent="0.25">
      <c r="A18" s="93"/>
      <c r="B18" s="93"/>
      <c r="C18" s="93"/>
      <c r="D18" s="10" t="str">
        <f>IF(Legal!D22="","",Legal!D22)</f>
        <v/>
      </c>
      <c r="E18" s="11" t="str">
        <f>IF(Legal!E22="","",Legal!E22)</f>
        <v/>
      </c>
      <c r="F18" s="11" t="str">
        <f>IF(Legal!L22="","",Legal!L22)</f>
        <v/>
      </c>
      <c r="G18" s="48" t="str">
        <f>IF(Legal!M22="","",Legal!M22)</f>
        <v/>
      </c>
      <c r="H18" s="47" t="str">
        <f>IF(Legal!N22="","",Legal!N22)</f>
        <v/>
      </c>
      <c r="I18" s="12" t="s">
        <v>5</v>
      </c>
      <c r="J18" s="12"/>
      <c r="K18" s="12"/>
      <c r="L18" s="12"/>
      <c r="M18" s="12"/>
      <c r="N18" s="12"/>
      <c r="O18" s="12"/>
      <c r="P18" s="12"/>
      <c r="Q18" s="12"/>
      <c r="R18" s="12"/>
      <c r="S18" s="12"/>
      <c r="T18" s="12"/>
    </row>
    <row r="19" spans="1:20" ht="15" outlineLevel="1" x14ac:dyDescent="0.25">
      <c r="A19" s="69"/>
      <c r="B19" s="70"/>
      <c r="C19" s="70"/>
      <c r="D19" s="71"/>
      <c r="E19" s="72"/>
      <c r="F19" s="32">
        <f>+Legal!L23</f>
        <v>12</v>
      </c>
      <c r="G19" s="32">
        <f>SUM(G1:G18)</f>
        <v>0</v>
      </c>
      <c r="H19" s="32">
        <f t="shared" ref="H19:T19" si="0">SUM(H13:H18)</f>
        <v>58020924.18801412</v>
      </c>
      <c r="I19" s="32" t="e">
        <f t="shared" si="0"/>
        <v>#REF!</v>
      </c>
      <c r="J19" s="32" t="e">
        <f t="shared" si="0"/>
        <v>#REF!</v>
      </c>
      <c r="K19" s="32" t="e">
        <f t="shared" si="0"/>
        <v>#REF!</v>
      </c>
      <c r="L19" s="32" t="e">
        <f t="shared" si="0"/>
        <v>#REF!</v>
      </c>
      <c r="M19" s="32" t="e">
        <f t="shared" si="0"/>
        <v>#REF!</v>
      </c>
      <c r="N19" s="32" t="e">
        <f t="shared" si="0"/>
        <v>#REF!</v>
      </c>
      <c r="O19" s="32" t="e">
        <f t="shared" si="0"/>
        <v>#REF!</v>
      </c>
      <c r="P19" s="32" t="e">
        <f t="shared" si="0"/>
        <v>#REF!</v>
      </c>
      <c r="Q19" s="32" t="e">
        <f t="shared" si="0"/>
        <v>#REF!</v>
      </c>
      <c r="R19" s="32" t="e">
        <f t="shared" si="0"/>
        <v>#REF!</v>
      </c>
      <c r="S19" s="32" t="e">
        <f t="shared" si="0"/>
        <v>#REF!</v>
      </c>
      <c r="T19" s="32" t="e">
        <f t="shared" si="0"/>
        <v>#REF!</v>
      </c>
    </row>
    <row r="20" spans="1:20" ht="6.75" customHeight="1" x14ac:dyDescent="0.25">
      <c r="A20" s="71"/>
      <c r="B20" s="71"/>
      <c r="C20" s="71"/>
      <c r="D20" s="71"/>
      <c r="E20" s="71"/>
    </row>
    <row r="22" spans="1:20" ht="24.75" customHeight="1" x14ac:dyDescent="0.25">
      <c r="B22" s="27" t="s">
        <v>21</v>
      </c>
      <c r="C22" s="28">
        <v>43101</v>
      </c>
      <c r="F22" s="112" t="s">
        <v>22</v>
      </c>
      <c r="G22" s="110"/>
      <c r="H22" s="111"/>
    </row>
    <row r="23" spans="1:20" ht="24.75" customHeight="1" x14ac:dyDescent="0.25">
      <c r="B23" s="27" t="s">
        <v>23</v>
      </c>
      <c r="C23" s="28">
        <v>42958</v>
      </c>
      <c r="F23" s="112" t="s">
        <v>24</v>
      </c>
      <c r="G23" s="110"/>
      <c r="H23" s="111"/>
    </row>
  </sheetData>
  <printOptions horizontalCentered="1"/>
  <pageMargins left="0.31496062992125984" right="0.31496062992125984" top="1.1811023622047245" bottom="1.1811023622047245" header="0.31496062992125984" footer="0.31496062992125984"/>
  <pageSetup paperSize="17" scale="89" orientation="landscape" r:id="rId1"/>
  <headerFooter>
    <oddHeader>&amp;R&amp;10&amp;G</oddHeader>
    <oddFooter>&amp;L&amp;"Arial,Normal"&amp;8NuevaUnión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Presupuestos/2018/Legal/[Budget Legal 2018 (v.1).xlsx]Lists'!#REF!</xm:f>
          </x14:formula1>
          <xm:sqref>F19</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B5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pageSetUpPr fitToPage="1"/>
  </sheetPr>
  <dimension ref="A1:AA221"/>
  <sheetViews>
    <sheetView showGridLines="0" topLeftCell="A110" zoomScale="90" zoomScaleNormal="90" zoomScalePageLayoutView="60" workbookViewId="0">
      <selection activeCell="C12" sqref="C12"/>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hidden="1" customWidth="1"/>
    <col min="6" max="6" width="23" style="9" hidden="1" customWidth="1"/>
    <col min="7" max="8" width="17.5703125" style="9" hidden="1" customWidth="1"/>
    <col min="9" max="10" width="11.5703125" style="9" hidden="1" customWidth="1"/>
    <col min="11" max="11" width="17.5703125" style="9" hidden="1" customWidth="1"/>
    <col min="12" max="13" width="17.7109375" style="9" hidden="1" customWidth="1"/>
    <col min="14" max="14" width="13.5703125" style="9" customWidth="1"/>
    <col min="15" max="15" width="15.285156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332</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43101</v>
      </c>
      <c r="O9" s="14"/>
      <c r="P9" s="14"/>
      <c r="Q9" s="14"/>
      <c r="R9" s="14"/>
      <c r="S9" s="14"/>
      <c r="T9" s="14"/>
      <c r="U9" s="14"/>
      <c r="V9" s="14"/>
      <c r="W9" s="14"/>
      <c r="X9" s="14"/>
      <c r="Y9" s="14"/>
      <c r="Z9" s="26"/>
    </row>
    <row r="10" spans="1:26" ht="18" x14ac:dyDescent="0.25">
      <c r="A10" s="20"/>
      <c r="B10" s="83" t="str">
        <f>VLOOKUP(B8,Lists!E1:I41,3,FALSE)</f>
        <v>683 Legal</v>
      </c>
      <c r="C10" s="84"/>
      <c r="D10" s="77" t="str">
        <f>VLOOKUP(B8,Lists!E1:I41,2,FALSE)</f>
        <v>Ariel Scharfstein</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42958</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t="s">
        <v>102</v>
      </c>
      <c r="B17" s="93" t="s">
        <v>27</v>
      </c>
      <c r="C17" s="93" t="s">
        <v>826</v>
      </c>
      <c r="D17" s="10" t="s">
        <v>827</v>
      </c>
      <c r="E17" s="154" t="s">
        <v>202</v>
      </c>
      <c r="F17" s="48"/>
      <c r="G17" s="48"/>
      <c r="H17" s="48"/>
      <c r="I17" s="48"/>
      <c r="J17" s="48"/>
      <c r="K17" s="48"/>
      <c r="L17" s="11">
        <v>12</v>
      </c>
      <c r="M17" s="53">
        <f>+M97</f>
        <v>0</v>
      </c>
      <c r="N17" s="11">
        <f>SUM(O17:Z17)</f>
        <v>734828.13316176471</v>
      </c>
      <c r="O17" s="52">
        <f t="shared" ref="O17:Z17" si="0">+O97</f>
        <v>20602.941176470587</v>
      </c>
      <c r="P17" s="52">
        <f t="shared" si="0"/>
        <v>23305.147058823532</v>
      </c>
      <c r="Q17" s="52">
        <f t="shared" si="0"/>
        <v>439309.75080882356</v>
      </c>
      <c r="R17" s="52">
        <f t="shared" si="0"/>
        <v>37400.73529411765</v>
      </c>
      <c r="S17" s="52">
        <f t="shared" si="0"/>
        <v>21033.088235294119</v>
      </c>
      <c r="T17" s="52">
        <f t="shared" si="0"/>
        <v>37452.205882352944</v>
      </c>
      <c r="U17" s="52">
        <f t="shared" si="0"/>
        <v>38121.323529411762</v>
      </c>
      <c r="V17" s="52">
        <f t="shared" si="0"/>
        <v>11275.73529411765</v>
      </c>
      <c r="W17" s="52">
        <f t="shared" si="0"/>
        <v>47121.323529411762</v>
      </c>
      <c r="X17" s="52">
        <f t="shared" si="0"/>
        <v>17838.235294117647</v>
      </c>
      <c r="Y17" s="52">
        <f t="shared" si="0"/>
        <v>26805.147058823528</v>
      </c>
      <c r="Z17" s="52">
        <f t="shared" si="0"/>
        <v>14562.5</v>
      </c>
    </row>
    <row r="18" spans="1:26" ht="15" x14ac:dyDescent="0.25">
      <c r="A18" s="93" t="s">
        <v>105</v>
      </c>
      <c r="B18" s="93" t="s">
        <v>29</v>
      </c>
      <c r="C18" s="93" t="s">
        <v>88</v>
      </c>
      <c r="D18" s="10" t="s">
        <v>828</v>
      </c>
      <c r="E18" s="154" t="s">
        <v>204</v>
      </c>
      <c r="F18" s="48"/>
      <c r="G18" s="48"/>
      <c r="H18" s="48"/>
      <c r="I18" s="48"/>
      <c r="J18" s="48"/>
      <c r="K18" s="48"/>
      <c r="L18" s="11">
        <v>12</v>
      </c>
      <c r="M18" s="53">
        <f>+M104</f>
        <v>0</v>
      </c>
      <c r="N18" s="11">
        <f t="shared" ref="N18:N20" si="1">SUM(O18:Z18)</f>
        <v>853671.81036764709</v>
      </c>
      <c r="O18" s="52">
        <f t="shared" ref="O18:Z18" si="2">+O104</f>
        <v>1860.2941176470588</v>
      </c>
      <c r="P18" s="52">
        <f t="shared" si="2"/>
        <v>3433.8235294117649</v>
      </c>
      <c r="Q18" s="52">
        <f t="shared" si="2"/>
        <v>672840.92801470589</v>
      </c>
      <c r="R18" s="52">
        <f t="shared" si="2"/>
        <v>26988.970588235294</v>
      </c>
      <c r="S18" s="52">
        <f t="shared" si="2"/>
        <v>19602.941176470591</v>
      </c>
      <c r="T18" s="52">
        <f t="shared" si="2"/>
        <v>1595.5882352941176</v>
      </c>
      <c r="U18" s="52">
        <f t="shared" si="2"/>
        <v>64661.764705882357</v>
      </c>
      <c r="V18" s="52">
        <f t="shared" si="2"/>
        <v>3433.8235294117649</v>
      </c>
      <c r="W18" s="52">
        <f t="shared" si="2"/>
        <v>1595.5882352941176</v>
      </c>
      <c r="X18" s="52">
        <f t="shared" si="2"/>
        <v>2044.1176470588234</v>
      </c>
      <c r="Y18" s="52">
        <f t="shared" si="2"/>
        <v>54018.382352941175</v>
      </c>
      <c r="Z18" s="52">
        <f t="shared" si="2"/>
        <v>1595.5882352941176</v>
      </c>
    </row>
    <row r="19" spans="1:26" ht="15" x14ac:dyDescent="0.25">
      <c r="A19" s="93" t="s">
        <v>108</v>
      </c>
      <c r="B19" s="93" t="s">
        <v>30</v>
      </c>
      <c r="C19" s="93" t="s">
        <v>91</v>
      </c>
      <c r="D19" s="10" t="s">
        <v>829</v>
      </c>
      <c r="E19" s="154" t="s">
        <v>206</v>
      </c>
      <c r="F19" s="48"/>
      <c r="G19" s="48"/>
      <c r="H19" s="48"/>
      <c r="I19" s="48"/>
      <c r="J19" s="48"/>
      <c r="K19" s="48"/>
      <c r="L19" s="11">
        <v>12</v>
      </c>
      <c r="M19" s="53">
        <f t="shared" ref="M19:Z19" si="3">+M144</f>
        <v>0</v>
      </c>
      <c r="N19" s="11">
        <f t="shared" si="1"/>
        <v>56417824.244484708</v>
      </c>
      <c r="O19" s="52">
        <f t="shared" si="3"/>
        <v>3903286.1764705884</v>
      </c>
      <c r="P19" s="52">
        <f t="shared" si="3"/>
        <v>375345</v>
      </c>
      <c r="Q19" s="52">
        <f t="shared" si="3"/>
        <v>3993927.4549270589</v>
      </c>
      <c r="R19" s="52">
        <f t="shared" si="3"/>
        <v>985819.99999999988</v>
      </c>
      <c r="S19" s="52">
        <f t="shared" si="3"/>
        <v>1662534.9623529413</v>
      </c>
      <c r="T19" s="52">
        <f t="shared" si="3"/>
        <v>1955731.0294117646</v>
      </c>
      <c r="U19" s="52">
        <f t="shared" si="3"/>
        <v>424204.5588235294</v>
      </c>
      <c r="V19" s="52">
        <f t="shared" si="3"/>
        <v>8905975.4093919992</v>
      </c>
      <c r="W19" s="52">
        <f t="shared" si="3"/>
        <v>6413508.1355388239</v>
      </c>
      <c r="X19" s="52">
        <f t="shared" si="3"/>
        <v>551719.99999999988</v>
      </c>
      <c r="Y19" s="52">
        <f t="shared" si="3"/>
        <v>222951.61764705877</v>
      </c>
      <c r="Z19" s="52">
        <f t="shared" si="3"/>
        <v>27022819.899920944</v>
      </c>
    </row>
    <row r="20" spans="1:26" ht="15" x14ac:dyDescent="0.25">
      <c r="A20" s="93" t="s">
        <v>110</v>
      </c>
      <c r="B20" s="93" t="s">
        <v>31</v>
      </c>
      <c r="C20" s="93" t="s">
        <v>94</v>
      </c>
      <c r="D20" s="10" t="s">
        <v>830</v>
      </c>
      <c r="E20" s="154" t="s">
        <v>209</v>
      </c>
      <c r="F20" s="48"/>
      <c r="G20" s="48"/>
      <c r="H20" s="48"/>
      <c r="I20" s="48"/>
      <c r="J20" s="48"/>
      <c r="K20" s="48"/>
      <c r="L20" s="11">
        <v>12</v>
      </c>
      <c r="M20" s="48"/>
      <c r="N20" s="11">
        <f t="shared" si="1"/>
        <v>14600</v>
      </c>
      <c r="O20" s="52">
        <f>+O148</f>
        <v>0</v>
      </c>
      <c r="P20" s="52">
        <f t="shared" ref="P20:Z20" si="4">+P148</f>
        <v>0</v>
      </c>
      <c r="Q20" s="52">
        <f t="shared" si="4"/>
        <v>0</v>
      </c>
      <c r="R20" s="52">
        <f t="shared" si="4"/>
        <v>3650</v>
      </c>
      <c r="S20" s="52">
        <f t="shared" si="4"/>
        <v>0</v>
      </c>
      <c r="T20" s="52">
        <f t="shared" si="4"/>
        <v>3650</v>
      </c>
      <c r="U20" s="52">
        <f t="shared" si="4"/>
        <v>0</v>
      </c>
      <c r="V20" s="52">
        <f t="shared" si="4"/>
        <v>0</v>
      </c>
      <c r="W20" s="52">
        <f t="shared" si="4"/>
        <v>3650</v>
      </c>
      <c r="X20" s="52">
        <f t="shared" si="4"/>
        <v>0</v>
      </c>
      <c r="Y20" s="52">
        <f t="shared" si="4"/>
        <v>3650</v>
      </c>
      <c r="Z20" s="52">
        <f t="shared" si="4"/>
        <v>0</v>
      </c>
    </row>
    <row r="21" spans="1:26" ht="15"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x14ac:dyDescent="0.25">
      <c r="A22" s="93"/>
      <c r="B22" s="93"/>
      <c r="C22" s="93"/>
      <c r="D22" s="10"/>
      <c r="E22" s="11"/>
      <c r="F22" s="48"/>
      <c r="G22" s="48"/>
      <c r="H22" s="48"/>
      <c r="I22" s="48"/>
      <c r="J22" s="48"/>
      <c r="K22" s="48"/>
      <c r="L22" s="11"/>
      <c r="M22" s="48"/>
      <c r="N22" s="12"/>
      <c r="O22" s="12" t="s">
        <v>5</v>
      </c>
      <c r="P22" s="12"/>
      <c r="Q22" s="12"/>
      <c r="R22" s="12"/>
      <c r="S22" s="12"/>
      <c r="T22" s="12"/>
      <c r="U22" s="12"/>
      <c r="V22" s="12"/>
      <c r="W22" s="12"/>
      <c r="X22" s="12"/>
      <c r="Y22" s="12"/>
      <c r="Z22" s="12"/>
    </row>
    <row r="23" spans="1:26" ht="15" x14ac:dyDescent="0.25">
      <c r="A23" s="69"/>
      <c r="B23" s="70"/>
      <c r="C23" s="70"/>
      <c r="D23" s="71"/>
      <c r="E23" s="72"/>
      <c r="F23" s="72"/>
      <c r="G23" s="72"/>
      <c r="H23" s="72"/>
      <c r="I23" s="72"/>
      <c r="J23" s="74" t="s">
        <v>20</v>
      </c>
      <c r="K23" s="73"/>
      <c r="L23" s="32">
        <v>12</v>
      </c>
      <c r="M23" s="32">
        <f>SUM(M2:M22)</f>
        <v>0</v>
      </c>
      <c r="N23" s="32">
        <f t="shared" ref="N23:Z23" si="5">SUM(N16:N22)</f>
        <v>58020924.18801412</v>
      </c>
      <c r="O23" s="32">
        <f t="shared" si="5"/>
        <v>3968850.411764706</v>
      </c>
      <c r="P23" s="32">
        <f t="shared" si="5"/>
        <v>445215.9705882353</v>
      </c>
      <c r="Q23" s="32">
        <f t="shared" si="5"/>
        <v>5149238.1337505886</v>
      </c>
      <c r="R23" s="32">
        <f t="shared" si="5"/>
        <v>1097050.7058823528</v>
      </c>
      <c r="S23" s="32">
        <f t="shared" si="5"/>
        <v>1746391.9917647061</v>
      </c>
      <c r="T23" s="32">
        <f t="shared" si="5"/>
        <v>2041680.8235294116</v>
      </c>
      <c r="U23" s="32">
        <f t="shared" si="5"/>
        <v>570269.6470588235</v>
      </c>
      <c r="V23" s="32">
        <f t="shared" si="5"/>
        <v>8963997.9682155289</v>
      </c>
      <c r="W23" s="32">
        <f t="shared" si="5"/>
        <v>6509219.0473035295</v>
      </c>
      <c r="X23" s="32">
        <f t="shared" si="5"/>
        <v>614976.35294117639</v>
      </c>
      <c r="Y23" s="32">
        <f t="shared" si="5"/>
        <v>350830.1470588235</v>
      </c>
      <c r="Z23" s="32">
        <f t="shared" si="5"/>
        <v>27082412.988156237</v>
      </c>
    </row>
    <row r="24" spans="1:26" ht="6.75" customHeight="1" x14ac:dyDescent="0.25">
      <c r="A24" s="71"/>
      <c r="B24" s="71"/>
      <c r="C24" s="71"/>
      <c r="D24" s="71"/>
      <c r="E24" s="71"/>
      <c r="F24" s="71"/>
      <c r="G24" s="71"/>
      <c r="H24" s="71"/>
      <c r="I24" s="71"/>
      <c r="J24" s="71"/>
      <c r="K24" s="71"/>
    </row>
    <row r="25" spans="1:26" ht="18" x14ac:dyDescent="0.25">
      <c r="A25" s="41" t="s">
        <v>33</v>
      </c>
      <c r="B25" s="41"/>
      <c r="C25" s="42"/>
      <c r="D25" s="42"/>
      <c r="E25" s="43"/>
      <c r="F25" s="43"/>
      <c r="G25" s="43"/>
      <c r="H25" s="44"/>
      <c r="I25" s="44"/>
      <c r="J25" s="43"/>
      <c r="K25" s="43"/>
      <c r="L25" s="43"/>
      <c r="M25" s="43"/>
      <c r="N25" s="43"/>
      <c r="O25" s="43" t="s">
        <v>5</v>
      </c>
      <c r="P25" s="43"/>
      <c r="Q25" s="43"/>
      <c r="R25" s="43"/>
      <c r="S25" s="43"/>
      <c r="T25" s="43"/>
      <c r="U25" s="43"/>
      <c r="V25" s="43"/>
      <c r="W25" s="43"/>
      <c r="X25" s="43"/>
      <c r="Y25" s="43"/>
      <c r="Z25" s="43"/>
    </row>
    <row r="26" spans="1:26" ht="15.75" x14ac:dyDescent="0.25">
      <c r="A26" s="92" t="s">
        <v>261</v>
      </c>
      <c r="B26" s="6" t="s">
        <v>13</v>
      </c>
      <c r="C26" s="6" t="s">
        <v>14</v>
      </c>
      <c r="D26" s="8" t="s">
        <v>15</v>
      </c>
      <c r="E26" s="48" t="s">
        <v>5</v>
      </c>
      <c r="F26" s="48" t="s">
        <v>5</v>
      </c>
      <c r="G26" s="48" t="s">
        <v>5</v>
      </c>
      <c r="H26" s="48"/>
      <c r="I26" s="48"/>
      <c r="J26" s="48"/>
      <c r="K26" s="48" t="s">
        <v>5</v>
      </c>
      <c r="L26" s="125" t="s">
        <v>287</v>
      </c>
      <c r="M26" s="48"/>
      <c r="N26" s="12"/>
      <c r="O26" s="12" t="s">
        <v>5</v>
      </c>
      <c r="P26" s="12"/>
      <c r="Q26" s="12"/>
      <c r="R26" s="12"/>
      <c r="S26" s="12"/>
      <c r="T26" s="12"/>
      <c r="U26" s="12"/>
      <c r="V26" s="12"/>
      <c r="W26" s="12"/>
      <c r="X26" s="12"/>
      <c r="Y26" s="12"/>
      <c r="Z26" s="12"/>
    </row>
    <row r="27" spans="1:26" ht="18" hidden="1" x14ac:dyDescent="0.25">
      <c r="A27" s="30" t="str">
        <f>CONCATENATE(B17," ",C17)</f>
        <v>Objective 1 RE Mine Property</v>
      </c>
      <c r="B27" s="30"/>
      <c r="C27" s="31"/>
      <c r="D27" s="31"/>
      <c r="E27" s="29"/>
      <c r="F27" s="29"/>
      <c r="G27" s="29"/>
      <c r="H27" s="29"/>
      <c r="I27" s="29"/>
      <c r="J27" s="29"/>
      <c r="K27" s="29"/>
      <c r="L27" s="29"/>
      <c r="M27" s="29"/>
      <c r="N27" s="29"/>
      <c r="O27" s="29" t="s">
        <v>5</v>
      </c>
      <c r="P27" s="29"/>
      <c r="Q27" s="29"/>
      <c r="R27" s="29"/>
      <c r="S27" s="29"/>
      <c r="T27" s="29"/>
      <c r="U27" s="29"/>
      <c r="V27" s="29"/>
      <c r="W27" s="29"/>
      <c r="X27" s="29"/>
      <c r="Y27" s="29"/>
      <c r="Z27" s="29"/>
    </row>
    <row r="28" spans="1:26" ht="15" hidden="1" x14ac:dyDescent="0.25">
      <c r="A28" s="93"/>
      <c r="B28" s="7"/>
      <c r="C28" s="7"/>
      <c r="D28" s="10"/>
      <c r="E28" s="1001"/>
      <c r="F28" s="1001"/>
      <c r="G28" s="1001"/>
      <c r="H28" s="1001"/>
      <c r="I28" s="1001"/>
      <c r="J28" s="1001"/>
      <c r="K28" s="1002"/>
      <c r="L28" s="11"/>
      <c r="M28" s="48"/>
      <c r="N28" s="12"/>
      <c r="O28" s="12" t="s">
        <v>5</v>
      </c>
      <c r="P28" s="12"/>
      <c r="Q28" s="12"/>
      <c r="R28" s="12"/>
      <c r="S28" s="12"/>
      <c r="T28" s="12"/>
      <c r="U28" s="12"/>
      <c r="V28" s="12"/>
      <c r="W28" s="12"/>
      <c r="X28" s="12"/>
      <c r="Y28" s="12"/>
      <c r="Z28" s="12"/>
    </row>
    <row r="29" spans="1:26" ht="15" hidden="1" x14ac:dyDescent="0.25">
      <c r="A29" s="93"/>
      <c r="B29" s="7"/>
      <c r="C29" s="7"/>
      <c r="D29" s="10"/>
      <c r="E29" s="1001"/>
      <c r="F29" s="1001"/>
      <c r="G29" s="1001"/>
      <c r="H29" s="1001"/>
      <c r="I29" s="1001"/>
      <c r="J29" s="1001"/>
      <c r="K29" s="1002"/>
      <c r="L29" s="11"/>
      <c r="M29" s="48"/>
      <c r="N29" s="12"/>
      <c r="O29" s="12" t="s">
        <v>5</v>
      </c>
      <c r="P29" s="12"/>
      <c r="Q29" s="12"/>
      <c r="R29" s="12"/>
      <c r="S29" s="12"/>
      <c r="T29" s="12"/>
      <c r="U29" s="12"/>
      <c r="V29" s="12"/>
      <c r="W29" s="12"/>
      <c r="X29" s="12"/>
      <c r="Y29" s="12"/>
      <c r="Z29" s="12"/>
    </row>
    <row r="30" spans="1:26" ht="15" hidden="1" x14ac:dyDescent="0.25">
      <c r="A30" s="93"/>
      <c r="B30" s="7"/>
      <c r="C30" s="7"/>
      <c r="D30" s="10"/>
      <c r="E30" s="1001" t="s">
        <v>5</v>
      </c>
      <c r="F30" s="1001" t="s">
        <v>5</v>
      </c>
      <c r="G30" s="1001" t="s">
        <v>5</v>
      </c>
      <c r="H30" s="1001"/>
      <c r="I30" s="1001"/>
      <c r="J30" s="1001"/>
      <c r="K30" s="1002" t="s">
        <v>5</v>
      </c>
      <c r="L30" s="11"/>
      <c r="M30" s="48"/>
      <c r="N30" s="12"/>
      <c r="O30" s="12" t="s">
        <v>5</v>
      </c>
      <c r="P30" s="12"/>
      <c r="Q30" s="12"/>
      <c r="R30" s="12"/>
      <c r="S30" s="12"/>
      <c r="T30" s="12"/>
      <c r="U30" s="12"/>
      <c r="V30" s="12"/>
      <c r="W30" s="12"/>
      <c r="X30" s="12"/>
      <c r="Y30" s="12"/>
      <c r="Z30" s="12"/>
    </row>
    <row r="31" spans="1:26" ht="15" hidden="1" x14ac:dyDescent="0.25">
      <c r="A31" s="93"/>
      <c r="B31" s="7"/>
      <c r="C31" s="7"/>
      <c r="D31" s="10"/>
      <c r="E31" s="1001" t="s">
        <v>5</v>
      </c>
      <c r="F31" s="1001" t="s">
        <v>5</v>
      </c>
      <c r="G31" s="1001" t="s">
        <v>5</v>
      </c>
      <c r="H31" s="1001"/>
      <c r="I31" s="1001"/>
      <c r="J31" s="1001"/>
      <c r="K31" s="1002" t="s">
        <v>5</v>
      </c>
      <c r="L31" s="11"/>
      <c r="M31" s="48"/>
      <c r="N31" s="12"/>
      <c r="O31" s="12" t="s">
        <v>5</v>
      </c>
      <c r="P31" s="12"/>
      <c r="Q31" s="12"/>
      <c r="R31" s="12"/>
      <c r="S31" s="12"/>
      <c r="T31" s="12"/>
      <c r="U31" s="12"/>
      <c r="V31" s="12"/>
      <c r="W31" s="12"/>
      <c r="X31" s="12"/>
      <c r="Y31" s="12"/>
      <c r="Z31" s="12"/>
    </row>
    <row r="32" spans="1:26" ht="15" hidden="1" x14ac:dyDescent="0.25">
      <c r="A32" s="93"/>
      <c r="B32" s="7"/>
      <c r="C32" s="7"/>
      <c r="D32" s="10"/>
      <c r="E32" s="1001" t="s">
        <v>5</v>
      </c>
      <c r="F32" s="1001" t="s">
        <v>5</v>
      </c>
      <c r="G32" s="1001" t="s">
        <v>5</v>
      </c>
      <c r="H32" s="1001"/>
      <c r="I32" s="1001"/>
      <c r="J32" s="1001"/>
      <c r="K32" s="1002" t="s">
        <v>5</v>
      </c>
      <c r="L32" s="11"/>
      <c r="M32" s="48"/>
      <c r="N32" s="12"/>
      <c r="O32" s="12" t="s">
        <v>5</v>
      </c>
      <c r="P32" s="12"/>
      <c r="Q32" s="12"/>
      <c r="R32" s="12"/>
      <c r="S32" s="12"/>
      <c r="T32" s="12"/>
      <c r="U32" s="12"/>
      <c r="V32" s="12"/>
      <c r="W32" s="12"/>
      <c r="X32" s="12"/>
      <c r="Y32" s="12"/>
      <c r="Z32" s="12"/>
    </row>
    <row r="33" spans="1:26" ht="18" hidden="1" x14ac:dyDescent="0.25">
      <c r="A33" s="30" t="str">
        <f>CONCATENATE(B18," ",C18)</f>
        <v>Objective 2 EM Mine Property</v>
      </c>
      <c r="B33" s="30"/>
      <c r="C33" s="31"/>
      <c r="D33" s="31"/>
      <c r="E33" s="29"/>
      <c r="F33" s="29"/>
      <c r="G33" s="29"/>
      <c r="H33" s="29"/>
      <c r="I33" s="29"/>
      <c r="J33" s="29"/>
      <c r="K33" s="29"/>
      <c r="L33" s="29"/>
      <c r="M33" s="29"/>
      <c r="N33" s="29"/>
      <c r="O33" s="29" t="s">
        <v>5</v>
      </c>
      <c r="P33" s="29"/>
      <c r="Q33" s="29"/>
      <c r="R33" s="29"/>
      <c r="S33" s="29"/>
      <c r="T33" s="29"/>
      <c r="U33" s="29"/>
      <c r="V33" s="29"/>
      <c r="W33" s="29"/>
      <c r="X33" s="29"/>
      <c r="Y33" s="29"/>
      <c r="Z33" s="29"/>
    </row>
    <row r="34" spans="1:26" ht="15" hidden="1" x14ac:dyDescent="0.25">
      <c r="A34" s="93"/>
      <c r="B34" s="7"/>
      <c r="C34" s="7"/>
      <c r="D34" s="10"/>
      <c r="E34" s="1001"/>
      <c r="F34" s="1001"/>
      <c r="G34" s="1001"/>
      <c r="H34" s="1001"/>
      <c r="I34" s="1001"/>
      <c r="J34" s="1001"/>
      <c r="K34" s="1002"/>
      <c r="L34" s="11"/>
      <c r="M34" s="48"/>
      <c r="N34" s="12"/>
      <c r="O34" s="12" t="s">
        <v>5</v>
      </c>
      <c r="P34" s="12"/>
      <c r="Q34" s="12"/>
      <c r="R34" s="12"/>
      <c r="S34" s="12"/>
      <c r="T34" s="12"/>
      <c r="U34" s="12"/>
      <c r="V34" s="12"/>
      <c r="W34" s="12"/>
      <c r="X34" s="12"/>
      <c r="Y34" s="12"/>
      <c r="Z34" s="12"/>
    </row>
    <row r="35" spans="1:26" ht="15" hidden="1"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5" hidden="1" x14ac:dyDescent="0.25">
      <c r="A36" s="93"/>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5" hidden="1" x14ac:dyDescent="0.25">
      <c r="A37" s="93"/>
      <c r="B37" s="7"/>
      <c r="C37" s="7"/>
      <c r="D37" s="10"/>
      <c r="E37" s="1001" t="s">
        <v>5</v>
      </c>
      <c r="F37" s="1001" t="s">
        <v>5</v>
      </c>
      <c r="G37" s="1001" t="s">
        <v>5</v>
      </c>
      <c r="H37" s="1001"/>
      <c r="I37" s="1001"/>
      <c r="J37" s="1001"/>
      <c r="K37" s="1002" t="s">
        <v>5</v>
      </c>
      <c r="L37" s="11"/>
      <c r="M37" s="48"/>
      <c r="N37" s="12"/>
      <c r="O37" s="12" t="s">
        <v>5</v>
      </c>
      <c r="P37" s="12"/>
      <c r="Q37" s="12"/>
      <c r="R37" s="12"/>
      <c r="S37" s="12"/>
      <c r="T37" s="12"/>
      <c r="U37" s="12"/>
      <c r="V37" s="12"/>
      <c r="W37" s="12"/>
      <c r="X37" s="12"/>
      <c r="Y37" s="12"/>
      <c r="Z37" s="12"/>
    </row>
    <row r="38" spans="1:26" ht="15" hidden="1" x14ac:dyDescent="0.25">
      <c r="A38" s="93"/>
      <c r="B38" s="7"/>
      <c r="C38" s="7"/>
      <c r="D38" s="10"/>
      <c r="E38" s="1001" t="s">
        <v>5</v>
      </c>
      <c r="F38" s="1001" t="s">
        <v>5</v>
      </c>
      <c r="G38" s="1001" t="s">
        <v>5</v>
      </c>
      <c r="H38" s="1001"/>
      <c r="I38" s="1001"/>
      <c r="J38" s="1001"/>
      <c r="K38" s="1002" t="s">
        <v>5</v>
      </c>
      <c r="L38" s="11"/>
      <c r="M38" s="48"/>
      <c r="N38" s="12"/>
      <c r="O38" s="12" t="s">
        <v>5</v>
      </c>
      <c r="P38" s="12"/>
      <c r="Q38" s="12"/>
      <c r="R38" s="12"/>
      <c r="S38" s="12"/>
      <c r="T38" s="12"/>
      <c r="U38" s="12"/>
      <c r="V38" s="12"/>
      <c r="W38" s="12"/>
      <c r="X38" s="12"/>
      <c r="Y38" s="12"/>
      <c r="Z38" s="12"/>
    </row>
    <row r="39" spans="1:26" ht="18" x14ac:dyDescent="0.25">
      <c r="A39" s="30" t="str">
        <f>CONCATENATE(B19," ",C19)</f>
        <v>Objective 3 Legal/Consulting/Easments</v>
      </c>
      <c r="B39" s="30"/>
      <c r="C39" s="31"/>
      <c r="D39" s="31"/>
      <c r="E39" s="29"/>
      <c r="F39" s="29"/>
      <c r="G39" s="29"/>
      <c r="H39" s="29"/>
      <c r="I39" s="29"/>
      <c r="J39" s="29"/>
      <c r="K39" s="29"/>
      <c r="L39" s="29"/>
      <c r="M39" s="29"/>
      <c r="N39" s="29"/>
      <c r="O39" s="29" t="s">
        <v>5</v>
      </c>
      <c r="P39" s="29"/>
      <c r="Q39" s="29"/>
      <c r="R39" s="29"/>
      <c r="S39" s="29"/>
      <c r="T39" s="29"/>
      <c r="U39" s="29"/>
      <c r="V39" s="29"/>
      <c r="W39" s="29"/>
      <c r="X39" s="29"/>
      <c r="Y39" s="29"/>
      <c r="Z39" s="29"/>
    </row>
    <row r="40" spans="1:26" ht="28.5" x14ac:dyDescent="0.25">
      <c r="A40" s="93" t="s">
        <v>831</v>
      </c>
      <c r="B40" s="6" t="s">
        <v>832</v>
      </c>
      <c r="C40" s="7" t="s">
        <v>833</v>
      </c>
      <c r="D40" s="10" t="s">
        <v>834</v>
      </c>
      <c r="E40" s="1001" t="s">
        <v>5</v>
      </c>
      <c r="F40" s="1001" t="s">
        <v>5</v>
      </c>
      <c r="G40" s="1001" t="s">
        <v>5</v>
      </c>
      <c r="H40" s="1001"/>
      <c r="I40" s="1001"/>
      <c r="J40" s="1001"/>
      <c r="K40" s="1002" t="s">
        <v>5</v>
      </c>
      <c r="L40" s="155" t="s">
        <v>148</v>
      </c>
      <c r="M40" s="48"/>
      <c r="N40" s="12"/>
      <c r="O40" s="12" t="s">
        <v>5</v>
      </c>
      <c r="P40" s="12"/>
      <c r="Q40" s="12"/>
      <c r="R40" s="12"/>
      <c r="S40" s="12"/>
      <c r="T40" s="12"/>
      <c r="U40" s="12"/>
      <c r="V40" s="12"/>
      <c r="W40" s="12"/>
      <c r="X40" s="12"/>
      <c r="Y40" s="12"/>
      <c r="Z40" s="12"/>
    </row>
    <row r="41" spans="1:26" ht="28.5" x14ac:dyDescent="0.25">
      <c r="A41" s="93" t="s">
        <v>835</v>
      </c>
      <c r="B41" s="6" t="s">
        <v>836</v>
      </c>
      <c r="C41" s="7" t="s">
        <v>837</v>
      </c>
      <c r="D41" s="10" t="s">
        <v>838</v>
      </c>
      <c r="E41" s="1001" t="s">
        <v>5</v>
      </c>
      <c r="F41" s="1001" t="s">
        <v>5</v>
      </c>
      <c r="G41" s="1001" t="s">
        <v>5</v>
      </c>
      <c r="H41" s="1001"/>
      <c r="I41" s="1001"/>
      <c r="J41" s="1001"/>
      <c r="K41" s="1002" t="s">
        <v>5</v>
      </c>
      <c r="L41" s="155" t="s">
        <v>148</v>
      </c>
      <c r="M41" s="48"/>
      <c r="N41" s="12"/>
      <c r="O41" s="12" t="s">
        <v>5</v>
      </c>
      <c r="P41" s="12"/>
      <c r="Q41" s="12"/>
      <c r="R41" s="12"/>
      <c r="S41" s="12"/>
      <c r="T41" s="12"/>
      <c r="U41" s="12"/>
      <c r="V41" s="12"/>
      <c r="W41" s="12"/>
      <c r="X41" s="12"/>
      <c r="Y41" s="12"/>
      <c r="Z41" s="12"/>
    </row>
    <row r="42" spans="1:26" ht="33.6" customHeight="1" x14ac:dyDescent="0.25">
      <c r="A42" s="93" t="s">
        <v>839</v>
      </c>
      <c r="B42" s="6" t="s">
        <v>840</v>
      </c>
      <c r="C42" s="7" t="s">
        <v>840</v>
      </c>
      <c r="D42" s="10" t="s">
        <v>838</v>
      </c>
      <c r="E42" s="1001" t="s">
        <v>5</v>
      </c>
      <c r="F42" s="1001" t="s">
        <v>5</v>
      </c>
      <c r="G42" s="1001" t="s">
        <v>5</v>
      </c>
      <c r="H42" s="1001"/>
      <c r="I42" s="1001"/>
      <c r="J42" s="1001"/>
      <c r="K42" s="1002" t="s">
        <v>5</v>
      </c>
      <c r="L42" s="155" t="s">
        <v>197</v>
      </c>
      <c r="M42" s="48"/>
      <c r="N42" s="12"/>
      <c r="O42" s="12" t="s">
        <v>5</v>
      </c>
      <c r="P42" s="12"/>
      <c r="Q42" s="12"/>
      <c r="R42" s="12"/>
      <c r="S42" s="12"/>
      <c r="T42" s="12"/>
      <c r="U42" s="12"/>
      <c r="V42" s="12"/>
      <c r="W42" s="12"/>
      <c r="X42" s="12"/>
      <c r="Y42" s="12"/>
      <c r="Z42" s="12"/>
    </row>
    <row r="43" spans="1:26" ht="40.9" customHeight="1" x14ac:dyDescent="0.25">
      <c r="A43" s="93" t="s">
        <v>841</v>
      </c>
      <c r="B43" s="6" t="s">
        <v>842</v>
      </c>
      <c r="C43" s="7" t="s">
        <v>843</v>
      </c>
      <c r="D43" s="10" t="s">
        <v>838</v>
      </c>
      <c r="E43" s="1001" t="s">
        <v>5</v>
      </c>
      <c r="F43" s="1001" t="s">
        <v>5</v>
      </c>
      <c r="G43" s="1001" t="s">
        <v>5</v>
      </c>
      <c r="H43" s="1001"/>
      <c r="I43" s="1001"/>
      <c r="J43" s="1001"/>
      <c r="K43" s="1002" t="s">
        <v>5</v>
      </c>
      <c r="L43" s="155" t="s">
        <v>197</v>
      </c>
      <c r="M43" s="48"/>
      <c r="N43" s="12"/>
      <c r="O43" s="12" t="s">
        <v>5</v>
      </c>
      <c r="P43" s="12"/>
      <c r="Q43" s="12"/>
      <c r="R43" s="12"/>
      <c r="S43" s="12"/>
      <c r="T43" s="12"/>
      <c r="U43" s="12"/>
      <c r="V43" s="12"/>
      <c r="W43" s="12"/>
      <c r="X43" s="12"/>
      <c r="Y43" s="12"/>
      <c r="Z43" s="12"/>
    </row>
    <row r="44" spans="1:26" ht="30" x14ac:dyDescent="0.25">
      <c r="A44" s="93" t="s">
        <v>844</v>
      </c>
      <c r="B44" s="6" t="s">
        <v>845</v>
      </c>
      <c r="C44" s="7" t="s">
        <v>846</v>
      </c>
      <c r="D44" s="10" t="s">
        <v>838</v>
      </c>
      <c r="E44" s="1001" t="s">
        <v>5</v>
      </c>
      <c r="F44" s="1001" t="s">
        <v>5</v>
      </c>
      <c r="G44" s="1001" t="s">
        <v>5</v>
      </c>
      <c r="H44" s="1001"/>
      <c r="I44" s="1001"/>
      <c r="J44" s="1001"/>
      <c r="K44" s="1002" t="s">
        <v>5</v>
      </c>
      <c r="L44" s="156" t="s">
        <v>847</v>
      </c>
      <c r="M44" s="48"/>
      <c r="N44" s="12"/>
      <c r="O44" s="12" t="s">
        <v>5</v>
      </c>
      <c r="P44" s="12"/>
      <c r="Q44" s="12"/>
      <c r="R44" s="12"/>
      <c r="S44" s="12"/>
      <c r="T44" s="12"/>
      <c r="U44" s="12"/>
      <c r="V44" s="12"/>
      <c r="W44" s="12"/>
      <c r="X44" s="12"/>
      <c r="Y44" s="12"/>
      <c r="Z44" s="12"/>
    </row>
    <row r="45" spans="1:26" ht="30" x14ac:dyDescent="0.25">
      <c r="A45" s="93" t="s">
        <v>848</v>
      </c>
      <c r="B45" s="6" t="s">
        <v>849</v>
      </c>
      <c r="C45" s="7" t="s">
        <v>850</v>
      </c>
      <c r="D45" s="10" t="s">
        <v>838</v>
      </c>
      <c r="E45" s="1001" t="s">
        <v>5</v>
      </c>
      <c r="F45" s="1001" t="s">
        <v>5</v>
      </c>
      <c r="G45" s="1001" t="s">
        <v>5</v>
      </c>
      <c r="H45" s="1001"/>
      <c r="I45" s="1001"/>
      <c r="J45" s="1001"/>
      <c r="K45" s="1002" t="s">
        <v>5</v>
      </c>
      <c r="L45" s="155" t="s">
        <v>113</v>
      </c>
      <c r="M45" s="48"/>
      <c r="N45" s="12"/>
      <c r="O45" s="12" t="s">
        <v>5</v>
      </c>
      <c r="P45" s="12"/>
      <c r="Q45" s="12"/>
      <c r="R45" s="12"/>
      <c r="S45" s="12"/>
      <c r="T45" s="12"/>
      <c r="U45" s="12"/>
      <c r="V45" s="12"/>
      <c r="W45" s="12"/>
      <c r="X45" s="12"/>
      <c r="Y45" s="12"/>
      <c r="Z45" s="12"/>
    </row>
    <row r="46" spans="1:26" ht="15"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8" hidden="1" outlineLevel="1" x14ac:dyDescent="0.25">
      <c r="A47" s="30" t="str">
        <f>CONCATENATE(B20," ",C20)</f>
        <v>Objective 4 Permits Licences</v>
      </c>
      <c r="B47" s="30"/>
      <c r="C47" s="31"/>
      <c r="D47" s="31"/>
      <c r="E47" s="29"/>
      <c r="F47" s="29"/>
      <c r="G47" s="29"/>
      <c r="H47" s="29"/>
      <c r="I47" s="29"/>
      <c r="J47" s="29"/>
      <c r="K47" s="29"/>
      <c r="L47" s="29"/>
      <c r="M47" s="29"/>
      <c r="N47" s="29"/>
      <c r="O47" s="29" t="s">
        <v>5</v>
      </c>
      <c r="P47" s="29"/>
      <c r="Q47" s="29"/>
      <c r="R47" s="29"/>
      <c r="S47" s="29"/>
      <c r="T47" s="29"/>
      <c r="U47" s="29"/>
      <c r="V47" s="29"/>
      <c r="W47" s="29"/>
      <c r="X47" s="29"/>
      <c r="Y47" s="29"/>
      <c r="Z47" s="29"/>
    </row>
    <row r="48" spans="1:26" ht="15" hidden="1" outlineLevel="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5" hidden="1" outlineLevel="1" x14ac:dyDescent="0.25">
      <c r="A49" s="93"/>
      <c r="B49" s="7"/>
      <c r="C49" s="7"/>
      <c r="D49" s="10"/>
      <c r="E49" s="1001" t="s">
        <v>5</v>
      </c>
      <c r="F49" s="1001" t="s">
        <v>5</v>
      </c>
      <c r="G49" s="1001" t="s">
        <v>5</v>
      </c>
      <c r="H49" s="1001"/>
      <c r="I49" s="1001"/>
      <c r="J49" s="1001"/>
      <c r="K49" s="1002" t="s">
        <v>5</v>
      </c>
      <c r="L49" s="11"/>
      <c r="M49" s="48"/>
      <c r="N49" s="12"/>
      <c r="O49" s="12" t="s">
        <v>5</v>
      </c>
      <c r="P49" s="12"/>
      <c r="Q49" s="12"/>
      <c r="R49" s="12"/>
      <c r="S49" s="12"/>
      <c r="T49" s="12"/>
      <c r="U49" s="12"/>
      <c r="V49" s="12"/>
      <c r="W49" s="12"/>
      <c r="X49" s="12"/>
      <c r="Y49" s="12"/>
      <c r="Z49" s="12"/>
    </row>
    <row r="50" spans="1:26" ht="15" hidden="1" outlineLevel="1" x14ac:dyDescent="0.25">
      <c r="A50" s="93"/>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8" hidden="1" outlineLevel="1" x14ac:dyDescent="0.25">
      <c r="A53" s="30" t="e">
        <f>CONCATENATE(#REF!," ",#REF!)</f>
        <v>#REF!</v>
      </c>
      <c r="B53" s="30"/>
      <c r="C53" s="31"/>
      <c r="D53" s="31"/>
      <c r="E53" s="29"/>
      <c r="F53" s="29"/>
      <c r="G53" s="29"/>
      <c r="H53" s="29"/>
      <c r="I53" s="29"/>
      <c r="J53" s="29"/>
      <c r="K53" s="29"/>
      <c r="L53" s="29"/>
      <c r="M53" s="29"/>
      <c r="N53" s="29"/>
      <c r="O53" s="29" t="s">
        <v>5</v>
      </c>
      <c r="P53" s="29"/>
      <c r="Q53" s="29"/>
      <c r="R53" s="29"/>
      <c r="S53" s="29"/>
      <c r="T53" s="29"/>
      <c r="U53" s="29"/>
      <c r="V53" s="29"/>
      <c r="W53" s="29"/>
      <c r="X53" s="29"/>
      <c r="Y53" s="29"/>
      <c r="Z53" s="29"/>
    </row>
    <row r="54" spans="1:26" ht="15" hidden="1" outlineLevel="1" x14ac:dyDescent="0.25">
      <c r="A54" s="93" t="s">
        <v>269</v>
      </c>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5" hidden="1" outlineLevel="1" x14ac:dyDescent="0.25">
      <c r="A55" s="93" t="s">
        <v>270</v>
      </c>
      <c r="B55" s="7"/>
      <c r="C55" s="7"/>
      <c r="D55" s="10"/>
      <c r="E55" s="1001" t="s">
        <v>5</v>
      </c>
      <c r="F55" s="1001" t="s">
        <v>5</v>
      </c>
      <c r="G55" s="1001" t="s">
        <v>5</v>
      </c>
      <c r="H55" s="1001"/>
      <c r="I55" s="1001"/>
      <c r="J55" s="1001"/>
      <c r="K55" s="1002" t="s">
        <v>5</v>
      </c>
      <c r="L55" s="11"/>
      <c r="M55" s="48"/>
      <c r="N55" s="12"/>
      <c r="O55" s="12" t="s">
        <v>5</v>
      </c>
      <c r="P55" s="12"/>
      <c r="Q55" s="12"/>
      <c r="R55" s="12"/>
      <c r="S55" s="12"/>
      <c r="T55" s="12"/>
      <c r="U55" s="12"/>
      <c r="V55" s="12"/>
      <c r="W55" s="12"/>
      <c r="X55" s="12"/>
      <c r="Y55" s="12"/>
      <c r="Z55" s="12"/>
    </row>
    <row r="56" spans="1:26" ht="15" hidden="1" outlineLevel="1" x14ac:dyDescent="0.25">
      <c r="A56" s="93"/>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8" hidden="1" outlineLevel="1" x14ac:dyDescent="0.25">
      <c r="A59" s="30" t="e">
        <f>CONCATENATE(#REF!," ",#REF!)</f>
        <v>#REF!</v>
      </c>
      <c r="B59" s="30"/>
      <c r="C59" s="31"/>
      <c r="D59" s="31"/>
      <c r="E59" s="29"/>
      <c r="F59" s="29"/>
      <c r="G59" s="29"/>
      <c r="H59" s="29"/>
      <c r="I59" s="29"/>
      <c r="J59" s="29"/>
      <c r="K59" s="29"/>
      <c r="L59" s="29"/>
      <c r="M59" s="29"/>
      <c r="N59" s="29"/>
      <c r="O59" s="29" t="s">
        <v>5</v>
      </c>
      <c r="P59" s="29"/>
      <c r="Q59" s="29"/>
      <c r="R59" s="29"/>
      <c r="S59" s="29"/>
      <c r="T59" s="29"/>
      <c r="U59" s="29"/>
      <c r="V59" s="29"/>
      <c r="W59" s="29"/>
      <c r="X59" s="29"/>
      <c r="Y59" s="29"/>
      <c r="Z59" s="29"/>
    </row>
    <row r="60" spans="1:26" ht="15" hidden="1" outlineLevel="1" x14ac:dyDescent="0.25">
      <c r="A60" s="93" t="s">
        <v>271</v>
      </c>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5" hidden="1" outlineLevel="1" x14ac:dyDescent="0.25">
      <c r="A61" s="93" t="s">
        <v>272</v>
      </c>
      <c r="B61" s="7"/>
      <c r="C61" s="7"/>
      <c r="D61" s="10"/>
      <c r="E61" s="1001" t="s">
        <v>5</v>
      </c>
      <c r="F61" s="1001" t="s">
        <v>5</v>
      </c>
      <c r="G61" s="1001" t="s">
        <v>5</v>
      </c>
      <c r="H61" s="1001"/>
      <c r="I61" s="1001"/>
      <c r="J61" s="1001"/>
      <c r="K61" s="1002" t="s">
        <v>5</v>
      </c>
      <c r="L61" s="11"/>
      <c r="M61" s="48"/>
      <c r="N61" s="12"/>
      <c r="O61" s="12" t="s">
        <v>5</v>
      </c>
      <c r="P61" s="12"/>
      <c r="Q61" s="12"/>
      <c r="R61" s="12"/>
      <c r="S61" s="12"/>
      <c r="T61" s="12"/>
      <c r="U61" s="12"/>
      <c r="V61" s="12"/>
      <c r="W61" s="12"/>
      <c r="X61" s="12"/>
      <c r="Y61" s="12"/>
      <c r="Z61" s="12"/>
    </row>
    <row r="62" spans="1:26" ht="15" hidden="1" outlineLevel="1" x14ac:dyDescent="0.25">
      <c r="A62" s="93"/>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8" hidden="1" outlineLevel="1" x14ac:dyDescent="0.25">
      <c r="A65" s="30" t="e">
        <f>CONCATENATE(#REF!," ",#REF!)</f>
        <v>#REF!</v>
      </c>
      <c r="B65" s="30"/>
      <c r="C65" s="31"/>
      <c r="D65" s="31"/>
      <c r="E65" s="29"/>
      <c r="F65" s="29"/>
      <c r="G65" s="29"/>
      <c r="H65" s="29"/>
      <c r="I65" s="29"/>
      <c r="J65" s="29"/>
      <c r="K65" s="29"/>
      <c r="L65" s="29"/>
      <c r="M65" s="29"/>
      <c r="N65" s="29"/>
      <c r="O65" s="29" t="s">
        <v>5</v>
      </c>
      <c r="P65" s="29"/>
      <c r="Q65" s="29"/>
      <c r="R65" s="29"/>
      <c r="S65" s="29"/>
      <c r="T65" s="29"/>
      <c r="U65" s="29"/>
      <c r="V65" s="29"/>
      <c r="W65" s="29"/>
      <c r="X65" s="29"/>
      <c r="Y65" s="29"/>
      <c r="Z65" s="29"/>
    </row>
    <row r="66" spans="1:26" ht="15" hidden="1" outlineLevel="1" x14ac:dyDescent="0.25">
      <c r="A66" s="93" t="s">
        <v>273</v>
      </c>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5" hidden="1" outlineLevel="1" x14ac:dyDescent="0.25">
      <c r="A67" s="93" t="s">
        <v>274</v>
      </c>
      <c r="B67" s="7"/>
      <c r="C67" s="7"/>
      <c r="D67" s="10"/>
      <c r="E67" s="1001" t="s">
        <v>5</v>
      </c>
      <c r="F67" s="1001" t="s">
        <v>5</v>
      </c>
      <c r="G67" s="1001" t="s">
        <v>5</v>
      </c>
      <c r="H67" s="1001"/>
      <c r="I67" s="1001"/>
      <c r="J67" s="1001"/>
      <c r="K67" s="1002" t="s">
        <v>5</v>
      </c>
      <c r="L67" s="11"/>
      <c r="M67" s="48"/>
      <c r="N67" s="12"/>
      <c r="O67" s="12" t="s">
        <v>5</v>
      </c>
      <c r="P67" s="12"/>
      <c r="Q67" s="12"/>
      <c r="R67" s="12"/>
      <c r="S67" s="12"/>
      <c r="T67" s="12"/>
      <c r="U67" s="12"/>
      <c r="V67" s="12"/>
      <c r="W67" s="12"/>
      <c r="X67" s="12"/>
      <c r="Y67" s="12"/>
      <c r="Z67" s="12"/>
    </row>
    <row r="68" spans="1:26" ht="15" hidden="1" outlineLevel="1" x14ac:dyDescent="0.25">
      <c r="A68" s="93"/>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8" hidden="1" outlineLevel="1" x14ac:dyDescent="0.25">
      <c r="A71" s="30" t="e">
        <f>CONCATENATE(#REF!," ",#REF!)</f>
        <v>#REF!</v>
      </c>
      <c r="B71" s="30"/>
      <c r="C71" s="31"/>
      <c r="D71" s="31"/>
      <c r="E71" s="29"/>
      <c r="F71" s="29"/>
      <c r="G71" s="29"/>
      <c r="H71" s="29"/>
      <c r="I71" s="29"/>
      <c r="J71" s="29"/>
      <c r="K71" s="29"/>
      <c r="L71" s="29"/>
      <c r="M71" s="29"/>
      <c r="N71" s="29"/>
      <c r="O71" s="29" t="s">
        <v>5</v>
      </c>
      <c r="P71" s="29"/>
      <c r="Q71" s="29"/>
      <c r="R71" s="29"/>
      <c r="S71" s="29"/>
      <c r="T71" s="29"/>
      <c r="U71" s="29"/>
      <c r="V71" s="29"/>
      <c r="W71" s="29"/>
      <c r="X71" s="29"/>
      <c r="Y71" s="29"/>
      <c r="Z71" s="29"/>
    </row>
    <row r="72" spans="1:26" ht="15" hidden="1" outlineLevel="1" x14ac:dyDescent="0.25">
      <c r="A72" s="93" t="s">
        <v>275</v>
      </c>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5" hidden="1" outlineLevel="1" x14ac:dyDescent="0.25">
      <c r="A73" s="93" t="s">
        <v>276</v>
      </c>
      <c r="B73" s="7"/>
      <c r="C73" s="7"/>
      <c r="D73" s="10"/>
      <c r="E73" s="1001" t="s">
        <v>5</v>
      </c>
      <c r="F73" s="1001" t="s">
        <v>5</v>
      </c>
      <c r="G73" s="1001" t="s">
        <v>5</v>
      </c>
      <c r="H73" s="1001"/>
      <c r="I73" s="1001"/>
      <c r="J73" s="1001"/>
      <c r="K73" s="1002" t="s">
        <v>5</v>
      </c>
      <c r="L73" s="11"/>
      <c r="M73" s="48"/>
      <c r="N73" s="12"/>
      <c r="O73" s="12" t="s">
        <v>5</v>
      </c>
      <c r="P73" s="12"/>
      <c r="Q73" s="12"/>
      <c r="R73" s="12"/>
      <c r="S73" s="12"/>
      <c r="T73" s="12"/>
      <c r="U73" s="12"/>
      <c r="V73" s="12"/>
      <c r="W73" s="12"/>
      <c r="X73" s="12"/>
      <c r="Y73" s="12"/>
      <c r="Z73" s="12"/>
    </row>
    <row r="74" spans="1:26" ht="15" hidden="1" outlineLevel="1" x14ac:dyDescent="0.25">
      <c r="A74" s="93"/>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8" hidden="1" outlineLevel="1" x14ac:dyDescent="0.25">
      <c r="A77" s="30" t="str">
        <f>CONCATENATE(B21," ",C21)</f>
        <v xml:space="preserve"> </v>
      </c>
      <c r="B77" s="30"/>
      <c r="C77" s="31"/>
      <c r="D77" s="31"/>
      <c r="E77" s="29"/>
      <c r="F77" s="29"/>
      <c r="G77" s="29"/>
      <c r="H77" s="29"/>
      <c r="I77" s="29"/>
      <c r="J77" s="29"/>
      <c r="K77" s="29"/>
      <c r="L77" s="29"/>
      <c r="M77" s="29"/>
      <c r="N77" s="29"/>
      <c r="O77" s="29" t="s">
        <v>5</v>
      </c>
      <c r="P77" s="29"/>
      <c r="Q77" s="29"/>
      <c r="R77" s="29"/>
      <c r="S77" s="29"/>
      <c r="T77" s="29"/>
      <c r="U77" s="29"/>
      <c r="V77" s="29"/>
      <c r="W77" s="29"/>
      <c r="X77" s="29"/>
      <c r="Y77" s="29"/>
      <c r="Z77" s="29"/>
    </row>
    <row r="78" spans="1:26" ht="15" hidden="1" outlineLevel="1" x14ac:dyDescent="0.25">
      <c r="A78" s="93" t="s">
        <v>277</v>
      </c>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5" hidden="1" outlineLevel="1" x14ac:dyDescent="0.25">
      <c r="A79" s="93" t="s">
        <v>278</v>
      </c>
      <c r="B79" s="7"/>
      <c r="C79" s="7"/>
      <c r="D79" s="10"/>
      <c r="E79" s="1001" t="s">
        <v>5</v>
      </c>
      <c r="F79" s="1001" t="s">
        <v>5</v>
      </c>
      <c r="G79" s="1001" t="s">
        <v>5</v>
      </c>
      <c r="H79" s="1001"/>
      <c r="I79" s="1001"/>
      <c r="J79" s="1001"/>
      <c r="K79" s="1002" t="s">
        <v>5</v>
      </c>
      <c r="L79" s="11"/>
      <c r="M79" s="48"/>
      <c r="N79" s="12"/>
      <c r="O79" s="12" t="s">
        <v>5</v>
      </c>
      <c r="P79" s="12"/>
      <c r="Q79" s="12"/>
      <c r="R79" s="12"/>
      <c r="S79" s="12"/>
      <c r="T79" s="12"/>
      <c r="U79" s="12"/>
      <c r="V79" s="12"/>
      <c r="W79" s="12"/>
      <c r="X79" s="12"/>
      <c r="Y79" s="12"/>
      <c r="Z79" s="12"/>
    </row>
    <row r="80" spans="1:26" ht="15" hidden="1" outlineLevel="1" x14ac:dyDescent="0.25">
      <c r="A80" s="93"/>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8" hidden="1" outlineLevel="1" x14ac:dyDescent="0.25">
      <c r="A83" s="30" t="str">
        <f>CONCATENATE(B22," ",C22)</f>
        <v xml:space="preserve"> </v>
      </c>
      <c r="B83" s="30"/>
      <c r="C83" s="31"/>
      <c r="D83" s="31"/>
      <c r="E83" s="29"/>
      <c r="F83" s="29"/>
      <c r="G83" s="29"/>
      <c r="H83" s="29"/>
      <c r="I83" s="29"/>
      <c r="J83" s="29"/>
      <c r="K83" s="29"/>
      <c r="L83" s="29"/>
      <c r="M83" s="29"/>
      <c r="N83" s="29"/>
      <c r="O83" s="29" t="s">
        <v>5</v>
      </c>
      <c r="P83" s="29"/>
      <c r="Q83" s="29"/>
      <c r="R83" s="29"/>
      <c r="S83" s="29"/>
      <c r="T83" s="29"/>
      <c r="U83" s="29"/>
      <c r="V83" s="29"/>
      <c r="W83" s="29"/>
      <c r="X83" s="29"/>
      <c r="Y83" s="29"/>
      <c r="Z83" s="29"/>
    </row>
    <row r="84" spans="1:26" ht="15" hidden="1" outlineLevel="1" x14ac:dyDescent="0.25">
      <c r="A84" s="93" t="s">
        <v>279</v>
      </c>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5" hidden="1" outlineLevel="1" x14ac:dyDescent="0.25">
      <c r="A85" s="93" t="s">
        <v>280</v>
      </c>
      <c r="B85" s="7"/>
      <c r="C85" s="7"/>
      <c r="D85" s="10"/>
      <c r="E85" s="1001" t="s">
        <v>5</v>
      </c>
      <c r="F85" s="1001" t="s">
        <v>5</v>
      </c>
      <c r="G85" s="1001" t="s">
        <v>5</v>
      </c>
      <c r="H85" s="1001"/>
      <c r="I85" s="1001"/>
      <c r="J85" s="1001"/>
      <c r="K85" s="1002" t="s">
        <v>5</v>
      </c>
      <c r="L85" s="11"/>
      <c r="M85" s="48"/>
      <c r="N85" s="12"/>
      <c r="O85" s="12" t="s">
        <v>5</v>
      </c>
      <c r="P85" s="12"/>
      <c r="Q85" s="12"/>
      <c r="R85" s="12"/>
      <c r="S85" s="12"/>
      <c r="T85" s="12"/>
      <c r="U85" s="12"/>
      <c r="V85" s="12"/>
      <c r="W85" s="12"/>
      <c r="X85" s="12"/>
      <c r="Y85" s="12"/>
      <c r="Z85" s="12"/>
    </row>
    <row r="86" spans="1:26" ht="15" hidden="1" outlineLevel="1" x14ac:dyDescent="0.25">
      <c r="A86" s="93"/>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6.75" customHeight="1" collapsed="1" x14ac:dyDescent="0.25"/>
    <row r="90" spans="1:26" ht="18" x14ac:dyDescent="0.25">
      <c r="A90" s="41" t="s">
        <v>37</v>
      </c>
      <c r="B90" s="41"/>
      <c r="C90" s="42"/>
      <c r="D90" s="42"/>
      <c r="E90" s="43"/>
      <c r="F90" s="43"/>
      <c r="G90" s="43"/>
      <c r="H90" s="44"/>
      <c r="I90" s="44"/>
      <c r="J90" s="43"/>
      <c r="K90" s="43"/>
      <c r="L90" s="43"/>
      <c r="M90" s="43"/>
      <c r="N90" s="43"/>
      <c r="O90" s="43" t="s">
        <v>5</v>
      </c>
      <c r="P90" s="43"/>
      <c r="Q90" s="43"/>
      <c r="R90" s="43"/>
      <c r="S90" s="43"/>
      <c r="T90" s="43"/>
      <c r="U90" s="43"/>
      <c r="V90" s="43"/>
      <c r="W90" s="43"/>
      <c r="X90" s="43"/>
      <c r="Y90" s="43"/>
      <c r="Z90" s="43"/>
    </row>
    <row r="91" spans="1:26" ht="18" x14ac:dyDescent="0.25">
      <c r="A91" s="30" t="str">
        <f>CONCATENATE(B17," ",C17)</f>
        <v>Objective 1 RE Mine Property</v>
      </c>
      <c r="B91" s="30"/>
      <c r="C91" s="31"/>
      <c r="D91" s="31"/>
      <c r="E91" s="29"/>
      <c r="F91" s="29"/>
      <c r="G91" s="29"/>
      <c r="H91" s="29"/>
      <c r="I91" s="29"/>
      <c r="J91" s="29"/>
      <c r="K91" s="29"/>
      <c r="L91" s="29"/>
      <c r="M91" s="29"/>
      <c r="N91" s="29"/>
      <c r="O91" s="29" t="s">
        <v>5</v>
      </c>
      <c r="P91" s="29"/>
      <c r="Q91" s="29"/>
      <c r="R91" s="29"/>
      <c r="S91" s="29"/>
      <c r="T91" s="29"/>
      <c r="U91" s="29"/>
      <c r="V91" s="29"/>
      <c r="W91" s="29"/>
      <c r="X91" s="29"/>
      <c r="Y91" s="29"/>
      <c r="Z91" s="29"/>
    </row>
    <row r="92" spans="1:26" ht="60" x14ac:dyDescent="0.25">
      <c r="A92" s="92" t="s">
        <v>261</v>
      </c>
      <c r="B92" s="92" t="s">
        <v>13</v>
      </c>
      <c r="C92" s="92" t="s">
        <v>14</v>
      </c>
      <c r="D92" s="133" t="s">
        <v>286</v>
      </c>
      <c r="E92" s="32" t="s">
        <v>16</v>
      </c>
      <c r="F92" s="32" t="s">
        <v>295</v>
      </c>
      <c r="G92" s="32" t="s">
        <v>39</v>
      </c>
      <c r="H92" s="32" t="s">
        <v>297</v>
      </c>
      <c r="I92" s="32" t="s">
        <v>298</v>
      </c>
      <c r="J92" s="32" t="s">
        <v>299</v>
      </c>
      <c r="K92" s="32" t="s">
        <v>300</v>
      </c>
      <c r="L92" s="32" t="s">
        <v>17</v>
      </c>
      <c r="M92" s="32" t="s">
        <v>18</v>
      </c>
      <c r="N92" s="32" t="s">
        <v>825</v>
      </c>
      <c r="O92" s="66">
        <v>43101</v>
      </c>
      <c r="P92" s="66">
        <v>43132</v>
      </c>
      <c r="Q92" s="66">
        <v>43160</v>
      </c>
      <c r="R92" s="66">
        <v>43191</v>
      </c>
      <c r="S92" s="66">
        <v>43221</v>
      </c>
      <c r="T92" s="66">
        <v>43252</v>
      </c>
      <c r="U92" s="66">
        <v>43282</v>
      </c>
      <c r="V92" s="66">
        <v>43313</v>
      </c>
      <c r="W92" s="66">
        <v>43344</v>
      </c>
      <c r="X92" s="66">
        <v>43374</v>
      </c>
      <c r="Y92" s="66">
        <v>43405</v>
      </c>
      <c r="Z92" s="66">
        <v>43435</v>
      </c>
    </row>
    <row r="93" spans="1:26" ht="15" customHeight="1" x14ac:dyDescent="0.25">
      <c r="A93" s="93" t="s">
        <v>851</v>
      </c>
      <c r="B93" s="7" t="s">
        <v>852</v>
      </c>
      <c r="C93" s="7" t="s">
        <v>852</v>
      </c>
      <c r="D93" s="10" t="s">
        <v>853</v>
      </c>
      <c r="E93" s="154" t="s">
        <v>202</v>
      </c>
      <c r="F93" s="11"/>
      <c r="G93" s="11"/>
      <c r="H93" s="11" t="s">
        <v>41</v>
      </c>
      <c r="I93" s="11" t="s">
        <v>41</v>
      </c>
      <c r="J93" s="11" t="s">
        <v>41</v>
      </c>
      <c r="K93" s="11" t="s">
        <v>41</v>
      </c>
      <c r="L93" s="11">
        <v>12</v>
      </c>
      <c r="M93" s="11"/>
      <c r="N93" s="137">
        <f t="shared" ref="N93:N96" si="6">SUM(O93:Z93)</f>
        <v>391706.80963235296</v>
      </c>
      <c r="O93" s="11">
        <v>0</v>
      </c>
      <c r="P93" s="11">
        <v>0</v>
      </c>
      <c r="Q93" s="11">
        <v>391706.80963235296</v>
      </c>
      <c r="R93" s="11">
        <v>0</v>
      </c>
      <c r="S93" s="11">
        <v>0</v>
      </c>
      <c r="T93" s="11">
        <v>0</v>
      </c>
      <c r="U93" s="11">
        <v>0</v>
      </c>
      <c r="V93" s="11">
        <v>0</v>
      </c>
      <c r="W93" s="11">
        <v>0</v>
      </c>
      <c r="X93" s="11">
        <v>0</v>
      </c>
      <c r="Y93" s="11">
        <v>0</v>
      </c>
      <c r="Z93" s="11">
        <v>0</v>
      </c>
    </row>
    <row r="94" spans="1:26" ht="15" customHeight="1" x14ac:dyDescent="0.25">
      <c r="A94" s="93" t="s">
        <v>854</v>
      </c>
      <c r="B94" s="93" t="s">
        <v>855</v>
      </c>
      <c r="C94" s="93" t="s">
        <v>856</v>
      </c>
      <c r="D94" s="140" t="s">
        <v>857</v>
      </c>
      <c r="E94" s="154" t="s">
        <v>202</v>
      </c>
      <c r="F94" s="11"/>
      <c r="G94" s="11"/>
      <c r="H94" s="11" t="s">
        <v>41</v>
      </c>
      <c r="I94" s="11" t="s">
        <v>41</v>
      </c>
      <c r="J94" s="11" t="s">
        <v>41</v>
      </c>
      <c r="K94" s="11" t="s">
        <v>41</v>
      </c>
      <c r="L94" s="11">
        <v>12</v>
      </c>
      <c r="M94" s="11"/>
      <c r="N94" s="137">
        <f t="shared" si="6"/>
        <v>295180.1470588235</v>
      </c>
      <c r="O94" s="11">
        <v>17415.441176470587</v>
      </c>
      <c r="P94" s="11">
        <v>15500</v>
      </c>
      <c r="Q94" s="11">
        <v>44415.441176470587</v>
      </c>
      <c r="R94" s="11">
        <v>34375</v>
      </c>
      <c r="S94" s="11">
        <v>17845.588235294119</v>
      </c>
      <c r="T94" s="11">
        <v>34323.529411764706</v>
      </c>
      <c r="U94" s="11">
        <v>34933.823529411762</v>
      </c>
      <c r="V94" s="11">
        <v>8250</v>
      </c>
      <c r="W94" s="11">
        <v>43933.823529411762</v>
      </c>
      <c r="X94" s="11">
        <v>13812.5</v>
      </c>
      <c r="Y94" s="11">
        <v>19838.235294117647</v>
      </c>
      <c r="Z94" s="11">
        <v>10536.764705882353</v>
      </c>
    </row>
    <row r="95" spans="1:26" ht="15" customHeight="1" x14ac:dyDescent="0.25">
      <c r="A95" s="93" t="s">
        <v>858</v>
      </c>
      <c r="B95" s="93" t="s">
        <v>859</v>
      </c>
      <c r="C95" s="93" t="s">
        <v>860</v>
      </c>
      <c r="D95" s="140" t="s">
        <v>861</v>
      </c>
      <c r="E95" s="154" t="s">
        <v>202</v>
      </c>
      <c r="F95" s="11"/>
      <c r="G95" s="11"/>
      <c r="H95" s="11" t="s">
        <v>41</v>
      </c>
      <c r="I95" s="11" t="s">
        <v>41</v>
      </c>
      <c r="J95" s="11" t="s">
        <v>41</v>
      </c>
      <c r="K95" s="11" t="s">
        <v>41</v>
      </c>
      <c r="L95" s="11">
        <v>12</v>
      </c>
      <c r="M95" s="11"/>
      <c r="N95" s="137">
        <f t="shared" si="6"/>
        <v>15937.176470588245</v>
      </c>
      <c r="O95" s="11">
        <v>520.5</v>
      </c>
      <c r="P95" s="11">
        <v>5138.1470588235297</v>
      </c>
      <c r="Q95" s="11">
        <v>520.5</v>
      </c>
      <c r="R95" s="11">
        <v>358.73529411765003</v>
      </c>
      <c r="S95" s="11">
        <v>520.5</v>
      </c>
      <c r="T95" s="11">
        <v>461.67647058824014</v>
      </c>
      <c r="U95" s="11">
        <v>520.5</v>
      </c>
      <c r="V95" s="11">
        <v>358.73529411765003</v>
      </c>
      <c r="W95" s="11">
        <v>520.5</v>
      </c>
      <c r="X95" s="11">
        <v>1358.7352941176468</v>
      </c>
      <c r="Y95" s="11">
        <v>4299.911764705882</v>
      </c>
      <c r="Z95" s="11">
        <v>1358.7352941176468</v>
      </c>
    </row>
    <row r="96" spans="1:26" ht="22.9" customHeight="1" x14ac:dyDescent="0.25">
      <c r="A96" s="93" t="s">
        <v>862</v>
      </c>
      <c r="B96" s="93" t="s">
        <v>863</v>
      </c>
      <c r="C96" s="93" t="s">
        <v>864</v>
      </c>
      <c r="D96" s="140" t="s">
        <v>865</v>
      </c>
      <c r="E96" s="154" t="s">
        <v>202</v>
      </c>
      <c r="F96" s="157" t="s">
        <v>294</v>
      </c>
      <c r="G96" s="157" t="s">
        <v>866</v>
      </c>
      <c r="H96" s="11" t="s">
        <v>41</v>
      </c>
      <c r="I96" s="11" t="s">
        <v>41</v>
      </c>
      <c r="J96" s="11" t="s">
        <v>42</v>
      </c>
      <c r="K96" s="11" t="s">
        <v>42</v>
      </c>
      <c r="L96" s="11">
        <v>12</v>
      </c>
      <c r="M96" s="11"/>
      <c r="N96" s="137">
        <f t="shared" si="6"/>
        <v>32004</v>
      </c>
      <c r="O96" s="11">
        <v>2667</v>
      </c>
      <c r="P96" s="11">
        <v>2667</v>
      </c>
      <c r="Q96" s="11">
        <v>2667</v>
      </c>
      <c r="R96" s="11">
        <v>2667</v>
      </c>
      <c r="S96" s="11">
        <v>2667</v>
      </c>
      <c r="T96" s="11">
        <v>2667</v>
      </c>
      <c r="U96" s="11">
        <v>2667</v>
      </c>
      <c r="V96" s="11">
        <v>2667</v>
      </c>
      <c r="W96" s="11">
        <v>2667</v>
      </c>
      <c r="X96" s="11">
        <v>2667</v>
      </c>
      <c r="Y96" s="11">
        <v>2667</v>
      </c>
      <c r="Z96" s="11">
        <v>2667</v>
      </c>
    </row>
    <row r="97" spans="1:26" s="35" customFormat="1" ht="22.5" customHeight="1" x14ac:dyDescent="0.25">
      <c r="A97" s="33"/>
      <c r="B97" s="34"/>
      <c r="C97" s="34"/>
      <c r="D97" s="34"/>
      <c r="E97" s="50"/>
      <c r="F97" s="50"/>
      <c r="G97" s="50"/>
      <c r="H97" s="50"/>
      <c r="I97" s="50"/>
      <c r="J97" s="51" t="s">
        <v>20</v>
      </c>
      <c r="K97" s="50"/>
      <c r="L97" s="32"/>
      <c r="M97" s="32">
        <f t="shared" ref="M97:Z97" si="7">SUM(M93:M96)</f>
        <v>0</v>
      </c>
      <c r="N97" s="32">
        <f t="shared" si="7"/>
        <v>734828.13316176459</v>
      </c>
      <c r="O97" s="32">
        <f t="shared" si="7"/>
        <v>20602.941176470587</v>
      </c>
      <c r="P97" s="32">
        <f t="shared" si="7"/>
        <v>23305.147058823532</v>
      </c>
      <c r="Q97" s="32">
        <f t="shared" si="7"/>
        <v>439309.75080882356</v>
      </c>
      <c r="R97" s="32">
        <f t="shared" si="7"/>
        <v>37400.73529411765</v>
      </c>
      <c r="S97" s="32">
        <f t="shared" si="7"/>
        <v>21033.088235294119</v>
      </c>
      <c r="T97" s="32">
        <f t="shared" si="7"/>
        <v>37452.205882352944</v>
      </c>
      <c r="U97" s="32">
        <f t="shared" si="7"/>
        <v>38121.323529411762</v>
      </c>
      <c r="V97" s="32">
        <f t="shared" si="7"/>
        <v>11275.73529411765</v>
      </c>
      <c r="W97" s="32">
        <f t="shared" si="7"/>
        <v>47121.323529411762</v>
      </c>
      <c r="X97" s="32">
        <f t="shared" si="7"/>
        <v>17838.235294117647</v>
      </c>
      <c r="Y97" s="32">
        <f t="shared" si="7"/>
        <v>26805.147058823528</v>
      </c>
      <c r="Z97" s="32">
        <f t="shared" si="7"/>
        <v>14562.5</v>
      </c>
    </row>
    <row r="98" spans="1:26" ht="18" x14ac:dyDescent="0.25">
      <c r="A98" s="30" t="str">
        <f>CONCATENATE(B18," ",C18)</f>
        <v>Objective 2 EM Mine Property</v>
      </c>
      <c r="B98" s="30"/>
      <c r="C98" s="31"/>
      <c r="D98" s="31"/>
      <c r="E98" s="29"/>
      <c r="F98" s="29"/>
      <c r="G98" s="29"/>
      <c r="H98" s="29"/>
      <c r="I98" s="29"/>
      <c r="J98" s="29"/>
      <c r="K98" s="29"/>
      <c r="L98" s="29"/>
      <c r="M98" s="29"/>
      <c r="N98" s="29"/>
      <c r="O98" s="29" t="s">
        <v>5</v>
      </c>
      <c r="P98" s="29"/>
      <c r="Q98" s="29"/>
      <c r="R98" s="29"/>
      <c r="S98" s="29"/>
      <c r="T98" s="29"/>
      <c r="U98" s="29"/>
      <c r="V98" s="29"/>
      <c r="W98" s="29"/>
      <c r="X98" s="29"/>
      <c r="Y98" s="29"/>
      <c r="Z98" s="29"/>
    </row>
    <row r="99" spans="1:26" ht="60" x14ac:dyDescent="0.25">
      <c r="A99" s="92" t="s">
        <v>261</v>
      </c>
      <c r="B99" s="92" t="s">
        <v>13</v>
      </c>
      <c r="C99" s="92" t="s">
        <v>14</v>
      </c>
      <c r="D99" s="133" t="s">
        <v>286</v>
      </c>
      <c r="E99" s="32" t="s">
        <v>16</v>
      </c>
      <c r="F99" s="32" t="s">
        <v>295</v>
      </c>
      <c r="G99" s="32" t="s">
        <v>39</v>
      </c>
      <c r="H99" s="32" t="s">
        <v>297</v>
      </c>
      <c r="I99" s="32" t="s">
        <v>298</v>
      </c>
      <c r="J99" s="32" t="s">
        <v>299</v>
      </c>
      <c r="K99" s="32" t="s">
        <v>300</v>
      </c>
      <c r="L99" s="32" t="s">
        <v>17</v>
      </c>
      <c r="M99" s="32" t="s">
        <v>18</v>
      </c>
      <c r="N99" s="32" t="s">
        <v>825</v>
      </c>
      <c r="O99" s="66">
        <v>43101</v>
      </c>
      <c r="P99" s="66">
        <v>43132</v>
      </c>
      <c r="Q99" s="66">
        <v>43160</v>
      </c>
      <c r="R99" s="66">
        <v>43191</v>
      </c>
      <c r="S99" s="66">
        <v>43221</v>
      </c>
      <c r="T99" s="66">
        <v>43252</v>
      </c>
      <c r="U99" s="66">
        <v>43282</v>
      </c>
      <c r="V99" s="66">
        <v>43313</v>
      </c>
      <c r="W99" s="66">
        <v>43344</v>
      </c>
      <c r="X99" s="66">
        <v>43374</v>
      </c>
      <c r="Y99" s="66">
        <v>43405</v>
      </c>
      <c r="Z99" s="66">
        <v>43435</v>
      </c>
    </row>
    <row r="100" spans="1:26" ht="15" customHeight="1" x14ac:dyDescent="0.25">
      <c r="A100" s="93" t="s">
        <v>867</v>
      </c>
      <c r="B100" s="7" t="s">
        <v>868</v>
      </c>
      <c r="C100" s="7" t="s">
        <v>868</v>
      </c>
      <c r="D100" s="10" t="s">
        <v>869</v>
      </c>
      <c r="E100" s="154" t="s">
        <v>204</v>
      </c>
      <c r="F100" s="11"/>
      <c r="G100" s="11"/>
      <c r="H100" s="11" t="s">
        <v>41</v>
      </c>
      <c r="I100" s="11" t="s">
        <v>41</v>
      </c>
      <c r="J100" s="11" t="s">
        <v>41</v>
      </c>
      <c r="K100" s="11" t="s">
        <v>41</v>
      </c>
      <c r="L100" s="11">
        <v>12</v>
      </c>
      <c r="M100" s="11"/>
      <c r="N100" s="137">
        <f>SUM(O100:Z100)</f>
        <v>663807.83977941179</v>
      </c>
      <c r="O100" s="11">
        <v>0</v>
      </c>
      <c r="P100" s="11">
        <v>0</v>
      </c>
      <c r="Q100" s="11">
        <v>663807.83977941179</v>
      </c>
      <c r="R100" s="11">
        <v>0</v>
      </c>
      <c r="S100" s="11">
        <v>0</v>
      </c>
      <c r="T100" s="11">
        <v>0</v>
      </c>
      <c r="U100" s="11">
        <v>0</v>
      </c>
      <c r="V100" s="11">
        <v>0</v>
      </c>
      <c r="W100" s="11">
        <v>0</v>
      </c>
      <c r="X100" s="11">
        <v>0</v>
      </c>
      <c r="Y100" s="11">
        <v>0</v>
      </c>
      <c r="Z100" s="11">
        <v>0</v>
      </c>
    </row>
    <row r="101" spans="1:26" ht="15" customHeight="1" x14ac:dyDescent="0.25">
      <c r="A101" s="93" t="s">
        <v>870</v>
      </c>
      <c r="B101" s="93" t="s">
        <v>855</v>
      </c>
      <c r="C101" s="93" t="s">
        <v>871</v>
      </c>
      <c r="D101" s="140" t="s">
        <v>857</v>
      </c>
      <c r="E101" s="154" t="s">
        <v>204</v>
      </c>
      <c r="F101" s="11"/>
      <c r="G101" s="11"/>
      <c r="H101" s="11" t="s">
        <v>41</v>
      </c>
      <c r="I101" s="11" t="s">
        <v>41</v>
      </c>
      <c r="J101" s="11" t="s">
        <v>41</v>
      </c>
      <c r="K101" s="11" t="s">
        <v>41</v>
      </c>
      <c r="L101" s="11">
        <v>12</v>
      </c>
      <c r="M101" s="11"/>
      <c r="N101" s="137">
        <f>SUM(O101:Z101)</f>
        <v>129279.41176470587</v>
      </c>
      <c r="O101" s="11">
        <v>264.70588235294116</v>
      </c>
      <c r="P101" s="11">
        <v>1838.2352941176471</v>
      </c>
      <c r="Q101" s="11">
        <v>0</v>
      </c>
      <c r="R101" s="11">
        <v>2018.3823529411766</v>
      </c>
      <c r="S101" s="11">
        <v>18007.352941176472</v>
      </c>
      <c r="T101" s="11">
        <v>0</v>
      </c>
      <c r="U101" s="11">
        <v>63066.176470588238</v>
      </c>
      <c r="V101" s="11">
        <v>1838.2352941176471</v>
      </c>
      <c r="W101" s="11">
        <v>0</v>
      </c>
      <c r="X101" s="11">
        <v>448.52941176470586</v>
      </c>
      <c r="Y101" s="11">
        <v>41797.794117647056</v>
      </c>
      <c r="Z101" s="11">
        <v>0</v>
      </c>
    </row>
    <row r="102" spans="1:26" ht="15" customHeight="1" x14ac:dyDescent="0.25">
      <c r="A102" s="93" t="s">
        <v>872</v>
      </c>
      <c r="B102" s="93" t="s">
        <v>859</v>
      </c>
      <c r="C102" s="93" t="s">
        <v>873</v>
      </c>
      <c r="D102" s="140" t="s">
        <v>861</v>
      </c>
      <c r="E102" s="154" t="s">
        <v>204</v>
      </c>
      <c r="F102" s="11"/>
      <c r="G102" s="11"/>
      <c r="H102" s="11" t="s">
        <v>41</v>
      </c>
      <c r="I102" s="11" t="s">
        <v>41</v>
      </c>
      <c r="J102" s="11" t="s">
        <v>41</v>
      </c>
      <c r="K102" s="11" t="s">
        <v>41</v>
      </c>
      <c r="L102" s="11">
        <v>12</v>
      </c>
      <c r="M102" s="11"/>
      <c r="N102" s="137">
        <f>SUM(O102:Z102)</f>
        <v>6397.0588235294135</v>
      </c>
      <c r="O102" s="11">
        <v>533.08823529411768</v>
      </c>
      <c r="P102" s="11">
        <v>533.08823529411768</v>
      </c>
      <c r="Q102" s="11">
        <v>533.08823529411768</v>
      </c>
      <c r="R102" s="11">
        <v>533.08823529411768</v>
      </c>
      <c r="S102" s="11">
        <v>533.08823529411768</v>
      </c>
      <c r="T102" s="11">
        <v>533.08823529411768</v>
      </c>
      <c r="U102" s="11">
        <v>533.08823529411768</v>
      </c>
      <c r="V102" s="11">
        <v>533.08823529411768</v>
      </c>
      <c r="W102" s="11">
        <v>533.08823529411768</v>
      </c>
      <c r="X102" s="11">
        <v>533.08823529411768</v>
      </c>
      <c r="Y102" s="11">
        <v>533.08823529411768</v>
      </c>
      <c r="Z102" s="11">
        <v>533.08823529411768</v>
      </c>
    </row>
    <row r="103" spans="1:26" ht="14.25" customHeight="1" x14ac:dyDescent="0.25">
      <c r="A103" s="93" t="s">
        <v>874</v>
      </c>
      <c r="B103" s="93" t="s">
        <v>875</v>
      </c>
      <c r="C103" s="93" t="s">
        <v>876</v>
      </c>
      <c r="D103" s="140" t="s">
        <v>877</v>
      </c>
      <c r="E103" s="154" t="s">
        <v>204</v>
      </c>
      <c r="F103" s="11" t="s">
        <v>293</v>
      </c>
      <c r="G103" s="155" t="s">
        <v>878</v>
      </c>
      <c r="H103" s="11" t="s">
        <v>41</v>
      </c>
      <c r="I103" s="11" t="s">
        <v>41</v>
      </c>
      <c r="J103" s="11" t="s">
        <v>41</v>
      </c>
      <c r="K103" s="11" t="s">
        <v>42</v>
      </c>
      <c r="L103" s="11">
        <v>12</v>
      </c>
      <c r="M103" s="11"/>
      <c r="N103" s="137">
        <f t="shared" ref="N103" si="8">SUM(O103:Z103)</f>
        <v>54187.5</v>
      </c>
      <c r="O103" s="11">
        <v>1062.5</v>
      </c>
      <c r="P103" s="11">
        <v>1062.5</v>
      </c>
      <c r="Q103" s="11">
        <v>8500</v>
      </c>
      <c r="R103" s="11">
        <v>24437.5</v>
      </c>
      <c r="S103" s="11">
        <v>1062.5</v>
      </c>
      <c r="T103" s="11">
        <v>1062.5</v>
      </c>
      <c r="U103" s="11">
        <v>1062.5</v>
      </c>
      <c r="V103" s="11">
        <v>1062.5</v>
      </c>
      <c r="W103" s="11">
        <v>1062.5</v>
      </c>
      <c r="X103" s="11">
        <v>1062.5</v>
      </c>
      <c r="Y103" s="11">
        <v>11687.5</v>
      </c>
      <c r="Z103" s="11">
        <v>1062.5</v>
      </c>
    </row>
    <row r="104" spans="1:26" s="35" customFormat="1" ht="22.5" customHeight="1" x14ac:dyDescent="0.25">
      <c r="A104" s="33"/>
      <c r="B104" s="34"/>
      <c r="C104" s="34"/>
      <c r="D104" s="34"/>
      <c r="E104" s="50"/>
      <c r="F104" s="50"/>
      <c r="G104" s="50"/>
      <c r="H104" s="50"/>
      <c r="I104" s="50"/>
      <c r="J104" s="51" t="s">
        <v>20</v>
      </c>
      <c r="K104" s="50"/>
      <c r="L104" s="11">
        <v>12</v>
      </c>
      <c r="M104" s="32">
        <f t="shared" ref="M104:Z104" si="9">SUM(M100:M103)</f>
        <v>0</v>
      </c>
      <c r="N104" s="32">
        <f t="shared" si="9"/>
        <v>853671.81036764709</v>
      </c>
      <c r="O104" s="32">
        <f t="shared" si="9"/>
        <v>1860.2941176470588</v>
      </c>
      <c r="P104" s="32">
        <f t="shared" si="9"/>
        <v>3433.8235294117649</v>
      </c>
      <c r="Q104" s="32">
        <f t="shared" si="9"/>
        <v>672840.92801470589</v>
      </c>
      <c r="R104" s="32">
        <f t="shared" si="9"/>
        <v>26988.970588235294</v>
      </c>
      <c r="S104" s="32">
        <f t="shared" si="9"/>
        <v>19602.941176470591</v>
      </c>
      <c r="T104" s="32">
        <f t="shared" si="9"/>
        <v>1595.5882352941176</v>
      </c>
      <c r="U104" s="32">
        <f t="shared" si="9"/>
        <v>64661.764705882357</v>
      </c>
      <c r="V104" s="32">
        <f t="shared" si="9"/>
        <v>3433.8235294117649</v>
      </c>
      <c r="W104" s="32">
        <f t="shared" si="9"/>
        <v>1595.5882352941176</v>
      </c>
      <c r="X104" s="32">
        <f t="shared" si="9"/>
        <v>2044.1176470588234</v>
      </c>
      <c r="Y104" s="32">
        <f t="shared" si="9"/>
        <v>54018.382352941175</v>
      </c>
      <c r="Z104" s="32">
        <f t="shared" si="9"/>
        <v>1595.5882352941176</v>
      </c>
    </row>
    <row r="105" spans="1:26" ht="18" x14ac:dyDescent="0.25">
      <c r="A105" s="30" t="str">
        <f>CONCATENATE(B19," ",C19)</f>
        <v>Objective 3 Legal/Consulting/Easments</v>
      </c>
      <c r="B105" s="30"/>
      <c r="C105" s="31"/>
      <c r="D105" s="31"/>
      <c r="E105" s="29"/>
      <c r="F105" s="29"/>
      <c r="G105" s="29"/>
      <c r="H105" s="29"/>
      <c r="I105" s="29"/>
      <c r="J105" s="29"/>
      <c r="K105" s="29"/>
      <c r="L105" s="29"/>
      <c r="M105" s="29"/>
      <c r="N105" s="29"/>
      <c r="O105" s="29" t="s">
        <v>5</v>
      </c>
      <c r="P105" s="29"/>
      <c r="Q105" s="29"/>
      <c r="R105" s="29"/>
      <c r="S105" s="29"/>
      <c r="T105" s="29"/>
      <c r="U105" s="29"/>
      <c r="V105" s="29"/>
      <c r="W105" s="29"/>
      <c r="X105" s="29"/>
      <c r="Y105" s="29"/>
      <c r="Z105" s="29"/>
    </row>
    <row r="106" spans="1:26" ht="60" x14ac:dyDescent="0.25">
      <c r="A106" s="92" t="s">
        <v>261</v>
      </c>
      <c r="B106" s="92" t="s">
        <v>13</v>
      </c>
      <c r="C106" s="92" t="s">
        <v>14</v>
      </c>
      <c r="D106" s="133" t="s">
        <v>286</v>
      </c>
      <c r="E106" s="32" t="s">
        <v>16</v>
      </c>
      <c r="F106" s="32" t="s">
        <v>295</v>
      </c>
      <c r="G106" s="32" t="s">
        <v>39</v>
      </c>
      <c r="H106" s="32" t="s">
        <v>297</v>
      </c>
      <c r="I106" s="32" t="s">
        <v>298</v>
      </c>
      <c r="J106" s="32" t="s">
        <v>299</v>
      </c>
      <c r="K106" s="32" t="s">
        <v>300</v>
      </c>
      <c r="L106" s="32" t="s">
        <v>17</v>
      </c>
      <c r="M106" s="32" t="s">
        <v>18</v>
      </c>
      <c r="N106" s="32" t="s">
        <v>825</v>
      </c>
      <c r="O106" s="66">
        <v>43101</v>
      </c>
      <c r="P106" s="66">
        <v>43132</v>
      </c>
      <c r="Q106" s="66">
        <v>43160</v>
      </c>
      <c r="R106" s="66">
        <v>43191</v>
      </c>
      <c r="S106" s="66">
        <v>43221</v>
      </c>
      <c r="T106" s="66">
        <v>43252</v>
      </c>
      <c r="U106" s="66">
        <v>43282</v>
      </c>
      <c r="V106" s="66">
        <v>43313</v>
      </c>
      <c r="W106" s="66">
        <v>43344</v>
      </c>
      <c r="X106" s="66">
        <v>43374</v>
      </c>
      <c r="Y106" s="66">
        <v>43405</v>
      </c>
      <c r="Z106" s="66">
        <v>43435</v>
      </c>
    </row>
    <row r="107" spans="1:26" ht="15" customHeight="1" x14ac:dyDescent="0.25">
      <c r="A107" s="93" t="s">
        <v>831</v>
      </c>
      <c r="B107" s="93" t="s">
        <v>863</v>
      </c>
      <c r="C107" s="93" t="s">
        <v>879</v>
      </c>
      <c r="D107" s="166" t="s">
        <v>880</v>
      </c>
      <c r="E107" s="154" t="s">
        <v>206</v>
      </c>
      <c r="F107" s="157" t="s">
        <v>294</v>
      </c>
      <c r="G107" s="158" t="s">
        <v>879</v>
      </c>
      <c r="H107" s="11" t="s">
        <v>41</v>
      </c>
      <c r="I107" s="11" t="s">
        <v>41</v>
      </c>
      <c r="J107" s="11" t="s">
        <v>42</v>
      </c>
      <c r="K107" s="11" t="s">
        <v>42</v>
      </c>
      <c r="L107" s="11">
        <v>12</v>
      </c>
      <c r="M107" s="11"/>
      <c r="N107" s="137">
        <f t="shared" ref="N107:N116" si="10">SUM(O107:Z107)</f>
        <v>87000</v>
      </c>
      <c r="O107" s="11">
        <v>7250</v>
      </c>
      <c r="P107" s="11">
        <v>7250</v>
      </c>
      <c r="Q107" s="11">
        <v>7250</v>
      </c>
      <c r="R107" s="11">
        <v>7250</v>
      </c>
      <c r="S107" s="11">
        <v>7250</v>
      </c>
      <c r="T107" s="11">
        <v>7250</v>
      </c>
      <c r="U107" s="11">
        <v>7250</v>
      </c>
      <c r="V107" s="11">
        <v>7250</v>
      </c>
      <c r="W107" s="11">
        <v>7250</v>
      </c>
      <c r="X107" s="11">
        <v>7250</v>
      </c>
      <c r="Y107" s="11">
        <v>7250</v>
      </c>
      <c r="Z107" s="11">
        <v>7250</v>
      </c>
    </row>
    <row r="108" spans="1:26" ht="15" customHeight="1" x14ac:dyDescent="0.25">
      <c r="A108" s="93" t="s">
        <v>835</v>
      </c>
      <c r="B108" s="93" t="s">
        <v>863</v>
      </c>
      <c r="C108" s="93" t="s">
        <v>881</v>
      </c>
      <c r="D108" s="166" t="s">
        <v>882</v>
      </c>
      <c r="E108" s="154" t="s">
        <v>206</v>
      </c>
      <c r="F108" s="157" t="s">
        <v>294</v>
      </c>
      <c r="G108" s="158" t="s">
        <v>883</v>
      </c>
      <c r="H108" s="11" t="s">
        <v>41</v>
      </c>
      <c r="I108" s="11" t="s">
        <v>41</v>
      </c>
      <c r="J108" s="11" t="s">
        <v>42</v>
      </c>
      <c r="K108" s="11" t="s">
        <v>42</v>
      </c>
      <c r="L108" s="11">
        <v>12</v>
      </c>
      <c r="M108" s="11"/>
      <c r="N108" s="137">
        <f t="shared" si="10"/>
        <v>87000</v>
      </c>
      <c r="O108" s="11">
        <v>7250</v>
      </c>
      <c r="P108" s="11">
        <v>7250</v>
      </c>
      <c r="Q108" s="11">
        <v>7250</v>
      </c>
      <c r="R108" s="11">
        <v>7250</v>
      </c>
      <c r="S108" s="11">
        <v>7250</v>
      </c>
      <c r="T108" s="11">
        <v>7250</v>
      </c>
      <c r="U108" s="11">
        <v>7250</v>
      </c>
      <c r="V108" s="11">
        <v>7250</v>
      </c>
      <c r="W108" s="11">
        <v>7250</v>
      </c>
      <c r="X108" s="11">
        <v>7250</v>
      </c>
      <c r="Y108" s="11">
        <v>7250</v>
      </c>
      <c r="Z108" s="11">
        <v>7250</v>
      </c>
    </row>
    <row r="109" spans="1:26" ht="15" customHeight="1" x14ac:dyDescent="0.25">
      <c r="A109" s="93" t="s">
        <v>839</v>
      </c>
      <c r="B109" s="93" t="s">
        <v>863</v>
      </c>
      <c r="C109" s="93" t="s">
        <v>881</v>
      </c>
      <c r="D109" s="140" t="s">
        <v>884</v>
      </c>
      <c r="E109" s="154" t="s">
        <v>206</v>
      </c>
      <c r="F109" s="157" t="s">
        <v>294</v>
      </c>
      <c r="G109" s="158" t="s">
        <v>883</v>
      </c>
      <c r="H109" s="11" t="s">
        <v>41</v>
      </c>
      <c r="I109" s="11" t="s">
        <v>41</v>
      </c>
      <c r="J109" s="11" t="s">
        <v>42</v>
      </c>
      <c r="K109" s="11" t="s">
        <v>42</v>
      </c>
      <c r="L109" s="11">
        <v>12</v>
      </c>
      <c r="M109" s="11"/>
      <c r="N109" s="137">
        <f t="shared" si="10"/>
        <v>469411.76470588235</v>
      </c>
      <c r="O109" s="11">
        <v>19558.823529411766</v>
      </c>
      <c r="P109" s="11">
        <v>19558.823529411766</v>
      </c>
      <c r="Q109" s="11">
        <v>19558.823529411766</v>
      </c>
      <c r="R109" s="11">
        <v>19558.823529411766</v>
      </c>
      <c r="S109" s="11">
        <v>19558.823529411766</v>
      </c>
      <c r="T109" s="11">
        <v>19558.823529411766</v>
      </c>
      <c r="U109" s="11">
        <v>58676.470588235294</v>
      </c>
      <c r="V109" s="11">
        <v>58676.470588235294</v>
      </c>
      <c r="W109" s="11">
        <v>58676.470588235294</v>
      </c>
      <c r="X109" s="11">
        <v>58676.470588235294</v>
      </c>
      <c r="Y109" s="11">
        <v>58676.470588235294</v>
      </c>
      <c r="Z109" s="11">
        <v>58676.470588235294</v>
      </c>
    </row>
    <row r="110" spans="1:26" ht="15" customHeight="1" x14ac:dyDescent="0.25">
      <c r="A110" s="93" t="s">
        <v>841</v>
      </c>
      <c r="B110" s="93" t="s">
        <v>863</v>
      </c>
      <c r="C110" s="93" t="s">
        <v>885</v>
      </c>
      <c r="D110" s="140" t="s">
        <v>886</v>
      </c>
      <c r="E110" s="154" t="s">
        <v>206</v>
      </c>
      <c r="F110" s="157" t="s">
        <v>294</v>
      </c>
      <c r="G110" s="158" t="s">
        <v>885</v>
      </c>
      <c r="H110" s="11" t="s">
        <v>41</v>
      </c>
      <c r="I110" s="11" t="s">
        <v>41</v>
      </c>
      <c r="J110" s="11" t="s">
        <v>42</v>
      </c>
      <c r="K110" s="11" t="s">
        <v>42</v>
      </c>
      <c r="L110" s="11">
        <v>12</v>
      </c>
      <c r="M110" s="11"/>
      <c r="N110" s="137">
        <f t="shared" si="10"/>
        <v>187764.70588235289</v>
      </c>
      <c r="O110" s="11">
        <v>15647.058823529413</v>
      </c>
      <c r="P110" s="11">
        <v>15647.058823529413</v>
      </c>
      <c r="Q110" s="11">
        <v>15647.058823529413</v>
      </c>
      <c r="R110" s="11">
        <v>15647.058823529413</v>
      </c>
      <c r="S110" s="11">
        <v>15647.058823529413</v>
      </c>
      <c r="T110" s="11">
        <v>15647.058823529413</v>
      </c>
      <c r="U110" s="11">
        <v>15647.058823529413</v>
      </c>
      <c r="V110" s="11">
        <v>15647.058823529413</v>
      </c>
      <c r="W110" s="11">
        <v>15647.058823529413</v>
      </c>
      <c r="X110" s="11">
        <v>15647.058823529413</v>
      </c>
      <c r="Y110" s="11">
        <v>15647.058823529413</v>
      </c>
      <c r="Z110" s="11">
        <v>15647.058823529413</v>
      </c>
    </row>
    <row r="111" spans="1:26" ht="15" customHeight="1" x14ac:dyDescent="0.25">
      <c r="A111" s="93" t="s">
        <v>844</v>
      </c>
      <c r="B111" s="93" t="s">
        <v>863</v>
      </c>
      <c r="C111" s="93" t="s">
        <v>887</v>
      </c>
      <c r="D111" s="140" t="s">
        <v>888</v>
      </c>
      <c r="E111" s="154" t="s">
        <v>206</v>
      </c>
      <c r="F111" s="157" t="s">
        <v>294</v>
      </c>
      <c r="G111" s="158" t="s">
        <v>887</v>
      </c>
      <c r="H111" s="11" t="s">
        <v>41</v>
      </c>
      <c r="I111" s="11" t="s">
        <v>41</v>
      </c>
      <c r="J111" s="11" t="s">
        <v>42</v>
      </c>
      <c r="K111" s="11" t="s">
        <v>42</v>
      </c>
      <c r="L111" s="11">
        <v>12</v>
      </c>
      <c r="M111" s="11"/>
      <c r="N111" s="137">
        <f t="shared" si="10"/>
        <v>233294.1176470588</v>
      </c>
      <c r="O111" s="11">
        <v>13691.176470588236</v>
      </c>
      <c r="P111" s="11">
        <v>13691.176470588236</v>
      </c>
      <c r="Q111" s="11">
        <v>13691.176470588236</v>
      </c>
      <c r="R111" s="11">
        <v>13691.176470588236</v>
      </c>
      <c r="S111" s="11">
        <v>13691.176470588236</v>
      </c>
      <c r="T111" s="11">
        <v>13691.176470588236</v>
      </c>
      <c r="U111" s="11">
        <v>13691.176470588236</v>
      </c>
      <c r="V111" s="11">
        <v>13691.176470588236</v>
      </c>
      <c r="W111" s="11">
        <v>13691.176470588236</v>
      </c>
      <c r="X111" s="11">
        <v>13691.176470588236</v>
      </c>
      <c r="Y111" s="11">
        <v>13691.176470588236</v>
      </c>
      <c r="Z111" s="11">
        <v>82691.176470588238</v>
      </c>
    </row>
    <row r="112" spans="1:26" ht="15" customHeight="1" x14ac:dyDescent="0.25">
      <c r="A112" s="93" t="s">
        <v>848</v>
      </c>
      <c r="B112" s="93" t="s">
        <v>863</v>
      </c>
      <c r="C112" s="93" t="s">
        <v>889</v>
      </c>
      <c r="D112" s="166" t="s">
        <v>890</v>
      </c>
      <c r="E112" s="154" t="s">
        <v>206</v>
      </c>
      <c r="F112" s="157" t="s">
        <v>294</v>
      </c>
      <c r="G112" s="158" t="s">
        <v>889</v>
      </c>
      <c r="H112" s="11" t="s">
        <v>41</v>
      </c>
      <c r="I112" s="11" t="s">
        <v>41</v>
      </c>
      <c r="J112" s="11" t="s">
        <v>42</v>
      </c>
      <c r="K112" s="11" t="s">
        <v>42</v>
      </c>
      <c r="L112" s="11">
        <v>12</v>
      </c>
      <c r="M112" s="11"/>
      <c r="N112" s="137">
        <f t="shared" si="10"/>
        <v>37500</v>
      </c>
      <c r="O112" s="11">
        <v>3125</v>
      </c>
      <c r="P112" s="11">
        <v>3125</v>
      </c>
      <c r="Q112" s="11">
        <v>3125</v>
      </c>
      <c r="R112" s="11">
        <v>3125</v>
      </c>
      <c r="S112" s="11">
        <v>3125</v>
      </c>
      <c r="T112" s="11">
        <v>3125</v>
      </c>
      <c r="U112" s="11">
        <v>3125</v>
      </c>
      <c r="V112" s="11">
        <v>3125</v>
      </c>
      <c r="W112" s="11">
        <v>3125</v>
      </c>
      <c r="X112" s="11">
        <v>3125</v>
      </c>
      <c r="Y112" s="11">
        <v>3125</v>
      </c>
      <c r="Z112" s="11">
        <v>3125</v>
      </c>
    </row>
    <row r="113" spans="1:27" ht="15" customHeight="1" x14ac:dyDescent="0.25">
      <c r="A113" s="93" t="s">
        <v>891</v>
      </c>
      <c r="B113" s="93" t="s">
        <v>863</v>
      </c>
      <c r="C113" s="93" t="s">
        <v>892</v>
      </c>
      <c r="D113" s="140" t="s">
        <v>893</v>
      </c>
      <c r="E113" s="154" t="s">
        <v>206</v>
      </c>
      <c r="F113" s="157" t="s">
        <v>294</v>
      </c>
      <c r="G113" s="158" t="s">
        <v>892</v>
      </c>
      <c r="H113" s="11" t="s">
        <v>41</v>
      </c>
      <c r="I113" s="11" t="s">
        <v>41</v>
      </c>
      <c r="J113" s="11" t="s">
        <v>42</v>
      </c>
      <c r="K113" s="11" t="s">
        <v>42</v>
      </c>
      <c r="L113" s="11">
        <v>12</v>
      </c>
      <c r="M113" s="11"/>
      <c r="N113" s="137">
        <f t="shared" si="10"/>
        <v>150000</v>
      </c>
      <c r="O113" s="11">
        <v>12500</v>
      </c>
      <c r="P113" s="11">
        <v>12500</v>
      </c>
      <c r="Q113" s="11">
        <v>12500</v>
      </c>
      <c r="R113" s="11">
        <v>12500</v>
      </c>
      <c r="S113" s="11">
        <v>12500</v>
      </c>
      <c r="T113" s="11">
        <v>12500</v>
      </c>
      <c r="U113" s="11">
        <v>12500</v>
      </c>
      <c r="V113" s="11">
        <v>12500</v>
      </c>
      <c r="W113" s="11">
        <v>12500</v>
      </c>
      <c r="X113" s="11">
        <v>12500</v>
      </c>
      <c r="Y113" s="11">
        <v>12500</v>
      </c>
      <c r="Z113" s="11">
        <v>12500</v>
      </c>
    </row>
    <row r="114" spans="1:27" ht="15" customHeight="1" x14ac:dyDescent="0.25">
      <c r="A114" s="93" t="s">
        <v>894</v>
      </c>
      <c r="B114" s="93" t="s">
        <v>863</v>
      </c>
      <c r="C114" s="140" t="s">
        <v>895</v>
      </c>
      <c r="D114" s="93" t="s">
        <v>896</v>
      </c>
      <c r="E114" s="154" t="s">
        <v>206</v>
      </c>
      <c r="F114" s="157" t="s">
        <v>294</v>
      </c>
      <c r="G114" s="159" t="s">
        <v>895</v>
      </c>
      <c r="H114" s="11" t="s">
        <v>41</v>
      </c>
      <c r="I114" s="11" t="s">
        <v>41</v>
      </c>
      <c r="J114" s="11" t="s">
        <v>42</v>
      </c>
      <c r="K114" s="11" t="s">
        <v>42</v>
      </c>
      <c r="L114" s="11">
        <v>12</v>
      </c>
      <c r="M114" s="11"/>
      <c r="N114" s="137">
        <f t="shared" si="10"/>
        <v>50400</v>
      </c>
      <c r="O114" s="11">
        <v>4200</v>
      </c>
      <c r="P114" s="11">
        <v>4200</v>
      </c>
      <c r="Q114" s="11">
        <v>4200</v>
      </c>
      <c r="R114" s="11">
        <v>4200</v>
      </c>
      <c r="S114" s="11">
        <v>4200</v>
      </c>
      <c r="T114" s="11">
        <v>4200</v>
      </c>
      <c r="U114" s="11">
        <v>4200</v>
      </c>
      <c r="V114" s="11">
        <v>4200</v>
      </c>
      <c r="W114" s="11">
        <v>4200</v>
      </c>
      <c r="X114" s="11">
        <v>4200</v>
      </c>
      <c r="Y114" s="11">
        <v>4200</v>
      </c>
      <c r="Z114" s="11">
        <v>4200</v>
      </c>
    </row>
    <row r="115" spans="1:27" ht="15" customHeight="1" x14ac:dyDescent="0.25">
      <c r="A115" s="93" t="s">
        <v>897</v>
      </c>
      <c r="B115" s="93" t="s">
        <v>863</v>
      </c>
      <c r="C115" s="93" t="s">
        <v>898</v>
      </c>
      <c r="D115" s="140" t="s">
        <v>899</v>
      </c>
      <c r="E115" s="154" t="s">
        <v>206</v>
      </c>
      <c r="F115" s="157" t="s">
        <v>289</v>
      </c>
      <c r="G115" s="160" t="s">
        <v>900</v>
      </c>
      <c r="H115" s="11" t="s">
        <v>41</v>
      </c>
      <c r="I115" s="11" t="s">
        <v>41</v>
      </c>
      <c r="J115" s="11" t="s">
        <v>42</v>
      </c>
      <c r="K115" s="11" t="s">
        <v>42</v>
      </c>
      <c r="L115" s="11">
        <v>12</v>
      </c>
      <c r="M115" s="11"/>
      <c r="N115" s="137">
        <f t="shared" si="10"/>
        <v>266000</v>
      </c>
      <c r="O115" s="11">
        <v>15647.058823529413</v>
      </c>
      <c r="P115" s="11">
        <v>15647.058823529413</v>
      </c>
      <c r="Q115" s="11">
        <v>15647.058823529413</v>
      </c>
      <c r="R115" s="11">
        <v>15647.058823529413</v>
      </c>
      <c r="S115" s="11">
        <v>15647.058823529413</v>
      </c>
      <c r="T115" s="11">
        <v>15647.058823529413</v>
      </c>
      <c r="U115" s="11">
        <v>15647.058823529413</v>
      </c>
      <c r="V115" s="11">
        <v>15647.058823529413</v>
      </c>
      <c r="W115" s="11">
        <v>15647.058823529413</v>
      </c>
      <c r="X115" s="11">
        <v>15647.058823529413</v>
      </c>
      <c r="Y115" s="11">
        <v>15647.058823529413</v>
      </c>
      <c r="Z115" s="11">
        <v>93882.352941176476</v>
      </c>
    </row>
    <row r="116" spans="1:27" ht="15" customHeight="1" x14ac:dyDescent="0.25">
      <c r="A116" s="93" t="s">
        <v>901</v>
      </c>
      <c r="B116" s="93" t="s">
        <v>863</v>
      </c>
      <c r="C116" s="93" t="s">
        <v>898</v>
      </c>
      <c r="D116" s="140" t="s">
        <v>902</v>
      </c>
      <c r="E116" s="154" t="s">
        <v>206</v>
      </c>
      <c r="F116" s="157" t="s">
        <v>289</v>
      </c>
      <c r="G116" s="160" t="s">
        <v>900</v>
      </c>
      <c r="H116" s="11" t="s">
        <v>41</v>
      </c>
      <c r="I116" s="11" t="s">
        <v>41</v>
      </c>
      <c r="J116" s="11" t="s">
        <v>42</v>
      </c>
      <c r="K116" s="11" t="s">
        <v>42</v>
      </c>
      <c r="L116" s="11">
        <v>12</v>
      </c>
      <c r="M116" s="11"/>
      <c r="N116" s="137">
        <f t="shared" si="10"/>
        <v>266000</v>
      </c>
      <c r="O116" s="11">
        <v>15647.058823529413</v>
      </c>
      <c r="P116" s="11">
        <v>15647.058823529413</v>
      </c>
      <c r="Q116" s="11">
        <v>15647.058823529413</v>
      </c>
      <c r="R116" s="11">
        <v>15647.058823529413</v>
      </c>
      <c r="S116" s="11">
        <v>15647.058823529413</v>
      </c>
      <c r="T116" s="11">
        <v>15647.058823529413</v>
      </c>
      <c r="U116" s="11">
        <v>15647.058823529413</v>
      </c>
      <c r="V116" s="11">
        <v>15647.058823529413</v>
      </c>
      <c r="W116" s="11">
        <v>15647.058823529413</v>
      </c>
      <c r="X116" s="11">
        <v>15647.058823529413</v>
      </c>
      <c r="Y116" s="11">
        <v>15647.058823529413</v>
      </c>
      <c r="Z116" s="11">
        <v>93882.352941176476</v>
      </c>
    </row>
    <row r="117" spans="1:27" ht="15" customHeight="1" x14ac:dyDescent="0.25">
      <c r="A117" s="93" t="s">
        <v>903</v>
      </c>
      <c r="B117" s="93" t="s">
        <v>863</v>
      </c>
      <c r="C117" s="93" t="s">
        <v>898</v>
      </c>
      <c r="D117" s="140" t="s">
        <v>904</v>
      </c>
      <c r="E117" s="154" t="s">
        <v>206</v>
      </c>
      <c r="F117" s="157" t="s">
        <v>289</v>
      </c>
      <c r="G117" s="160" t="s">
        <v>900</v>
      </c>
      <c r="H117" s="11" t="s">
        <v>41</v>
      </c>
      <c r="I117" s="11" t="s">
        <v>41</v>
      </c>
      <c r="J117" s="11" t="s">
        <v>42</v>
      </c>
      <c r="K117" s="11" t="s">
        <v>42</v>
      </c>
      <c r="L117" s="11">
        <v>12</v>
      </c>
      <c r="M117" s="11"/>
      <c r="N117" s="137">
        <f t="shared" ref="N117:N143" si="11">SUM(O117:Z117)</f>
        <v>266000</v>
      </c>
      <c r="O117" s="11">
        <v>15647.058823529413</v>
      </c>
      <c r="P117" s="11">
        <v>15647.058823529413</v>
      </c>
      <c r="Q117" s="11">
        <v>15647.058823529413</v>
      </c>
      <c r="R117" s="11">
        <v>15647.058823529413</v>
      </c>
      <c r="S117" s="11">
        <v>15647.058823529413</v>
      </c>
      <c r="T117" s="11">
        <v>15647.058823529413</v>
      </c>
      <c r="U117" s="11">
        <v>15647.058823529413</v>
      </c>
      <c r="V117" s="11">
        <v>15647.058823529413</v>
      </c>
      <c r="W117" s="11">
        <v>15647.058823529413</v>
      </c>
      <c r="X117" s="11">
        <v>15647.058823529413</v>
      </c>
      <c r="Y117" s="11">
        <v>15647.058823529413</v>
      </c>
      <c r="Z117" s="11">
        <v>93882.352941176476</v>
      </c>
    </row>
    <row r="118" spans="1:27" ht="15" customHeight="1" x14ac:dyDescent="0.25">
      <c r="A118" s="93" t="s">
        <v>905</v>
      </c>
      <c r="B118" s="93" t="s">
        <v>863</v>
      </c>
      <c r="C118" s="93" t="s">
        <v>898</v>
      </c>
      <c r="D118" s="140" t="s">
        <v>906</v>
      </c>
      <c r="E118" s="154" t="s">
        <v>206</v>
      </c>
      <c r="F118" s="157" t="s">
        <v>289</v>
      </c>
      <c r="G118" s="160" t="s">
        <v>900</v>
      </c>
      <c r="H118" s="11" t="s">
        <v>41</v>
      </c>
      <c r="I118" s="11" t="s">
        <v>41</v>
      </c>
      <c r="J118" s="11" t="s">
        <v>42</v>
      </c>
      <c r="K118" s="11" t="s">
        <v>42</v>
      </c>
      <c r="L118" s="11">
        <v>12</v>
      </c>
      <c r="M118" s="11"/>
      <c r="N118" s="137">
        <f t="shared" si="11"/>
        <v>266000</v>
      </c>
      <c r="O118" s="11">
        <v>15647.058823529413</v>
      </c>
      <c r="P118" s="11">
        <v>15647.058823529413</v>
      </c>
      <c r="Q118" s="11">
        <v>15647.058823529413</v>
      </c>
      <c r="R118" s="11">
        <v>15647.058823529413</v>
      </c>
      <c r="S118" s="11">
        <v>15647.058823529413</v>
      </c>
      <c r="T118" s="11">
        <v>15647.058823529413</v>
      </c>
      <c r="U118" s="11">
        <v>15647.058823529413</v>
      </c>
      <c r="V118" s="11">
        <v>15647.058823529413</v>
      </c>
      <c r="W118" s="11">
        <v>15647.058823529413</v>
      </c>
      <c r="X118" s="11">
        <v>15647.058823529413</v>
      </c>
      <c r="Y118" s="11">
        <v>15647.058823529413</v>
      </c>
      <c r="Z118" s="11">
        <v>93882.352941176476</v>
      </c>
    </row>
    <row r="119" spans="1:27" ht="15" customHeight="1" x14ac:dyDescent="0.25">
      <c r="A119" s="93" t="s">
        <v>907</v>
      </c>
      <c r="B119" s="93" t="s">
        <v>863</v>
      </c>
      <c r="C119" s="93" t="s">
        <v>908</v>
      </c>
      <c r="D119" s="166" t="s">
        <v>909</v>
      </c>
      <c r="E119" s="154" t="s">
        <v>206</v>
      </c>
      <c r="F119" s="157" t="s">
        <v>294</v>
      </c>
      <c r="G119" s="158" t="s">
        <v>910</v>
      </c>
      <c r="H119" s="11" t="s">
        <v>41</v>
      </c>
      <c r="I119" s="11" t="s">
        <v>41</v>
      </c>
      <c r="J119" s="11" t="s">
        <v>42</v>
      </c>
      <c r="K119" s="11" t="s">
        <v>42</v>
      </c>
      <c r="L119" s="11">
        <v>12</v>
      </c>
      <c r="M119" s="11"/>
      <c r="N119" s="137">
        <f t="shared" si="11"/>
        <v>87000</v>
      </c>
      <c r="O119" s="11">
        <v>7250</v>
      </c>
      <c r="P119" s="11">
        <v>7250</v>
      </c>
      <c r="Q119" s="11">
        <v>7250</v>
      </c>
      <c r="R119" s="11">
        <v>7250</v>
      </c>
      <c r="S119" s="11">
        <v>7250</v>
      </c>
      <c r="T119" s="11">
        <v>7250</v>
      </c>
      <c r="U119" s="11">
        <v>7250</v>
      </c>
      <c r="V119" s="11">
        <v>7250</v>
      </c>
      <c r="W119" s="11">
        <v>7250</v>
      </c>
      <c r="X119" s="11">
        <v>7250</v>
      </c>
      <c r="Y119" s="11">
        <v>7250</v>
      </c>
      <c r="Z119" s="11">
        <v>7250</v>
      </c>
    </row>
    <row r="120" spans="1:27" ht="15" customHeight="1" x14ac:dyDescent="0.25">
      <c r="A120" s="93" t="s">
        <v>911</v>
      </c>
      <c r="B120" s="93" t="s">
        <v>863</v>
      </c>
      <c r="C120" s="93" t="s">
        <v>912</v>
      </c>
      <c r="D120" s="166" t="s">
        <v>913</v>
      </c>
      <c r="E120" s="154" t="s">
        <v>206</v>
      </c>
      <c r="F120" s="157" t="s">
        <v>294</v>
      </c>
      <c r="G120" s="158" t="s">
        <v>914</v>
      </c>
      <c r="H120" s="11" t="s">
        <v>41</v>
      </c>
      <c r="I120" s="11" t="s">
        <v>41</v>
      </c>
      <c r="J120" s="11" t="s">
        <v>42</v>
      </c>
      <c r="K120" s="11" t="s">
        <v>42</v>
      </c>
      <c r="L120" s="11">
        <v>12</v>
      </c>
      <c r="M120" s="32"/>
      <c r="N120" s="137">
        <f t="shared" si="11"/>
        <v>12000</v>
      </c>
      <c r="O120" s="11">
        <v>1000</v>
      </c>
      <c r="P120" s="11">
        <v>1000</v>
      </c>
      <c r="Q120" s="11">
        <v>1000</v>
      </c>
      <c r="R120" s="11">
        <v>1000</v>
      </c>
      <c r="S120" s="11">
        <v>1000</v>
      </c>
      <c r="T120" s="11">
        <v>1000</v>
      </c>
      <c r="U120" s="11">
        <v>1000</v>
      </c>
      <c r="V120" s="11">
        <v>1000</v>
      </c>
      <c r="W120" s="11">
        <v>1000</v>
      </c>
      <c r="X120" s="11">
        <v>1000</v>
      </c>
      <c r="Y120" s="11">
        <v>1000</v>
      </c>
      <c r="Z120" s="11">
        <v>1000</v>
      </c>
      <c r="AA120" s="35"/>
    </row>
    <row r="121" spans="1:27" ht="15" customHeight="1" x14ac:dyDescent="0.25">
      <c r="A121" s="93" t="s">
        <v>915</v>
      </c>
      <c r="B121" s="93" t="s">
        <v>863</v>
      </c>
      <c r="C121" s="93" t="s">
        <v>916</v>
      </c>
      <c r="D121" s="166" t="s">
        <v>917</v>
      </c>
      <c r="E121" s="154" t="s">
        <v>206</v>
      </c>
      <c r="F121" s="157" t="s">
        <v>294</v>
      </c>
      <c r="G121" s="158" t="s">
        <v>918</v>
      </c>
      <c r="H121" s="11" t="s">
        <v>41</v>
      </c>
      <c r="I121" s="11" t="s">
        <v>41</v>
      </c>
      <c r="J121" s="11" t="s">
        <v>42</v>
      </c>
      <c r="K121" s="11" t="s">
        <v>42</v>
      </c>
      <c r="L121" s="11">
        <v>12</v>
      </c>
      <c r="M121" s="11"/>
      <c r="N121" s="137">
        <f t="shared" si="11"/>
        <v>15882.352941176474</v>
      </c>
      <c r="O121" s="11">
        <v>1323.5294117647059</v>
      </c>
      <c r="P121" s="11">
        <v>1323.5294117647059</v>
      </c>
      <c r="Q121" s="11">
        <v>1323.5294117647059</v>
      </c>
      <c r="R121" s="11">
        <v>1323.5294117647059</v>
      </c>
      <c r="S121" s="11">
        <v>1323.5294117647059</v>
      </c>
      <c r="T121" s="11">
        <v>1323.5294117647059</v>
      </c>
      <c r="U121" s="11">
        <v>1323.5294117647059</v>
      </c>
      <c r="V121" s="11">
        <v>1323.5294117647059</v>
      </c>
      <c r="W121" s="11">
        <v>1323.5294117647059</v>
      </c>
      <c r="X121" s="11">
        <v>1323.5294117647059</v>
      </c>
      <c r="Y121" s="11">
        <v>1323.5294117647059</v>
      </c>
      <c r="Z121" s="11">
        <v>1323.5294117647059</v>
      </c>
    </row>
    <row r="122" spans="1:27" ht="15" customHeight="1" x14ac:dyDescent="0.25">
      <c r="A122" s="93" t="s">
        <v>919</v>
      </c>
      <c r="B122" s="93" t="s">
        <v>920</v>
      </c>
      <c r="C122" s="93" t="s">
        <v>921</v>
      </c>
      <c r="D122" s="166" t="s">
        <v>922</v>
      </c>
      <c r="E122" s="154" t="s">
        <v>206</v>
      </c>
      <c r="F122" s="11"/>
      <c r="G122" s="11"/>
      <c r="H122" s="11" t="s">
        <v>41</v>
      </c>
      <c r="I122" s="11" t="s">
        <v>41</v>
      </c>
      <c r="J122" s="11" t="s">
        <v>41</v>
      </c>
      <c r="K122" s="11" t="s">
        <v>41</v>
      </c>
      <c r="L122" s="11">
        <v>12</v>
      </c>
      <c r="M122" s="11"/>
      <c r="N122" s="137">
        <f t="shared" si="11"/>
        <v>248125.29411764705</v>
      </c>
      <c r="O122" s="11">
        <v>15538.382352941175</v>
      </c>
      <c r="P122" s="11">
        <v>15538.382352941175</v>
      </c>
      <c r="Q122" s="11">
        <v>15538.382352941175</v>
      </c>
      <c r="R122" s="11">
        <v>15538.382352941175</v>
      </c>
      <c r="S122" s="11">
        <v>15538.382352941175</v>
      </c>
      <c r="T122" s="11">
        <v>15538.382352941175</v>
      </c>
      <c r="U122" s="11">
        <v>19450.147058823524</v>
      </c>
      <c r="V122" s="11">
        <v>19450.147058823524</v>
      </c>
      <c r="W122" s="11">
        <v>19450.147058823524</v>
      </c>
      <c r="X122" s="11">
        <v>19450.147058823524</v>
      </c>
      <c r="Y122" s="11">
        <v>19450.147058823524</v>
      </c>
      <c r="Z122" s="11">
        <v>57644.264705882364</v>
      </c>
    </row>
    <row r="123" spans="1:27" ht="15" customHeight="1" x14ac:dyDescent="0.25">
      <c r="A123" s="93" t="s">
        <v>923</v>
      </c>
      <c r="B123" s="93" t="s">
        <v>924</v>
      </c>
      <c r="C123" s="93" t="s">
        <v>924</v>
      </c>
      <c r="D123" s="167" t="s">
        <v>925</v>
      </c>
      <c r="E123" s="154" t="s">
        <v>206</v>
      </c>
      <c r="F123" s="11"/>
      <c r="G123" s="11"/>
      <c r="H123" s="11" t="s">
        <v>41</v>
      </c>
      <c r="I123" s="11" t="s">
        <v>41</v>
      </c>
      <c r="J123" s="11" t="s">
        <v>41</v>
      </c>
      <c r="K123" s="11" t="s">
        <v>41</v>
      </c>
      <c r="L123" s="11">
        <v>12</v>
      </c>
      <c r="M123" s="11"/>
      <c r="N123" s="137">
        <f t="shared" si="11"/>
        <v>60000</v>
      </c>
      <c r="O123" s="11">
        <v>5000</v>
      </c>
      <c r="P123" s="11">
        <v>5000</v>
      </c>
      <c r="Q123" s="11">
        <v>5000</v>
      </c>
      <c r="R123" s="11">
        <v>5000</v>
      </c>
      <c r="S123" s="11">
        <v>5000</v>
      </c>
      <c r="T123" s="11">
        <v>5000</v>
      </c>
      <c r="U123" s="11">
        <v>5000</v>
      </c>
      <c r="V123" s="11">
        <v>5000</v>
      </c>
      <c r="W123" s="11">
        <v>5000</v>
      </c>
      <c r="X123" s="11">
        <v>5000</v>
      </c>
      <c r="Y123" s="11">
        <v>5000</v>
      </c>
      <c r="Z123" s="11">
        <v>5000</v>
      </c>
    </row>
    <row r="124" spans="1:27" ht="15" customHeight="1" x14ac:dyDescent="0.25">
      <c r="A124" s="93" t="s">
        <v>926</v>
      </c>
      <c r="B124" s="93" t="s">
        <v>924</v>
      </c>
      <c r="C124" s="93" t="s">
        <v>927</v>
      </c>
      <c r="D124" s="167" t="s">
        <v>927</v>
      </c>
      <c r="E124" s="154" t="s">
        <v>206</v>
      </c>
      <c r="F124" s="11"/>
      <c r="G124" s="11"/>
      <c r="H124" s="11" t="s">
        <v>41</v>
      </c>
      <c r="I124" s="11" t="s">
        <v>41</v>
      </c>
      <c r="J124" s="11" t="s">
        <v>41</v>
      </c>
      <c r="K124" s="11" t="s">
        <v>41</v>
      </c>
      <c r="L124" s="11">
        <v>12</v>
      </c>
      <c r="M124" s="11"/>
      <c r="N124" s="137">
        <f t="shared" si="11"/>
        <v>20000</v>
      </c>
      <c r="O124" s="11">
        <v>0</v>
      </c>
      <c r="P124" s="11">
        <v>0</v>
      </c>
      <c r="Q124" s="11">
        <v>5000</v>
      </c>
      <c r="R124" s="11">
        <v>0</v>
      </c>
      <c r="S124" s="11">
        <v>0</v>
      </c>
      <c r="T124" s="11">
        <v>5000</v>
      </c>
      <c r="U124" s="11">
        <v>0</v>
      </c>
      <c r="V124" s="11">
        <v>0</v>
      </c>
      <c r="W124" s="11">
        <v>5000</v>
      </c>
      <c r="X124" s="11">
        <v>0</v>
      </c>
      <c r="Y124" s="11">
        <v>0</v>
      </c>
      <c r="Z124" s="11">
        <v>5000</v>
      </c>
    </row>
    <row r="125" spans="1:27" ht="15" customHeight="1" x14ac:dyDescent="0.25">
      <c r="A125" s="93" t="s">
        <v>928</v>
      </c>
      <c r="B125" s="93" t="s">
        <v>924</v>
      </c>
      <c r="C125" s="93" t="s">
        <v>929</v>
      </c>
      <c r="D125" s="140" t="s">
        <v>930</v>
      </c>
      <c r="E125" s="154" t="s">
        <v>206</v>
      </c>
      <c r="F125" s="11"/>
      <c r="G125" s="53"/>
      <c r="H125" s="11" t="s">
        <v>41</v>
      </c>
      <c r="I125" s="11" t="s">
        <v>41</v>
      </c>
      <c r="J125" s="11" t="s">
        <v>41</v>
      </c>
      <c r="K125" s="11" t="s">
        <v>41</v>
      </c>
      <c r="L125" s="11">
        <v>12</v>
      </c>
      <c r="M125" s="11"/>
      <c r="N125" s="137">
        <f t="shared" si="11"/>
        <v>17000</v>
      </c>
      <c r="O125" s="11">
        <v>1000</v>
      </c>
      <c r="P125" s="11">
        <v>1000</v>
      </c>
      <c r="Q125" s="11">
        <v>2000</v>
      </c>
      <c r="R125" s="11">
        <v>1000</v>
      </c>
      <c r="S125" s="11">
        <v>2000</v>
      </c>
      <c r="T125" s="11">
        <v>1000</v>
      </c>
      <c r="U125" s="11">
        <v>2000</v>
      </c>
      <c r="V125" s="11">
        <v>1000</v>
      </c>
      <c r="W125" s="11">
        <v>2000</v>
      </c>
      <c r="X125" s="11">
        <v>1000</v>
      </c>
      <c r="Y125" s="11">
        <v>2000</v>
      </c>
      <c r="Z125" s="11">
        <v>1000</v>
      </c>
    </row>
    <row r="126" spans="1:27" ht="15" customHeight="1" x14ac:dyDescent="0.25">
      <c r="A126" s="93" t="s">
        <v>931</v>
      </c>
      <c r="B126" s="93" t="s">
        <v>924</v>
      </c>
      <c r="C126" s="93" t="s">
        <v>932</v>
      </c>
      <c r="D126" s="140" t="s">
        <v>933</v>
      </c>
      <c r="E126" s="154" t="s">
        <v>206</v>
      </c>
      <c r="F126" s="11"/>
      <c r="G126" s="53"/>
      <c r="H126" s="11" t="s">
        <v>41</v>
      </c>
      <c r="I126" s="11" t="s">
        <v>41</v>
      </c>
      <c r="J126" s="11" t="s">
        <v>41</v>
      </c>
      <c r="K126" s="11" t="s">
        <v>41</v>
      </c>
      <c r="L126" s="11">
        <v>12</v>
      </c>
      <c r="M126" s="11"/>
      <c r="N126" s="137">
        <f t="shared" si="11"/>
        <v>24000</v>
      </c>
      <c r="O126" s="11">
        <v>2000</v>
      </c>
      <c r="P126" s="11">
        <v>2000</v>
      </c>
      <c r="Q126" s="11">
        <v>2000</v>
      </c>
      <c r="R126" s="11">
        <v>2000</v>
      </c>
      <c r="S126" s="11">
        <v>2000</v>
      </c>
      <c r="T126" s="11">
        <v>2000</v>
      </c>
      <c r="U126" s="11">
        <v>2000</v>
      </c>
      <c r="V126" s="11">
        <v>2000</v>
      </c>
      <c r="W126" s="11">
        <v>2000</v>
      </c>
      <c r="X126" s="11">
        <v>2000</v>
      </c>
      <c r="Y126" s="11">
        <v>2000</v>
      </c>
      <c r="Z126" s="11">
        <v>2000</v>
      </c>
    </row>
    <row r="127" spans="1:27" ht="15" customHeight="1" x14ac:dyDescent="0.25">
      <c r="A127" s="93" t="s">
        <v>934</v>
      </c>
      <c r="B127" s="93" t="s">
        <v>935</v>
      </c>
      <c r="C127" s="93" t="s">
        <v>936</v>
      </c>
      <c r="D127" s="140" t="s">
        <v>937</v>
      </c>
      <c r="E127" s="154" t="s">
        <v>206</v>
      </c>
      <c r="F127" s="11"/>
      <c r="G127" s="53"/>
      <c r="H127" s="11" t="s">
        <v>41</v>
      </c>
      <c r="I127" s="11" t="s">
        <v>41</v>
      </c>
      <c r="J127" s="11" t="s">
        <v>41</v>
      </c>
      <c r="K127" s="11" t="s">
        <v>41</v>
      </c>
      <c r="L127" s="11">
        <v>12</v>
      </c>
      <c r="M127" s="11"/>
      <c r="N127" s="137">
        <f t="shared" si="11"/>
        <v>400000</v>
      </c>
      <c r="O127" s="11">
        <v>0</v>
      </c>
      <c r="P127" s="11">
        <v>0</v>
      </c>
      <c r="Q127" s="11">
        <v>0</v>
      </c>
      <c r="R127" s="11">
        <v>0</v>
      </c>
      <c r="S127" s="11">
        <v>0</v>
      </c>
      <c r="T127" s="11">
        <v>400000</v>
      </c>
      <c r="U127" s="11">
        <v>0</v>
      </c>
      <c r="V127" s="11">
        <v>0</v>
      </c>
      <c r="W127" s="11">
        <v>0</v>
      </c>
      <c r="X127" s="11">
        <v>0</v>
      </c>
      <c r="Y127" s="11">
        <v>0</v>
      </c>
      <c r="Z127" s="11">
        <v>0</v>
      </c>
    </row>
    <row r="128" spans="1:27" ht="15" customHeight="1" x14ac:dyDescent="0.25">
      <c r="A128" s="93" t="s">
        <v>938</v>
      </c>
      <c r="B128" s="93" t="s">
        <v>935</v>
      </c>
      <c r="C128" s="93" t="s">
        <v>939</v>
      </c>
      <c r="D128" s="140" t="s">
        <v>937</v>
      </c>
      <c r="E128" s="154" t="s">
        <v>206</v>
      </c>
      <c r="F128" s="11"/>
      <c r="G128" s="53"/>
      <c r="H128" s="11" t="s">
        <v>41</v>
      </c>
      <c r="I128" s="11" t="s">
        <v>41</v>
      </c>
      <c r="J128" s="11" t="s">
        <v>41</v>
      </c>
      <c r="K128" s="11" t="s">
        <v>41</v>
      </c>
      <c r="L128" s="11">
        <v>12</v>
      </c>
      <c r="M128" s="11"/>
      <c r="N128" s="137">
        <f t="shared" si="11"/>
        <v>600000</v>
      </c>
      <c r="O128" s="11">
        <v>0</v>
      </c>
      <c r="P128" s="11">
        <v>0</v>
      </c>
      <c r="Q128" s="11">
        <v>0</v>
      </c>
      <c r="R128" s="11">
        <v>0</v>
      </c>
      <c r="S128" s="11">
        <v>0</v>
      </c>
      <c r="T128" s="11">
        <v>600000</v>
      </c>
      <c r="U128" s="11">
        <v>0</v>
      </c>
      <c r="V128" s="11">
        <v>0</v>
      </c>
      <c r="W128" s="11">
        <v>0</v>
      </c>
      <c r="X128" s="11">
        <v>0</v>
      </c>
      <c r="Y128" s="11">
        <v>0</v>
      </c>
      <c r="Z128" s="11">
        <v>0</v>
      </c>
    </row>
    <row r="129" spans="1:26" ht="15" customHeight="1" x14ac:dyDescent="0.25">
      <c r="A129" s="93" t="s">
        <v>940</v>
      </c>
      <c r="B129" s="93" t="s">
        <v>935</v>
      </c>
      <c r="C129" s="93" t="s">
        <v>941</v>
      </c>
      <c r="D129" s="140" t="s">
        <v>937</v>
      </c>
      <c r="E129" s="154" t="s">
        <v>206</v>
      </c>
      <c r="F129" s="11"/>
      <c r="G129" s="53"/>
      <c r="H129" s="11" t="s">
        <v>41</v>
      </c>
      <c r="I129" s="11" t="s">
        <v>41</v>
      </c>
      <c r="J129" s="11" t="s">
        <v>41</v>
      </c>
      <c r="K129" s="11" t="s">
        <v>41</v>
      </c>
      <c r="L129" s="11">
        <v>12</v>
      </c>
      <c r="M129" s="11"/>
      <c r="N129" s="137">
        <f t="shared" si="11"/>
        <v>1440000</v>
      </c>
      <c r="O129" s="11">
        <v>0</v>
      </c>
      <c r="P129" s="11">
        <v>0</v>
      </c>
      <c r="Q129" s="11">
        <v>0</v>
      </c>
      <c r="R129" s="11">
        <v>0</v>
      </c>
      <c r="S129" s="11">
        <v>0</v>
      </c>
      <c r="T129" s="11">
        <v>0</v>
      </c>
      <c r="U129" s="11">
        <v>0</v>
      </c>
      <c r="V129" s="11">
        <v>1440000</v>
      </c>
      <c r="W129" s="11">
        <v>0</v>
      </c>
      <c r="X129" s="11">
        <v>0</v>
      </c>
      <c r="Y129" s="11">
        <v>0</v>
      </c>
      <c r="Z129" s="11">
        <v>0</v>
      </c>
    </row>
    <row r="130" spans="1:26" ht="15" customHeight="1" x14ac:dyDescent="0.25">
      <c r="A130" s="93" t="s">
        <v>942</v>
      </c>
      <c r="B130" s="93" t="s">
        <v>935</v>
      </c>
      <c r="C130" s="93" t="s">
        <v>943</v>
      </c>
      <c r="D130" s="140" t="s">
        <v>944</v>
      </c>
      <c r="E130" s="154" t="s">
        <v>206</v>
      </c>
      <c r="F130" s="11"/>
      <c r="G130" s="53"/>
      <c r="H130" s="11" t="s">
        <v>41</v>
      </c>
      <c r="I130" s="11" t="s">
        <v>41</v>
      </c>
      <c r="J130" s="11" t="s">
        <v>41</v>
      </c>
      <c r="K130" s="11" t="s">
        <v>41</v>
      </c>
      <c r="L130" s="11">
        <v>12</v>
      </c>
      <c r="M130" s="11"/>
      <c r="N130" s="137">
        <f t="shared" si="11"/>
        <v>60000</v>
      </c>
      <c r="O130" s="11">
        <v>0</v>
      </c>
      <c r="P130" s="11">
        <v>0</v>
      </c>
      <c r="Q130" s="11">
        <v>0</v>
      </c>
      <c r="R130" s="11">
        <v>0</v>
      </c>
      <c r="S130" s="11">
        <v>0</v>
      </c>
      <c r="T130" s="11">
        <v>0</v>
      </c>
      <c r="U130" s="11">
        <v>0</v>
      </c>
      <c r="V130" s="11">
        <v>0</v>
      </c>
      <c r="W130" s="11">
        <v>0</v>
      </c>
      <c r="X130" s="11">
        <v>0</v>
      </c>
      <c r="Y130" s="11">
        <v>0</v>
      </c>
      <c r="Z130" s="11">
        <v>60000</v>
      </c>
    </row>
    <row r="131" spans="1:26" ht="15" customHeight="1" x14ac:dyDescent="0.25">
      <c r="A131" s="93" t="s">
        <v>945</v>
      </c>
      <c r="B131" s="93" t="s">
        <v>935</v>
      </c>
      <c r="C131" s="93" t="s">
        <v>946</v>
      </c>
      <c r="D131" s="140" t="s">
        <v>937</v>
      </c>
      <c r="E131" s="154" t="s">
        <v>206</v>
      </c>
      <c r="F131" s="11"/>
      <c r="G131" s="53"/>
      <c r="H131" s="11" t="s">
        <v>41</v>
      </c>
      <c r="I131" s="11" t="s">
        <v>41</v>
      </c>
      <c r="J131" s="11" t="s">
        <v>41</v>
      </c>
      <c r="K131" s="11" t="s">
        <v>41</v>
      </c>
      <c r="L131" s="11">
        <v>12</v>
      </c>
      <c r="M131" s="11"/>
      <c r="N131" s="137">
        <f t="shared" si="11"/>
        <v>44800</v>
      </c>
      <c r="O131" s="11">
        <v>0</v>
      </c>
      <c r="P131" s="11">
        <v>0</v>
      </c>
      <c r="Q131" s="11">
        <v>0</v>
      </c>
      <c r="R131" s="11">
        <v>0</v>
      </c>
      <c r="S131" s="11">
        <v>44800</v>
      </c>
      <c r="T131" s="11">
        <v>0</v>
      </c>
      <c r="U131" s="11">
        <v>0</v>
      </c>
      <c r="V131" s="11">
        <v>0</v>
      </c>
      <c r="W131" s="11">
        <v>0</v>
      </c>
      <c r="X131" s="11">
        <v>0</v>
      </c>
      <c r="Y131" s="11">
        <v>0</v>
      </c>
      <c r="Z131" s="11">
        <v>0</v>
      </c>
    </row>
    <row r="132" spans="1:26" ht="15" customHeight="1" x14ac:dyDescent="0.25">
      <c r="A132" s="93" t="s">
        <v>947</v>
      </c>
      <c r="B132" s="93" t="s">
        <v>935</v>
      </c>
      <c r="C132" s="93" t="s">
        <v>948</v>
      </c>
      <c r="D132" s="140" t="s">
        <v>937</v>
      </c>
      <c r="E132" s="154" t="s">
        <v>206</v>
      </c>
      <c r="F132" s="11"/>
      <c r="G132" s="53"/>
      <c r="H132" s="11" t="s">
        <v>41</v>
      </c>
      <c r="I132" s="11" t="s">
        <v>41</v>
      </c>
      <c r="J132" s="11" t="s">
        <v>41</v>
      </c>
      <c r="K132" s="11" t="s">
        <v>41</v>
      </c>
      <c r="L132" s="11">
        <v>12</v>
      </c>
      <c r="M132" s="11"/>
      <c r="N132" s="137">
        <f t="shared" si="11"/>
        <v>70400</v>
      </c>
      <c r="O132" s="11">
        <v>0</v>
      </c>
      <c r="P132" s="11">
        <v>0</v>
      </c>
      <c r="Q132" s="11">
        <v>0</v>
      </c>
      <c r="R132" s="11">
        <v>0</v>
      </c>
      <c r="S132" s="11">
        <v>0</v>
      </c>
      <c r="T132" s="11">
        <v>0</v>
      </c>
      <c r="U132" s="11">
        <v>70400</v>
      </c>
      <c r="V132" s="11">
        <v>0</v>
      </c>
      <c r="W132" s="11">
        <v>0</v>
      </c>
      <c r="X132" s="11">
        <v>0</v>
      </c>
      <c r="Y132" s="11">
        <v>0</v>
      </c>
      <c r="Z132" s="11">
        <v>0</v>
      </c>
    </row>
    <row r="133" spans="1:26" ht="15" customHeight="1" x14ac:dyDescent="0.25">
      <c r="A133" s="93" t="s">
        <v>949</v>
      </c>
      <c r="B133" s="93" t="s">
        <v>935</v>
      </c>
      <c r="C133" s="93" t="s">
        <v>950</v>
      </c>
      <c r="D133" s="140" t="s">
        <v>937</v>
      </c>
      <c r="E133" s="154" t="s">
        <v>206</v>
      </c>
      <c r="F133" s="11"/>
      <c r="G133" s="53"/>
      <c r="H133" s="11" t="s">
        <v>41</v>
      </c>
      <c r="I133" s="11" t="s">
        <v>41</v>
      </c>
      <c r="J133" s="11" t="s">
        <v>41</v>
      </c>
      <c r="K133" s="11" t="s">
        <v>41</v>
      </c>
      <c r="L133" s="11">
        <v>12</v>
      </c>
      <c r="M133" s="11"/>
      <c r="N133" s="137">
        <f t="shared" si="11"/>
        <v>100000</v>
      </c>
      <c r="O133" s="11">
        <v>0</v>
      </c>
      <c r="P133" s="11">
        <v>0</v>
      </c>
      <c r="Q133" s="11">
        <v>0</v>
      </c>
      <c r="R133" s="11">
        <v>100000</v>
      </c>
      <c r="S133" s="11">
        <v>0</v>
      </c>
      <c r="T133" s="11">
        <v>0</v>
      </c>
      <c r="U133" s="11">
        <v>0</v>
      </c>
      <c r="V133" s="11">
        <v>0</v>
      </c>
      <c r="W133" s="11">
        <v>0</v>
      </c>
      <c r="X133" s="11">
        <v>0</v>
      </c>
      <c r="Y133" s="11">
        <v>0</v>
      </c>
      <c r="Z133" s="11">
        <v>0</v>
      </c>
    </row>
    <row r="134" spans="1:26" ht="15" customHeight="1" x14ac:dyDescent="0.25">
      <c r="A134" s="93" t="s">
        <v>951</v>
      </c>
      <c r="B134" s="93" t="s">
        <v>952</v>
      </c>
      <c r="C134" s="93" t="s">
        <v>953</v>
      </c>
      <c r="D134" s="140" t="s">
        <v>937</v>
      </c>
      <c r="E134" s="154" t="s">
        <v>206</v>
      </c>
      <c r="F134" s="11"/>
      <c r="G134" s="53"/>
      <c r="H134" s="11" t="s">
        <v>41</v>
      </c>
      <c r="I134" s="11" t="s">
        <v>41</v>
      </c>
      <c r="J134" s="11" t="s">
        <v>41</v>
      </c>
      <c r="K134" s="11" t="s">
        <v>41</v>
      </c>
      <c r="L134" s="11">
        <v>12</v>
      </c>
      <c r="M134" s="11"/>
      <c r="N134" s="137">
        <f t="shared" si="11"/>
        <v>3500000</v>
      </c>
      <c r="O134" s="11">
        <v>3500000</v>
      </c>
      <c r="P134" s="11">
        <v>0</v>
      </c>
      <c r="Q134" s="11">
        <v>0</v>
      </c>
      <c r="R134" s="11">
        <v>0</v>
      </c>
      <c r="S134" s="11">
        <v>0</v>
      </c>
      <c r="T134" s="11">
        <v>0</v>
      </c>
      <c r="U134" s="11">
        <v>0</v>
      </c>
      <c r="V134" s="11">
        <v>0</v>
      </c>
      <c r="W134" s="11">
        <v>0</v>
      </c>
      <c r="X134" s="11">
        <v>0</v>
      </c>
      <c r="Y134" s="11">
        <v>0</v>
      </c>
      <c r="Z134" s="11">
        <v>0</v>
      </c>
    </row>
    <row r="135" spans="1:26" ht="15" customHeight="1" x14ac:dyDescent="0.25">
      <c r="A135" s="93" t="s">
        <v>954</v>
      </c>
      <c r="B135" s="93" t="s">
        <v>955</v>
      </c>
      <c r="C135" s="93" t="s">
        <v>956</v>
      </c>
      <c r="D135" s="140" t="s">
        <v>957</v>
      </c>
      <c r="E135" s="154" t="s">
        <v>206</v>
      </c>
      <c r="F135" s="11"/>
      <c r="G135" s="53"/>
      <c r="H135" s="11" t="s">
        <v>41</v>
      </c>
      <c r="I135" s="11" t="s">
        <v>41</v>
      </c>
      <c r="J135" s="11" t="s">
        <v>41</v>
      </c>
      <c r="K135" s="11" t="s">
        <v>41</v>
      </c>
      <c r="L135" s="11">
        <v>12</v>
      </c>
      <c r="M135" s="11"/>
      <c r="N135" s="137">
        <f t="shared" si="11"/>
        <v>550000</v>
      </c>
      <c r="O135" s="11">
        <v>0</v>
      </c>
      <c r="P135" s="11">
        <v>0</v>
      </c>
      <c r="Q135" s="11">
        <v>0</v>
      </c>
      <c r="R135" s="11">
        <v>0</v>
      </c>
      <c r="S135" s="11">
        <v>0</v>
      </c>
      <c r="T135" s="11">
        <v>550000</v>
      </c>
      <c r="U135" s="11">
        <v>0</v>
      </c>
      <c r="V135" s="11">
        <v>0</v>
      </c>
      <c r="W135" s="11">
        <v>0</v>
      </c>
      <c r="X135" s="11">
        <v>0</v>
      </c>
      <c r="Y135" s="11">
        <v>0</v>
      </c>
      <c r="Z135" s="11">
        <v>0</v>
      </c>
    </row>
    <row r="136" spans="1:26" ht="15" customHeight="1" x14ac:dyDescent="0.25">
      <c r="A136" s="93" t="s">
        <v>958</v>
      </c>
      <c r="B136" s="93" t="s">
        <v>959</v>
      </c>
      <c r="C136" s="93" t="s">
        <v>960</v>
      </c>
      <c r="D136" s="140" t="s">
        <v>961</v>
      </c>
      <c r="E136" s="154" t="s">
        <v>206</v>
      </c>
      <c r="F136" s="11"/>
      <c r="G136" s="53"/>
      <c r="H136" s="11" t="s">
        <v>41</v>
      </c>
      <c r="I136" s="11" t="s">
        <v>41</v>
      </c>
      <c r="J136" s="11" t="s">
        <v>41</v>
      </c>
      <c r="K136" s="11" t="s">
        <v>41</v>
      </c>
      <c r="L136" s="11">
        <v>12</v>
      </c>
      <c r="M136" s="11"/>
      <c r="N136" s="137">
        <f t="shared" si="11"/>
        <v>56000</v>
      </c>
      <c r="O136" s="11">
        <v>56000</v>
      </c>
      <c r="P136" s="11">
        <v>0</v>
      </c>
      <c r="Q136" s="11">
        <v>0</v>
      </c>
      <c r="R136" s="11">
        <v>0</v>
      </c>
      <c r="S136" s="11">
        <v>0</v>
      </c>
      <c r="T136" s="11">
        <v>0</v>
      </c>
      <c r="U136" s="11">
        <v>0</v>
      </c>
      <c r="V136" s="11">
        <v>0</v>
      </c>
      <c r="W136" s="11">
        <v>0</v>
      </c>
      <c r="X136" s="11">
        <v>0</v>
      </c>
      <c r="Y136" s="11">
        <v>0</v>
      </c>
      <c r="Z136" s="11">
        <v>0</v>
      </c>
    </row>
    <row r="137" spans="1:26" ht="15" customHeight="1" x14ac:dyDescent="0.25">
      <c r="A137" s="93" t="s">
        <v>962</v>
      </c>
      <c r="B137" s="93" t="s">
        <v>959</v>
      </c>
      <c r="C137" s="93" t="s">
        <v>963</v>
      </c>
      <c r="D137" s="140" t="s">
        <v>964</v>
      </c>
      <c r="E137" s="154" t="s">
        <v>206</v>
      </c>
      <c r="F137" s="157" t="s">
        <v>294</v>
      </c>
      <c r="G137" s="53"/>
      <c r="H137" s="11" t="s">
        <v>41</v>
      </c>
      <c r="I137" s="11" t="s">
        <v>41</v>
      </c>
      <c r="J137" s="11" t="s">
        <v>41</v>
      </c>
      <c r="K137" s="11" t="s">
        <v>41</v>
      </c>
      <c r="L137" s="11">
        <v>12</v>
      </c>
      <c r="M137" s="11"/>
      <c r="N137" s="137">
        <f t="shared" si="11"/>
        <v>100000</v>
      </c>
      <c r="O137" s="11">
        <v>0</v>
      </c>
      <c r="P137" s="11">
        <v>0</v>
      </c>
      <c r="Q137" s="11">
        <v>0</v>
      </c>
      <c r="R137" s="11">
        <v>0</v>
      </c>
      <c r="S137" s="11">
        <v>0</v>
      </c>
      <c r="T137" s="11">
        <v>100000</v>
      </c>
      <c r="U137" s="11">
        <v>0</v>
      </c>
      <c r="V137" s="11">
        <v>0</v>
      </c>
      <c r="W137" s="11">
        <v>0</v>
      </c>
      <c r="X137" s="11">
        <v>0</v>
      </c>
      <c r="Y137" s="11">
        <v>0</v>
      </c>
      <c r="Z137" s="11">
        <v>0</v>
      </c>
    </row>
    <row r="138" spans="1:26" ht="15" customHeight="1" x14ac:dyDescent="0.25">
      <c r="A138" s="93" t="s">
        <v>965</v>
      </c>
      <c r="B138" s="93" t="s">
        <v>959</v>
      </c>
      <c r="C138" s="93" t="s">
        <v>966</v>
      </c>
      <c r="D138" s="140" t="s">
        <v>967</v>
      </c>
      <c r="E138" s="154" t="s">
        <v>206</v>
      </c>
      <c r="F138" s="157" t="s">
        <v>294</v>
      </c>
      <c r="G138" s="53"/>
      <c r="H138" s="11" t="s">
        <v>41</v>
      </c>
      <c r="I138" s="11" t="s">
        <v>41</v>
      </c>
      <c r="J138" s="11" t="s">
        <v>41</v>
      </c>
      <c r="K138" s="11" t="s">
        <v>41</v>
      </c>
      <c r="L138" s="11">
        <v>12</v>
      </c>
      <c r="M138" s="11"/>
      <c r="N138" s="137">
        <f t="shared" si="11"/>
        <v>250000</v>
      </c>
      <c r="O138" s="11">
        <v>0</v>
      </c>
      <c r="P138" s="11">
        <v>0</v>
      </c>
      <c r="Q138" s="11">
        <v>0</v>
      </c>
      <c r="R138" s="11">
        <v>250000</v>
      </c>
      <c r="S138" s="11">
        <v>0</v>
      </c>
      <c r="T138" s="11">
        <v>0</v>
      </c>
      <c r="U138" s="11">
        <v>0</v>
      </c>
      <c r="V138" s="11">
        <v>0</v>
      </c>
      <c r="W138" s="11">
        <v>0</v>
      </c>
      <c r="X138" s="11">
        <v>0</v>
      </c>
      <c r="Y138" s="11">
        <v>0</v>
      </c>
      <c r="Z138" s="11">
        <v>0</v>
      </c>
    </row>
    <row r="139" spans="1:26" ht="15" customHeight="1" x14ac:dyDescent="0.25">
      <c r="A139" s="93" t="s">
        <v>968</v>
      </c>
      <c r="B139" s="93" t="s">
        <v>959</v>
      </c>
      <c r="C139" s="93" t="s">
        <v>969</v>
      </c>
      <c r="D139" s="140" t="s">
        <v>970</v>
      </c>
      <c r="E139" s="154" t="s">
        <v>206</v>
      </c>
      <c r="F139" s="11"/>
      <c r="G139" s="53"/>
      <c r="H139" s="11" t="s">
        <v>41</v>
      </c>
      <c r="I139" s="11" t="s">
        <v>41</v>
      </c>
      <c r="J139" s="11" t="s">
        <v>41</v>
      </c>
      <c r="K139" s="11" t="s">
        <v>41</v>
      </c>
      <c r="L139" s="11">
        <v>12</v>
      </c>
      <c r="M139" s="11"/>
      <c r="N139" s="139">
        <f t="shared" si="11"/>
        <v>1719755.5147058819</v>
      </c>
      <c r="O139" s="11">
        <v>140303.30882352943</v>
      </c>
      <c r="P139" s="11">
        <v>163685.6617647059</v>
      </c>
      <c r="Q139" s="11">
        <v>188014.70588235289</v>
      </c>
      <c r="R139" s="11">
        <v>380748.16176470579</v>
      </c>
      <c r="S139" s="11">
        <v>124126.83823529414</v>
      </c>
      <c r="T139" s="11">
        <v>94338.235294117709</v>
      </c>
      <c r="U139" s="11">
        <v>96176.470588235286</v>
      </c>
      <c r="V139" s="11">
        <v>123419.11764705887</v>
      </c>
      <c r="W139" s="11">
        <v>134136.0294117647</v>
      </c>
      <c r="X139" s="11">
        <v>274806.98529411759</v>
      </c>
      <c r="Y139" s="11">
        <v>0</v>
      </c>
      <c r="Z139" s="11">
        <v>0</v>
      </c>
    </row>
    <row r="140" spans="1:26" ht="15" customHeight="1" x14ac:dyDescent="0.25">
      <c r="A140" s="93" t="s">
        <v>971</v>
      </c>
      <c r="B140" s="93" t="s">
        <v>959</v>
      </c>
      <c r="C140" s="93" t="s">
        <v>972</v>
      </c>
      <c r="D140" s="140" t="s">
        <v>973</v>
      </c>
      <c r="E140" s="154" t="s">
        <v>206</v>
      </c>
      <c r="F140" s="11"/>
      <c r="G140" s="53"/>
      <c r="H140" s="11" t="s">
        <v>41</v>
      </c>
      <c r="I140" s="11" t="s">
        <v>41</v>
      </c>
      <c r="J140" s="11" t="s">
        <v>41</v>
      </c>
      <c r="K140" s="11" t="s">
        <v>41</v>
      </c>
      <c r="L140" s="11">
        <v>12</v>
      </c>
      <c r="M140" s="11"/>
      <c r="N140" s="139">
        <f t="shared" si="11"/>
        <v>36684228.058639213</v>
      </c>
      <c r="O140" s="11">
        <v>0</v>
      </c>
      <c r="P140" s="11">
        <v>0</v>
      </c>
      <c r="Q140" s="11">
        <v>2986156.3349882355</v>
      </c>
      <c r="R140" s="11">
        <v>0</v>
      </c>
      <c r="S140" s="11">
        <v>1074050.4588235295</v>
      </c>
      <c r="T140" s="11">
        <v>0</v>
      </c>
      <c r="U140" s="11">
        <v>0</v>
      </c>
      <c r="V140" s="11">
        <v>5674484.6666501965</v>
      </c>
      <c r="W140" s="11">
        <v>5020494.402164706</v>
      </c>
      <c r="X140" s="11">
        <v>0</v>
      </c>
      <c r="Y140" s="11">
        <v>0</v>
      </c>
      <c r="Z140" s="11">
        <v>21929042.196012549</v>
      </c>
    </row>
    <row r="141" spans="1:26" ht="15" customHeight="1" x14ac:dyDescent="0.25">
      <c r="A141" s="93" t="s">
        <v>974</v>
      </c>
      <c r="B141" s="93" t="s">
        <v>959</v>
      </c>
      <c r="C141" s="93" t="s">
        <v>975</v>
      </c>
      <c r="D141" s="140" t="s">
        <v>970</v>
      </c>
      <c r="E141" s="154" t="s">
        <v>206</v>
      </c>
      <c r="F141" s="11"/>
      <c r="G141" s="53"/>
      <c r="H141" s="11" t="s">
        <v>41</v>
      </c>
      <c r="I141" s="11" t="s">
        <v>41</v>
      </c>
      <c r="J141" s="11" t="s">
        <v>41</v>
      </c>
      <c r="K141" s="11" t="s">
        <v>41</v>
      </c>
      <c r="L141" s="11">
        <v>12</v>
      </c>
      <c r="M141" s="11"/>
      <c r="N141" s="139">
        <f t="shared" si="11"/>
        <v>259554.76764705882</v>
      </c>
      <c r="O141" s="11"/>
      <c r="P141" s="11"/>
      <c r="Q141" s="11"/>
      <c r="R141" s="11"/>
      <c r="S141" s="11"/>
      <c r="T141" s="11">
        <v>7169.1176470588234</v>
      </c>
      <c r="U141" s="11">
        <v>12867.64705882353</v>
      </c>
      <c r="V141" s="11">
        <v>238782.70882352942</v>
      </c>
      <c r="W141" s="11"/>
      <c r="X141" s="11"/>
      <c r="Y141" s="11"/>
      <c r="Z141" s="11">
        <v>735.29411764705878</v>
      </c>
    </row>
    <row r="142" spans="1:26" ht="15" customHeight="1" x14ac:dyDescent="0.25">
      <c r="A142" s="93" t="s">
        <v>976</v>
      </c>
      <c r="B142" s="93" t="s">
        <v>959</v>
      </c>
      <c r="C142" s="93" t="s">
        <v>977</v>
      </c>
      <c r="D142" s="140" t="s">
        <v>978</v>
      </c>
      <c r="E142" s="154" t="s">
        <v>206</v>
      </c>
      <c r="F142" s="11"/>
      <c r="G142" s="53"/>
      <c r="H142" s="11" t="s">
        <v>41</v>
      </c>
      <c r="I142" s="11" t="s">
        <v>41</v>
      </c>
      <c r="J142" s="11" t="s">
        <v>41</v>
      </c>
      <c r="K142" s="11" t="s">
        <v>41</v>
      </c>
      <c r="L142" s="11">
        <v>12</v>
      </c>
      <c r="M142" s="11"/>
      <c r="N142" s="139">
        <f t="shared" si="11"/>
        <v>0</v>
      </c>
      <c r="O142" s="161" t="s">
        <v>979</v>
      </c>
      <c r="P142" s="161" t="s">
        <v>979</v>
      </c>
      <c r="Q142" s="161" t="s">
        <v>979</v>
      </c>
      <c r="R142" s="161" t="s">
        <v>979</v>
      </c>
      <c r="S142" s="161" t="s">
        <v>979</v>
      </c>
      <c r="T142" s="161" t="s">
        <v>979</v>
      </c>
      <c r="U142" s="161" t="s">
        <v>979</v>
      </c>
      <c r="V142" s="161" t="s">
        <v>979</v>
      </c>
      <c r="W142" s="161" t="s">
        <v>979</v>
      </c>
      <c r="X142" s="161" t="s">
        <v>979</v>
      </c>
      <c r="Y142" s="161" t="s">
        <v>979</v>
      </c>
      <c r="Z142" s="161" t="s">
        <v>979</v>
      </c>
    </row>
    <row r="143" spans="1:26" ht="15" customHeight="1" x14ac:dyDescent="0.25">
      <c r="A143" s="93" t="s">
        <v>980</v>
      </c>
      <c r="B143" s="93" t="s">
        <v>959</v>
      </c>
      <c r="C143" s="93" t="s">
        <v>981</v>
      </c>
      <c r="D143" s="140" t="s">
        <v>982</v>
      </c>
      <c r="E143" s="154" t="s">
        <v>206</v>
      </c>
      <c r="F143" s="11"/>
      <c r="G143" s="53"/>
      <c r="H143" s="11" t="s">
        <v>41</v>
      </c>
      <c r="I143" s="11" t="s">
        <v>41</v>
      </c>
      <c r="J143" s="11" t="s">
        <v>41</v>
      </c>
      <c r="K143" s="11" t="s">
        <v>41</v>
      </c>
      <c r="L143" s="11">
        <v>12</v>
      </c>
      <c r="M143" s="11"/>
      <c r="N143" s="139">
        <f t="shared" si="11"/>
        <v>7732707.6681984318</v>
      </c>
      <c r="O143" s="11">
        <v>28060.661764705888</v>
      </c>
      <c r="P143" s="11">
        <v>32737.132352941182</v>
      </c>
      <c r="Q143" s="11">
        <v>634834.20817411772</v>
      </c>
      <c r="R143" s="11">
        <v>76149.63235294116</v>
      </c>
      <c r="S143" s="11">
        <v>239635.45941176475</v>
      </c>
      <c r="T143" s="11">
        <v>20301.470588235308</v>
      </c>
      <c r="U143" s="11">
        <v>21808.823529411762</v>
      </c>
      <c r="V143" s="11">
        <v>1207337.298624157</v>
      </c>
      <c r="W143" s="11">
        <v>1030926.0863152943</v>
      </c>
      <c r="X143" s="11">
        <v>54961.397058823524</v>
      </c>
      <c r="Y143" s="11">
        <v>0</v>
      </c>
      <c r="Z143" s="11">
        <v>4385955.4980260395</v>
      </c>
    </row>
    <row r="144" spans="1:26" s="35" customFormat="1" ht="22.5" customHeight="1" x14ac:dyDescent="0.25">
      <c r="A144" s="33"/>
      <c r="B144" s="34"/>
      <c r="C144" s="34"/>
      <c r="D144" s="34"/>
      <c r="E144" s="50"/>
      <c r="F144" s="50"/>
      <c r="G144" s="50"/>
      <c r="H144" s="50"/>
      <c r="I144" s="50"/>
      <c r="J144" s="51" t="s">
        <v>20</v>
      </c>
      <c r="K144" s="50"/>
      <c r="L144" s="11">
        <v>12</v>
      </c>
      <c r="M144" s="32">
        <f t="shared" ref="M144:Z144" si="12">SUM(M107:M143)</f>
        <v>0</v>
      </c>
      <c r="N144" s="32">
        <f t="shared" si="12"/>
        <v>56417824.2444847</v>
      </c>
      <c r="O144" s="32">
        <f t="shared" si="12"/>
        <v>3903286.1764705884</v>
      </c>
      <c r="P144" s="32">
        <f t="shared" si="12"/>
        <v>375345</v>
      </c>
      <c r="Q144" s="32">
        <f t="shared" si="12"/>
        <v>3993927.4549270589</v>
      </c>
      <c r="R144" s="32">
        <f t="shared" si="12"/>
        <v>985819.99999999988</v>
      </c>
      <c r="S144" s="32">
        <f t="shared" si="12"/>
        <v>1662534.9623529413</v>
      </c>
      <c r="T144" s="32">
        <f t="shared" si="12"/>
        <v>1955731.0294117646</v>
      </c>
      <c r="U144" s="32">
        <f t="shared" si="12"/>
        <v>424204.5588235294</v>
      </c>
      <c r="V144" s="32">
        <f t="shared" si="12"/>
        <v>8905975.4093919992</v>
      </c>
      <c r="W144" s="32">
        <f t="shared" si="12"/>
        <v>6413508.1355388239</v>
      </c>
      <c r="X144" s="32">
        <f t="shared" si="12"/>
        <v>551719.99999999988</v>
      </c>
      <c r="Y144" s="32">
        <f t="shared" si="12"/>
        <v>222951.61764705877</v>
      </c>
      <c r="Z144" s="32">
        <f t="shared" si="12"/>
        <v>27022819.899920944</v>
      </c>
    </row>
    <row r="145" spans="1:27" ht="18" outlineLevel="1" x14ac:dyDescent="0.25">
      <c r="A145" s="30" t="str">
        <f>CONCATENATE(B20," ",C20)</f>
        <v>Objective 4 Permits Licences</v>
      </c>
      <c r="B145" s="30"/>
      <c r="C145" s="31"/>
      <c r="D145" s="31"/>
      <c r="E145" s="29"/>
      <c r="F145" s="29"/>
      <c r="G145" s="29"/>
      <c r="H145" s="29"/>
      <c r="I145" s="29"/>
      <c r="J145" s="29"/>
      <c r="K145" s="29"/>
      <c r="L145" s="29"/>
      <c r="M145" s="29"/>
      <c r="N145" s="29"/>
      <c r="O145" s="29" t="s">
        <v>5</v>
      </c>
      <c r="P145" s="29"/>
      <c r="Q145" s="29"/>
      <c r="R145" s="29"/>
      <c r="S145" s="29"/>
      <c r="T145" s="29"/>
      <c r="U145" s="29"/>
      <c r="V145" s="29"/>
      <c r="W145" s="29"/>
      <c r="X145" s="29"/>
      <c r="Y145" s="29"/>
      <c r="Z145" s="29"/>
    </row>
    <row r="146" spans="1:27" ht="41.45" customHeight="1" outlineLevel="1" x14ac:dyDescent="0.25">
      <c r="A146" s="92" t="s">
        <v>261</v>
      </c>
      <c r="B146" s="92" t="s">
        <v>13</v>
      </c>
      <c r="C146" s="92" t="s">
        <v>14</v>
      </c>
      <c r="D146" s="133" t="s">
        <v>286</v>
      </c>
      <c r="E146" s="32" t="s">
        <v>16</v>
      </c>
      <c r="F146" s="32" t="s">
        <v>295</v>
      </c>
      <c r="G146" s="32" t="s">
        <v>39</v>
      </c>
      <c r="H146" s="32" t="s">
        <v>297</v>
      </c>
      <c r="I146" s="32" t="s">
        <v>298</v>
      </c>
      <c r="J146" s="32" t="s">
        <v>299</v>
      </c>
      <c r="K146" s="32" t="s">
        <v>300</v>
      </c>
      <c r="L146" s="32" t="s">
        <v>17</v>
      </c>
      <c r="M146" s="32" t="s">
        <v>18</v>
      </c>
      <c r="N146" s="32" t="s">
        <v>825</v>
      </c>
      <c r="O146" s="66">
        <v>43101</v>
      </c>
      <c r="P146" s="66">
        <v>43132</v>
      </c>
      <c r="Q146" s="66">
        <v>43160</v>
      </c>
      <c r="R146" s="66">
        <v>43191</v>
      </c>
      <c r="S146" s="66">
        <v>43221</v>
      </c>
      <c r="T146" s="66">
        <v>43252</v>
      </c>
      <c r="U146" s="66">
        <v>43282</v>
      </c>
      <c r="V146" s="66">
        <v>43313</v>
      </c>
      <c r="W146" s="66">
        <v>43344</v>
      </c>
      <c r="X146" s="66">
        <v>43374</v>
      </c>
      <c r="Y146" s="66">
        <v>43405</v>
      </c>
      <c r="Z146" s="66">
        <v>43435</v>
      </c>
    </row>
    <row r="147" spans="1:27" ht="15" customHeight="1" outlineLevel="1" x14ac:dyDescent="0.25">
      <c r="A147" s="93" t="s">
        <v>983</v>
      </c>
      <c r="B147" s="93" t="s">
        <v>984</v>
      </c>
      <c r="C147" s="93" t="s">
        <v>985</v>
      </c>
      <c r="D147" s="140" t="s">
        <v>986</v>
      </c>
      <c r="E147" s="154" t="s">
        <v>209</v>
      </c>
      <c r="F147" s="11"/>
      <c r="G147" s="11"/>
      <c r="H147" s="11" t="s">
        <v>41</v>
      </c>
      <c r="I147" s="11" t="s">
        <v>41</v>
      </c>
      <c r="J147" s="11" t="s">
        <v>41</v>
      </c>
      <c r="K147" s="11" t="s">
        <v>41</v>
      </c>
      <c r="L147" s="11">
        <v>12</v>
      </c>
      <c r="M147" s="11"/>
      <c r="N147" s="11">
        <f t="shared" ref="N147" si="13">SUM(O147:Z147)</f>
        <v>14600</v>
      </c>
      <c r="O147" s="11">
        <v>0</v>
      </c>
      <c r="P147" s="11">
        <v>0</v>
      </c>
      <c r="Q147" s="11">
        <v>0</v>
      </c>
      <c r="R147" s="11">
        <v>3650</v>
      </c>
      <c r="S147" s="11">
        <v>0</v>
      </c>
      <c r="T147" s="11">
        <v>3650</v>
      </c>
      <c r="U147" s="11">
        <v>0</v>
      </c>
      <c r="V147" s="11">
        <v>0</v>
      </c>
      <c r="W147" s="11">
        <v>3650</v>
      </c>
      <c r="X147" s="11">
        <v>0</v>
      </c>
      <c r="Y147" s="11">
        <v>3650</v>
      </c>
      <c r="Z147" s="11">
        <v>0</v>
      </c>
    </row>
    <row r="148" spans="1:27" s="35" customFormat="1" ht="22.5" customHeight="1" x14ac:dyDescent="0.25">
      <c r="A148" s="33"/>
      <c r="B148" s="34"/>
      <c r="C148" s="34"/>
      <c r="D148" s="34"/>
      <c r="E148" s="50"/>
      <c r="F148" s="50"/>
      <c r="G148" s="50"/>
      <c r="H148" s="50"/>
      <c r="I148" s="50"/>
      <c r="J148" s="51" t="s">
        <v>20</v>
      </c>
      <c r="K148" s="50"/>
      <c r="L148" s="11">
        <v>12</v>
      </c>
      <c r="M148" s="32">
        <f>SUM(M114:M147)</f>
        <v>0</v>
      </c>
      <c r="N148" s="32">
        <f t="shared" ref="N148:Z148" si="14">SUM(N147:N147)</f>
        <v>14600</v>
      </c>
      <c r="O148" s="32">
        <f t="shared" si="14"/>
        <v>0</v>
      </c>
      <c r="P148" s="32">
        <f t="shared" si="14"/>
        <v>0</v>
      </c>
      <c r="Q148" s="32">
        <f t="shared" si="14"/>
        <v>0</v>
      </c>
      <c r="R148" s="32">
        <f t="shared" si="14"/>
        <v>3650</v>
      </c>
      <c r="S148" s="32">
        <f t="shared" si="14"/>
        <v>0</v>
      </c>
      <c r="T148" s="32">
        <f t="shared" si="14"/>
        <v>3650</v>
      </c>
      <c r="U148" s="32">
        <f t="shared" si="14"/>
        <v>0</v>
      </c>
      <c r="V148" s="32">
        <f t="shared" si="14"/>
        <v>0</v>
      </c>
      <c r="W148" s="32">
        <f t="shared" si="14"/>
        <v>3650</v>
      </c>
      <c r="X148" s="32">
        <f t="shared" si="14"/>
        <v>0</v>
      </c>
      <c r="Y148" s="32">
        <f t="shared" si="14"/>
        <v>3650</v>
      </c>
      <c r="Z148" s="32">
        <f t="shared" si="14"/>
        <v>0</v>
      </c>
    </row>
    <row r="149" spans="1:27" ht="18" hidden="1" outlineLevel="1" x14ac:dyDescent="0.25">
      <c r="A149" s="30" t="e">
        <f>CONCATENATE(#REF!," ",#REF!)</f>
        <v>#REF!</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45" hidden="1" customHeight="1" outlineLevel="1" x14ac:dyDescent="0.25">
      <c r="A150" s="92" t="s">
        <v>261</v>
      </c>
      <c r="B150" s="92" t="s">
        <v>13</v>
      </c>
      <c r="C150" s="92" t="s">
        <v>14</v>
      </c>
      <c r="D150" s="133" t="s">
        <v>286</v>
      </c>
      <c r="E150" s="32" t="s">
        <v>16</v>
      </c>
      <c r="F150" s="32" t="s">
        <v>295</v>
      </c>
      <c r="G150" s="32" t="s">
        <v>39</v>
      </c>
      <c r="H150" s="32" t="s">
        <v>297</v>
      </c>
      <c r="I150" s="32" t="s">
        <v>298</v>
      </c>
      <c r="J150" s="32" t="s">
        <v>299</v>
      </c>
      <c r="K150" s="32" t="s">
        <v>300</v>
      </c>
      <c r="L150" s="32" t="s">
        <v>17</v>
      </c>
      <c r="M150" s="32" t="s">
        <v>18</v>
      </c>
      <c r="N150" s="32" t="s">
        <v>19</v>
      </c>
      <c r="O150" s="66">
        <v>43101</v>
      </c>
      <c r="P150" s="66">
        <v>43132</v>
      </c>
      <c r="Q150" s="66">
        <v>43160</v>
      </c>
      <c r="R150" s="66">
        <v>43191</v>
      </c>
      <c r="S150" s="66">
        <v>43221</v>
      </c>
      <c r="T150" s="66">
        <v>43252</v>
      </c>
      <c r="U150" s="66">
        <v>43282</v>
      </c>
      <c r="V150" s="66">
        <v>43313</v>
      </c>
      <c r="W150" s="66">
        <v>43344</v>
      </c>
      <c r="X150" s="66">
        <v>43374</v>
      </c>
      <c r="Y150" s="66">
        <v>43405</v>
      </c>
      <c r="Z150" s="66">
        <v>43435</v>
      </c>
    </row>
    <row r="151" spans="1:27" ht="15" hidden="1" customHeight="1" outlineLevel="1" x14ac:dyDescent="0.25">
      <c r="A151" s="93" t="s">
        <v>265</v>
      </c>
      <c r="B151" s="93"/>
      <c r="C151" s="93"/>
      <c r="D151" s="140"/>
      <c r="E151" s="11"/>
      <c r="F151" s="11"/>
      <c r="G151" s="11"/>
      <c r="H151" s="11"/>
      <c r="I151" s="11"/>
      <c r="J151" s="11"/>
      <c r="K151" s="11"/>
      <c r="L151" s="11"/>
      <c r="M151" s="11"/>
      <c r="N151" s="11">
        <f t="shared" ref="N151:N154" si="15">SUM(O151:Z151)</f>
        <v>0</v>
      </c>
      <c r="O151" s="11"/>
      <c r="P151" s="11"/>
      <c r="Q151" s="11"/>
      <c r="R151" s="11"/>
      <c r="S151" s="11"/>
      <c r="T151" s="11"/>
      <c r="U151" s="11"/>
      <c r="V151" s="11"/>
      <c r="W151" s="11"/>
      <c r="X151" s="11"/>
      <c r="Y151" s="11"/>
      <c r="Z151" s="11"/>
    </row>
    <row r="152" spans="1:27" ht="15" hidden="1" customHeight="1" outlineLevel="1" x14ac:dyDescent="0.25">
      <c r="A152" s="93" t="s">
        <v>266</v>
      </c>
      <c r="B152" s="93"/>
      <c r="C152" s="93"/>
      <c r="D152" s="140"/>
      <c r="E152" s="11"/>
      <c r="F152" s="11"/>
      <c r="G152" s="11"/>
      <c r="H152" s="11"/>
      <c r="I152" s="11"/>
      <c r="J152" s="11"/>
      <c r="K152" s="11"/>
      <c r="L152" s="11"/>
      <c r="M152" s="11"/>
      <c r="N152" s="11">
        <f t="shared" si="15"/>
        <v>0</v>
      </c>
      <c r="O152" s="11"/>
      <c r="P152" s="11"/>
      <c r="Q152" s="11"/>
      <c r="R152" s="11"/>
      <c r="S152" s="11"/>
      <c r="T152" s="11"/>
      <c r="U152" s="11"/>
      <c r="V152" s="11"/>
      <c r="W152" s="11"/>
      <c r="X152" s="11"/>
      <c r="Y152" s="11"/>
      <c r="Z152" s="11"/>
    </row>
    <row r="153" spans="1:27" ht="15" hidden="1" customHeight="1" outlineLevel="1" x14ac:dyDescent="0.25">
      <c r="A153" s="93" t="s">
        <v>283</v>
      </c>
      <c r="B153" s="93"/>
      <c r="C153" s="93"/>
      <c r="D153" s="140"/>
      <c r="E153" s="11"/>
      <c r="F153" s="11"/>
      <c r="G153" s="11"/>
      <c r="H153" s="11"/>
      <c r="I153" s="11"/>
      <c r="J153" s="11"/>
      <c r="K153" s="11"/>
      <c r="L153" s="11"/>
      <c r="M153" s="11"/>
      <c r="N153" s="11">
        <f t="shared" si="15"/>
        <v>0</v>
      </c>
      <c r="O153" s="11"/>
      <c r="P153" s="11"/>
      <c r="Q153" s="11"/>
      <c r="R153" s="11"/>
      <c r="S153" s="11"/>
      <c r="T153" s="11"/>
      <c r="U153" s="11"/>
      <c r="V153" s="11"/>
      <c r="W153" s="11"/>
      <c r="X153" s="11"/>
      <c r="Y153" s="11"/>
      <c r="Z153" s="11"/>
    </row>
    <row r="154" spans="1:27" ht="15" hidden="1" customHeight="1" outlineLevel="1" x14ac:dyDescent="0.25">
      <c r="A154" s="93" t="s">
        <v>284</v>
      </c>
      <c r="B154" s="93"/>
      <c r="C154" s="93"/>
      <c r="D154" s="140"/>
      <c r="E154" s="11"/>
      <c r="F154" s="11"/>
      <c r="G154" s="11"/>
      <c r="H154" s="11"/>
      <c r="I154" s="11"/>
      <c r="J154" s="11"/>
      <c r="K154" s="11"/>
      <c r="L154" s="11"/>
      <c r="M154" s="11"/>
      <c r="N154" s="11">
        <f t="shared" si="15"/>
        <v>0</v>
      </c>
      <c r="O154" s="11"/>
      <c r="P154" s="11"/>
      <c r="Q154" s="11"/>
      <c r="R154" s="11"/>
      <c r="S154" s="11"/>
      <c r="T154" s="11"/>
      <c r="U154" s="11"/>
      <c r="V154" s="11"/>
      <c r="W154" s="11"/>
      <c r="X154" s="11"/>
      <c r="Y154" s="11"/>
      <c r="Z154" s="11"/>
    </row>
    <row r="155" spans="1:27" ht="21" hidden="1" customHeight="1" outlineLevel="1" x14ac:dyDescent="0.25">
      <c r="A155" s="93" t="s">
        <v>285</v>
      </c>
      <c r="B155" s="93"/>
      <c r="C155" s="93"/>
      <c r="D155" s="140"/>
      <c r="E155" s="11"/>
      <c r="F155" s="11"/>
      <c r="G155" s="45"/>
      <c r="H155" s="11"/>
      <c r="I155" s="11"/>
      <c r="J155" s="11"/>
      <c r="K155" s="68" t="s">
        <v>20</v>
      </c>
      <c r="L155" s="32">
        <f>SUM(L150:L154)</f>
        <v>0</v>
      </c>
      <c r="M155" s="32">
        <f>SUM(M150:M154)</f>
        <v>0</v>
      </c>
      <c r="N155" s="11">
        <f>SUM(N151:N154)</f>
        <v>0</v>
      </c>
      <c r="O155" s="11">
        <f t="shared" ref="O155:Z155" si="16">SUM(O151:O154)</f>
        <v>0</v>
      </c>
      <c r="P155" s="11">
        <f t="shared" si="16"/>
        <v>0</v>
      </c>
      <c r="Q155" s="11">
        <f t="shared" si="16"/>
        <v>0</v>
      </c>
      <c r="R155" s="11">
        <f t="shared" si="16"/>
        <v>0</v>
      </c>
      <c r="S155" s="11">
        <f t="shared" si="16"/>
        <v>0</v>
      </c>
      <c r="T155" s="11">
        <f t="shared" si="16"/>
        <v>0</v>
      </c>
      <c r="U155" s="11">
        <f t="shared" si="16"/>
        <v>0</v>
      </c>
      <c r="V155" s="11">
        <f t="shared" si="16"/>
        <v>0</v>
      </c>
      <c r="W155" s="11">
        <f t="shared" si="16"/>
        <v>0</v>
      </c>
      <c r="X155" s="11">
        <f t="shared" si="16"/>
        <v>0</v>
      </c>
      <c r="Y155" s="11">
        <f t="shared" si="16"/>
        <v>0</v>
      </c>
      <c r="Z155" s="11">
        <f t="shared" si="16"/>
        <v>0</v>
      </c>
      <c r="AA155" s="35"/>
    </row>
    <row r="156" spans="1:27" ht="18" hidden="1" outlineLevel="1" x14ac:dyDescent="0.25">
      <c r="A156" s="30" t="e">
        <f>CONCATENATE(#REF!," ",#REF!)</f>
        <v>#REF!</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hidden="1"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15" hidden="1" customHeight="1" outlineLevel="1" x14ac:dyDescent="0.25">
      <c r="A158" s="93" t="s">
        <v>265</v>
      </c>
      <c r="B158" s="93"/>
      <c r="C158" s="93"/>
      <c r="D158" s="140"/>
      <c r="E158" s="11"/>
      <c r="F158" s="11"/>
      <c r="G158" s="11"/>
      <c r="H158" s="11"/>
      <c r="I158" s="11"/>
      <c r="J158" s="11"/>
      <c r="K158" s="11"/>
      <c r="L158" s="11"/>
      <c r="M158" s="11"/>
      <c r="N158" s="11">
        <f t="shared" ref="N158:N161" si="17">SUM(O158:Z158)</f>
        <v>0</v>
      </c>
      <c r="O158" s="11"/>
      <c r="P158" s="11"/>
      <c r="Q158" s="11"/>
      <c r="R158" s="11"/>
      <c r="S158" s="11"/>
      <c r="T158" s="11"/>
      <c r="U158" s="11"/>
      <c r="V158" s="11"/>
      <c r="W158" s="11"/>
      <c r="X158" s="11"/>
      <c r="Y158" s="11"/>
      <c r="Z158" s="11"/>
    </row>
    <row r="159" spans="1:27" ht="15" hidden="1" customHeight="1" outlineLevel="1" x14ac:dyDescent="0.25">
      <c r="A159" s="93" t="s">
        <v>266</v>
      </c>
      <c r="B159" s="93"/>
      <c r="C159" s="93"/>
      <c r="D159" s="140"/>
      <c r="E159" s="11"/>
      <c r="F159" s="11"/>
      <c r="G159" s="11"/>
      <c r="H159" s="11"/>
      <c r="I159" s="11"/>
      <c r="J159" s="11"/>
      <c r="K159" s="11"/>
      <c r="L159" s="11"/>
      <c r="M159" s="11"/>
      <c r="N159" s="11">
        <f t="shared" si="17"/>
        <v>0</v>
      </c>
      <c r="O159" s="11"/>
      <c r="P159" s="11"/>
      <c r="Q159" s="11"/>
      <c r="R159" s="11"/>
      <c r="S159" s="11"/>
      <c r="T159" s="11"/>
      <c r="U159" s="11"/>
      <c r="V159" s="11"/>
      <c r="W159" s="11"/>
      <c r="X159" s="11"/>
      <c r="Y159" s="11"/>
      <c r="Z159" s="11"/>
    </row>
    <row r="160" spans="1:27" ht="15" hidden="1" customHeight="1" outlineLevel="1" x14ac:dyDescent="0.25">
      <c r="A160" s="93" t="s">
        <v>283</v>
      </c>
      <c r="B160" s="93"/>
      <c r="C160" s="93"/>
      <c r="D160" s="140"/>
      <c r="E160" s="11"/>
      <c r="F160" s="11"/>
      <c r="G160" s="11"/>
      <c r="H160" s="11"/>
      <c r="I160" s="11"/>
      <c r="J160" s="11"/>
      <c r="K160" s="11"/>
      <c r="L160" s="11"/>
      <c r="M160" s="11"/>
      <c r="N160" s="11">
        <f t="shared" si="17"/>
        <v>0</v>
      </c>
      <c r="O160" s="11"/>
      <c r="P160" s="11"/>
      <c r="Q160" s="11"/>
      <c r="R160" s="11"/>
      <c r="S160" s="11"/>
      <c r="T160" s="11"/>
      <c r="U160" s="11"/>
      <c r="V160" s="11"/>
      <c r="W160" s="11"/>
      <c r="X160" s="11"/>
      <c r="Y160" s="11"/>
      <c r="Z160" s="11"/>
    </row>
    <row r="161" spans="1:27" ht="15" hidden="1" customHeight="1" outlineLevel="1" x14ac:dyDescent="0.25">
      <c r="A161" s="93" t="s">
        <v>284</v>
      </c>
      <c r="B161" s="93"/>
      <c r="C161" s="93"/>
      <c r="D161" s="140"/>
      <c r="E161" s="11"/>
      <c r="F161" s="11"/>
      <c r="G161" s="11"/>
      <c r="H161" s="11"/>
      <c r="I161" s="11"/>
      <c r="J161" s="11"/>
      <c r="K161" s="11"/>
      <c r="L161" s="11"/>
      <c r="M161" s="11"/>
      <c r="N161" s="11">
        <f t="shared" si="17"/>
        <v>0</v>
      </c>
      <c r="O161" s="11"/>
      <c r="P161" s="11"/>
      <c r="Q161" s="11"/>
      <c r="R161" s="11"/>
      <c r="S161" s="11"/>
      <c r="T161" s="11"/>
      <c r="U161" s="11"/>
      <c r="V161" s="11"/>
      <c r="W161" s="11"/>
      <c r="X161" s="11"/>
      <c r="Y161" s="11"/>
      <c r="Z161" s="11"/>
    </row>
    <row r="162" spans="1:27" ht="21" hidden="1" customHeight="1" outlineLevel="1" x14ac:dyDescent="0.25">
      <c r="A162" s="93" t="s">
        <v>285</v>
      </c>
      <c r="B162" s="93"/>
      <c r="C162" s="93"/>
      <c r="D162" s="140"/>
      <c r="E162" s="11"/>
      <c r="F162" s="11"/>
      <c r="G162" s="45"/>
      <c r="H162" s="11"/>
      <c r="I162" s="11"/>
      <c r="J162" s="11"/>
      <c r="K162" s="68" t="s">
        <v>20</v>
      </c>
      <c r="L162" s="32">
        <f>SUM(L157:L161)</f>
        <v>0</v>
      </c>
      <c r="M162" s="32">
        <f>SUM(M157:M161)</f>
        <v>0</v>
      </c>
      <c r="N162" s="11">
        <f>SUM(N158:N161)</f>
        <v>0</v>
      </c>
      <c r="O162" s="11">
        <f t="shared" ref="O162:Z162" si="18">SUM(O158:O161)</f>
        <v>0</v>
      </c>
      <c r="P162" s="11">
        <f t="shared" si="18"/>
        <v>0</v>
      </c>
      <c r="Q162" s="11">
        <f t="shared" si="18"/>
        <v>0</v>
      </c>
      <c r="R162" s="11">
        <f t="shared" si="18"/>
        <v>0</v>
      </c>
      <c r="S162" s="11">
        <f t="shared" si="18"/>
        <v>0</v>
      </c>
      <c r="T162" s="11">
        <f t="shared" si="18"/>
        <v>0</v>
      </c>
      <c r="U162" s="11">
        <f t="shared" si="18"/>
        <v>0</v>
      </c>
      <c r="V162" s="11">
        <f t="shared" si="18"/>
        <v>0</v>
      </c>
      <c r="W162" s="11">
        <f t="shared" si="18"/>
        <v>0</v>
      </c>
      <c r="X162" s="11">
        <f t="shared" si="18"/>
        <v>0</v>
      </c>
      <c r="Y162" s="11">
        <f t="shared" si="18"/>
        <v>0</v>
      </c>
      <c r="Z162" s="11">
        <f t="shared" si="18"/>
        <v>0</v>
      </c>
      <c r="AA162" s="35"/>
    </row>
    <row r="163" spans="1:27" ht="18" hidden="1" outlineLevel="1" x14ac:dyDescent="0.25">
      <c r="A163" s="30" t="e">
        <f>CONCATENATE(#REF!," ",#REF!)</f>
        <v>#REF!</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hidden="1"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hidden="1" customHeight="1" outlineLevel="1" x14ac:dyDescent="0.25">
      <c r="A165" s="93" t="s">
        <v>265</v>
      </c>
      <c r="B165" s="93"/>
      <c r="C165" s="93"/>
      <c r="D165" s="140"/>
      <c r="E165" s="11"/>
      <c r="F165" s="11"/>
      <c r="G165" s="11"/>
      <c r="H165" s="11"/>
      <c r="I165" s="11"/>
      <c r="J165" s="11"/>
      <c r="K165" s="11"/>
      <c r="L165" s="11"/>
      <c r="M165" s="11"/>
      <c r="N165" s="11">
        <f t="shared" ref="N165:N168" si="19">SUM(O165:Z165)</f>
        <v>0</v>
      </c>
      <c r="O165" s="11"/>
      <c r="P165" s="11"/>
      <c r="Q165" s="11"/>
      <c r="R165" s="11"/>
      <c r="S165" s="11"/>
      <c r="T165" s="11"/>
      <c r="U165" s="11"/>
      <c r="V165" s="11"/>
      <c r="W165" s="11"/>
      <c r="X165" s="11"/>
      <c r="Y165" s="11"/>
      <c r="Z165" s="11"/>
    </row>
    <row r="166" spans="1:27" ht="15" hidden="1" customHeight="1" outlineLevel="1" x14ac:dyDescent="0.25">
      <c r="A166" s="93" t="s">
        <v>266</v>
      </c>
      <c r="B166" s="93"/>
      <c r="C166" s="93"/>
      <c r="D166" s="140"/>
      <c r="E166" s="11"/>
      <c r="F166" s="11"/>
      <c r="G166" s="11"/>
      <c r="H166" s="11"/>
      <c r="I166" s="11"/>
      <c r="J166" s="11"/>
      <c r="K166" s="11"/>
      <c r="L166" s="11"/>
      <c r="M166" s="11"/>
      <c r="N166" s="11">
        <f t="shared" si="19"/>
        <v>0</v>
      </c>
      <c r="O166" s="11"/>
      <c r="P166" s="11"/>
      <c r="Q166" s="11"/>
      <c r="R166" s="11"/>
      <c r="S166" s="11"/>
      <c r="T166" s="11"/>
      <c r="U166" s="11"/>
      <c r="V166" s="11"/>
      <c r="W166" s="11"/>
      <c r="X166" s="11"/>
      <c r="Y166" s="11"/>
      <c r="Z166" s="11"/>
    </row>
    <row r="167" spans="1:27" ht="15" hidden="1" customHeight="1" outlineLevel="1" x14ac:dyDescent="0.25">
      <c r="A167" s="93" t="s">
        <v>283</v>
      </c>
      <c r="B167" s="93"/>
      <c r="C167" s="93"/>
      <c r="D167" s="140"/>
      <c r="E167" s="11"/>
      <c r="F167" s="11"/>
      <c r="G167" s="11"/>
      <c r="H167" s="11"/>
      <c r="I167" s="11"/>
      <c r="J167" s="11"/>
      <c r="K167" s="11"/>
      <c r="L167" s="11"/>
      <c r="M167" s="11"/>
      <c r="N167" s="11">
        <f t="shared" si="19"/>
        <v>0</v>
      </c>
      <c r="O167" s="11"/>
      <c r="P167" s="11"/>
      <c r="Q167" s="11"/>
      <c r="R167" s="11"/>
      <c r="S167" s="11"/>
      <c r="T167" s="11"/>
      <c r="U167" s="11"/>
      <c r="V167" s="11"/>
      <c r="W167" s="11"/>
      <c r="X167" s="11"/>
      <c r="Y167" s="11"/>
      <c r="Z167" s="11"/>
    </row>
    <row r="168" spans="1:27" ht="15" hidden="1" customHeight="1" outlineLevel="1" x14ac:dyDescent="0.25">
      <c r="A168" s="93" t="s">
        <v>284</v>
      </c>
      <c r="B168" s="93"/>
      <c r="C168" s="93"/>
      <c r="D168" s="140"/>
      <c r="E168" s="11"/>
      <c r="F168" s="11"/>
      <c r="G168" s="11"/>
      <c r="H168" s="11"/>
      <c r="I168" s="11"/>
      <c r="J168" s="11"/>
      <c r="K168" s="11"/>
      <c r="L168" s="11"/>
      <c r="M168" s="11"/>
      <c r="N168" s="11">
        <f t="shared" si="19"/>
        <v>0</v>
      </c>
      <c r="O168" s="11"/>
      <c r="P168" s="11"/>
      <c r="Q168" s="11"/>
      <c r="R168" s="11"/>
      <c r="S168" s="11"/>
      <c r="T168" s="11"/>
      <c r="U168" s="11"/>
      <c r="V168" s="11"/>
      <c r="W168" s="11"/>
      <c r="X168" s="11"/>
      <c r="Y168" s="11"/>
      <c r="Z168" s="11"/>
    </row>
    <row r="169" spans="1:27" ht="21" hidden="1" customHeight="1" outlineLevel="1" x14ac:dyDescent="0.25">
      <c r="A169" s="93" t="s">
        <v>285</v>
      </c>
      <c r="B169" s="93"/>
      <c r="C169" s="93"/>
      <c r="D169" s="140"/>
      <c r="E169" s="11"/>
      <c r="F169" s="11"/>
      <c r="G169" s="45"/>
      <c r="H169" s="11"/>
      <c r="I169" s="11"/>
      <c r="J169" s="11"/>
      <c r="K169" s="68" t="s">
        <v>20</v>
      </c>
      <c r="L169" s="32">
        <f>SUM(L164:L168)</f>
        <v>0</v>
      </c>
      <c r="M169" s="32">
        <f>SUM(M164:M168)</f>
        <v>0</v>
      </c>
      <c r="N169" s="11">
        <f>SUM(N165:N168)</f>
        <v>0</v>
      </c>
      <c r="O169" s="11">
        <f t="shared" ref="O169:Z169" si="20">SUM(O165:O168)</f>
        <v>0</v>
      </c>
      <c r="P169" s="11">
        <f t="shared" si="20"/>
        <v>0</v>
      </c>
      <c r="Q169" s="11">
        <f t="shared" si="20"/>
        <v>0</v>
      </c>
      <c r="R169" s="11">
        <f t="shared" si="20"/>
        <v>0</v>
      </c>
      <c r="S169" s="11">
        <f t="shared" si="20"/>
        <v>0</v>
      </c>
      <c r="T169" s="11">
        <f t="shared" si="20"/>
        <v>0</v>
      </c>
      <c r="U169" s="11">
        <f t="shared" si="20"/>
        <v>0</v>
      </c>
      <c r="V169" s="11">
        <f t="shared" si="20"/>
        <v>0</v>
      </c>
      <c r="W169" s="11">
        <f t="shared" si="20"/>
        <v>0</v>
      </c>
      <c r="X169" s="11">
        <f t="shared" si="20"/>
        <v>0</v>
      </c>
      <c r="Y169" s="11">
        <f t="shared" si="20"/>
        <v>0</v>
      </c>
      <c r="Z169" s="11">
        <f t="shared" si="20"/>
        <v>0</v>
      </c>
      <c r="AA169" s="35"/>
    </row>
    <row r="170" spans="1:27" ht="18" hidden="1" outlineLevel="1" x14ac:dyDescent="0.25">
      <c r="A170" s="30" t="e">
        <f>CONCATENATE(#REF!," ",#REF!)</f>
        <v>#REF!</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hidden="1"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hidden="1" customHeight="1" outlineLevel="1" x14ac:dyDescent="0.25">
      <c r="A172" s="93" t="s">
        <v>265</v>
      </c>
      <c r="B172" s="93"/>
      <c r="C172" s="93"/>
      <c r="D172" s="140"/>
      <c r="E172" s="11"/>
      <c r="F172" s="11"/>
      <c r="G172" s="11"/>
      <c r="H172" s="11"/>
      <c r="I172" s="11"/>
      <c r="J172" s="11"/>
      <c r="K172" s="11"/>
      <c r="L172" s="11"/>
      <c r="M172" s="11"/>
      <c r="N172" s="11">
        <f t="shared" ref="N172:N175" si="21">SUM(O172:Z172)</f>
        <v>0</v>
      </c>
      <c r="O172" s="11"/>
      <c r="P172" s="11"/>
      <c r="Q172" s="11"/>
      <c r="R172" s="11"/>
      <c r="S172" s="11"/>
      <c r="T172" s="11"/>
      <c r="U172" s="11"/>
      <c r="V172" s="11"/>
      <c r="W172" s="11"/>
      <c r="X172" s="11"/>
      <c r="Y172" s="11"/>
      <c r="Z172" s="11"/>
    </row>
    <row r="173" spans="1:27" ht="15" hidden="1" customHeight="1" outlineLevel="1" x14ac:dyDescent="0.25">
      <c r="A173" s="93" t="s">
        <v>266</v>
      </c>
      <c r="B173" s="93"/>
      <c r="C173" s="93"/>
      <c r="D173" s="140"/>
      <c r="E173" s="11"/>
      <c r="F173" s="11"/>
      <c r="G173" s="11"/>
      <c r="H173" s="11"/>
      <c r="I173" s="11"/>
      <c r="J173" s="11"/>
      <c r="K173" s="11"/>
      <c r="L173" s="11"/>
      <c r="M173" s="11"/>
      <c r="N173" s="11">
        <f t="shared" si="21"/>
        <v>0</v>
      </c>
      <c r="O173" s="11"/>
      <c r="P173" s="11"/>
      <c r="Q173" s="11"/>
      <c r="R173" s="11"/>
      <c r="S173" s="11"/>
      <c r="T173" s="11"/>
      <c r="U173" s="11"/>
      <c r="V173" s="11"/>
      <c r="W173" s="11"/>
      <c r="X173" s="11"/>
      <c r="Y173" s="11"/>
      <c r="Z173" s="11"/>
    </row>
    <row r="174" spans="1:27" ht="15" hidden="1" customHeight="1" outlineLevel="1" x14ac:dyDescent="0.25">
      <c r="A174" s="93" t="s">
        <v>283</v>
      </c>
      <c r="B174" s="93"/>
      <c r="C174" s="93"/>
      <c r="D174" s="140"/>
      <c r="E174" s="11"/>
      <c r="F174" s="11"/>
      <c r="G174" s="11"/>
      <c r="H174" s="11"/>
      <c r="I174" s="11"/>
      <c r="J174" s="11"/>
      <c r="K174" s="11"/>
      <c r="L174" s="11"/>
      <c r="M174" s="11"/>
      <c r="N174" s="11">
        <f t="shared" si="21"/>
        <v>0</v>
      </c>
      <c r="O174" s="11"/>
      <c r="P174" s="11"/>
      <c r="Q174" s="11"/>
      <c r="R174" s="11"/>
      <c r="S174" s="11"/>
      <c r="T174" s="11"/>
      <c r="U174" s="11"/>
      <c r="V174" s="11"/>
      <c r="W174" s="11"/>
      <c r="X174" s="11"/>
      <c r="Y174" s="11"/>
      <c r="Z174" s="11"/>
    </row>
    <row r="175" spans="1:27" ht="15" hidden="1" customHeight="1" outlineLevel="1" x14ac:dyDescent="0.25">
      <c r="A175" s="93" t="s">
        <v>284</v>
      </c>
      <c r="B175" s="93"/>
      <c r="C175" s="93"/>
      <c r="D175" s="140"/>
      <c r="E175" s="11"/>
      <c r="F175" s="11"/>
      <c r="G175" s="11"/>
      <c r="H175" s="11"/>
      <c r="I175" s="11"/>
      <c r="J175" s="11"/>
      <c r="K175" s="11"/>
      <c r="L175" s="11"/>
      <c r="M175" s="11"/>
      <c r="N175" s="11">
        <f t="shared" si="21"/>
        <v>0</v>
      </c>
      <c r="O175" s="11"/>
      <c r="P175" s="11"/>
      <c r="Q175" s="11"/>
      <c r="R175" s="11"/>
      <c r="S175" s="11"/>
      <c r="T175" s="11"/>
      <c r="U175" s="11"/>
      <c r="V175" s="11"/>
      <c r="W175" s="11"/>
      <c r="X175" s="11"/>
      <c r="Y175" s="11"/>
      <c r="Z175" s="11"/>
    </row>
    <row r="176" spans="1:27" ht="21" hidden="1" customHeight="1" outlineLevel="1" x14ac:dyDescent="0.25">
      <c r="A176" s="93" t="s">
        <v>285</v>
      </c>
      <c r="B176" s="93"/>
      <c r="C176" s="93"/>
      <c r="D176" s="140"/>
      <c r="E176" s="11"/>
      <c r="F176" s="11"/>
      <c r="G176" s="45"/>
      <c r="H176" s="11"/>
      <c r="I176" s="11"/>
      <c r="J176" s="11"/>
      <c r="K176" s="68" t="s">
        <v>20</v>
      </c>
      <c r="L176" s="32">
        <f>SUM(L171:L175)</f>
        <v>0</v>
      </c>
      <c r="M176" s="32">
        <f>SUM(M171:M175)</f>
        <v>0</v>
      </c>
      <c r="N176" s="11">
        <f>SUM(N172:N175)</f>
        <v>0</v>
      </c>
      <c r="O176" s="11">
        <f t="shared" ref="O176:Z176" si="22">SUM(O172:O175)</f>
        <v>0</v>
      </c>
      <c r="P176" s="11">
        <f t="shared" si="22"/>
        <v>0</v>
      </c>
      <c r="Q176" s="11">
        <f t="shared" si="22"/>
        <v>0</v>
      </c>
      <c r="R176" s="11">
        <f t="shared" si="22"/>
        <v>0</v>
      </c>
      <c r="S176" s="11">
        <f t="shared" si="22"/>
        <v>0</v>
      </c>
      <c r="T176" s="11">
        <f t="shared" si="22"/>
        <v>0</v>
      </c>
      <c r="U176" s="11">
        <f t="shared" si="22"/>
        <v>0</v>
      </c>
      <c r="V176" s="11">
        <f t="shared" si="22"/>
        <v>0</v>
      </c>
      <c r="W176" s="11">
        <f t="shared" si="22"/>
        <v>0</v>
      </c>
      <c r="X176" s="11">
        <f t="shared" si="22"/>
        <v>0</v>
      </c>
      <c r="Y176" s="11">
        <f t="shared" si="22"/>
        <v>0</v>
      </c>
      <c r="Z176" s="11">
        <f t="shared" si="22"/>
        <v>0</v>
      </c>
      <c r="AA176" s="35"/>
    </row>
    <row r="177" spans="1:27" ht="18" hidden="1" outlineLevel="1" x14ac:dyDescent="0.25">
      <c r="A177" s="30" t="str">
        <f>CONCATENATE(B21," ",C21)</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7" ht="41.45" hidden="1" customHeight="1" outlineLevel="1" x14ac:dyDescent="0.25">
      <c r="A178" s="92" t="s">
        <v>261</v>
      </c>
      <c r="B178" s="92" t="s">
        <v>13</v>
      </c>
      <c r="C178" s="92" t="s">
        <v>14</v>
      </c>
      <c r="D178" s="133" t="s">
        <v>286</v>
      </c>
      <c r="E178" s="32" t="s">
        <v>16</v>
      </c>
      <c r="F178" s="32" t="s">
        <v>295</v>
      </c>
      <c r="G178" s="32" t="s">
        <v>39</v>
      </c>
      <c r="H178" s="32" t="s">
        <v>297</v>
      </c>
      <c r="I178" s="32" t="s">
        <v>298</v>
      </c>
      <c r="J178" s="32" t="s">
        <v>299</v>
      </c>
      <c r="K178" s="32" t="s">
        <v>300</v>
      </c>
      <c r="L178" s="32" t="s">
        <v>17</v>
      </c>
      <c r="M178" s="32" t="s">
        <v>18</v>
      </c>
      <c r="N178" s="32" t="s">
        <v>19</v>
      </c>
      <c r="O178" s="66">
        <v>43101</v>
      </c>
      <c r="P178" s="66">
        <v>43132</v>
      </c>
      <c r="Q178" s="66">
        <v>43160</v>
      </c>
      <c r="R178" s="66">
        <v>43191</v>
      </c>
      <c r="S178" s="66">
        <v>43221</v>
      </c>
      <c r="T178" s="66">
        <v>43252</v>
      </c>
      <c r="U178" s="66">
        <v>43282</v>
      </c>
      <c r="V178" s="66">
        <v>43313</v>
      </c>
      <c r="W178" s="66">
        <v>43344</v>
      </c>
      <c r="X178" s="66">
        <v>43374</v>
      </c>
      <c r="Y178" s="66">
        <v>43405</v>
      </c>
      <c r="Z178" s="66">
        <v>43435</v>
      </c>
    </row>
    <row r="179" spans="1:27" ht="15" hidden="1" customHeight="1" outlineLevel="1" x14ac:dyDescent="0.25">
      <c r="A179" s="93" t="s">
        <v>265</v>
      </c>
      <c r="B179" s="93"/>
      <c r="C179" s="93"/>
      <c r="D179" s="140"/>
      <c r="E179" s="11"/>
      <c r="F179" s="11"/>
      <c r="G179" s="11"/>
      <c r="H179" s="11"/>
      <c r="I179" s="11"/>
      <c r="J179" s="11"/>
      <c r="K179" s="11"/>
      <c r="L179" s="11"/>
      <c r="M179" s="11"/>
      <c r="N179" s="11">
        <f t="shared" ref="N179:N182" si="23">SUM(O179:Z179)</f>
        <v>0</v>
      </c>
      <c r="O179" s="11"/>
      <c r="P179" s="11"/>
      <c r="Q179" s="11"/>
      <c r="R179" s="11"/>
      <c r="S179" s="11"/>
      <c r="T179" s="11"/>
      <c r="U179" s="11"/>
      <c r="V179" s="11"/>
      <c r="W179" s="11"/>
      <c r="X179" s="11"/>
      <c r="Y179" s="11"/>
      <c r="Z179" s="11"/>
    </row>
    <row r="180" spans="1:27" ht="15" hidden="1" customHeight="1" outlineLevel="1" x14ac:dyDescent="0.25">
      <c r="A180" s="93" t="s">
        <v>266</v>
      </c>
      <c r="B180" s="93"/>
      <c r="C180" s="93"/>
      <c r="D180" s="140"/>
      <c r="E180" s="11"/>
      <c r="F180" s="11"/>
      <c r="G180" s="11"/>
      <c r="H180" s="11"/>
      <c r="I180" s="11"/>
      <c r="J180" s="11"/>
      <c r="K180" s="11"/>
      <c r="L180" s="11"/>
      <c r="M180" s="11"/>
      <c r="N180" s="11">
        <f t="shared" si="23"/>
        <v>0</v>
      </c>
      <c r="O180" s="11"/>
      <c r="P180" s="11"/>
      <c r="Q180" s="11"/>
      <c r="R180" s="11"/>
      <c r="S180" s="11"/>
      <c r="T180" s="11"/>
      <c r="U180" s="11"/>
      <c r="V180" s="11"/>
      <c r="W180" s="11"/>
      <c r="X180" s="11"/>
      <c r="Y180" s="11"/>
      <c r="Z180" s="11"/>
    </row>
    <row r="181" spans="1:27" ht="15" hidden="1" customHeight="1" outlineLevel="1" x14ac:dyDescent="0.25">
      <c r="A181" s="93" t="s">
        <v>283</v>
      </c>
      <c r="B181" s="93"/>
      <c r="C181" s="93"/>
      <c r="D181" s="140"/>
      <c r="E181" s="11"/>
      <c r="F181" s="11"/>
      <c r="G181" s="11"/>
      <c r="H181" s="11"/>
      <c r="I181" s="11"/>
      <c r="J181" s="11"/>
      <c r="K181" s="11"/>
      <c r="L181" s="11"/>
      <c r="M181" s="11"/>
      <c r="N181" s="11">
        <f t="shared" si="23"/>
        <v>0</v>
      </c>
      <c r="O181" s="11"/>
      <c r="P181" s="11"/>
      <c r="Q181" s="11"/>
      <c r="R181" s="11"/>
      <c r="S181" s="11"/>
      <c r="T181" s="11"/>
      <c r="U181" s="11"/>
      <c r="V181" s="11"/>
      <c r="W181" s="11"/>
      <c r="X181" s="11"/>
      <c r="Y181" s="11"/>
      <c r="Z181" s="11"/>
    </row>
    <row r="182" spans="1:27" ht="15" hidden="1" customHeight="1" outlineLevel="1" x14ac:dyDescent="0.25">
      <c r="A182" s="93" t="s">
        <v>284</v>
      </c>
      <c r="B182" s="93"/>
      <c r="C182" s="93"/>
      <c r="D182" s="140"/>
      <c r="E182" s="11"/>
      <c r="F182" s="11"/>
      <c r="G182" s="11"/>
      <c r="H182" s="11"/>
      <c r="I182" s="11"/>
      <c r="J182" s="11"/>
      <c r="K182" s="11"/>
      <c r="L182" s="11"/>
      <c r="M182" s="11"/>
      <c r="N182" s="11">
        <f t="shared" si="23"/>
        <v>0</v>
      </c>
      <c r="O182" s="11"/>
      <c r="P182" s="11"/>
      <c r="Q182" s="11"/>
      <c r="R182" s="11"/>
      <c r="S182" s="11"/>
      <c r="T182" s="11"/>
      <c r="U182" s="11"/>
      <c r="V182" s="11"/>
      <c r="W182" s="11"/>
      <c r="X182" s="11"/>
      <c r="Y182" s="11"/>
      <c r="Z182" s="11"/>
    </row>
    <row r="183" spans="1:27" ht="21" hidden="1" customHeight="1" outlineLevel="1" x14ac:dyDescent="0.25">
      <c r="A183" s="93" t="s">
        <v>285</v>
      </c>
      <c r="B183" s="93"/>
      <c r="C183" s="93"/>
      <c r="D183" s="140"/>
      <c r="E183" s="11"/>
      <c r="F183" s="11"/>
      <c r="G183" s="45"/>
      <c r="H183" s="11"/>
      <c r="I183" s="11"/>
      <c r="J183" s="11"/>
      <c r="K183" s="68" t="s">
        <v>20</v>
      </c>
      <c r="L183" s="32">
        <f>SUM(L178:L182)</f>
        <v>0</v>
      </c>
      <c r="M183" s="32">
        <f>SUM(M178:M182)</f>
        <v>0</v>
      </c>
      <c r="N183" s="11">
        <f>SUM(N179:N182)</f>
        <v>0</v>
      </c>
      <c r="O183" s="11">
        <f t="shared" ref="O183:Z183" si="24">SUM(O179:O182)</f>
        <v>0</v>
      </c>
      <c r="P183" s="11">
        <f t="shared" si="24"/>
        <v>0</v>
      </c>
      <c r="Q183" s="11">
        <f t="shared" si="24"/>
        <v>0</v>
      </c>
      <c r="R183" s="11">
        <f t="shared" si="24"/>
        <v>0</v>
      </c>
      <c r="S183" s="11">
        <f t="shared" si="24"/>
        <v>0</v>
      </c>
      <c r="T183" s="11">
        <f t="shared" si="24"/>
        <v>0</v>
      </c>
      <c r="U183" s="11">
        <f t="shared" si="24"/>
        <v>0</v>
      </c>
      <c r="V183" s="11">
        <f t="shared" si="24"/>
        <v>0</v>
      </c>
      <c r="W183" s="11">
        <f t="shared" si="24"/>
        <v>0</v>
      </c>
      <c r="X183" s="11">
        <f t="shared" si="24"/>
        <v>0</v>
      </c>
      <c r="Y183" s="11">
        <f t="shared" si="24"/>
        <v>0</v>
      </c>
      <c r="Z183" s="11">
        <f t="shared" si="24"/>
        <v>0</v>
      </c>
      <c r="AA183" s="35"/>
    </row>
    <row r="184" spans="1:27" ht="18" hidden="1" outlineLevel="1" x14ac:dyDescent="0.25">
      <c r="A184" s="30" t="str">
        <f>CONCATENATE(B22," ",C22)</f>
        <v xml:space="preserve"> </v>
      </c>
      <c r="B184" s="30"/>
      <c r="C184" s="31"/>
      <c r="D184" s="31"/>
      <c r="E184" s="29"/>
      <c r="F184" s="29"/>
      <c r="G184" s="29"/>
      <c r="H184" s="29"/>
      <c r="I184" s="29"/>
      <c r="J184" s="29"/>
      <c r="K184" s="29"/>
      <c r="L184" s="29"/>
      <c r="M184" s="29"/>
      <c r="N184" s="29"/>
      <c r="O184" s="29" t="s">
        <v>5</v>
      </c>
      <c r="P184" s="29"/>
      <c r="Q184" s="29"/>
      <c r="R184" s="29"/>
      <c r="S184" s="29"/>
      <c r="T184" s="29"/>
      <c r="U184" s="29"/>
      <c r="V184" s="29"/>
      <c r="W184" s="29"/>
      <c r="X184" s="29"/>
      <c r="Y184" s="29"/>
      <c r="Z184" s="29"/>
    </row>
    <row r="185" spans="1:27" ht="6.75" hidden="1" customHeight="1" collapsed="1" x14ac:dyDescent="0.25"/>
    <row r="186" spans="1:27" ht="18" x14ac:dyDescent="0.25">
      <c r="A186" s="41" t="s">
        <v>324</v>
      </c>
      <c r="B186" s="41"/>
      <c r="C186" s="42"/>
      <c r="D186" s="42"/>
      <c r="E186" s="43"/>
      <c r="F186" s="43"/>
      <c r="G186" s="43"/>
      <c r="H186" s="44"/>
      <c r="I186" s="44"/>
      <c r="J186" s="43"/>
      <c r="K186" s="43"/>
      <c r="L186" s="43"/>
      <c r="M186" s="43"/>
      <c r="N186" s="43"/>
      <c r="O186" s="43" t="s">
        <v>5</v>
      </c>
      <c r="P186" s="43"/>
      <c r="Q186" s="43"/>
      <c r="R186" s="43"/>
      <c r="S186" s="43"/>
      <c r="T186" s="43"/>
      <c r="U186" s="43"/>
      <c r="V186" s="43"/>
      <c r="W186" s="43"/>
      <c r="X186" s="43"/>
      <c r="Y186" s="43"/>
      <c r="Z186" s="43"/>
    </row>
    <row r="187" spans="1:27" ht="15.75" hidden="1" outlineLevel="1" x14ac:dyDescent="0.25">
      <c r="A187" s="92" t="s">
        <v>261</v>
      </c>
      <c r="B187" s="92" t="s">
        <v>13</v>
      </c>
      <c r="C187" s="92" t="s">
        <v>14</v>
      </c>
      <c r="D187" s="8" t="s">
        <v>15</v>
      </c>
      <c r="E187" s="49"/>
      <c r="F187" s="49"/>
      <c r="G187" s="49"/>
      <c r="H187" s="49"/>
      <c r="I187" s="49"/>
      <c r="J187" s="48"/>
      <c r="K187" s="12"/>
      <c r="L187" s="32" t="s">
        <v>52</v>
      </c>
      <c r="M187" s="32" t="s">
        <v>53</v>
      </c>
      <c r="N187" s="32" t="s">
        <v>54</v>
      </c>
      <c r="O187" s="66">
        <v>43101</v>
      </c>
      <c r="P187" s="66">
        <v>43132</v>
      </c>
      <c r="Q187" s="66">
        <v>43160</v>
      </c>
      <c r="R187" s="66">
        <v>43191</v>
      </c>
      <c r="S187" s="66">
        <v>43221</v>
      </c>
      <c r="T187" s="66">
        <v>43252</v>
      </c>
      <c r="U187" s="66">
        <v>43282</v>
      </c>
      <c r="V187" s="66">
        <v>43313</v>
      </c>
      <c r="W187" s="66">
        <v>43344</v>
      </c>
      <c r="X187" s="66">
        <v>43374</v>
      </c>
      <c r="Y187" s="66">
        <v>43405</v>
      </c>
      <c r="Z187" s="66">
        <v>43435</v>
      </c>
    </row>
    <row r="188" spans="1:27" ht="15" hidden="1" outlineLevel="1" x14ac:dyDescent="0.25">
      <c r="A188" s="93" t="str">
        <f>+A17</f>
        <v>3.1</v>
      </c>
      <c r="B188" s="93" t="s">
        <v>27</v>
      </c>
      <c r="C188" s="93" t="str">
        <f t="shared" ref="C188:D191" si="25">C17</f>
        <v>RE Mine Property</v>
      </c>
      <c r="D188" s="7" t="str">
        <f t="shared" si="25"/>
        <v>Tramitación, Mantención y Resguardo de la Propiedad Minera Relincho</v>
      </c>
      <c r="E188" s="49"/>
      <c r="F188" s="49"/>
      <c r="G188" s="49"/>
      <c r="H188" s="49"/>
      <c r="I188" s="49"/>
      <c r="J188" s="48"/>
      <c r="K188" s="12" t="s">
        <v>5</v>
      </c>
      <c r="L188" s="11" t="s">
        <v>48</v>
      </c>
      <c r="M188" s="11" t="s">
        <v>55</v>
      </c>
      <c r="N188" s="11">
        <v>6</v>
      </c>
      <c r="O188" s="54">
        <f t="shared" ref="O188:Z188" si="26">+O17/SUM($O17:$Z17)</f>
        <v>2.8037768624646638E-2</v>
      </c>
      <c r="P188" s="54">
        <f t="shared" si="26"/>
        <v>3.1715099092011964E-2</v>
      </c>
      <c r="Q188" s="54">
        <f t="shared" si="26"/>
        <v>0.59784013564994265</v>
      </c>
      <c r="R188" s="54">
        <f t="shared" si="26"/>
        <v>5.0897255570758436E-2</v>
      </c>
      <c r="S188" s="54">
        <f t="shared" si="26"/>
        <v>2.8623139597002752E-2</v>
      </c>
      <c r="T188" s="54">
        <f t="shared" si="26"/>
        <v>5.0967299960613013E-2</v>
      </c>
      <c r="U188" s="54">
        <f t="shared" si="26"/>
        <v>5.1877877028722513E-2</v>
      </c>
      <c r="V188" s="54">
        <f t="shared" si="26"/>
        <v>1.53447245488564E-2</v>
      </c>
      <c r="W188" s="54">
        <f t="shared" si="26"/>
        <v>6.4125638911865804E-2</v>
      </c>
      <c r="X188" s="54">
        <f t="shared" si="26"/>
        <v>2.427538425531504E-2</v>
      </c>
      <c r="Y188" s="54">
        <f t="shared" si="26"/>
        <v>3.6478117602123238E-2</v>
      </c>
      <c r="Z188" s="54">
        <f t="shared" si="26"/>
        <v>1.9817559158141564E-2</v>
      </c>
    </row>
    <row r="189" spans="1:27" ht="15" hidden="1" outlineLevel="1" x14ac:dyDescent="0.25">
      <c r="A189" s="93" t="str">
        <f>+A18</f>
        <v>3.2</v>
      </c>
      <c r="B189" s="93" t="s">
        <v>29</v>
      </c>
      <c r="C189" s="93" t="str">
        <f t="shared" si="25"/>
        <v>EM Mine Property</v>
      </c>
      <c r="D189" s="7" t="str">
        <f t="shared" si="25"/>
        <v>Tramitación, Mantención y Resguardo de la Propiedad Minera El Morro</v>
      </c>
      <c r="E189" s="49"/>
      <c r="F189" s="49"/>
      <c r="G189" s="49"/>
      <c r="H189" s="49"/>
      <c r="I189" s="49"/>
      <c r="J189" s="48"/>
      <c r="K189" s="12" t="s">
        <v>5</v>
      </c>
      <c r="L189" s="11" t="s">
        <v>48</v>
      </c>
      <c r="M189" s="11" t="s">
        <v>55</v>
      </c>
      <c r="N189" s="11">
        <v>6</v>
      </c>
      <c r="O189" s="54">
        <f t="shared" ref="O189:Z189" si="27">+O18/SUM($O18:$Z18)</f>
        <v>2.1791677961650086E-3</v>
      </c>
      <c r="P189" s="54">
        <f t="shared" si="27"/>
        <v>4.0224164458856097E-3</v>
      </c>
      <c r="Q189" s="54">
        <f t="shared" si="27"/>
        <v>0.7881728315767349</v>
      </c>
      <c r="R189" s="54">
        <f t="shared" si="27"/>
        <v>3.1615159667287215E-2</v>
      </c>
      <c r="S189" s="54">
        <f t="shared" si="27"/>
        <v>2.2963088318481876E-2</v>
      </c>
      <c r="T189" s="54">
        <f t="shared" si="27"/>
        <v>1.8690885840624777E-3</v>
      </c>
      <c r="U189" s="54">
        <f t="shared" si="27"/>
        <v>7.5745460867490469E-2</v>
      </c>
      <c r="V189" s="54">
        <f t="shared" si="27"/>
        <v>4.0224164458856097E-3</v>
      </c>
      <c r="W189" s="54">
        <f t="shared" si="27"/>
        <v>1.8690885840624777E-3</v>
      </c>
      <c r="X189" s="54">
        <f t="shared" si="27"/>
        <v>2.3945005823473218E-3</v>
      </c>
      <c r="Y189" s="54">
        <f t="shared" si="27"/>
        <v>6.3277692547534528E-2</v>
      </c>
      <c r="Z189" s="54">
        <f t="shared" si="27"/>
        <v>1.8690885840624777E-3</v>
      </c>
    </row>
    <row r="190" spans="1:27" ht="15" hidden="1" outlineLevel="1" x14ac:dyDescent="0.25">
      <c r="A190" s="93" t="str">
        <f>+A19</f>
        <v>3.3</v>
      </c>
      <c r="B190" s="93" t="s">
        <v>30</v>
      </c>
      <c r="C190" s="93" t="str">
        <f t="shared" si="25"/>
        <v>Legal/Consulting/Easments</v>
      </c>
      <c r="D190" s="7" t="str">
        <f t="shared" si="25"/>
        <v>Costo Consultores, Servidumbres y gastos varios área legal</v>
      </c>
      <c r="E190" s="49"/>
      <c r="F190" s="49"/>
      <c r="G190" s="49"/>
      <c r="H190" s="49"/>
      <c r="I190" s="49"/>
      <c r="J190" s="48"/>
      <c r="K190" s="12" t="s">
        <v>5</v>
      </c>
      <c r="L190" s="11"/>
      <c r="M190" s="11"/>
      <c r="N190" s="11"/>
      <c r="O190" s="54">
        <f t="shared" ref="O190:Z191" si="28">+O19/SUM($O19:$Z19)</f>
        <v>6.9185336881405268E-2</v>
      </c>
      <c r="P190" s="54">
        <f t="shared" si="28"/>
        <v>6.6529506415110105E-3</v>
      </c>
      <c r="Q190" s="54">
        <f t="shared" si="28"/>
        <v>7.079194400726109E-2</v>
      </c>
      <c r="R190" s="54">
        <f t="shared" si="28"/>
        <v>1.7473555799103181E-2</v>
      </c>
      <c r="S190" s="54">
        <f t="shared" si="28"/>
        <v>2.9468257321452224E-2</v>
      </c>
      <c r="T190" s="54">
        <f t="shared" si="28"/>
        <v>3.466512676803471E-2</v>
      </c>
      <c r="U190" s="54">
        <f t="shared" si="28"/>
        <v>7.5189811819976159E-3</v>
      </c>
      <c r="V190" s="54">
        <f t="shared" si="28"/>
        <v>0.15785747728941585</v>
      </c>
      <c r="W190" s="54">
        <f t="shared" si="28"/>
        <v>0.11367875704929893</v>
      </c>
      <c r="X190" s="54">
        <f t="shared" si="28"/>
        <v>9.7791789631790863E-3</v>
      </c>
      <c r="Y190" s="54">
        <f t="shared" si="28"/>
        <v>3.9517939699500919E-3</v>
      </c>
      <c r="Z190" s="54">
        <f t="shared" si="28"/>
        <v>0.47897664012739094</v>
      </c>
    </row>
    <row r="191" spans="1:27" ht="15" hidden="1" outlineLevel="1" x14ac:dyDescent="0.25">
      <c r="A191" s="93" t="str">
        <f>+A20</f>
        <v>3.4</v>
      </c>
      <c r="B191" s="93" t="s">
        <v>31</v>
      </c>
      <c r="C191" s="93" t="str">
        <f t="shared" si="25"/>
        <v>Permits Licences</v>
      </c>
      <c r="D191" s="140" t="str">
        <f t="shared" si="25"/>
        <v>Pago de Contribuciones predios superficiales de propiedad del proyecto</v>
      </c>
      <c r="E191" s="49"/>
      <c r="F191" s="49"/>
      <c r="G191" s="49"/>
      <c r="H191" s="49"/>
      <c r="I191" s="49"/>
      <c r="J191" s="48"/>
      <c r="K191" s="12" t="s">
        <v>5</v>
      </c>
      <c r="L191" s="11"/>
      <c r="M191" s="11"/>
      <c r="N191" s="11"/>
      <c r="O191" s="54">
        <f t="shared" si="28"/>
        <v>0</v>
      </c>
      <c r="P191" s="54">
        <f t="shared" si="28"/>
        <v>0</v>
      </c>
      <c r="Q191" s="54">
        <f t="shared" si="28"/>
        <v>0</v>
      </c>
      <c r="R191" s="54">
        <f t="shared" si="28"/>
        <v>0.25</v>
      </c>
      <c r="S191" s="54">
        <f t="shared" si="28"/>
        <v>0</v>
      </c>
      <c r="T191" s="54">
        <f t="shared" si="28"/>
        <v>0.25</v>
      </c>
      <c r="U191" s="54">
        <f t="shared" si="28"/>
        <v>0</v>
      </c>
      <c r="V191" s="54">
        <f t="shared" si="28"/>
        <v>0</v>
      </c>
      <c r="W191" s="54">
        <f t="shared" si="28"/>
        <v>0.25</v>
      </c>
      <c r="X191" s="54">
        <f t="shared" si="28"/>
        <v>0</v>
      </c>
      <c r="Y191" s="54">
        <f t="shared" si="28"/>
        <v>0.25</v>
      </c>
      <c r="Z191" s="54">
        <f t="shared" si="28"/>
        <v>0</v>
      </c>
    </row>
    <row r="192" spans="1:27" ht="15" hidden="1" outlineLevel="1" x14ac:dyDescent="0.25">
      <c r="A192" s="93" t="e">
        <f>+#REF!</f>
        <v>#REF!</v>
      </c>
      <c r="B192" s="93" t="s">
        <v>32</v>
      </c>
      <c r="C192" s="93" t="e">
        <f>#REF!</f>
        <v>#REF!</v>
      </c>
      <c r="D192" s="140" t="e">
        <f>#REF!</f>
        <v>#REF!</v>
      </c>
      <c r="E192" s="49"/>
      <c r="F192" s="49"/>
      <c r="G192" s="49"/>
      <c r="H192" s="49"/>
      <c r="I192" s="49"/>
      <c r="J192" s="48"/>
      <c r="K192" s="12"/>
      <c r="L192" s="11"/>
      <c r="M192" s="11"/>
      <c r="N192" s="11"/>
      <c r="O192" s="54" t="e">
        <f>+#REF!/SUM(#REF!)</f>
        <v>#REF!</v>
      </c>
      <c r="P192" s="54" t="e">
        <f>+#REF!/SUM(#REF!)</f>
        <v>#REF!</v>
      </c>
      <c r="Q192" s="54" t="e">
        <f>+#REF!/SUM(#REF!)</f>
        <v>#REF!</v>
      </c>
      <c r="R192" s="54" t="e">
        <f>+#REF!/SUM(#REF!)</f>
        <v>#REF!</v>
      </c>
      <c r="S192" s="54" t="e">
        <f>+#REF!/SUM(#REF!)</f>
        <v>#REF!</v>
      </c>
      <c r="T192" s="54" t="e">
        <f>+#REF!/SUM(#REF!)</f>
        <v>#REF!</v>
      </c>
      <c r="U192" s="54" t="e">
        <f>+#REF!/SUM(#REF!)</f>
        <v>#REF!</v>
      </c>
      <c r="V192" s="54" t="e">
        <f>+#REF!/SUM(#REF!)</f>
        <v>#REF!</v>
      </c>
      <c r="W192" s="54" t="e">
        <f>+#REF!/SUM(#REF!)</f>
        <v>#REF!</v>
      </c>
      <c r="X192" s="54" t="e">
        <f>+#REF!/SUM(#REF!)</f>
        <v>#REF!</v>
      </c>
      <c r="Y192" s="54" t="e">
        <f>+#REF!/SUM(#REF!)</f>
        <v>#REF!</v>
      </c>
      <c r="Z192" s="54" t="e">
        <f>+#REF!/SUM(#REF!)</f>
        <v>#REF!</v>
      </c>
    </row>
    <row r="193" spans="1:26" ht="15" hidden="1" outlineLevel="1" x14ac:dyDescent="0.25">
      <c r="A193" s="93" t="e">
        <f>+#REF!</f>
        <v>#REF!</v>
      </c>
      <c r="B193" s="93" t="s">
        <v>256</v>
      </c>
      <c r="C193" s="93" t="e">
        <f>#REF!</f>
        <v>#REF!</v>
      </c>
      <c r="D193" s="140" t="e">
        <f>#REF!</f>
        <v>#REF!</v>
      </c>
      <c r="E193" s="49"/>
      <c r="F193" s="49"/>
      <c r="G193" s="49"/>
      <c r="H193" s="49"/>
      <c r="I193" s="49"/>
      <c r="J193" s="48"/>
      <c r="K193" s="12"/>
      <c r="L193" s="11"/>
      <c r="M193" s="11"/>
      <c r="N193" s="11"/>
      <c r="O193" s="54" t="e">
        <f>+#REF!/SUM(#REF!)</f>
        <v>#REF!</v>
      </c>
      <c r="P193" s="54" t="e">
        <f>+#REF!/SUM(#REF!)</f>
        <v>#REF!</v>
      </c>
      <c r="Q193" s="54" t="e">
        <f>+#REF!/SUM(#REF!)</f>
        <v>#REF!</v>
      </c>
      <c r="R193" s="54" t="e">
        <f>+#REF!/SUM(#REF!)</f>
        <v>#REF!</v>
      </c>
      <c r="S193" s="54" t="e">
        <f>+#REF!/SUM(#REF!)</f>
        <v>#REF!</v>
      </c>
      <c r="T193" s="54" t="e">
        <f>+#REF!/SUM(#REF!)</f>
        <v>#REF!</v>
      </c>
      <c r="U193" s="54" t="e">
        <f>+#REF!/SUM(#REF!)</f>
        <v>#REF!</v>
      </c>
      <c r="V193" s="54" t="e">
        <f>+#REF!/SUM(#REF!)</f>
        <v>#REF!</v>
      </c>
      <c r="W193" s="54" t="e">
        <f>+#REF!/SUM(#REF!)</f>
        <v>#REF!</v>
      </c>
      <c r="X193" s="54" t="e">
        <f>+#REF!/SUM(#REF!)</f>
        <v>#REF!</v>
      </c>
      <c r="Y193" s="54" t="e">
        <f>+#REF!/SUM(#REF!)</f>
        <v>#REF!</v>
      </c>
      <c r="Z193" s="54" t="e">
        <f>+#REF!/SUM(#REF!)</f>
        <v>#REF!</v>
      </c>
    </row>
    <row r="194" spans="1:26" ht="15" hidden="1" outlineLevel="1" x14ac:dyDescent="0.25">
      <c r="A194" s="93" t="e">
        <f>+#REF!</f>
        <v>#REF!</v>
      </c>
      <c r="B194" s="93" t="s">
        <v>257</v>
      </c>
      <c r="C194" s="93" t="e">
        <f>#REF!</f>
        <v>#REF!</v>
      </c>
      <c r="D194" s="140" t="e">
        <f>#REF!</f>
        <v>#REF!</v>
      </c>
      <c r="E194" s="49"/>
      <c r="F194" s="49"/>
      <c r="G194" s="49"/>
      <c r="H194" s="49"/>
      <c r="I194" s="49"/>
      <c r="J194" s="48"/>
      <c r="K194" s="12"/>
      <c r="L194" s="11"/>
      <c r="M194" s="11"/>
      <c r="N194" s="11"/>
      <c r="O194" s="54" t="e">
        <f>+#REF!/SUM(#REF!)</f>
        <v>#REF!</v>
      </c>
      <c r="P194" s="54" t="e">
        <f>+#REF!/SUM(#REF!)</f>
        <v>#REF!</v>
      </c>
      <c r="Q194" s="54" t="e">
        <f>+#REF!/SUM(#REF!)</f>
        <v>#REF!</v>
      </c>
      <c r="R194" s="54" t="e">
        <f>+#REF!/SUM(#REF!)</f>
        <v>#REF!</v>
      </c>
      <c r="S194" s="54" t="e">
        <f>+#REF!/SUM(#REF!)</f>
        <v>#REF!</v>
      </c>
      <c r="T194" s="54" t="e">
        <f>+#REF!/SUM(#REF!)</f>
        <v>#REF!</v>
      </c>
      <c r="U194" s="54" t="e">
        <f>+#REF!/SUM(#REF!)</f>
        <v>#REF!</v>
      </c>
      <c r="V194" s="54" t="e">
        <f>+#REF!/SUM(#REF!)</f>
        <v>#REF!</v>
      </c>
      <c r="W194" s="54" t="e">
        <f>+#REF!/SUM(#REF!)</f>
        <v>#REF!</v>
      </c>
      <c r="X194" s="54" t="e">
        <f>+#REF!/SUM(#REF!)</f>
        <v>#REF!</v>
      </c>
      <c r="Y194" s="54" t="e">
        <f>+#REF!/SUM(#REF!)</f>
        <v>#REF!</v>
      </c>
      <c r="Z194" s="54" t="e">
        <f>+#REF!/SUM(#REF!)</f>
        <v>#REF!</v>
      </c>
    </row>
    <row r="195" spans="1:26" ht="15" hidden="1" outlineLevel="1" x14ac:dyDescent="0.25">
      <c r="A195" s="93" t="e">
        <f>+#REF!</f>
        <v>#REF!</v>
      </c>
      <c r="B195" s="93" t="s">
        <v>258</v>
      </c>
      <c r="C195" s="93" t="e">
        <f>#REF!</f>
        <v>#REF!</v>
      </c>
      <c r="D195" s="140" t="e">
        <f>#REF!</f>
        <v>#REF!</v>
      </c>
      <c r="E195" s="49"/>
      <c r="F195" s="49"/>
      <c r="G195" s="49"/>
      <c r="H195" s="49"/>
      <c r="I195" s="49"/>
      <c r="J195" s="48"/>
      <c r="K195" s="12"/>
      <c r="L195" s="11"/>
      <c r="M195" s="11"/>
      <c r="N195" s="11"/>
      <c r="O195" s="54" t="e">
        <f>+#REF!/SUM(#REF!)</f>
        <v>#REF!</v>
      </c>
      <c r="P195" s="54" t="e">
        <f>+#REF!/SUM(#REF!)</f>
        <v>#REF!</v>
      </c>
      <c r="Q195" s="54" t="e">
        <f>+#REF!/SUM(#REF!)</f>
        <v>#REF!</v>
      </c>
      <c r="R195" s="54" t="e">
        <f>+#REF!/SUM(#REF!)</f>
        <v>#REF!</v>
      </c>
      <c r="S195" s="54" t="e">
        <f>+#REF!/SUM(#REF!)</f>
        <v>#REF!</v>
      </c>
      <c r="T195" s="54" t="e">
        <f>+#REF!/SUM(#REF!)</f>
        <v>#REF!</v>
      </c>
      <c r="U195" s="54" t="e">
        <f>+#REF!/SUM(#REF!)</f>
        <v>#REF!</v>
      </c>
      <c r="V195" s="54" t="e">
        <f>+#REF!/SUM(#REF!)</f>
        <v>#REF!</v>
      </c>
      <c r="W195" s="54" t="e">
        <f>+#REF!/SUM(#REF!)</f>
        <v>#REF!</v>
      </c>
      <c r="X195" s="54" t="e">
        <f>+#REF!/SUM(#REF!)</f>
        <v>#REF!</v>
      </c>
      <c r="Y195" s="54" t="e">
        <f>+#REF!/SUM(#REF!)</f>
        <v>#REF!</v>
      </c>
      <c r="Z195" s="54" t="e">
        <f>+#REF!/SUM(#REF!)</f>
        <v>#REF!</v>
      </c>
    </row>
    <row r="196" spans="1:26" ht="15" hidden="1" outlineLevel="1" x14ac:dyDescent="0.25">
      <c r="A196" s="93">
        <f>+A21</f>
        <v>0</v>
      </c>
      <c r="B196" s="93" t="s">
        <v>259</v>
      </c>
      <c r="C196" s="93">
        <f>C21</f>
        <v>0</v>
      </c>
      <c r="D196" s="140">
        <f>D21</f>
        <v>0</v>
      </c>
      <c r="E196" s="49"/>
      <c r="F196" s="49"/>
      <c r="G196" s="49"/>
      <c r="H196" s="49"/>
      <c r="I196" s="49"/>
      <c r="J196" s="48"/>
      <c r="K196" s="12"/>
      <c r="L196" s="11"/>
      <c r="M196" s="11"/>
      <c r="N196" s="11"/>
      <c r="O196" s="54" t="e">
        <f t="shared" ref="O196:Z198" si="29">+O21/SUM($O21:$Z21)</f>
        <v>#DIV/0!</v>
      </c>
      <c r="P196" s="54" t="e">
        <f t="shared" si="29"/>
        <v>#DIV/0!</v>
      </c>
      <c r="Q196" s="54" t="e">
        <f t="shared" si="29"/>
        <v>#DIV/0!</v>
      </c>
      <c r="R196" s="54" t="e">
        <f t="shared" si="29"/>
        <v>#DIV/0!</v>
      </c>
      <c r="S196" s="54" t="e">
        <f t="shared" si="29"/>
        <v>#DIV/0!</v>
      </c>
      <c r="T196" s="54" t="e">
        <f t="shared" si="29"/>
        <v>#DIV/0!</v>
      </c>
      <c r="U196" s="54" t="e">
        <f t="shared" si="29"/>
        <v>#DIV/0!</v>
      </c>
      <c r="V196" s="54" t="e">
        <f t="shared" si="29"/>
        <v>#DIV/0!</v>
      </c>
      <c r="W196" s="54" t="e">
        <f t="shared" si="29"/>
        <v>#DIV/0!</v>
      </c>
      <c r="X196" s="54" t="e">
        <f t="shared" si="29"/>
        <v>#DIV/0!</v>
      </c>
      <c r="Y196" s="54" t="e">
        <f t="shared" si="29"/>
        <v>#DIV/0!</v>
      </c>
      <c r="Z196" s="54" t="e">
        <f t="shared" si="29"/>
        <v>#DIV/0!</v>
      </c>
    </row>
    <row r="197" spans="1:26" ht="15" hidden="1" outlineLevel="1" x14ac:dyDescent="0.25">
      <c r="A197" s="93">
        <f>+A22</f>
        <v>0</v>
      </c>
      <c r="B197" s="93" t="s">
        <v>260</v>
      </c>
      <c r="C197" s="93">
        <f>C22</f>
        <v>0</v>
      </c>
      <c r="D197" s="140">
        <f>D22</f>
        <v>0</v>
      </c>
      <c r="E197" s="49"/>
      <c r="F197" s="49"/>
      <c r="G197" s="49"/>
      <c r="H197" s="49"/>
      <c r="I197" s="49"/>
      <c r="J197" s="48"/>
      <c r="K197" s="12" t="s">
        <v>5</v>
      </c>
      <c r="L197" s="11"/>
      <c r="M197" s="11"/>
      <c r="N197" s="11"/>
      <c r="O197" s="54" t="e">
        <f t="shared" si="29"/>
        <v>#VALUE!</v>
      </c>
      <c r="P197" s="54" t="e">
        <f t="shared" si="29"/>
        <v>#DIV/0!</v>
      </c>
      <c r="Q197" s="54" t="e">
        <f t="shared" si="29"/>
        <v>#DIV/0!</v>
      </c>
      <c r="R197" s="54" t="e">
        <f t="shared" si="29"/>
        <v>#DIV/0!</v>
      </c>
      <c r="S197" s="54" t="e">
        <f t="shared" si="29"/>
        <v>#DIV/0!</v>
      </c>
      <c r="T197" s="54" t="e">
        <f t="shared" si="29"/>
        <v>#DIV/0!</v>
      </c>
      <c r="U197" s="54" t="e">
        <f t="shared" si="29"/>
        <v>#DIV/0!</v>
      </c>
      <c r="V197" s="54" t="e">
        <f t="shared" si="29"/>
        <v>#DIV/0!</v>
      </c>
      <c r="W197" s="54" t="e">
        <f t="shared" si="29"/>
        <v>#DIV/0!</v>
      </c>
      <c r="X197" s="54" t="e">
        <f t="shared" si="29"/>
        <v>#DIV/0!</v>
      </c>
      <c r="Y197" s="54" t="e">
        <f t="shared" si="29"/>
        <v>#DIV/0!</v>
      </c>
      <c r="Z197" s="54" t="e">
        <f t="shared" si="29"/>
        <v>#DIV/0!</v>
      </c>
    </row>
    <row r="198" spans="1:26" s="35" customFormat="1" ht="22.5" hidden="1" customHeight="1" outlineLevel="1" x14ac:dyDescent="0.25">
      <c r="A198" s="33"/>
      <c r="B198" s="34"/>
      <c r="C198" s="34"/>
      <c r="D198" s="34"/>
      <c r="E198" s="50"/>
      <c r="F198" s="50"/>
      <c r="G198" s="50"/>
      <c r="H198" s="50"/>
      <c r="I198" s="50"/>
      <c r="J198" s="51" t="s">
        <v>20</v>
      </c>
      <c r="K198" s="68"/>
      <c r="L198" s="32" t="s">
        <v>48</v>
      </c>
      <c r="M198" s="32" t="s">
        <v>55</v>
      </c>
      <c r="N198" s="126">
        <f>SUM(N188:N197)</f>
        <v>12</v>
      </c>
      <c r="O198" s="54">
        <f t="shared" si="29"/>
        <v>6.7797084287813503E-2</v>
      </c>
      <c r="P198" s="54">
        <f t="shared" si="29"/>
        <v>7.6053117534430189E-3</v>
      </c>
      <c r="Q198" s="54">
        <f t="shared" si="29"/>
        <v>8.7960818764314969E-2</v>
      </c>
      <c r="R198" s="54">
        <f t="shared" si="29"/>
        <v>1.8740146757418433E-2</v>
      </c>
      <c r="S198" s="54">
        <f t="shared" si="29"/>
        <v>2.9832387916225063E-2</v>
      </c>
      <c r="T198" s="54">
        <f t="shared" si="29"/>
        <v>3.4876599649944745E-2</v>
      </c>
      <c r="U198" s="54">
        <f t="shared" si="29"/>
        <v>9.7415158842526894E-3</v>
      </c>
      <c r="V198" s="54">
        <f t="shared" si="29"/>
        <v>0.15312568193686982</v>
      </c>
      <c r="W198" s="54">
        <f t="shared" si="29"/>
        <v>0.11119241760529255</v>
      </c>
      <c r="X198" s="54">
        <f t="shared" si="29"/>
        <v>1.050520914362869E-2</v>
      </c>
      <c r="Y198" s="54">
        <f t="shared" si="29"/>
        <v>5.9929850166051497E-3</v>
      </c>
      <c r="Z198" s="54">
        <f t="shared" si="29"/>
        <v>0.46262984128419138</v>
      </c>
    </row>
    <row r="199" spans="1:26" collapsed="1" x14ac:dyDescent="0.25"/>
    <row r="200" spans="1:26" x14ac:dyDescent="0.25">
      <c r="B200" s="27" t="s">
        <v>21</v>
      </c>
      <c r="C200" s="28">
        <v>43102</v>
      </c>
    </row>
    <row r="201" spans="1:26" x14ac:dyDescent="0.25">
      <c r="B201" s="27" t="s">
        <v>23</v>
      </c>
      <c r="C201" s="28">
        <v>42917</v>
      </c>
    </row>
    <row r="203" spans="1:26" ht="18" x14ac:dyDescent="0.25">
      <c r="A203" s="132" t="s">
        <v>262</v>
      </c>
      <c r="N203" s="162">
        <f>-Z143+N144-Z140</f>
        <v>30102826.550446115</v>
      </c>
    </row>
    <row r="204" spans="1:26" ht="18" x14ac:dyDescent="0.25">
      <c r="A204" s="127" t="s">
        <v>302</v>
      </c>
      <c r="B204" s="128"/>
    </row>
    <row r="205" spans="1:26" ht="18" x14ac:dyDescent="0.25">
      <c r="A205" s="127" t="s">
        <v>323</v>
      </c>
      <c r="B205" s="128"/>
    </row>
    <row r="207" spans="1:26" ht="36" x14ac:dyDescent="0.25">
      <c r="A207" s="130" t="s">
        <v>316</v>
      </c>
      <c r="B207" s="131" t="s">
        <v>288</v>
      </c>
      <c r="C207" s="131" t="s">
        <v>320</v>
      </c>
    </row>
    <row r="208" spans="1:26" ht="36" x14ac:dyDescent="0.25">
      <c r="A208" s="130" t="s">
        <v>310</v>
      </c>
      <c r="B208" s="131" t="s">
        <v>289</v>
      </c>
      <c r="C208" s="131" t="s">
        <v>321</v>
      </c>
    </row>
    <row r="209" spans="1:3" ht="54" x14ac:dyDescent="0.25">
      <c r="A209" s="130" t="s">
        <v>311</v>
      </c>
      <c r="B209" s="131" t="s">
        <v>290</v>
      </c>
      <c r="C209" s="131" t="s">
        <v>319</v>
      </c>
    </row>
    <row r="210" spans="1:3" ht="54" x14ac:dyDescent="0.25">
      <c r="A210" s="130" t="s">
        <v>312</v>
      </c>
      <c r="B210" s="131" t="s">
        <v>291</v>
      </c>
      <c r="C210" s="131" t="s">
        <v>322</v>
      </c>
    </row>
    <row r="211" spans="1:3" ht="54" x14ac:dyDescent="0.25">
      <c r="A211" s="130" t="s">
        <v>313</v>
      </c>
      <c r="B211" s="131" t="s">
        <v>292</v>
      </c>
      <c r="C211" s="131" t="s">
        <v>327</v>
      </c>
    </row>
    <row r="212" spans="1:3" ht="36" x14ac:dyDescent="0.25">
      <c r="A212" s="130" t="s">
        <v>314</v>
      </c>
      <c r="B212" s="131" t="s">
        <v>293</v>
      </c>
      <c r="C212" s="131" t="s">
        <v>317</v>
      </c>
    </row>
    <row r="213" spans="1:3" ht="54" x14ac:dyDescent="0.25">
      <c r="A213" s="130" t="s">
        <v>315</v>
      </c>
      <c r="B213" s="131" t="s">
        <v>296</v>
      </c>
      <c r="C213" s="131" t="s">
        <v>318</v>
      </c>
    </row>
    <row r="215" spans="1:3" ht="72" x14ac:dyDescent="0.25">
      <c r="A215" s="129" t="s">
        <v>301</v>
      </c>
      <c r="B215" s="128" t="s">
        <v>305</v>
      </c>
    </row>
    <row r="217" spans="1:3" ht="54" x14ac:dyDescent="0.25">
      <c r="A217" s="129" t="s">
        <v>303</v>
      </c>
      <c r="B217" s="128" t="s">
        <v>306</v>
      </c>
    </row>
    <row r="218" spans="1:3" ht="18" x14ac:dyDescent="0.25">
      <c r="A218" s="128"/>
    </row>
    <row r="219" spans="1:3" ht="72" x14ac:dyDescent="0.25">
      <c r="A219" s="129" t="s">
        <v>304</v>
      </c>
      <c r="B219" s="9" t="s">
        <v>307</v>
      </c>
    </row>
    <row r="220" spans="1:3" ht="18" x14ac:dyDescent="0.25">
      <c r="A220" s="128"/>
    </row>
    <row r="221" spans="1:3" ht="54" x14ac:dyDescent="0.25">
      <c r="A221" s="128" t="s">
        <v>308</v>
      </c>
      <c r="B221" s="128" t="s">
        <v>309</v>
      </c>
    </row>
  </sheetData>
  <mergeCells count="52">
    <mergeCell ref="E85:K85"/>
    <mergeCell ref="E86:K86"/>
    <mergeCell ref="E87:K87"/>
    <mergeCell ref="E88:K88"/>
    <mergeCell ref="E78:K78"/>
    <mergeCell ref="E79:K79"/>
    <mergeCell ref="E80:K80"/>
    <mergeCell ref="E81:K81"/>
    <mergeCell ref="E82:K82"/>
    <mergeCell ref="E84:K84"/>
    <mergeCell ref="E76:K76"/>
    <mergeCell ref="E63:K63"/>
    <mergeCell ref="E64:K64"/>
    <mergeCell ref="E66:K66"/>
    <mergeCell ref="E67:K67"/>
    <mergeCell ref="E68:K68"/>
    <mergeCell ref="E69:K69"/>
    <mergeCell ref="E70:K70"/>
    <mergeCell ref="E72:K72"/>
    <mergeCell ref="E73:K73"/>
    <mergeCell ref="E74:K74"/>
    <mergeCell ref="E75:K75"/>
    <mergeCell ref="E62:K62"/>
    <mergeCell ref="E49:K49"/>
    <mergeCell ref="E50:K50"/>
    <mergeCell ref="E51:K51"/>
    <mergeCell ref="E52:K52"/>
    <mergeCell ref="E54:K54"/>
    <mergeCell ref="E55:K55"/>
    <mergeCell ref="E56:K56"/>
    <mergeCell ref="E57:K57"/>
    <mergeCell ref="E58:K58"/>
    <mergeCell ref="E60:K60"/>
    <mergeCell ref="E61:K61"/>
    <mergeCell ref="E48:K48"/>
    <mergeCell ref="E35:K35"/>
    <mergeCell ref="E36:K36"/>
    <mergeCell ref="E37:K37"/>
    <mergeCell ref="E38:K38"/>
    <mergeCell ref="E40:K40"/>
    <mergeCell ref="E41:K41"/>
    <mergeCell ref="E42:K42"/>
    <mergeCell ref="E43:K43"/>
    <mergeCell ref="E44:K44"/>
    <mergeCell ref="E45:K45"/>
    <mergeCell ref="E46:K46"/>
    <mergeCell ref="E34:K34"/>
    <mergeCell ref="E28:K28"/>
    <mergeCell ref="E29:K29"/>
    <mergeCell ref="E30:K30"/>
    <mergeCell ref="E31:K31"/>
    <mergeCell ref="E32:K32"/>
  </mergeCells>
  <dataValidations count="5">
    <dataValidation type="list" allowBlank="1" showInputMessage="1" showErrorMessage="1" sqref="F179:F183 F172:F176 F165:F169 F158:F162 F151:F155 F122:F136 F139:F143">
      <formula1>$A$3:$A$9</formula1>
    </dataValidation>
    <dataValidation type="list" allowBlank="1" showInputMessage="1" showErrorMessage="1" sqref="M188:M198 L188:L197 H172:K175 H165:K168 H158:K161 H151:K154 H179:K182 H155:I155 H162:J162 H169:J169 H176:J176 H183:J183">
      <formula1>$C$3:$C$15</formula1>
    </dataValidation>
    <dataValidation type="list" allowBlank="1" showInputMessage="1" showErrorMessage="1" sqref="L23">
      <formula1>$D$4:$D$15</formula1>
    </dataValidation>
    <dataValidation type="list" allowBlank="1" showInputMessage="1" showErrorMessage="1" sqref="L198 J155">
      <formula1>$C$3:$C$14</formula1>
    </dataValidation>
    <dataValidation type="list" allowBlank="1" showInputMessage="1" showErrorMessage="1" sqref="L34:L38 L84:L88 L48:L52 L54:L58 L60:L64 L66:L70 L72:L76 L78:L82 L46">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'https://nuevaunionspa-my.sharepoint.com/personal/gineva_alcota_nuevaunion_cl/Documents/40300 Cost Control/40303 Presupuestos/2018/Legal/[Budget Legal 2018 (v.1).xlsx]Lists'!#REF!</xm:f>
          </x14:formula1>
          <xm:sqref>L179:M182 L147:M147 L151:M154 L158:M161 L165:M168 L172:M175 L93:L96 M107:M119 M121:M143 L17:L20 L148 L107:L144 L100:L104</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F100:F103 F93:F96 F147 F137:F138 F107:F121</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H147:K147 H93:K96 H100:K103 M100:M103 H107:K143</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L28:L32 L40:L43 L45</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N188:N197</xm:sqref>
        </x14:dataValidation>
        <x14:dataValidation type="list" allowBlank="1" showInputMessage="1" showErrorMessage="1">
          <x14:formula1>
            <xm:f>'https://nuevaunionspa-my.sharepoint.com/personal/gineva_alcota_nuevaunion_cl/Documents/40300 Cost Control/40303 Presupuestos/2018/Legal/[Budget Legal 2018 (v.1).xlsx]Lists'!#REF!</xm:f>
          </x14:formula1>
          <xm:sqref>B8</xm:sqref>
        </x14:dataValidation>
        <x14:dataValidation type="list" allowBlank="1" showInputMessage="1" showErrorMessage="1">
          <x14:formula1>
            <xm:f>'https://nuevaunionspa-my.sharepoint.com/personal/gineva_alcota_nuevaunion_cl/Documents/40300 Cost Control/40303 Presupuestos/2018/Legal/[Budget Legal 2018 (v.1).xlsx]CCs &amp; Accounts'!#REF!</xm:f>
          </x14:formula1>
          <xm:sqref>E93:E96 E151:E155 E158:E162 E165:E169 E172:E176 E179:E183 E107:E143 E100:E103 E147 E17:E22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pageSetUpPr fitToPage="1"/>
  </sheetPr>
  <dimension ref="A1:U23"/>
  <sheetViews>
    <sheetView showGridLines="0" view="pageLayout" topLeftCell="A4" zoomScale="80" zoomScaleNormal="80" zoomScalePageLayoutView="80" workbookViewId="0">
      <selection activeCell="B6" sqref="B6"/>
    </sheetView>
  </sheetViews>
  <sheetFormatPr baseColWidth="10" defaultColWidth="11.42578125" defaultRowHeight="15" outlineLevelRow="1" outlineLevelCol="1" x14ac:dyDescent="0.25"/>
  <cols>
    <col min="1" max="1" width="10.85546875" style="400" customWidth="1"/>
    <col min="2" max="3" width="32" style="400" customWidth="1"/>
    <col min="4" max="4" width="33.7109375" style="400" customWidth="1"/>
    <col min="5" max="5" width="17.5703125" style="400" customWidth="1"/>
    <col min="6" max="7" width="17.710937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1438</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tr">
        <f>+Communication!B8</f>
        <v>4.1 Communications and Government Relations</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+Communication!B10</f>
        <v>684 SERA</v>
      </c>
      <c r="C7" s="433"/>
      <c r="D7" s="423" t="str">
        <f>+Communication!D10</f>
        <v>Petri Sopera</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+Communication!B12</f>
        <v>43328</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t="str">
        <f>+Communication!A17</f>
        <v>5.1</v>
      </c>
      <c r="B14" s="444" t="str">
        <f>+Communication!B17</f>
        <v>External Communications</v>
      </c>
      <c r="C14" s="444" t="str">
        <f>+B14</f>
        <v>External Communications</v>
      </c>
      <c r="D14" s="405">
        <f>+Communication!D17</f>
        <v>0</v>
      </c>
      <c r="E14" s="406" t="str">
        <f>+Communication!E17</f>
        <v>684 / 51-11-3341</v>
      </c>
      <c r="F14" s="406">
        <f>+Communication!L17</f>
        <v>0</v>
      </c>
      <c r="G14" s="407">
        <f>+Communication!M17</f>
        <v>0</v>
      </c>
      <c r="H14" s="406">
        <f>+Communication!N17</f>
        <v>250684</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t="str">
        <f>+Communication!A18</f>
        <v>5.2</v>
      </c>
      <c r="B15" s="444" t="str">
        <f>+Communication!B18</f>
        <v>Internal Communications</v>
      </c>
      <c r="C15" s="444" t="str">
        <f t="shared" ref="C15:C17" si="0">+B15</f>
        <v>Internal Communications</v>
      </c>
      <c r="D15" s="405">
        <f>+Communication!D18</f>
        <v>0</v>
      </c>
      <c r="E15" s="406" t="str">
        <f>+Communication!E18</f>
        <v>684 / 51-11-3341</v>
      </c>
      <c r="F15" s="406">
        <f>+Communication!L18</f>
        <v>0</v>
      </c>
      <c r="G15" s="407">
        <f>+Communication!M18</f>
        <v>0</v>
      </c>
      <c r="H15" s="406">
        <f>+Communication!N18</f>
        <v>148800</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outlineLevel="1" x14ac:dyDescent="0.25">
      <c r="A16" s="444" t="str">
        <f>+Communication!A19</f>
        <v>5.3</v>
      </c>
      <c r="B16" s="444" t="str">
        <f>+Communication!B19</f>
        <v>Memberships</v>
      </c>
      <c r="C16" s="444" t="str">
        <f t="shared" si="0"/>
        <v>Memberships</v>
      </c>
      <c r="D16" s="405">
        <f>+Communication!D19</f>
        <v>0</v>
      </c>
      <c r="E16" s="406" t="str">
        <f>+Communication!E19</f>
        <v>684 / 51-11-3341</v>
      </c>
      <c r="F16" s="406">
        <f>+Communication!L19</f>
        <v>0</v>
      </c>
      <c r="G16" s="407">
        <f>+Communication!M19</f>
        <v>0</v>
      </c>
      <c r="H16" s="406">
        <f>+Communication!N19</f>
        <v>19000</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outlineLevel="1" x14ac:dyDescent="0.25">
      <c r="A17" s="444" t="str">
        <f>+Communication!A20</f>
        <v>5.4</v>
      </c>
      <c r="B17" s="444" t="str">
        <f>+Communication!B20</f>
        <v>Sponsorships and special events</v>
      </c>
      <c r="C17" s="444" t="str">
        <f t="shared" si="0"/>
        <v>Sponsorships and special events</v>
      </c>
      <c r="D17" s="405">
        <f>+Communication!D20</f>
        <v>0</v>
      </c>
      <c r="E17" s="406" t="str">
        <f>+Communication!E20</f>
        <v>684 / 51-11-3341</v>
      </c>
      <c r="F17" s="406">
        <f>+Communication!L20</f>
        <v>0</v>
      </c>
      <c r="G17" s="407">
        <f>+Communication!M20</f>
        <v>0</v>
      </c>
      <c r="H17" s="406">
        <f>+Communication!N20</f>
        <v>38000</v>
      </c>
      <c r="I17" s="409" t="s">
        <v>5</v>
      </c>
      <c r="J17" s="409"/>
      <c r="K17" s="409"/>
      <c r="L17" s="409"/>
      <c r="M17" s="409"/>
      <c r="N17" s="409"/>
      <c r="O17" s="409"/>
      <c r="P17" s="409"/>
      <c r="Q17" s="409"/>
      <c r="R17" s="409"/>
      <c r="S17" s="409"/>
      <c r="T17" s="409"/>
    </row>
    <row r="18" spans="1:20" outlineLevel="1" x14ac:dyDescent="0.25">
      <c r="A18" s="444"/>
      <c r="B18" s="444"/>
      <c r="C18" s="444"/>
      <c r="D18" s="405"/>
      <c r="E18" s="406"/>
      <c r="F18" s="406"/>
      <c r="G18" s="407"/>
      <c r="H18" s="406"/>
      <c r="I18" s="409" t="s">
        <v>5</v>
      </c>
      <c r="J18" s="409"/>
      <c r="K18" s="409"/>
      <c r="L18" s="409"/>
      <c r="M18" s="409"/>
      <c r="N18" s="409"/>
      <c r="O18" s="409"/>
      <c r="P18" s="409"/>
      <c r="Q18" s="409"/>
      <c r="R18" s="409"/>
      <c r="S18" s="409"/>
      <c r="T18" s="409"/>
    </row>
    <row r="19" spans="1:20" outlineLevel="1" x14ac:dyDescent="0.25">
      <c r="A19" s="412"/>
      <c r="B19" s="413"/>
      <c r="C19" s="413"/>
      <c r="D19" s="414"/>
      <c r="E19" s="415"/>
      <c r="F19" s="404">
        <f>+Communication!L27</f>
        <v>12</v>
      </c>
      <c r="G19" s="404">
        <f>SUM(G1:G18)</f>
        <v>0</v>
      </c>
      <c r="H19" s="404">
        <f t="shared" ref="H19:T19" si="1">SUM(H13:H18)</f>
        <v>456484</v>
      </c>
      <c r="I19" s="404" t="e">
        <f t="shared" si="1"/>
        <v>#REF!</v>
      </c>
      <c r="J19" s="404" t="e">
        <f t="shared" si="1"/>
        <v>#REF!</v>
      </c>
      <c r="K19" s="404" t="e">
        <f t="shared" si="1"/>
        <v>#REF!</v>
      </c>
      <c r="L19" s="404" t="e">
        <f t="shared" si="1"/>
        <v>#REF!</v>
      </c>
      <c r="M19" s="404" t="e">
        <f t="shared" si="1"/>
        <v>#REF!</v>
      </c>
      <c r="N19" s="404" t="e">
        <f t="shared" si="1"/>
        <v>#REF!</v>
      </c>
      <c r="O19" s="404" t="e">
        <f t="shared" si="1"/>
        <v>#REF!</v>
      </c>
      <c r="P19" s="404" t="e">
        <f t="shared" si="1"/>
        <v>#REF!</v>
      </c>
      <c r="Q19" s="404" t="e">
        <f t="shared" si="1"/>
        <v>#REF!</v>
      </c>
      <c r="R19" s="404" t="e">
        <f t="shared" si="1"/>
        <v>#REF!</v>
      </c>
      <c r="S19" s="404" t="e">
        <f t="shared" si="1"/>
        <v>#REF!</v>
      </c>
      <c r="T19" s="404" t="e">
        <f t="shared" si="1"/>
        <v>#REF!</v>
      </c>
    </row>
    <row r="20" spans="1:20" ht="6.75" customHeight="1" x14ac:dyDescent="0.25">
      <c r="A20" s="414"/>
      <c r="B20" s="414"/>
      <c r="C20" s="414"/>
      <c r="D20" s="414"/>
      <c r="E20" s="414"/>
    </row>
    <row r="22" spans="1:20" ht="24.75" customHeight="1" x14ac:dyDescent="0.25">
      <c r="B22" s="445" t="s">
        <v>21</v>
      </c>
      <c r="C22" s="446">
        <v>43102</v>
      </c>
      <c r="F22" s="445" t="s">
        <v>22</v>
      </c>
      <c r="G22" s="447"/>
      <c r="H22" s="448"/>
    </row>
    <row r="23" spans="1:20" ht="24.75" customHeight="1" x14ac:dyDescent="0.25">
      <c r="B23" s="445" t="s">
        <v>23</v>
      </c>
      <c r="C23" s="446">
        <v>42917</v>
      </c>
      <c r="F23" s="445" t="s">
        <v>24</v>
      </c>
      <c r="G23" s="447"/>
      <c r="H23" s="448"/>
    </row>
  </sheetData>
  <printOptions horizontalCentered="1"/>
  <pageMargins left="0.31496062992125984" right="0.31496062992125984" top="1.1811023622047245" bottom="1.1811023622047245" header="0.31496062992125984" footer="0.31496062992125984"/>
  <pageSetup paperSize="17" orientation="landscape" r:id="rId1"/>
  <headerFoot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'C:\Users\gineva.alcota\AppData\Local\Microsoft\Windows\INetCache\Content.Outlook\ZG6HJCZN\[1002-40303-PS-SOA-0001_REV5  Comunications and Government Relations.xlsx]Lists'!#REF!</xm:f>
          </x14:formula1>
          <xm:sqref>F19</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B5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pageSetUpPr fitToPage="1"/>
  </sheetPr>
  <dimension ref="A2:Z204"/>
  <sheetViews>
    <sheetView showGridLines="0" topLeftCell="A106" zoomScale="60" zoomScaleNormal="60" zoomScalePageLayoutView="60" workbookViewId="0">
      <selection activeCell="P110" sqref="P110"/>
    </sheetView>
  </sheetViews>
  <sheetFormatPr baseColWidth="10" defaultColWidth="11.42578125" defaultRowHeight="34.15" customHeight="1" outlineLevelRow="1" outlineLevelCol="1" x14ac:dyDescent="0.25"/>
  <cols>
    <col min="1" max="1" width="39.140625" style="282" customWidth="1"/>
    <col min="2" max="2" width="32" style="282" customWidth="1"/>
    <col min="3" max="3" width="43.7109375" style="282" customWidth="1"/>
    <col min="4" max="4" width="58.28515625" style="282" customWidth="1"/>
    <col min="5" max="5" width="17.5703125" style="282" hidden="1" customWidth="1"/>
    <col min="6" max="6" width="23" style="282" hidden="1" customWidth="1"/>
    <col min="7" max="8" width="17.5703125" style="282" hidden="1" customWidth="1"/>
    <col min="9" max="10" width="11.5703125" style="282" hidden="1" customWidth="1"/>
    <col min="11" max="11" width="17.5703125" style="282" hidden="1" customWidth="1"/>
    <col min="12" max="13" width="17.7109375" style="282" hidden="1" customWidth="1"/>
    <col min="14" max="14" width="13.5703125" style="282" customWidth="1"/>
    <col min="15" max="15" width="11.5703125" style="282" customWidth="1" outlineLevel="1"/>
    <col min="16" max="17" width="16.42578125" style="282" customWidth="1" outlineLevel="1"/>
    <col min="18" max="18" width="16.85546875" style="282" customWidth="1" outlineLevel="1"/>
    <col min="19" max="19" width="16.42578125" style="282" customWidth="1" outlineLevel="1"/>
    <col min="20" max="23" width="16.85546875" style="282" customWidth="1" outlineLevel="1"/>
    <col min="24" max="25" width="16.42578125" style="282" customWidth="1" outlineLevel="1"/>
    <col min="26" max="26" width="16.85546875" style="282" customWidth="1" outlineLevel="1"/>
    <col min="27" max="16384" width="11.42578125" style="282"/>
  </cols>
  <sheetData>
    <row r="2" spans="1:26" s="328" customFormat="1" ht="34.15" customHeight="1" x14ac:dyDescent="0.2">
      <c r="B2" s="329"/>
    </row>
    <row r="3" spans="1:26" s="328" customFormat="1" ht="34.15" customHeight="1" x14ac:dyDescent="0.25">
      <c r="B3" s="330"/>
    </row>
    <row r="4" spans="1:26" s="328" customFormat="1" ht="34.15" customHeight="1" x14ac:dyDescent="0.2"/>
    <row r="6" spans="1:26" ht="34.15" customHeight="1" x14ac:dyDescent="0.25">
      <c r="A6" s="283" t="s">
        <v>25</v>
      </c>
      <c r="B6" s="284"/>
      <c r="C6" s="285"/>
      <c r="D6" s="285"/>
      <c r="E6" s="285"/>
      <c r="F6" s="285"/>
      <c r="G6" s="285"/>
      <c r="H6" s="286"/>
      <c r="I6" s="286"/>
      <c r="J6" s="287"/>
      <c r="K6" s="285"/>
      <c r="L6" s="288"/>
      <c r="M6" s="288"/>
      <c r="N6" s="288"/>
      <c r="O6" s="288" t="s">
        <v>5</v>
      </c>
      <c r="P6" s="288"/>
      <c r="Q6" s="288"/>
      <c r="R6" s="288"/>
      <c r="S6" s="288"/>
      <c r="T6" s="288"/>
      <c r="U6" s="288"/>
      <c r="V6" s="288"/>
      <c r="W6" s="288"/>
      <c r="X6" s="288"/>
      <c r="Y6" s="288"/>
      <c r="Z6" s="288"/>
    </row>
    <row r="7" spans="1:26" ht="34.15" customHeight="1" x14ac:dyDescent="0.25">
      <c r="A7" s="331"/>
      <c r="B7" s="332" t="s">
        <v>6</v>
      </c>
      <c r="C7" s="332"/>
      <c r="D7" s="332"/>
      <c r="E7" s="332"/>
      <c r="F7" s="332"/>
      <c r="G7" s="332"/>
      <c r="H7" s="332"/>
      <c r="I7" s="332"/>
      <c r="J7" s="332"/>
      <c r="K7" s="332"/>
      <c r="L7" s="332"/>
      <c r="M7" s="332"/>
      <c r="N7" s="333"/>
      <c r="O7" s="332"/>
      <c r="P7" s="332"/>
      <c r="Q7" s="332"/>
      <c r="R7" s="332"/>
      <c r="S7" s="332"/>
      <c r="T7" s="332"/>
      <c r="U7" s="332"/>
      <c r="V7" s="332"/>
      <c r="W7" s="332"/>
      <c r="X7" s="332"/>
      <c r="Y7" s="332"/>
      <c r="Z7" s="333"/>
    </row>
    <row r="8" spans="1:26" ht="29.45" customHeight="1" x14ac:dyDescent="0.25">
      <c r="A8" s="334"/>
      <c r="B8" s="335" t="s">
        <v>213</v>
      </c>
      <c r="C8" s="336"/>
      <c r="D8" s="336"/>
      <c r="E8" s="337"/>
      <c r="F8" s="337"/>
      <c r="G8" s="337"/>
      <c r="H8" s="337"/>
      <c r="I8" s="337"/>
      <c r="J8" s="337"/>
      <c r="K8" s="337"/>
      <c r="L8" s="337"/>
      <c r="M8" s="337"/>
      <c r="N8" s="338" t="s">
        <v>7</v>
      </c>
      <c r="O8" s="337"/>
      <c r="P8" s="337"/>
      <c r="Q8" s="337"/>
      <c r="R8" s="337"/>
      <c r="S8" s="337"/>
      <c r="T8" s="337"/>
      <c r="U8" s="337"/>
      <c r="V8" s="337"/>
      <c r="W8" s="337"/>
      <c r="X8" s="337"/>
      <c r="Y8" s="337"/>
      <c r="Z8" s="339"/>
    </row>
    <row r="9" spans="1:26" ht="34.15" customHeight="1" x14ac:dyDescent="0.25">
      <c r="A9" s="334"/>
      <c r="B9" s="340" t="s">
        <v>8</v>
      </c>
      <c r="C9" s="337"/>
      <c r="D9" s="340" t="s">
        <v>9</v>
      </c>
      <c r="E9" s="340"/>
      <c r="F9" s="340"/>
      <c r="G9" s="340"/>
      <c r="H9" s="340"/>
      <c r="I9" s="340"/>
      <c r="J9" s="340"/>
      <c r="K9" s="340"/>
      <c r="L9" s="340"/>
      <c r="M9" s="340"/>
      <c r="N9" s="341">
        <v>43102</v>
      </c>
      <c r="O9" s="340"/>
      <c r="P9" s="340"/>
      <c r="Q9" s="340"/>
      <c r="R9" s="340"/>
      <c r="S9" s="340"/>
      <c r="T9" s="340"/>
      <c r="U9" s="340"/>
      <c r="V9" s="340"/>
      <c r="W9" s="340"/>
      <c r="X9" s="340"/>
      <c r="Y9" s="340"/>
      <c r="Z9" s="342"/>
    </row>
    <row r="10" spans="1:26" ht="30" customHeight="1" x14ac:dyDescent="0.25">
      <c r="A10" s="343"/>
      <c r="B10" s="344" t="str">
        <f>VLOOKUP(B8,Lists!E1:I41,3,FALSE)</f>
        <v>684 SERA</v>
      </c>
      <c r="C10" s="345"/>
      <c r="D10" s="335" t="str">
        <f>VLOOKUP(B8,Lists!E1:I41,2,FALSE)</f>
        <v>Petri Sopera</v>
      </c>
      <c r="E10" s="337"/>
      <c r="F10" s="337"/>
      <c r="G10" s="337"/>
      <c r="H10" s="337"/>
      <c r="I10" s="337"/>
      <c r="J10" s="337"/>
      <c r="K10" s="337"/>
      <c r="L10" s="337"/>
      <c r="M10" s="337"/>
      <c r="N10" s="339"/>
      <c r="O10" s="337"/>
      <c r="P10" s="337"/>
      <c r="Q10" s="337"/>
      <c r="R10" s="337"/>
      <c r="S10" s="337"/>
      <c r="T10" s="337"/>
      <c r="U10" s="337"/>
      <c r="V10" s="337"/>
      <c r="W10" s="337"/>
      <c r="X10" s="337"/>
      <c r="Y10" s="337"/>
      <c r="Z10" s="339"/>
    </row>
    <row r="11" spans="1:26" ht="34.15" customHeight="1" x14ac:dyDescent="0.25">
      <c r="A11" s="343"/>
      <c r="B11" s="346" t="s">
        <v>10</v>
      </c>
      <c r="C11" s="345"/>
      <c r="D11" s="346"/>
      <c r="E11" s="346"/>
      <c r="F11" s="346"/>
      <c r="G11" s="346"/>
      <c r="H11" s="346"/>
      <c r="I11" s="346"/>
      <c r="J11" s="346"/>
      <c r="K11" s="346"/>
      <c r="L11" s="346"/>
      <c r="M11" s="346"/>
      <c r="N11" s="347" t="s">
        <v>11</v>
      </c>
      <c r="O11" s="346"/>
      <c r="P11" s="346"/>
      <c r="Q11" s="346"/>
      <c r="R11" s="346"/>
      <c r="S11" s="346"/>
      <c r="T11" s="346"/>
      <c r="U11" s="346"/>
      <c r="V11" s="346"/>
      <c r="W11" s="346"/>
      <c r="X11" s="346"/>
      <c r="Y11" s="346"/>
      <c r="Z11" s="347"/>
    </row>
    <row r="12" spans="1:26" ht="34.15" customHeight="1" x14ac:dyDescent="0.25">
      <c r="A12" s="343"/>
      <c r="B12" s="348">
        <v>43328</v>
      </c>
      <c r="C12" s="345"/>
      <c r="D12" s="346"/>
      <c r="E12" s="337"/>
      <c r="F12" s="337"/>
      <c r="G12" s="337"/>
      <c r="H12" s="337"/>
      <c r="I12" s="337"/>
      <c r="J12" s="337"/>
      <c r="K12" s="337"/>
      <c r="L12" s="337"/>
      <c r="M12" s="337"/>
      <c r="N12" s="341">
        <v>43465</v>
      </c>
      <c r="O12" s="337"/>
      <c r="P12" s="337"/>
      <c r="Q12" s="337"/>
      <c r="R12" s="337"/>
      <c r="S12" s="337"/>
      <c r="T12" s="337"/>
      <c r="U12" s="337"/>
      <c r="V12" s="337"/>
      <c r="W12" s="337"/>
      <c r="X12" s="337"/>
      <c r="Y12" s="337"/>
      <c r="Z12" s="347"/>
    </row>
    <row r="13" spans="1:26" ht="34.15" customHeight="1" x14ac:dyDescent="0.25">
      <c r="A13" s="349"/>
      <c r="B13" s="350"/>
      <c r="C13" s="351"/>
      <c r="D13" s="351"/>
      <c r="E13" s="351"/>
      <c r="F13" s="351"/>
      <c r="G13" s="351"/>
      <c r="H13" s="351"/>
      <c r="I13" s="351"/>
      <c r="J13" s="351"/>
      <c r="K13" s="351"/>
      <c r="L13" s="351"/>
      <c r="M13" s="351"/>
      <c r="N13" s="352"/>
      <c r="O13" s="351"/>
      <c r="P13" s="351"/>
      <c r="Q13" s="351"/>
      <c r="R13" s="351"/>
      <c r="S13" s="351"/>
      <c r="T13" s="351"/>
      <c r="U13" s="351"/>
      <c r="V13" s="351"/>
      <c r="W13" s="351"/>
      <c r="X13" s="351"/>
      <c r="Y13" s="351"/>
      <c r="Z13" s="352"/>
    </row>
    <row r="15" spans="1:26" ht="34.15" customHeight="1" x14ac:dyDescent="0.25">
      <c r="A15" s="287" t="s">
        <v>12</v>
      </c>
      <c r="B15" s="287"/>
      <c r="C15" s="288"/>
      <c r="D15" s="288"/>
      <c r="E15" s="288"/>
      <c r="F15" s="288"/>
      <c r="G15" s="288"/>
      <c r="H15" s="289"/>
      <c r="I15" s="289"/>
      <c r="J15" s="287"/>
      <c r="K15" s="288"/>
      <c r="L15" s="288"/>
      <c r="M15" s="288"/>
      <c r="N15" s="288"/>
      <c r="O15" s="288" t="s">
        <v>5</v>
      </c>
      <c r="P15" s="288"/>
      <c r="Q15" s="288"/>
      <c r="R15" s="288"/>
      <c r="S15" s="288"/>
      <c r="T15" s="288"/>
      <c r="U15" s="288"/>
      <c r="V15" s="288"/>
      <c r="W15" s="288"/>
      <c r="X15" s="288"/>
      <c r="Y15" s="288"/>
      <c r="Z15" s="288"/>
    </row>
    <row r="16" spans="1:26" ht="34.15" customHeight="1" x14ac:dyDescent="0.25">
      <c r="A16" s="92" t="s">
        <v>261</v>
      </c>
      <c r="B16" s="92" t="s">
        <v>13</v>
      </c>
      <c r="C16" s="92" t="s">
        <v>14</v>
      </c>
      <c r="D16" s="290" t="s">
        <v>15</v>
      </c>
      <c r="E16" s="291" t="s">
        <v>16</v>
      </c>
      <c r="F16" s="292"/>
      <c r="G16" s="292"/>
      <c r="H16" s="292"/>
      <c r="I16" s="292"/>
      <c r="J16" s="292"/>
      <c r="K16" s="292"/>
      <c r="L16" s="291" t="s">
        <v>17</v>
      </c>
      <c r="M16" s="291" t="s">
        <v>18</v>
      </c>
      <c r="N16" s="291" t="s">
        <v>19</v>
      </c>
      <c r="O16" s="293">
        <v>43101</v>
      </c>
      <c r="P16" s="293">
        <v>43132</v>
      </c>
      <c r="Q16" s="293">
        <v>43160</v>
      </c>
      <c r="R16" s="293">
        <v>43191</v>
      </c>
      <c r="S16" s="293">
        <v>43221</v>
      </c>
      <c r="T16" s="293">
        <v>43252</v>
      </c>
      <c r="U16" s="293">
        <v>43282</v>
      </c>
      <c r="V16" s="293">
        <v>43313</v>
      </c>
      <c r="W16" s="293">
        <v>43344</v>
      </c>
      <c r="X16" s="293">
        <v>43374</v>
      </c>
      <c r="Y16" s="293">
        <v>43405</v>
      </c>
      <c r="Z16" s="293">
        <v>43435</v>
      </c>
    </row>
    <row r="17" spans="1:26" ht="34.15" customHeight="1" x14ac:dyDescent="0.25">
      <c r="A17" s="152" t="s">
        <v>154</v>
      </c>
      <c r="B17" s="93" t="s">
        <v>1078</v>
      </c>
      <c r="C17" s="93"/>
      <c r="D17" s="294"/>
      <c r="E17" s="295" t="s">
        <v>212</v>
      </c>
      <c r="F17" s="292"/>
      <c r="G17" s="292"/>
      <c r="H17" s="292"/>
      <c r="I17" s="292"/>
      <c r="J17" s="292"/>
      <c r="K17" s="292"/>
      <c r="L17" s="295"/>
      <c r="M17" s="296">
        <f>+M107</f>
        <v>0</v>
      </c>
      <c r="N17" s="295">
        <f>SUM(O17:Z17)</f>
        <v>250684</v>
      </c>
      <c r="O17" s="297">
        <f t="shared" ref="O17:Z17" si="0">+O107</f>
        <v>16807</v>
      </c>
      <c r="P17" s="297">
        <f t="shared" si="0"/>
        <v>16807</v>
      </c>
      <c r="Q17" s="297">
        <f t="shared" si="0"/>
        <v>21507</v>
      </c>
      <c r="R17" s="297">
        <f t="shared" si="0"/>
        <v>26807</v>
      </c>
      <c r="S17" s="297">
        <f t="shared" si="0"/>
        <v>16807</v>
      </c>
      <c r="T17" s="297">
        <f t="shared" si="0"/>
        <v>33957</v>
      </c>
      <c r="U17" s="297">
        <f t="shared" si="0"/>
        <v>16807</v>
      </c>
      <c r="V17" s="297">
        <f t="shared" si="0"/>
        <v>29307</v>
      </c>
      <c r="W17" s="297">
        <f t="shared" si="0"/>
        <v>18807</v>
      </c>
      <c r="X17" s="297">
        <f t="shared" si="0"/>
        <v>19457</v>
      </c>
      <c r="Y17" s="297">
        <f t="shared" si="0"/>
        <v>16807</v>
      </c>
      <c r="Z17" s="297">
        <f t="shared" si="0"/>
        <v>16807</v>
      </c>
    </row>
    <row r="18" spans="1:26" ht="34.15" customHeight="1" x14ac:dyDescent="0.25">
      <c r="A18" s="152" t="s">
        <v>157</v>
      </c>
      <c r="B18" s="93" t="s">
        <v>1079</v>
      </c>
      <c r="C18" s="93"/>
      <c r="D18" s="294"/>
      <c r="E18" s="295" t="s">
        <v>212</v>
      </c>
      <c r="F18" s="292"/>
      <c r="G18" s="292"/>
      <c r="H18" s="292"/>
      <c r="I18" s="292"/>
      <c r="J18" s="292"/>
      <c r="K18" s="292"/>
      <c r="L18" s="295"/>
      <c r="M18" s="296">
        <f>+M114</f>
        <v>0</v>
      </c>
      <c r="N18" s="295">
        <f t="shared" ref="N18:N20" si="1">SUM(O18:Z18)</f>
        <v>148800</v>
      </c>
      <c r="O18" s="297">
        <f t="shared" ref="O18:Z18" si="2">+O114</f>
        <v>23000</v>
      </c>
      <c r="P18" s="297">
        <f t="shared" si="2"/>
        <v>20000</v>
      </c>
      <c r="Q18" s="297">
        <f t="shared" si="2"/>
        <v>20000</v>
      </c>
      <c r="R18" s="297">
        <f t="shared" si="2"/>
        <v>20000</v>
      </c>
      <c r="S18" s="297">
        <f t="shared" si="2"/>
        <v>8100</v>
      </c>
      <c r="T18" s="297">
        <f t="shared" si="2"/>
        <v>8100</v>
      </c>
      <c r="U18" s="297">
        <f t="shared" si="2"/>
        <v>8100</v>
      </c>
      <c r="V18" s="297">
        <f t="shared" si="2"/>
        <v>7100</v>
      </c>
      <c r="W18" s="297">
        <f t="shared" si="2"/>
        <v>7100</v>
      </c>
      <c r="X18" s="297">
        <f t="shared" si="2"/>
        <v>11100</v>
      </c>
      <c r="Y18" s="297">
        <f t="shared" si="2"/>
        <v>8100</v>
      </c>
      <c r="Z18" s="297">
        <f t="shared" si="2"/>
        <v>8100</v>
      </c>
    </row>
    <row r="19" spans="1:26" ht="34.15" customHeight="1" x14ac:dyDescent="0.25">
      <c r="A19" s="152" t="s">
        <v>158</v>
      </c>
      <c r="B19" s="93" t="s">
        <v>1080</v>
      </c>
      <c r="C19" s="93"/>
      <c r="D19" s="294"/>
      <c r="E19" s="295" t="s">
        <v>212</v>
      </c>
      <c r="F19" s="292"/>
      <c r="G19" s="292"/>
      <c r="H19" s="292"/>
      <c r="I19" s="292"/>
      <c r="J19" s="292"/>
      <c r="K19" s="292"/>
      <c r="L19" s="295"/>
      <c r="M19" s="296">
        <f>+M124</f>
        <v>0</v>
      </c>
      <c r="N19" s="295">
        <f t="shared" si="1"/>
        <v>19000</v>
      </c>
      <c r="O19" s="297">
        <f t="shared" ref="O19:Z19" si="3">+O124</f>
        <v>0</v>
      </c>
      <c r="P19" s="297">
        <f t="shared" si="3"/>
        <v>0</v>
      </c>
      <c r="Q19" s="297">
        <f t="shared" si="3"/>
        <v>16500</v>
      </c>
      <c r="R19" s="297">
        <f t="shared" si="3"/>
        <v>0</v>
      </c>
      <c r="S19" s="297">
        <f t="shared" si="3"/>
        <v>0</v>
      </c>
      <c r="T19" s="297">
        <f t="shared" si="3"/>
        <v>0</v>
      </c>
      <c r="U19" s="297">
        <f t="shared" si="3"/>
        <v>0</v>
      </c>
      <c r="V19" s="297">
        <f t="shared" si="3"/>
        <v>0</v>
      </c>
      <c r="W19" s="297">
        <f t="shared" si="3"/>
        <v>0</v>
      </c>
      <c r="X19" s="297">
        <f t="shared" si="3"/>
        <v>2500</v>
      </c>
      <c r="Y19" s="297">
        <f t="shared" si="3"/>
        <v>0</v>
      </c>
      <c r="Z19" s="297">
        <f t="shared" si="3"/>
        <v>0</v>
      </c>
    </row>
    <row r="20" spans="1:26" ht="34.15" customHeight="1" x14ac:dyDescent="0.25">
      <c r="A20" s="152" t="s">
        <v>159</v>
      </c>
      <c r="B20" s="93" t="s">
        <v>1081</v>
      </c>
      <c r="C20" s="93"/>
      <c r="D20" s="294"/>
      <c r="E20" s="295" t="s">
        <v>212</v>
      </c>
      <c r="F20" s="292"/>
      <c r="G20" s="292"/>
      <c r="H20" s="292"/>
      <c r="I20" s="292"/>
      <c r="J20" s="292"/>
      <c r="K20" s="292"/>
      <c r="L20" s="295"/>
      <c r="M20" s="295">
        <f>+M125</f>
        <v>0</v>
      </c>
      <c r="N20" s="295">
        <f t="shared" si="1"/>
        <v>38000</v>
      </c>
      <c r="O20" s="297">
        <f>O131</f>
        <v>0</v>
      </c>
      <c r="P20" s="297">
        <f t="shared" ref="P20:Z20" si="4">P131</f>
        <v>0</v>
      </c>
      <c r="Q20" s="297">
        <f t="shared" si="4"/>
        <v>0</v>
      </c>
      <c r="R20" s="297">
        <f t="shared" si="4"/>
        <v>1500</v>
      </c>
      <c r="S20" s="297">
        <f t="shared" si="4"/>
        <v>25000</v>
      </c>
      <c r="T20" s="297">
        <f t="shared" si="4"/>
        <v>0</v>
      </c>
      <c r="U20" s="297">
        <f t="shared" si="4"/>
        <v>0</v>
      </c>
      <c r="V20" s="297">
        <f t="shared" si="4"/>
        <v>1500</v>
      </c>
      <c r="W20" s="297">
        <f t="shared" si="4"/>
        <v>0</v>
      </c>
      <c r="X20" s="297">
        <f t="shared" si="4"/>
        <v>0</v>
      </c>
      <c r="Y20" s="297">
        <f t="shared" si="4"/>
        <v>10000</v>
      </c>
      <c r="Z20" s="297">
        <f t="shared" si="4"/>
        <v>0</v>
      </c>
    </row>
    <row r="21" spans="1:26" ht="34.15" hidden="1" customHeight="1" x14ac:dyDescent="0.25">
      <c r="A21" s="93"/>
      <c r="B21" s="93"/>
      <c r="C21" s="93"/>
      <c r="D21" s="294"/>
      <c r="E21" s="295"/>
      <c r="F21" s="292"/>
      <c r="G21" s="292"/>
      <c r="H21" s="292"/>
      <c r="I21" s="292"/>
      <c r="J21" s="292"/>
      <c r="K21" s="292"/>
      <c r="L21" s="295"/>
      <c r="M21" s="292"/>
      <c r="N21" s="298"/>
      <c r="O21" s="298"/>
      <c r="P21" s="298"/>
      <c r="Q21" s="298"/>
      <c r="R21" s="298"/>
      <c r="S21" s="298"/>
      <c r="T21" s="298"/>
      <c r="U21" s="298"/>
      <c r="V21" s="298"/>
      <c r="W21" s="298"/>
      <c r="X21" s="298"/>
      <c r="Y21" s="298"/>
      <c r="Z21" s="298"/>
    </row>
    <row r="22" spans="1:26" ht="34.15" hidden="1" customHeight="1" x14ac:dyDescent="0.25">
      <c r="A22" s="93"/>
      <c r="B22" s="93"/>
      <c r="C22" s="93"/>
      <c r="D22" s="294"/>
      <c r="E22" s="295"/>
      <c r="F22" s="292"/>
      <c r="G22" s="292"/>
      <c r="H22" s="292"/>
      <c r="I22" s="292"/>
      <c r="J22" s="292"/>
      <c r="K22" s="292"/>
      <c r="L22" s="295"/>
      <c r="M22" s="292"/>
      <c r="N22" s="298"/>
      <c r="O22" s="298"/>
      <c r="P22" s="298"/>
      <c r="Q22" s="298"/>
      <c r="R22" s="298"/>
      <c r="S22" s="298"/>
      <c r="T22" s="298"/>
      <c r="U22" s="298"/>
      <c r="V22" s="298"/>
      <c r="W22" s="298"/>
      <c r="X22" s="298"/>
      <c r="Y22" s="298"/>
      <c r="Z22" s="298"/>
    </row>
    <row r="23" spans="1:26" ht="34.15" hidden="1" customHeight="1" x14ac:dyDescent="0.25">
      <c r="A23" s="93"/>
      <c r="B23" s="93"/>
      <c r="C23" s="93"/>
      <c r="D23" s="294"/>
      <c r="E23" s="295"/>
      <c r="F23" s="292"/>
      <c r="G23" s="292"/>
      <c r="H23" s="292"/>
      <c r="I23" s="292"/>
      <c r="J23" s="292"/>
      <c r="K23" s="292"/>
      <c r="L23" s="295"/>
      <c r="M23" s="292"/>
      <c r="N23" s="298"/>
      <c r="O23" s="298"/>
      <c r="P23" s="298"/>
      <c r="Q23" s="298"/>
      <c r="R23" s="298"/>
      <c r="S23" s="298"/>
      <c r="T23" s="298"/>
      <c r="U23" s="298"/>
      <c r="V23" s="298"/>
      <c r="W23" s="298"/>
      <c r="X23" s="298"/>
      <c r="Y23" s="298"/>
      <c r="Z23" s="298"/>
    </row>
    <row r="24" spans="1:26" ht="34.15" hidden="1" customHeight="1" x14ac:dyDescent="0.25">
      <c r="A24" s="93"/>
      <c r="B24" s="93"/>
      <c r="C24" s="93"/>
      <c r="D24" s="294"/>
      <c r="E24" s="295"/>
      <c r="F24" s="292"/>
      <c r="G24" s="292"/>
      <c r="H24" s="292"/>
      <c r="I24" s="292"/>
      <c r="J24" s="292"/>
      <c r="K24" s="292"/>
      <c r="L24" s="295"/>
      <c r="M24" s="292"/>
      <c r="N24" s="298"/>
      <c r="O24" s="298"/>
      <c r="P24" s="298"/>
      <c r="Q24" s="298"/>
      <c r="R24" s="298"/>
      <c r="S24" s="298"/>
      <c r="T24" s="298"/>
      <c r="U24" s="298"/>
      <c r="V24" s="298"/>
      <c r="W24" s="298"/>
      <c r="X24" s="298"/>
      <c r="Y24" s="298"/>
      <c r="Z24" s="298"/>
    </row>
    <row r="25" spans="1:26" ht="34.15" hidden="1" customHeight="1" x14ac:dyDescent="0.25">
      <c r="A25" s="93"/>
      <c r="B25" s="93"/>
      <c r="C25" s="93"/>
      <c r="D25" s="294"/>
      <c r="E25" s="295"/>
      <c r="F25" s="292"/>
      <c r="G25" s="292"/>
      <c r="H25" s="292"/>
      <c r="I25" s="292"/>
      <c r="J25" s="292"/>
      <c r="K25" s="292"/>
      <c r="L25" s="295"/>
      <c r="M25" s="292"/>
      <c r="N25" s="298"/>
      <c r="O25" s="298"/>
      <c r="P25" s="298"/>
      <c r="Q25" s="298"/>
      <c r="R25" s="298"/>
      <c r="S25" s="298"/>
      <c r="T25" s="298"/>
      <c r="U25" s="298"/>
      <c r="V25" s="298"/>
      <c r="W25" s="298"/>
      <c r="X25" s="298"/>
      <c r="Y25" s="298"/>
      <c r="Z25" s="298"/>
    </row>
    <row r="26" spans="1:26" ht="34.15" hidden="1" customHeight="1" x14ac:dyDescent="0.25">
      <c r="A26" s="93"/>
      <c r="B26" s="93"/>
      <c r="C26" s="93"/>
      <c r="D26" s="294"/>
      <c r="E26" s="295"/>
      <c r="F26" s="292"/>
      <c r="G26" s="292"/>
      <c r="H26" s="292"/>
      <c r="I26" s="292"/>
      <c r="J26" s="292"/>
      <c r="K26" s="292"/>
      <c r="L26" s="295"/>
      <c r="M26" s="292"/>
      <c r="N26" s="298"/>
      <c r="O26" s="298" t="s">
        <v>5</v>
      </c>
      <c r="P26" s="298"/>
      <c r="Q26" s="298"/>
      <c r="R26" s="298"/>
      <c r="S26" s="298"/>
      <c r="T26" s="298"/>
      <c r="U26" s="298"/>
      <c r="V26" s="298"/>
      <c r="W26" s="298"/>
      <c r="X26" s="298"/>
      <c r="Y26" s="298"/>
      <c r="Z26" s="298"/>
    </row>
    <row r="27" spans="1:26" ht="34.15" customHeight="1" x14ac:dyDescent="0.25">
      <c r="A27" s="299"/>
      <c r="B27" s="300"/>
      <c r="C27" s="300"/>
      <c r="D27" s="301"/>
      <c r="E27" s="302"/>
      <c r="F27" s="302"/>
      <c r="G27" s="302"/>
      <c r="H27" s="302"/>
      <c r="I27" s="302"/>
      <c r="J27" s="303" t="s">
        <v>20</v>
      </c>
      <c r="K27" s="304"/>
      <c r="L27" s="291">
        <v>12</v>
      </c>
      <c r="M27" s="291">
        <f>SUM(M2:M26)</f>
        <v>0</v>
      </c>
      <c r="N27" s="291">
        <f>SUM(N17:N26)</f>
        <v>456484</v>
      </c>
      <c r="O27" s="291">
        <f>SUM(O17:O26)</f>
        <v>39807</v>
      </c>
      <c r="P27" s="291">
        <f t="shared" ref="P27:Z27" si="5">SUM(P17:P26)</f>
        <v>36807</v>
      </c>
      <c r="Q27" s="291">
        <f t="shared" si="5"/>
        <v>58007</v>
      </c>
      <c r="R27" s="291">
        <f t="shared" si="5"/>
        <v>48307</v>
      </c>
      <c r="S27" s="291">
        <f t="shared" si="5"/>
        <v>49907</v>
      </c>
      <c r="T27" s="291">
        <f t="shared" si="5"/>
        <v>42057</v>
      </c>
      <c r="U27" s="291">
        <f t="shared" si="5"/>
        <v>24907</v>
      </c>
      <c r="V27" s="291">
        <f t="shared" si="5"/>
        <v>37907</v>
      </c>
      <c r="W27" s="291">
        <f t="shared" si="5"/>
        <v>25907</v>
      </c>
      <c r="X27" s="291">
        <f t="shared" si="5"/>
        <v>33057</v>
      </c>
      <c r="Y27" s="291">
        <f t="shared" si="5"/>
        <v>34907</v>
      </c>
      <c r="Z27" s="291">
        <f t="shared" si="5"/>
        <v>24907</v>
      </c>
    </row>
    <row r="28" spans="1:26" ht="34.15" customHeight="1" x14ac:dyDescent="0.25">
      <c r="A28" s="301"/>
      <c r="B28" s="301"/>
      <c r="C28" s="301"/>
      <c r="D28" s="301"/>
      <c r="E28" s="301"/>
      <c r="F28" s="301"/>
      <c r="G28" s="301"/>
      <c r="H28" s="301"/>
      <c r="I28" s="301"/>
      <c r="J28" s="301"/>
      <c r="K28" s="301"/>
    </row>
    <row r="29" spans="1:26" ht="34.15" customHeight="1" x14ac:dyDescent="0.25">
      <c r="A29" s="287" t="s">
        <v>33</v>
      </c>
      <c r="B29" s="287"/>
      <c r="C29" s="288"/>
      <c r="D29" s="288"/>
      <c r="E29" s="288"/>
      <c r="F29" s="288"/>
      <c r="G29" s="288"/>
      <c r="H29" s="289"/>
      <c r="I29" s="289"/>
      <c r="J29" s="288"/>
      <c r="K29" s="288"/>
      <c r="L29" s="288"/>
      <c r="M29" s="288"/>
      <c r="N29" s="288"/>
      <c r="O29" s="288" t="s">
        <v>5</v>
      </c>
      <c r="P29" s="288"/>
      <c r="Q29" s="288"/>
      <c r="R29" s="288"/>
      <c r="S29" s="288"/>
      <c r="T29" s="288"/>
      <c r="U29" s="288"/>
      <c r="V29" s="288"/>
      <c r="W29" s="288"/>
      <c r="X29" s="288"/>
      <c r="Y29" s="288"/>
      <c r="Z29" s="288"/>
    </row>
    <row r="30" spans="1:26" ht="29.45" customHeight="1" x14ac:dyDescent="0.25">
      <c r="A30" s="92" t="s">
        <v>261</v>
      </c>
      <c r="B30" s="92" t="s">
        <v>13</v>
      </c>
      <c r="C30" s="92" t="s">
        <v>14</v>
      </c>
      <c r="D30" s="290" t="s">
        <v>15</v>
      </c>
      <c r="E30" s="292" t="s">
        <v>5</v>
      </c>
      <c r="F30" s="292" t="s">
        <v>5</v>
      </c>
      <c r="G30" s="292" t="s">
        <v>5</v>
      </c>
      <c r="H30" s="292"/>
      <c r="I30" s="292"/>
      <c r="J30" s="292"/>
      <c r="K30" s="292" t="s">
        <v>5</v>
      </c>
      <c r="L30" s="305" t="s">
        <v>287</v>
      </c>
      <c r="M30" s="292"/>
      <c r="N30" s="298"/>
      <c r="O30" s="298" t="s">
        <v>5</v>
      </c>
      <c r="P30" s="298"/>
      <c r="Q30" s="298"/>
      <c r="R30" s="298"/>
      <c r="S30" s="298"/>
      <c r="T30" s="298"/>
      <c r="U30" s="298"/>
      <c r="V30" s="298"/>
      <c r="W30" s="298"/>
      <c r="X30" s="298"/>
      <c r="Y30" s="298"/>
      <c r="Z30" s="298"/>
    </row>
    <row r="31" spans="1:26" ht="29.45" customHeight="1" x14ac:dyDescent="0.25">
      <c r="A31" s="306" t="str">
        <f>CONCATENATE(B17," ",C17)</f>
        <v xml:space="preserve">External Communications </v>
      </c>
      <c r="B31" s="306"/>
      <c r="C31" s="307"/>
      <c r="D31" s="307"/>
      <c r="E31" s="308"/>
      <c r="F31" s="308"/>
      <c r="G31" s="308"/>
      <c r="H31" s="308"/>
      <c r="I31" s="308"/>
      <c r="J31" s="308"/>
      <c r="K31" s="308"/>
      <c r="L31" s="308"/>
      <c r="M31" s="308"/>
      <c r="N31" s="308"/>
      <c r="O31" s="308" t="s">
        <v>5</v>
      </c>
      <c r="P31" s="308"/>
      <c r="Q31" s="308"/>
      <c r="R31" s="308"/>
      <c r="S31" s="308"/>
      <c r="T31" s="308"/>
      <c r="U31" s="308"/>
      <c r="V31" s="308"/>
      <c r="W31" s="308"/>
      <c r="X31" s="308"/>
      <c r="Y31" s="308"/>
      <c r="Z31" s="308"/>
    </row>
    <row r="32" spans="1:26" ht="29.45" customHeight="1" x14ac:dyDescent="0.25">
      <c r="A32" s="152" t="s">
        <v>250</v>
      </c>
      <c r="B32" s="93" t="s">
        <v>34</v>
      </c>
      <c r="C32" s="93" t="s">
        <v>1015</v>
      </c>
      <c r="D32" s="294" t="s">
        <v>1016</v>
      </c>
      <c r="E32" s="1014"/>
      <c r="F32" s="1014"/>
      <c r="G32" s="1014"/>
      <c r="H32" s="1014"/>
      <c r="I32" s="1014"/>
      <c r="J32" s="1014"/>
      <c r="K32" s="1015"/>
      <c r="L32" s="295" t="s">
        <v>113</v>
      </c>
      <c r="M32" s="292"/>
      <c r="N32" s="298"/>
      <c r="O32" s="298" t="s">
        <v>5</v>
      </c>
      <c r="P32" s="298"/>
      <c r="Q32" s="298"/>
      <c r="R32" s="298"/>
      <c r="S32" s="298"/>
      <c r="T32" s="298"/>
      <c r="U32" s="298"/>
      <c r="V32" s="298"/>
      <c r="W32" s="298"/>
      <c r="X32" s="298"/>
      <c r="Y32" s="298"/>
      <c r="Z32" s="298"/>
    </row>
    <row r="33" spans="1:26" ht="29.45" customHeight="1" x14ac:dyDescent="0.25">
      <c r="A33" s="152" t="s">
        <v>263</v>
      </c>
      <c r="B33" s="93" t="s">
        <v>36</v>
      </c>
      <c r="C33" s="93" t="s">
        <v>103</v>
      </c>
      <c r="D33" s="1016" t="s">
        <v>1082</v>
      </c>
      <c r="E33" s="1014"/>
      <c r="F33" s="1014"/>
      <c r="G33" s="1014"/>
      <c r="H33" s="1014"/>
      <c r="I33" s="1014"/>
      <c r="J33" s="1014"/>
      <c r="K33" s="1015"/>
      <c r="L33" s="295" t="s">
        <v>113</v>
      </c>
      <c r="M33" s="292"/>
      <c r="N33" s="298"/>
      <c r="O33" s="298" t="s">
        <v>5</v>
      </c>
      <c r="P33" s="298"/>
      <c r="Q33" s="298"/>
      <c r="R33" s="298"/>
      <c r="S33" s="298"/>
      <c r="T33" s="298"/>
      <c r="U33" s="298"/>
      <c r="V33" s="298"/>
      <c r="W33" s="298"/>
      <c r="X33" s="298"/>
      <c r="Y33" s="298"/>
      <c r="Z33" s="298"/>
    </row>
    <row r="34" spans="1:26" ht="29.45" customHeight="1" x14ac:dyDescent="0.25">
      <c r="A34" s="152"/>
      <c r="B34" s="93" t="s">
        <v>698</v>
      </c>
      <c r="C34" s="93" t="s">
        <v>1018</v>
      </c>
      <c r="D34" s="294" t="s">
        <v>1083</v>
      </c>
      <c r="E34" s="1014" t="s">
        <v>5</v>
      </c>
      <c r="F34" s="1014" t="s">
        <v>5</v>
      </c>
      <c r="G34" s="1014" t="s">
        <v>5</v>
      </c>
      <c r="H34" s="1014"/>
      <c r="I34" s="1014"/>
      <c r="J34" s="1014"/>
      <c r="K34" s="1015" t="s">
        <v>5</v>
      </c>
      <c r="L34" s="295" t="s">
        <v>99</v>
      </c>
      <c r="M34" s="292"/>
      <c r="N34" s="298"/>
      <c r="O34" s="298" t="s">
        <v>5</v>
      </c>
      <c r="P34" s="298"/>
      <c r="Q34" s="298"/>
      <c r="R34" s="298"/>
      <c r="S34" s="298"/>
      <c r="T34" s="298"/>
      <c r="U34" s="298"/>
      <c r="V34" s="298"/>
      <c r="W34" s="298"/>
      <c r="X34" s="298"/>
      <c r="Y34" s="298"/>
      <c r="Z34" s="298"/>
    </row>
    <row r="35" spans="1:26" ht="29.45" customHeight="1" x14ac:dyDescent="0.25">
      <c r="A35" s="152"/>
      <c r="B35" s="93" t="s">
        <v>709</v>
      </c>
      <c r="C35" s="93" t="s">
        <v>1020</v>
      </c>
      <c r="D35" s="294" t="s">
        <v>1021</v>
      </c>
      <c r="E35" s="1014" t="s">
        <v>5</v>
      </c>
      <c r="F35" s="1014" t="s">
        <v>5</v>
      </c>
      <c r="G35" s="1014" t="s">
        <v>5</v>
      </c>
      <c r="H35" s="1014"/>
      <c r="I35" s="1014"/>
      <c r="J35" s="1014"/>
      <c r="K35" s="1015" t="s">
        <v>5</v>
      </c>
      <c r="L35" s="295" t="s">
        <v>148</v>
      </c>
      <c r="M35" s="292"/>
      <c r="N35" s="298"/>
      <c r="O35" s="298" t="s">
        <v>5</v>
      </c>
      <c r="P35" s="298"/>
      <c r="Q35" s="298"/>
      <c r="R35" s="298"/>
      <c r="S35" s="298"/>
      <c r="T35" s="298"/>
      <c r="U35" s="298"/>
      <c r="V35" s="298"/>
      <c r="W35" s="298"/>
      <c r="X35" s="298"/>
      <c r="Y35" s="298"/>
      <c r="Z35" s="298"/>
    </row>
    <row r="36" spans="1:26" ht="29.45" customHeight="1" x14ac:dyDescent="0.25">
      <c r="A36" s="152"/>
      <c r="B36" s="93"/>
      <c r="C36" s="93"/>
      <c r="D36" s="294"/>
      <c r="E36" s="1014" t="s">
        <v>5</v>
      </c>
      <c r="F36" s="1014" t="s">
        <v>5</v>
      </c>
      <c r="G36" s="1014" t="s">
        <v>5</v>
      </c>
      <c r="H36" s="1014"/>
      <c r="I36" s="1014"/>
      <c r="J36" s="1014"/>
      <c r="K36" s="1015" t="s">
        <v>5</v>
      </c>
      <c r="L36" s="295"/>
      <c r="M36" s="292"/>
      <c r="N36" s="298"/>
      <c r="O36" s="298" t="s">
        <v>5</v>
      </c>
      <c r="P36" s="298"/>
      <c r="Q36" s="298"/>
      <c r="R36" s="298"/>
      <c r="S36" s="298"/>
      <c r="T36" s="298"/>
      <c r="U36" s="298"/>
      <c r="V36" s="298"/>
      <c r="W36" s="298"/>
      <c r="X36" s="298"/>
      <c r="Y36" s="298"/>
      <c r="Z36" s="298"/>
    </row>
    <row r="37" spans="1:26" ht="29.45" customHeight="1" x14ac:dyDescent="0.25">
      <c r="A37" s="309" t="str">
        <f>CONCATENATE(B18," ",C18)</f>
        <v xml:space="preserve">Internal Communications </v>
      </c>
      <c r="B37" s="306"/>
      <c r="C37" s="307"/>
      <c r="D37" s="307"/>
      <c r="E37" s="308"/>
      <c r="F37" s="308"/>
      <c r="G37" s="308"/>
      <c r="H37" s="308"/>
      <c r="I37" s="308"/>
      <c r="J37" s="308"/>
      <c r="K37" s="308"/>
      <c r="L37" s="308"/>
      <c r="M37" s="308"/>
      <c r="N37" s="308"/>
      <c r="O37" s="308" t="s">
        <v>5</v>
      </c>
      <c r="P37" s="308"/>
      <c r="Q37" s="308"/>
      <c r="R37" s="308"/>
      <c r="S37" s="308"/>
      <c r="T37" s="308"/>
      <c r="U37" s="308"/>
      <c r="V37" s="308"/>
      <c r="W37" s="308"/>
      <c r="X37" s="308"/>
      <c r="Y37" s="308"/>
      <c r="Z37" s="308"/>
    </row>
    <row r="38" spans="1:26" ht="29.45" customHeight="1" x14ac:dyDescent="0.25">
      <c r="A38" s="152" t="s">
        <v>264</v>
      </c>
      <c r="B38" s="93" t="s">
        <v>34</v>
      </c>
      <c r="C38" s="93" t="s">
        <v>1015</v>
      </c>
      <c r="D38" s="294" t="s">
        <v>1016</v>
      </c>
      <c r="E38" s="1014"/>
      <c r="F38" s="1014"/>
      <c r="G38" s="1014"/>
      <c r="H38" s="1014"/>
      <c r="I38" s="1014"/>
      <c r="J38" s="1014"/>
      <c r="K38" s="1015"/>
      <c r="L38" s="295" t="s">
        <v>113</v>
      </c>
      <c r="M38" s="292"/>
      <c r="N38" s="298"/>
      <c r="O38" s="298" t="s">
        <v>5</v>
      </c>
      <c r="P38" s="298"/>
      <c r="Q38" s="298"/>
      <c r="R38" s="298"/>
      <c r="S38" s="298"/>
      <c r="T38" s="298"/>
      <c r="U38" s="298"/>
      <c r="V38" s="298"/>
      <c r="W38" s="298"/>
      <c r="X38" s="298"/>
      <c r="Y38" s="298"/>
      <c r="Z38" s="298"/>
    </row>
    <row r="39" spans="1:26" ht="29.45" customHeight="1" x14ac:dyDescent="0.25">
      <c r="A39" s="152" t="s">
        <v>253</v>
      </c>
      <c r="B39" s="93" t="s">
        <v>36</v>
      </c>
      <c r="C39" s="93" t="s">
        <v>103</v>
      </c>
      <c r="D39" s="1016" t="s">
        <v>1084</v>
      </c>
      <c r="E39" s="1014"/>
      <c r="F39" s="1014"/>
      <c r="G39" s="1014"/>
      <c r="H39" s="1014"/>
      <c r="I39" s="1014"/>
      <c r="J39" s="1014"/>
      <c r="K39" s="1015"/>
      <c r="L39" s="295" t="s">
        <v>113</v>
      </c>
      <c r="M39" s="292"/>
      <c r="N39" s="298"/>
      <c r="O39" s="298" t="s">
        <v>5</v>
      </c>
      <c r="P39" s="298"/>
      <c r="Q39" s="298"/>
      <c r="R39" s="298"/>
      <c r="S39" s="298"/>
      <c r="T39" s="298"/>
      <c r="U39" s="298"/>
      <c r="V39" s="298"/>
      <c r="W39" s="298"/>
      <c r="X39" s="298"/>
      <c r="Y39" s="298"/>
      <c r="Z39" s="298"/>
    </row>
    <row r="40" spans="1:26" ht="29.45" customHeight="1" x14ac:dyDescent="0.25">
      <c r="A40" s="152"/>
      <c r="B40" s="93" t="s">
        <v>698</v>
      </c>
      <c r="C40" s="93" t="s">
        <v>1018</v>
      </c>
      <c r="D40" s="294" t="s">
        <v>1083</v>
      </c>
      <c r="E40" s="1014" t="s">
        <v>5</v>
      </c>
      <c r="F40" s="1014" t="s">
        <v>5</v>
      </c>
      <c r="G40" s="1014" t="s">
        <v>5</v>
      </c>
      <c r="H40" s="1014"/>
      <c r="I40" s="1014"/>
      <c r="J40" s="1014"/>
      <c r="K40" s="1015" t="s">
        <v>5</v>
      </c>
      <c r="L40" s="295" t="s">
        <v>99</v>
      </c>
      <c r="M40" s="292"/>
      <c r="N40" s="298"/>
      <c r="O40" s="298" t="s">
        <v>5</v>
      </c>
      <c r="P40" s="298"/>
      <c r="Q40" s="298"/>
      <c r="R40" s="298"/>
      <c r="S40" s="298"/>
      <c r="T40" s="298"/>
      <c r="U40" s="298"/>
      <c r="V40" s="298"/>
      <c r="W40" s="298"/>
      <c r="X40" s="298"/>
      <c r="Y40" s="298"/>
      <c r="Z40" s="298"/>
    </row>
    <row r="41" spans="1:26" ht="29.45" customHeight="1" x14ac:dyDescent="0.25">
      <c r="A41" s="152"/>
      <c r="B41" s="93" t="s">
        <v>709</v>
      </c>
      <c r="C41" s="93" t="s">
        <v>1020</v>
      </c>
      <c r="D41" s="294" t="s">
        <v>1021</v>
      </c>
      <c r="E41" s="1014" t="s">
        <v>5</v>
      </c>
      <c r="F41" s="1014" t="s">
        <v>5</v>
      </c>
      <c r="G41" s="1014" t="s">
        <v>5</v>
      </c>
      <c r="H41" s="1014"/>
      <c r="I41" s="1014"/>
      <c r="J41" s="1014"/>
      <c r="K41" s="1015" t="s">
        <v>5</v>
      </c>
      <c r="L41" s="295" t="s">
        <v>148</v>
      </c>
      <c r="M41" s="292"/>
      <c r="N41" s="298"/>
      <c r="O41" s="298" t="s">
        <v>5</v>
      </c>
      <c r="P41" s="298"/>
      <c r="Q41" s="298"/>
      <c r="R41" s="298"/>
      <c r="S41" s="298"/>
      <c r="T41" s="298"/>
      <c r="U41" s="298"/>
      <c r="V41" s="298"/>
      <c r="W41" s="298"/>
      <c r="X41" s="298"/>
      <c r="Y41" s="298"/>
      <c r="Z41" s="298"/>
    </row>
    <row r="42" spans="1:26" ht="29.45" customHeight="1" x14ac:dyDescent="0.25">
      <c r="A42" s="152"/>
      <c r="B42" s="93"/>
      <c r="C42" s="93"/>
      <c r="D42" s="294"/>
      <c r="E42" s="1014" t="s">
        <v>5</v>
      </c>
      <c r="F42" s="1014" t="s">
        <v>5</v>
      </c>
      <c r="G42" s="1014" t="s">
        <v>5</v>
      </c>
      <c r="H42" s="1014"/>
      <c r="I42" s="1014"/>
      <c r="J42" s="1014"/>
      <c r="K42" s="1015" t="s">
        <v>5</v>
      </c>
      <c r="L42" s="295"/>
      <c r="M42" s="292"/>
      <c r="N42" s="298"/>
      <c r="O42" s="298" t="s">
        <v>5</v>
      </c>
      <c r="P42" s="298"/>
      <c r="Q42" s="298"/>
      <c r="R42" s="298"/>
      <c r="S42" s="298"/>
      <c r="T42" s="298"/>
      <c r="U42" s="298"/>
      <c r="V42" s="298"/>
      <c r="W42" s="298"/>
      <c r="X42" s="298"/>
      <c r="Y42" s="298"/>
      <c r="Z42" s="298"/>
    </row>
    <row r="43" spans="1:26" ht="34.15" hidden="1" customHeight="1" x14ac:dyDescent="0.25">
      <c r="A43" s="309" t="str">
        <f>CONCATENATE(B19," ",C19)</f>
        <v xml:space="preserve">Memberships </v>
      </c>
      <c r="B43" s="306"/>
      <c r="C43" s="307"/>
      <c r="D43" s="307"/>
      <c r="E43" s="308"/>
      <c r="F43" s="308"/>
      <c r="G43" s="308"/>
      <c r="H43" s="308"/>
      <c r="I43" s="308"/>
      <c r="J43" s="308"/>
      <c r="K43" s="308"/>
      <c r="L43" s="308"/>
      <c r="M43" s="308"/>
      <c r="N43" s="308"/>
      <c r="O43" s="308" t="s">
        <v>5</v>
      </c>
      <c r="P43" s="308"/>
      <c r="Q43" s="308"/>
      <c r="R43" s="308"/>
      <c r="S43" s="308"/>
      <c r="T43" s="308"/>
      <c r="U43" s="308"/>
      <c r="V43" s="308"/>
      <c r="W43" s="308"/>
      <c r="X43" s="308"/>
      <c r="Y43" s="308"/>
      <c r="Z43" s="308"/>
    </row>
    <row r="44" spans="1:26" ht="34.15" hidden="1" customHeight="1" x14ac:dyDescent="0.25">
      <c r="A44" s="152"/>
      <c r="B44" s="93"/>
      <c r="C44" s="93"/>
      <c r="D44" s="294"/>
      <c r="E44" s="1014"/>
      <c r="F44" s="1014"/>
      <c r="G44" s="1014"/>
      <c r="H44" s="1014"/>
      <c r="I44" s="1014"/>
      <c r="J44" s="1014"/>
      <c r="K44" s="1015"/>
      <c r="L44" s="295"/>
      <c r="M44" s="292"/>
      <c r="N44" s="298"/>
      <c r="O44" s="298" t="s">
        <v>5</v>
      </c>
      <c r="P44" s="298"/>
      <c r="Q44" s="298"/>
      <c r="R44" s="298"/>
      <c r="S44" s="298"/>
      <c r="T44" s="298"/>
      <c r="U44" s="298"/>
      <c r="V44" s="298"/>
      <c r="W44" s="298"/>
      <c r="X44" s="298"/>
      <c r="Y44" s="298"/>
      <c r="Z44" s="298"/>
    </row>
    <row r="45" spans="1:26" ht="34.15" hidden="1" customHeight="1" x14ac:dyDescent="0.25">
      <c r="A45" s="152"/>
      <c r="B45" s="93"/>
      <c r="C45" s="93"/>
      <c r="D45" s="1016"/>
      <c r="E45" s="1014"/>
      <c r="F45" s="1014"/>
      <c r="G45" s="1014"/>
      <c r="H45" s="1014"/>
      <c r="I45" s="1014"/>
      <c r="J45" s="1014"/>
      <c r="K45" s="1015"/>
      <c r="L45" s="295"/>
      <c r="M45" s="292"/>
      <c r="N45" s="298"/>
      <c r="O45" s="298" t="s">
        <v>5</v>
      </c>
      <c r="P45" s="298"/>
      <c r="Q45" s="298"/>
      <c r="R45" s="298"/>
      <c r="S45" s="298"/>
      <c r="T45" s="298"/>
      <c r="U45" s="298"/>
      <c r="V45" s="298"/>
      <c r="W45" s="298"/>
      <c r="X45" s="298"/>
      <c r="Y45" s="298"/>
      <c r="Z45" s="298"/>
    </row>
    <row r="46" spans="1:26" ht="34.15" hidden="1" customHeight="1" x14ac:dyDescent="0.25">
      <c r="A46" s="152"/>
      <c r="B46" s="93"/>
      <c r="C46" s="93"/>
      <c r="D46" s="294"/>
      <c r="E46" s="1014"/>
      <c r="F46" s="1014"/>
      <c r="G46" s="1014"/>
      <c r="H46" s="1014"/>
      <c r="I46" s="1014"/>
      <c r="J46" s="1014"/>
      <c r="K46" s="1015"/>
      <c r="L46" s="295"/>
      <c r="M46" s="292"/>
      <c r="N46" s="298"/>
      <c r="O46" s="298" t="s">
        <v>5</v>
      </c>
      <c r="P46" s="298"/>
      <c r="Q46" s="298"/>
      <c r="R46" s="298"/>
      <c r="S46" s="298"/>
      <c r="T46" s="298"/>
      <c r="U46" s="298"/>
      <c r="V46" s="298"/>
      <c r="W46" s="298"/>
      <c r="X46" s="298"/>
      <c r="Y46" s="298"/>
      <c r="Z46" s="298"/>
    </row>
    <row r="47" spans="1:26" ht="34.15" hidden="1" customHeight="1" x14ac:dyDescent="0.25">
      <c r="A47" s="152"/>
      <c r="B47" s="93"/>
      <c r="C47" s="93"/>
      <c r="D47" s="294"/>
      <c r="E47" s="1014"/>
      <c r="F47" s="1014"/>
      <c r="G47" s="1014"/>
      <c r="H47" s="1014"/>
      <c r="I47" s="1014"/>
      <c r="J47" s="1014"/>
      <c r="K47" s="1015"/>
      <c r="L47" s="310"/>
      <c r="M47" s="292"/>
      <c r="N47" s="298"/>
      <c r="O47" s="298" t="s">
        <v>5</v>
      </c>
      <c r="P47" s="298"/>
      <c r="Q47" s="298"/>
      <c r="R47" s="298"/>
      <c r="S47" s="298"/>
      <c r="T47" s="298"/>
      <c r="U47" s="298"/>
      <c r="V47" s="298"/>
      <c r="W47" s="298"/>
      <c r="X47" s="298"/>
      <c r="Y47" s="298"/>
      <c r="Z47" s="298"/>
    </row>
    <row r="48" spans="1:26" ht="34.15" hidden="1" customHeight="1" x14ac:dyDescent="0.25">
      <c r="A48" s="152"/>
      <c r="B48" s="93"/>
      <c r="C48" s="93"/>
      <c r="D48" s="294"/>
      <c r="E48" s="1014" t="s">
        <v>5</v>
      </c>
      <c r="F48" s="1014" t="s">
        <v>5</v>
      </c>
      <c r="G48" s="1014" t="s">
        <v>5</v>
      </c>
      <c r="H48" s="1014"/>
      <c r="I48" s="1014"/>
      <c r="J48" s="1014"/>
      <c r="K48" s="1015" t="s">
        <v>5</v>
      </c>
      <c r="L48" s="295"/>
      <c r="M48" s="292"/>
      <c r="N48" s="298"/>
      <c r="O48" s="298" t="s">
        <v>5</v>
      </c>
      <c r="P48" s="298"/>
      <c r="Q48" s="298"/>
      <c r="R48" s="298"/>
      <c r="S48" s="298"/>
      <c r="T48" s="298"/>
      <c r="U48" s="298"/>
      <c r="V48" s="298"/>
      <c r="W48" s="298"/>
      <c r="X48" s="298"/>
      <c r="Y48" s="298"/>
      <c r="Z48" s="298"/>
    </row>
    <row r="49" spans="1:26" ht="34.15" hidden="1" customHeight="1" outlineLevel="1" x14ac:dyDescent="0.25">
      <c r="A49" s="309" t="str">
        <f>CONCATENATE(B20," ",C20)</f>
        <v xml:space="preserve">Sponsorships and special events </v>
      </c>
      <c r="B49" s="306"/>
      <c r="C49" s="307"/>
      <c r="D49" s="307"/>
      <c r="E49" s="308"/>
      <c r="F49" s="308"/>
      <c r="G49" s="308"/>
      <c r="H49" s="308"/>
      <c r="I49" s="308"/>
      <c r="J49" s="308"/>
      <c r="K49" s="308"/>
      <c r="L49" s="308"/>
      <c r="M49" s="308"/>
      <c r="N49" s="308"/>
      <c r="O49" s="308" t="s">
        <v>5</v>
      </c>
      <c r="P49" s="308"/>
      <c r="Q49" s="308"/>
      <c r="R49" s="308"/>
      <c r="S49" s="308"/>
      <c r="T49" s="308"/>
      <c r="U49" s="308"/>
      <c r="V49" s="308"/>
      <c r="W49" s="308"/>
      <c r="X49" s="308"/>
      <c r="Y49" s="308"/>
      <c r="Z49" s="308"/>
    </row>
    <row r="50" spans="1:26" ht="34.15" hidden="1" customHeight="1" outlineLevel="1" x14ac:dyDescent="0.25">
      <c r="A50" s="152"/>
      <c r="B50" s="93"/>
      <c r="C50" s="93"/>
      <c r="D50" s="294"/>
      <c r="E50" s="1014"/>
      <c r="F50" s="1014"/>
      <c r="G50" s="1014"/>
      <c r="H50" s="1014"/>
      <c r="I50" s="1014"/>
      <c r="J50" s="1014"/>
      <c r="K50" s="1015"/>
      <c r="L50" s="295"/>
      <c r="M50" s="292"/>
      <c r="N50" s="298"/>
      <c r="O50" s="298" t="s">
        <v>5</v>
      </c>
      <c r="P50" s="298"/>
      <c r="Q50" s="298"/>
      <c r="R50" s="298"/>
      <c r="S50" s="298"/>
      <c r="T50" s="298"/>
      <c r="U50" s="298"/>
      <c r="V50" s="298"/>
      <c r="W50" s="298"/>
      <c r="X50" s="298"/>
      <c r="Y50" s="298"/>
      <c r="Z50" s="298"/>
    </row>
    <row r="51" spans="1:26" ht="34.15" hidden="1" customHeight="1" outlineLevel="1" x14ac:dyDescent="0.25">
      <c r="A51" s="93"/>
      <c r="B51" s="93"/>
      <c r="C51" s="93"/>
      <c r="D51" s="294"/>
      <c r="E51" s="1014" t="s">
        <v>5</v>
      </c>
      <c r="F51" s="1014" t="s">
        <v>5</v>
      </c>
      <c r="G51" s="1014" t="s">
        <v>5</v>
      </c>
      <c r="H51" s="1014"/>
      <c r="I51" s="1014"/>
      <c r="J51" s="1014"/>
      <c r="K51" s="1015" t="s">
        <v>5</v>
      </c>
      <c r="L51" s="295"/>
      <c r="M51" s="292"/>
      <c r="N51" s="298"/>
      <c r="O51" s="298" t="s">
        <v>5</v>
      </c>
      <c r="P51" s="298"/>
      <c r="Q51" s="298"/>
      <c r="R51" s="298"/>
      <c r="S51" s="298"/>
      <c r="T51" s="298"/>
      <c r="U51" s="298"/>
      <c r="V51" s="298"/>
      <c r="W51" s="298"/>
      <c r="X51" s="298"/>
      <c r="Y51" s="298"/>
      <c r="Z51" s="298"/>
    </row>
    <row r="52" spans="1:26" ht="34.15" hidden="1" customHeight="1" outlineLevel="1" x14ac:dyDescent="0.25">
      <c r="A52" s="93"/>
      <c r="B52" s="93"/>
      <c r="C52" s="93"/>
      <c r="D52" s="294"/>
      <c r="E52" s="1014" t="s">
        <v>5</v>
      </c>
      <c r="F52" s="1014" t="s">
        <v>5</v>
      </c>
      <c r="G52" s="1014" t="s">
        <v>5</v>
      </c>
      <c r="H52" s="1014"/>
      <c r="I52" s="1014"/>
      <c r="J52" s="1014"/>
      <c r="K52" s="1015" t="s">
        <v>5</v>
      </c>
      <c r="L52" s="295"/>
      <c r="M52" s="292"/>
      <c r="N52" s="298"/>
      <c r="O52" s="298" t="s">
        <v>5</v>
      </c>
      <c r="P52" s="298"/>
      <c r="Q52" s="298"/>
      <c r="R52" s="298"/>
      <c r="S52" s="298"/>
      <c r="T52" s="298"/>
      <c r="U52" s="298"/>
      <c r="V52" s="298"/>
      <c r="W52" s="298"/>
      <c r="X52" s="298"/>
      <c r="Y52" s="298"/>
      <c r="Z52" s="298"/>
    </row>
    <row r="53" spans="1:26" ht="34.15" hidden="1" customHeight="1" outlineLevel="1" x14ac:dyDescent="0.25">
      <c r="A53" s="93"/>
      <c r="B53" s="93"/>
      <c r="C53" s="93"/>
      <c r="D53" s="294"/>
      <c r="E53" s="1014" t="s">
        <v>5</v>
      </c>
      <c r="F53" s="1014" t="s">
        <v>5</v>
      </c>
      <c r="G53" s="1014" t="s">
        <v>5</v>
      </c>
      <c r="H53" s="1014"/>
      <c r="I53" s="1014"/>
      <c r="J53" s="1014"/>
      <c r="K53" s="1015" t="s">
        <v>5</v>
      </c>
      <c r="L53" s="295"/>
      <c r="M53" s="292"/>
      <c r="N53" s="298"/>
      <c r="O53" s="298" t="s">
        <v>5</v>
      </c>
      <c r="P53" s="298"/>
      <c r="Q53" s="298"/>
      <c r="R53" s="298"/>
      <c r="S53" s="298"/>
      <c r="T53" s="298"/>
      <c r="U53" s="298"/>
      <c r="V53" s="298"/>
      <c r="W53" s="298"/>
      <c r="X53" s="298"/>
      <c r="Y53" s="298"/>
      <c r="Z53" s="298"/>
    </row>
    <row r="54" spans="1:26" ht="34.15" hidden="1" customHeight="1" outlineLevel="1" x14ac:dyDescent="0.25">
      <c r="A54" s="93"/>
      <c r="B54" s="93"/>
      <c r="C54" s="93"/>
      <c r="D54" s="294"/>
      <c r="E54" s="1014" t="s">
        <v>5</v>
      </c>
      <c r="F54" s="1014" t="s">
        <v>5</v>
      </c>
      <c r="G54" s="1014" t="s">
        <v>5</v>
      </c>
      <c r="H54" s="1014"/>
      <c r="I54" s="1014"/>
      <c r="J54" s="1014"/>
      <c r="K54" s="1015" t="s">
        <v>5</v>
      </c>
      <c r="L54" s="295"/>
      <c r="M54" s="292"/>
      <c r="N54" s="298"/>
      <c r="O54" s="298" t="s">
        <v>5</v>
      </c>
      <c r="P54" s="298"/>
      <c r="Q54" s="298"/>
      <c r="R54" s="298"/>
      <c r="S54" s="298"/>
      <c r="T54" s="298"/>
      <c r="U54" s="298"/>
      <c r="V54" s="298"/>
      <c r="W54" s="298"/>
      <c r="X54" s="298"/>
      <c r="Y54" s="298"/>
      <c r="Z54" s="298"/>
    </row>
    <row r="55" spans="1:26" ht="34.15" hidden="1" customHeight="1" outlineLevel="1" x14ac:dyDescent="0.25">
      <c r="A55" s="306" t="str">
        <f>CONCATENATE(B21," ",C21)</f>
        <v xml:space="preserve"> </v>
      </c>
      <c r="B55" s="306"/>
      <c r="C55" s="307"/>
      <c r="D55" s="307"/>
      <c r="E55" s="308"/>
      <c r="F55" s="308"/>
      <c r="G55" s="308"/>
      <c r="H55" s="308"/>
      <c r="I55" s="308"/>
      <c r="J55" s="308"/>
      <c r="K55" s="308"/>
      <c r="L55" s="308"/>
      <c r="M55" s="308"/>
      <c r="N55" s="308"/>
      <c r="O55" s="308" t="s">
        <v>5</v>
      </c>
      <c r="P55" s="308"/>
      <c r="Q55" s="308"/>
      <c r="R55" s="308"/>
      <c r="S55" s="308"/>
      <c r="T55" s="308"/>
      <c r="U55" s="308"/>
      <c r="V55" s="308"/>
      <c r="W55" s="308"/>
      <c r="X55" s="308"/>
      <c r="Y55" s="308"/>
      <c r="Z55" s="308"/>
    </row>
    <row r="56" spans="1:26" ht="34.15" hidden="1" customHeight="1" outlineLevel="1" x14ac:dyDescent="0.25">
      <c r="A56" s="93" t="s">
        <v>269</v>
      </c>
      <c r="B56" s="93"/>
      <c r="C56" s="93"/>
      <c r="D56" s="294"/>
      <c r="E56" s="1014" t="s">
        <v>5</v>
      </c>
      <c r="F56" s="1014" t="s">
        <v>5</v>
      </c>
      <c r="G56" s="1014" t="s">
        <v>5</v>
      </c>
      <c r="H56" s="1014"/>
      <c r="I56" s="1014"/>
      <c r="J56" s="1014"/>
      <c r="K56" s="1015" t="s">
        <v>5</v>
      </c>
      <c r="L56" s="295"/>
      <c r="M56" s="292"/>
      <c r="N56" s="298"/>
      <c r="O56" s="298" t="s">
        <v>5</v>
      </c>
      <c r="P56" s="298"/>
      <c r="Q56" s="298"/>
      <c r="R56" s="298"/>
      <c r="S56" s="298"/>
      <c r="T56" s="298"/>
      <c r="U56" s="298"/>
      <c r="V56" s="298"/>
      <c r="W56" s="298"/>
      <c r="X56" s="298"/>
      <c r="Y56" s="298"/>
      <c r="Z56" s="298"/>
    </row>
    <row r="57" spans="1:26" ht="34.15" hidden="1" customHeight="1" outlineLevel="1" x14ac:dyDescent="0.25">
      <c r="A57" s="93" t="s">
        <v>270</v>
      </c>
      <c r="B57" s="93"/>
      <c r="C57" s="93"/>
      <c r="D57" s="294"/>
      <c r="E57" s="1014" t="s">
        <v>5</v>
      </c>
      <c r="F57" s="1014" t="s">
        <v>5</v>
      </c>
      <c r="G57" s="1014" t="s">
        <v>5</v>
      </c>
      <c r="H57" s="1014"/>
      <c r="I57" s="1014"/>
      <c r="J57" s="1014"/>
      <c r="K57" s="1015" t="s">
        <v>5</v>
      </c>
      <c r="L57" s="295"/>
      <c r="M57" s="292"/>
      <c r="N57" s="298"/>
      <c r="O57" s="298" t="s">
        <v>5</v>
      </c>
      <c r="P57" s="298"/>
      <c r="Q57" s="298"/>
      <c r="R57" s="298"/>
      <c r="S57" s="298"/>
      <c r="T57" s="298"/>
      <c r="U57" s="298"/>
      <c r="V57" s="298"/>
      <c r="W57" s="298"/>
      <c r="X57" s="298"/>
      <c r="Y57" s="298"/>
      <c r="Z57" s="298"/>
    </row>
    <row r="58" spans="1:26" ht="34.15" hidden="1" customHeight="1" outlineLevel="1" x14ac:dyDescent="0.25">
      <c r="A58" s="93"/>
      <c r="B58" s="93"/>
      <c r="C58" s="93"/>
      <c r="D58" s="294"/>
      <c r="E58" s="1014" t="s">
        <v>5</v>
      </c>
      <c r="F58" s="1014" t="s">
        <v>5</v>
      </c>
      <c r="G58" s="1014" t="s">
        <v>5</v>
      </c>
      <c r="H58" s="1014"/>
      <c r="I58" s="1014"/>
      <c r="J58" s="1014"/>
      <c r="K58" s="1015" t="s">
        <v>5</v>
      </c>
      <c r="L58" s="295"/>
      <c r="M58" s="292"/>
      <c r="N58" s="298"/>
      <c r="O58" s="298" t="s">
        <v>5</v>
      </c>
      <c r="P58" s="298"/>
      <c r="Q58" s="298"/>
      <c r="R58" s="298"/>
      <c r="S58" s="298"/>
      <c r="T58" s="298"/>
      <c r="U58" s="298"/>
      <c r="V58" s="298"/>
      <c r="W58" s="298"/>
      <c r="X58" s="298"/>
      <c r="Y58" s="298"/>
      <c r="Z58" s="298"/>
    </row>
    <row r="59" spans="1:26" ht="34.15" hidden="1" customHeight="1" outlineLevel="1" x14ac:dyDescent="0.25">
      <c r="A59" s="93"/>
      <c r="B59" s="93"/>
      <c r="C59" s="93"/>
      <c r="D59" s="294"/>
      <c r="E59" s="1014" t="s">
        <v>5</v>
      </c>
      <c r="F59" s="1014" t="s">
        <v>5</v>
      </c>
      <c r="G59" s="1014" t="s">
        <v>5</v>
      </c>
      <c r="H59" s="1014"/>
      <c r="I59" s="1014"/>
      <c r="J59" s="1014"/>
      <c r="K59" s="1015" t="s">
        <v>5</v>
      </c>
      <c r="L59" s="295"/>
      <c r="M59" s="292"/>
      <c r="N59" s="298"/>
      <c r="O59" s="298" t="s">
        <v>5</v>
      </c>
      <c r="P59" s="298"/>
      <c r="Q59" s="298"/>
      <c r="R59" s="298"/>
      <c r="S59" s="298"/>
      <c r="T59" s="298"/>
      <c r="U59" s="298"/>
      <c r="V59" s="298"/>
      <c r="W59" s="298"/>
      <c r="X59" s="298"/>
      <c r="Y59" s="298"/>
      <c r="Z59" s="298"/>
    </row>
    <row r="60" spans="1:26" ht="34.15" hidden="1" customHeight="1" outlineLevel="1" x14ac:dyDescent="0.25">
      <c r="A60" s="93"/>
      <c r="B60" s="93"/>
      <c r="C60" s="93"/>
      <c r="D60" s="294"/>
      <c r="E60" s="1014" t="s">
        <v>5</v>
      </c>
      <c r="F60" s="1014" t="s">
        <v>5</v>
      </c>
      <c r="G60" s="1014" t="s">
        <v>5</v>
      </c>
      <c r="H60" s="1014"/>
      <c r="I60" s="1014"/>
      <c r="J60" s="1014"/>
      <c r="K60" s="1015" t="s">
        <v>5</v>
      </c>
      <c r="L60" s="295"/>
      <c r="M60" s="292"/>
      <c r="N60" s="298"/>
      <c r="O60" s="298" t="s">
        <v>5</v>
      </c>
      <c r="P60" s="298"/>
      <c r="Q60" s="298"/>
      <c r="R60" s="298"/>
      <c r="S60" s="298"/>
      <c r="T60" s="298"/>
      <c r="U60" s="298"/>
      <c r="V60" s="298"/>
      <c r="W60" s="298"/>
      <c r="X60" s="298"/>
      <c r="Y60" s="298"/>
      <c r="Z60" s="298"/>
    </row>
    <row r="61" spans="1:26" ht="34.15" hidden="1" customHeight="1" outlineLevel="1" x14ac:dyDescent="0.25">
      <c r="A61" s="306" t="str">
        <f>CONCATENATE(B22," ",C22)</f>
        <v xml:space="preserve"> </v>
      </c>
      <c r="B61" s="306"/>
      <c r="C61" s="307"/>
      <c r="D61" s="307"/>
      <c r="E61" s="308"/>
      <c r="F61" s="308"/>
      <c r="G61" s="308"/>
      <c r="H61" s="308"/>
      <c r="I61" s="308"/>
      <c r="J61" s="308"/>
      <c r="K61" s="308"/>
      <c r="L61" s="308"/>
      <c r="M61" s="308"/>
      <c r="N61" s="308"/>
      <c r="O61" s="308" t="s">
        <v>5</v>
      </c>
      <c r="P61" s="308"/>
      <c r="Q61" s="308"/>
      <c r="R61" s="308"/>
      <c r="S61" s="308"/>
      <c r="T61" s="308"/>
      <c r="U61" s="308"/>
      <c r="V61" s="308"/>
      <c r="W61" s="308"/>
      <c r="X61" s="308"/>
      <c r="Y61" s="308"/>
      <c r="Z61" s="308"/>
    </row>
    <row r="62" spans="1:26" ht="34.15" hidden="1" customHeight="1" outlineLevel="1" x14ac:dyDescent="0.25">
      <c r="A62" s="93" t="s">
        <v>271</v>
      </c>
      <c r="B62" s="93"/>
      <c r="C62" s="93"/>
      <c r="D62" s="294"/>
      <c r="E62" s="1014" t="s">
        <v>5</v>
      </c>
      <c r="F62" s="1014" t="s">
        <v>5</v>
      </c>
      <c r="G62" s="1014" t="s">
        <v>5</v>
      </c>
      <c r="H62" s="1014"/>
      <c r="I62" s="1014"/>
      <c r="J62" s="1014"/>
      <c r="K62" s="1015" t="s">
        <v>5</v>
      </c>
      <c r="L62" s="295"/>
      <c r="M62" s="292"/>
      <c r="N62" s="298"/>
      <c r="O62" s="298" t="s">
        <v>5</v>
      </c>
      <c r="P62" s="298"/>
      <c r="Q62" s="298"/>
      <c r="R62" s="298"/>
      <c r="S62" s="298"/>
      <c r="T62" s="298"/>
      <c r="U62" s="298"/>
      <c r="V62" s="298"/>
      <c r="W62" s="298"/>
      <c r="X62" s="298"/>
      <c r="Y62" s="298"/>
      <c r="Z62" s="298"/>
    </row>
    <row r="63" spans="1:26" ht="34.15" hidden="1" customHeight="1" outlineLevel="1" x14ac:dyDescent="0.25">
      <c r="A63" s="93" t="s">
        <v>272</v>
      </c>
      <c r="B63" s="93"/>
      <c r="C63" s="93"/>
      <c r="D63" s="294"/>
      <c r="E63" s="1014" t="s">
        <v>5</v>
      </c>
      <c r="F63" s="1014" t="s">
        <v>5</v>
      </c>
      <c r="G63" s="1014" t="s">
        <v>5</v>
      </c>
      <c r="H63" s="1014"/>
      <c r="I63" s="1014"/>
      <c r="J63" s="1014"/>
      <c r="K63" s="1015" t="s">
        <v>5</v>
      </c>
      <c r="L63" s="295"/>
      <c r="M63" s="292"/>
      <c r="N63" s="298"/>
      <c r="O63" s="298" t="s">
        <v>5</v>
      </c>
      <c r="P63" s="298"/>
      <c r="Q63" s="298"/>
      <c r="R63" s="298"/>
      <c r="S63" s="298"/>
      <c r="T63" s="298"/>
      <c r="U63" s="298"/>
      <c r="V63" s="298"/>
      <c r="W63" s="298"/>
      <c r="X63" s="298"/>
      <c r="Y63" s="298"/>
      <c r="Z63" s="298"/>
    </row>
    <row r="64" spans="1:26" ht="34.15" hidden="1" customHeight="1" outlineLevel="1" x14ac:dyDescent="0.25">
      <c r="A64" s="93"/>
      <c r="B64" s="93"/>
      <c r="C64" s="93"/>
      <c r="D64" s="294"/>
      <c r="E64" s="1014" t="s">
        <v>5</v>
      </c>
      <c r="F64" s="1014" t="s">
        <v>5</v>
      </c>
      <c r="G64" s="1014" t="s">
        <v>5</v>
      </c>
      <c r="H64" s="1014"/>
      <c r="I64" s="1014"/>
      <c r="J64" s="1014"/>
      <c r="K64" s="1015" t="s">
        <v>5</v>
      </c>
      <c r="L64" s="295"/>
      <c r="M64" s="292"/>
      <c r="N64" s="298"/>
      <c r="O64" s="298" t="s">
        <v>5</v>
      </c>
      <c r="P64" s="298"/>
      <c r="Q64" s="298"/>
      <c r="R64" s="298"/>
      <c r="S64" s="298"/>
      <c r="T64" s="298"/>
      <c r="U64" s="298"/>
      <c r="V64" s="298"/>
      <c r="W64" s="298"/>
      <c r="X64" s="298"/>
      <c r="Y64" s="298"/>
      <c r="Z64" s="298"/>
    </row>
    <row r="65" spans="1:26" ht="34.15" hidden="1" customHeight="1" outlineLevel="1" x14ac:dyDescent="0.25">
      <c r="A65" s="93"/>
      <c r="B65" s="93"/>
      <c r="C65" s="93"/>
      <c r="D65" s="294"/>
      <c r="E65" s="1014" t="s">
        <v>5</v>
      </c>
      <c r="F65" s="1014" t="s">
        <v>5</v>
      </c>
      <c r="G65" s="1014" t="s">
        <v>5</v>
      </c>
      <c r="H65" s="1014"/>
      <c r="I65" s="1014"/>
      <c r="J65" s="1014"/>
      <c r="K65" s="1015" t="s">
        <v>5</v>
      </c>
      <c r="L65" s="295"/>
      <c r="M65" s="292"/>
      <c r="N65" s="298"/>
      <c r="O65" s="298" t="s">
        <v>5</v>
      </c>
      <c r="P65" s="298"/>
      <c r="Q65" s="298"/>
      <c r="R65" s="298"/>
      <c r="S65" s="298"/>
      <c r="T65" s="298"/>
      <c r="U65" s="298"/>
      <c r="V65" s="298"/>
      <c r="W65" s="298"/>
      <c r="X65" s="298"/>
      <c r="Y65" s="298"/>
      <c r="Z65" s="298"/>
    </row>
    <row r="66" spans="1:26" ht="34.15" hidden="1" customHeight="1" outlineLevel="1" x14ac:dyDescent="0.25">
      <c r="A66" s="93"/>
      <c r="B66" s="93"/>
      <c r="C66" s="93"/>
      <c r="D66" s="294"/>
      <c r="E66" s="1014" t="s">
        <v>5</v>
      </c>
      <c r="F66" s="1014" t="s">
        <v>5</v>
      </c>
      <c r="G66" s="1014" t="s">
        <v>5</v>
      </c>
      <c r="H66" s="1014"/>
      <c r="I66" s="1014"/>
      <c r="J66" s="1014"/>
      <c r="K66" s="1015" t="s">
        <v>5</v>
      </c>
      <c r="L66" s="295"/>
      <c r="M66" s="292"/>
      <c r="N66" s="298"/>
      <c r="O66" s="298" t="s">
        <v>5</v>
      </c>
      <c r="P66" s="298"/>
      <c r="Q66" s="298"/>
      <c r="R66" s="298"/>
      <c r="S66" s="298"/>
      <c r="T66" s="298"/>
      <c r="U66" s="298"/>
      <c r="V66" s="298"/>
      <c r="W66" s="298"/>
      <c r="X66" s="298"/>
      <c r="Y66" s="298"/>
      <c r="Z66" s="298"/>
    </row>
    <row r="67" spans="1:26" ht="34.15" hidden="1" customHeight="1" outlineLevel="1" x14ac:dyDescent="0.25">
      <c r="A67" s="306" t="str">
        <f>CONCATENATE(B23," ",C23)</f>
        <v xml:space="preserve"> </v>
      </c>
      <c r="B67" s="306"/>
      <c r="C67" s="307"/>
      <c r="D67" s="307"/>
      <c r="E67" s="308"/>
      <c r="F67" s="308"/>
      <c r="G67" s="308"/>
      <c r="H67" s="308"/>
      <c r="I67" s="308"/>
      <c r="J67" s="308"/>
      <c r="K67" s="308"/>
      <c r="L67" s="308"/>
      <c r="M67" s="308"/>
      <c r="N67" s="308"/>
      <c r="O67" s="308" t="s">
        <v>5</v>
      </c>
      <c r="P67" s="308"/>
      <c r="Q67" s="308"/>
      <c r="R67" s="308"/>
      <c r="S67" s="308"/>
      <c r="T67" s="308"/>
      <c r="U67" s="308"/>
      <c r="V67" s="308"/>
      <c r="W67" s="308"/>
      <c r="X67" s="308"/>
      <c r="Y67" s="308"/>
      <c r="Z67" s="308"/>
    </row>
    <row r="68" spans="1:26" ht="34.15" hidden="1" customHeight="1" outlineLevel="1" x14ac:dyDescent="0.25">
      <c r="A68" s="93" t="s">
        <v>273</v>
      </c>
      <c r="B68" s="93"/>
      <c r="C68" s="93"/>
      <c r="D68" s="294"/>
      <c r="E68" s="1014" t="s">
        <v>5</v>
      </c>
      <c r="F68" s="1014" t="s">
        <v>5</v>
      </c>
      <c r="G68" s="1014" t="s">
        <v>5</v>
      </c>
      <c r="H68" s="1014"/>
      <c r="I68" s="1014"/>
      <c r="J68" s="1014"/>
      <c r="K68" s="1015" t="s">
        <v>5</v>
      </c>
      <c r="L68" s="295"/>
      <c r="M68" s="292"/>
      <c r="N68" s="298"/>
      <c r="O68" s="298" t="s">
        <v>5</v>
      </c>
      <c r="P68" s="298"/>
      <c r="Q68" s="298"/>
      <c r="R68" s="298"/>
      <c r="S68" s="298"/>
      <c r="T68" s="298"/>
      <c r="U68" s="298"/>
      <c r="V68" s="298"/>
      <c r="W68" s="298"/>
      <c r="X68" s="298"/>
      <c r="Y68" s="298"/>
      <c r="Z68" s="298"/>
    </row>
    <row r="69" spans="1:26" ht="34.15" hidden="1" customHeight="1" outlineLevel="1" x14ac:dyDescent="0.25">
      <c r="A69" s="93" t="s">
        <v>274</v>
      </c>
      <c r="B69" s="93"/>
      <c r="C69" s="93"/>
      <c r="D69" s="294"/>
      <c r="E69" s="1014" t="s">
        <v>5</v>
      </c>
      <c r="F69" s="1014" t="s">
        <v>5</v>
      </c>
      <c r="G69" s="1014" t="s">
        <v>5</v>
      </c>
      <c r="H69" s="1014"/>
      <c r="I69" s="1014"/>
      <c r="J69" s="1014"/>
      <c r="K69" s="1015" t="s">
        <v>5</v>
      </c>
      <c r="L69" s="295"/>
      <c r="M69" s="292"/>
      <c r="N69" s="298"/>
      <c r="O69" s="298" t="s">
        <v>5</v>
      </c>
      <c r="P69" s="298"/>
      <c r="Q69" s="298"/>
      <c r="R69" s="298"/>
      <c r="S69" s="298"/>
      <c r="T69" s="298"/>
      <c r="U69" s="298"/>
      <c r="V69" s="298"/>
      <c r="W69" s="298"/>
      <c r="X69" s="298"/>
      <c r="Y69" s="298"/>
      <c r="Z69" s="298"/>
    </row>
    <row r="70" spans="1:26" ht="34.15" hidden="1" customHeight="1" outlineLevel="1" x14ac:dyDescent="0.25">
      <c r="A70" s="93"/>
      <c r="B70" s="93"/>
      <c r="C70" s="93"/>
      <c r="D70" s="294"/>
      <c r="E70" s="1014" t="s">
        <v>5</v>
      </c>
      <c r="F70" s="1014" t="s">
        <v>5</v>
      </c>
      <c r="G70" s="1014" t="s">
        <v>5</v>
      </c>
      <c r="H70" s="1014"/>
      <c r="I70" s="1014"/>
      <c r="J70" s="1014"/>
      <c r="K70" s="1015" t="s">
        <v>5</v>
      </c>
      <c r="L70" s="295"/>
      <c r="M70" s="292"/>
      <c r="N70" s="298"/>
      <c r="O70" s="298" t="s">
        <v>5</v>
      </c>
      <c r="P70" s="298"/>
      <c r="Q70" s="298"/>
      <c r="R70" s="298"/>
      <c r="S70" s="298"/>
      <c r="T70" s="298"/>
      <c r="U70" s="298"/>
      <c r="V70" s="298"/>
      <c r="W70" s="298"/>
      <c r="X70" s="298"/>
      <c r="Y70" s="298"/>
      <c r="Z70" s="298"/>
    </row>
    <row r="71" spans="1:26" ht="34.15" hidden="1" customHeight="1" outlineLevel="1" x14ac:dyDescent="0.25">
      <c r="A71" s="93"/>
      <c r="B71" s="93"/>
      <c r="C71" s="93"/>
      <c r="D71" s="294"/>
      <c r="E71" s="1014" t="s">
        <v>5</v>
      </c>
      <c r="F71" s="1014" t="s">
        <v>5</v>
      </c>
      <c r="G71" s="1014" t="s">
        <v>5</v>
      </c>
      <c r="H71" s="1014"/>
      <c r="I71" s="1014"/>
      <c r="J71" s="1014"/>
      <c r="K71" s="1015" t="s">
        <v>5</v>
      </c>
      <c r="L71" s="295"/>
      <c r="M71" s="292"/>
      <c r="N71" s="298"/>
      <c r="O71" s="298" t="s">
        <v>5</v>
      </c>
      <c r="P71" s="298"/>
      <c r="Q71" s="298"/>
      <c r="R71" s="298"/>
      <c r="S71" s="298"/>
      <c r="T71" s="298"/>
      <c r="U71" s="298"/>
      <c r="V71" s="298"/>
      <c r="W71" s="298"/>
      <c r="X71" s="298"/>
      <c r="Y71" s="298"/>
      <c r="Z71" s="298"/>
    </row>
    <row r="72" spans="1:26" ht="34.15" hidden="1" customHeight="1" outlineLevel="1" x14ac:dyDescent="0.25">
      <c r="A72" s="93"/>
      <c r="B72" s="93"/>
      <c r="C72" s="93"/>
      <c r="D72" s="294"/>
      <c r="E72" s="1014" t="s">
        <v>5</v>
      </c>
      <c r="F72" s="1014" t="s">
        <v>5</v>
      </c>
      <c r="G72" s="1014" t="s">
        <v>5</v>
      </c>
      <c r="H72" s="1014"/>
      <c r="I72" s="1014"/>
      <c r="J72" s="1014"/>
      <c r="K72" s="1015" t="s">
        <v>5</v>
      </c>
      <c r="L72" s="295"/>
      <c r="M72" s="292"/>
      <c r="N72" s="298"/>
      <c r="O72" s="298" t="s">
        <v>5</v>
      </c>
      <c r="P72" s="298"/>
      <c r="Q72" s="298"/>
      <c r="R72" s="298"/>
      <c r="S72" s="298"/>
      <c r="T72" s="298"/>
      <c r="U72" s="298"/>
      <c r="V72" s="298"/>
      <c r="W72" s="298"/>
      <c r="X72" s="298"/>
      <c r="Y72" s="298"/>
      <c r="Z72" s="298"/>
    </row>
    <row r="73" spans="1:26" ht="34.15" hidden="1" customHeight="1" outlineLevel="1" x14ac:dyDescent="0.25">
      <c r="A73" s="306" t="str">
        <f>CONCATENATE(B24," ",C24)</f>
        <v xml:space="preserve"> </v>
      </c>
      <c r="B73" s="306"/>
      <c r="C73" s="307"/>
      <c r="D73" s="307"/>
      <c r="E73" s="308"/>
      <c r="F73" s="308"/>
      <c r="G73" s="308"/>
      <c r="H73" s="308"/>
      <c r="I73" s="308"/>
      <c r="J73" s="308"/>
      <c r="K73" s="308"/>
      <c r="L73" s="308"/>
      <c r="M73" s="308"/>
      <c r="N73" s="308"/>
      <c r="O73" s="308" t="s">
        <v>5</v>
      </c>
      <c r="P73" s="308"/>
      <c r="Q73" s="308"/>
      <c r="R73" s="308"/>
      <c r="S73" s="308"/>
      <c r="T73" s="308"/>
      <c r="U73" s="308"/>
      <c r="V73" s="308"/>
      <c r="W73" s="308"/>
      <c r="X73" s="308"/>
      <c r="Y73" s="308"/>
      <c r="Z73" s="308"/>
    </row>
    <row r="74" spans="1:26" ht="34.15" hidden="1" customHeight="1" outlineLevel="1" x14ac:dyDescent="0.25">
      <c r="A74" s="93" t="s">
        <v>275</v>
      </c>
      <c r="B74" s="93"/>
      <c r="C74" s="93"/>
      <c r="D74" s="294"/>
      <c r="E74" s="1014" t="s">
        <v>5</v>
      </c>
      <c r="F74" s="1014" t="s">
        <v>5</v>
      </c>
      <c r="G74" s="1014" t="s">
        <v>5</v>
      </c>
      <c r="H74" s="1014"/>
      <c r="I74" s="1014"/>
      <c r="J74" s="1014"/>
      <c r="K74" s="1015" t="s">
        <v>5</v>
      </c>
      <c r="L74" s="295"/>
      <c r="M74" s="292"/>
      <c r="N74" s="298"/>
      <c r="O74" s="298" t="s">
        <v>5</v>
      </c>
      <c r="P74" s="298"/>
      <c r="Q74" s="298"/>
      <c r="R74" s="298"/>
      <c r="S74" s="298"/>
      <c r="T74" s="298"/>
      <c r="U74" s="298"/>
      <c r="V74" s="298"/>
      <c r="W74" s="298"/>
      <c r="X74" s="298"/>
      <c r="Y74" s="298"/>
      <c r="Z74" s="298"/>
    </row>
    <row r="75" spans="1:26" ht="34.15" hidden="1" customHeight="1" outlineLevel="1" x14ac:dyDescent="0.25">
      <c r="A75" s="93" t="s">
        <v>276</v>
      </c>
      <c r="B75" s="93"/>
      <c r="C75" s="93"/>
      <c r="D75" s="294"/>
      <c r="E75" s="1014" t="s">
        <v>5</v>
      </c>
      <c r="F75" s="1014" t="s">
        <v>5</v>
      </c>
      <c r="G75" s="1014" t="s">
        <v>5</v>
      </c>
      <c r="H75" s="1014"/>
      <c r="I75" s="1014"/>
      <c r="J75" s="1014"/>
      <c r="K75" s="1015" t="s">
        <v>5</v>
      </c>
      <c r="L75" s="295"/>
      <c r="M75" s="292"/>
      <c r="N75" s="298"/>
      <c r="O75" s="298" t="s">
        <v>5</v>
      </c>
      <c r="P75" s="298"/>
      <c r="Q75" s="298"/>
      <c r="R75" s="298"/>
      <c r="S75" s="298"/>
      <c r="T75" s="298"/>
      <c r="U75" s="298"/>
      <c r="V75" s="298"/>
      <c r="W75" s="298"/>
      <c r="X75" s="298"/>
      <c r="Y75" s="298"/>
      <c r="Z75" s="298"/>
    </row>
    <row r="76" spans="1:26" ht="34.15" hidden="1" customHeight="1" outlineLevel="1" x14ac:dyDescent="0.25">
      <c r="A76" s="93"/>
      <c r="B76" s="93"/>
      <c r="C76" s="93"/>
      <c r="D76" s="294"/>
      <c r="E76" s="1014" t="s">
        <v>5</v>
      </c>
      <c r="F76" s="1014" t="s">
        <v>5</v>
      </c>
      <c r="G76" s="1014" t="s">
        <v>5</v>
      </c>
      <c r="H76" s="1014"/>
      <c r="I76" s="1014"/>
      <c r="J76" s="1014"/>
      <c r="K76" s="1015" t="s">
        <v>5</v>
      </c>
      <c r="L76" s="295"/>
      <c r="M76" s="292"/>
      <c r="N76" s="298"/>
      <c r="O76" s="298" t="s">
        <v>5</v>
      </c>
      <c r="P76" s="298"/>
      <c r="Q76" s="298"/>
      <c r="R76" s="298"/>
      <c r="S76" s="298"/>
      <c r="T76" s="298"/>
      <c r="U76" s="298"/>
      <c r="V76" s="298"/>
      <c r="W76" s="298"/>
      <c r="X76" s="298"/>
      <c r="Y76" s="298"/>
      <c r="Z76" s="298"/>
    </row>
    <row r="77" spans="1:26" ht="34.15" hidden="1" customHeight="1" outlineLevel="1" x14ac:dyDescent="0.25">
      <c r="A77" s="93"/>
      <c r="B77" s="93"/>
      <c r="C77" s="93"/>
      <c r="D77" s="294"/>
      <c r="E77" s="1014" t="s">
        <v>5</v>
      </c>
      <c r="F77" s="1014" t="s">
        <v>5</v>
      </c>
      <c r="G77" s="1014" t="s">
        <v>5</v>
      </c>
      <c r="H77" s="1014"/>
      <c r="I77" s="1014"/>
      <c r="J77" s="1014"/>
      <c r="K77" s="1015" t="s">
        <v>5</v>
      </c>
      <c r="L77" s="295"/>
      <c r="M77" s="292"/>
      <c r="N77" s="298"/>
      <c r="O77" s="298" t="s">
        <v>5</v>
      </c>
      <c r="P77" s="298"/>
      <c r="Q77" s="298"/>
      <c r="R77" s="298"/>
      <c r="S77" s="298"/>
      <c r="T77" s="298"/>
      <c r="U77" s="298"/>
      <c r="V77" s="298"/>
      <c r="W77" s="298"/>
      <c r="X77" s="298"/>
      <c r="Y77" s="298"/>
      <c r="Z77" s="298"/>
    </row>
    <row r="78" spans="1:26" ht="34.15" hidden="1" customHeight="1" outlineLevel="1" x14ac:dyDescent="0.25">
      <c r="A78" s="93"/>
      <c r="B78" s="93"/>
      <c r="C78" s="93"/>
      <c r="D78" s="294"/>
      <c r="E78" s="1014" t="s">
        <v>5</v>
      </c>
      <c r="F78" s="1014" t="s">
        <v>5</v>
      </c>
      <c r="G78" s="1014" t="s">
        <v>5</v>
      </c>
      <c r="H78" s="1014"/>
      <c r="I78" s="1014"/>
      <c r="J78" s="1014"/>
      <c r="K78" s="1015" t="s">
        <v>5</v>
      </c>
      <c r="L78" s="295"/>
      <c r="M78" s="292"/>
      <c r="N78" s="298"/>
      <c r="O78" s="298" t="s">
        <v>5</v>
      </c>
      <c r="P78" s="298"/>
      <c r="Q78" s="298"/>
      <c r="R78" s="298"/>
      <c r="S78" s="298"/>
      <c r="T78" s="298"/>
      <c r="U78" s="298"/>
      <c r="V78" s="298"/>
      <c r="W78" s="298"/>
      <c r="X78" s="298"/>
      <c r="Y78" s="298"/>
      <c r="Z78" s="298"/>
    </row>
    <row r="79" spans="1:26" ht="34.15" hidden="1" customHeight="1" outlineLevel="1" x14ac:dyDescent="0.25">
      <c r="A79" s="306" t="str">
        <f>CONCATENATE(B25," ",C25)</f>
        <v xml:space="preserve"> </v>
      </c>
      <c r="B79" s="306"/>
      <c r="C79" s="307"/>
      <c r="D79" s="307"/>
      <c r="E79" s="308"/>
      <c r="F79" s="308"/>
      <c r="G79" s="308"/>
      <c r="H79" s="308"/>
      <c r="I79" s="308"/>
      <c r="J79" s="308"/>
      <c r="K79" s="308"/>
      <c r="L79" s="308"/>
      <c r="M79" s="308"/>
      <c r="N79" s="308"/>
      <c r="O79" s="308" t="s">
        <v>5</v>
      </c>
      <c r="P79" s="308"/>
      <c r="Q79" s="308"/>
      <c r="R79" s="308"/>
      <c r="S79" s="308"/>
      <c r="T79" s="308"/>
      <c r="U79" s="308"/>
      <c r="V79" s="308"/>
      <c r="W79" s="308"/>
      <c r="X79" s="308"/>
      <c r="Y79" s="308"/>
      <c r="Z79" s="308"/>
    </row>
    <row r="80" spans="1:26" ht="34.15" hidden="1" customHeight="1" outlineLevel="1" x14ac:dyDescent="0.25">
      <c r="A80" s="93" t="s">
        <v>277</v>
      </c>
      <c r="B80" s="93"/>
      <c r="C80" s="93"/>
      <c r="D80" s="294"/>
      <c r="E80" s="1014" t="s">
        <v>5</v>
      </c>
      <c r="F80" s="1014" t="s">
        <v>5</v>
      </c>
      <c r="G80" s="1014" t="s">
        <v>5</v>
      </c>
      <c r="H80" s="1014"/>
      <c r="I80" s="1014"/>
      <c r="J80" s="1014"/>
      <c r="K80" s="1015" t="s">
        <v>5</v>
      </c>
      <c r="L80" s="295"/>
      <c r="M80" s="292"/>
      <c r="N80" s="298"/>
      <c r="O80" s="298" t="s">
        <v>5</v>
      </c>
      <c r="P80" s="298"/>
      <c r="Q80" s="298"/>
      <c r="R80" s="298"/>
      <c r="S80" s="298"/>
      <c r="T80" s="298"/>
      <c r="U80" s="298"/>
      <c r="V80" s="298"/>
      <c r="W80" s="298"/>
      <c r="X80" s="298"/>
      <c r="Y80" s="298"/>
      <c r="Z80" s="298"/>
    </row>
    <row r="81" spans="1:26" ht="34.15" hidden="1" customHeight="1" outlineLevel="1" x14ac:dyDescent="0.25">
      <c r="A81" s="93" t="s">
        <v>278</v>
      </c>
      <c r="B81" s="93"/>
      <c r="C81" s="93"/>
      <c r="D81" s="294"/>
      <c r="E81" s="1014" t="s">
        <v>5</v>
      </c>
      <c r="F81" s="1014" t="s">
        <v>5</v>
      </c>
      <c r="G81" s="1014" t="s">
        <v>5</v>
      </c>
      <c r="H81" s="1014"/>
      <c r="I81" s="1014"/>
      <c r="J81" s="1014"/>
      <c r="K81" s="1015" t="s">
        <v>5</v>
      </c>
      <c r="L81" s="295"/>
      <c r="M81" s="292"/>
      <c r="N81" s="298"/>
      <c r="O81" s="298" t="s">
        <v>5</v>
      </c>
      <c r="P81" s="298"/>
      <c r="Q81" s="298"/>
      <c r="R81" s="298"/>
      <c r="S81" s="298"/>
      <c r="T81" s="298"/>
      <c r="U81" s="298"/>
      <c r="V81" s="298"/>
      <c r="W81" s="298"/>
      <c r="X81" s="298"/>
      <c r="Y81" s="298"/>
      <c r="Z81" s="298"/>
    </row>
    <row r="82" spans="1:26" ht="34.15" hidden="1" customHeight="1" outlineLevel="1" x14ac:dyDescent="0.25">
      <c r="A82" s="93"/>
      <c r="B82" s="93"/>
      <c r="C82" s="93"/>
      <c r="D82" s="294"/>
      <c r="E82" s="1014" t="s">
        <v>5</v>
      </c>
      <c r="F82" s="1014" t="s">
        <v>5</v>
      </c>
      <c r="G82" s="1014" t="s">
        <v>5</v>
      </c>
      <c r="H82" s="1014"/>
      <c r="I82" s="1014"/>
      <c r="J82" s="1014"/>
      <c r="K82" s="1015" t="s">
        <v>5</v>
      </c>
      <c r="L82" s="295"/>
      <c r="M82" s="292"/>
      <c r="N82" s="298"/>
      <c r="O82" s="298" t="s">
        <v>5</v>
      </c>
      <c r="P82" s="298"/>
      <c r="Q82" s="298"/>
      <c r="R82" s="298"/>
      <c r="S82" s="298"/>
      <c r="T82" s="298"/>
      <c r="U82" s="298"/>
      <c r="V82" s="298"/>
      <c r="W82" s="298"/>
      <c r="X82" s="298"/>
      <c r="Y82" s="298"/>
      <c r="Z82" s="298"/>
    </row>
    <row r="83" spans="1:26" ht="34.15" hidden="1" customHeight="1" outlineLevel="1" x14ac:dyDescent="0.25">
      <c r="A83" s="93"/>
      <c r="B83" s="93"/>
      <c r="C83" s="93"/>
      <c r="D83" s="294"/>
      <c r="E83" s="1014" t="s">
        <v>5</v>
      </c>
      <c r="F83" s="1014" t="s">
        <v>5</v>
      </c>
      <c r="G83" s="1014" t="s">
        <v>5</v>
      </c>
      <c r="H83" s="1014"/>
      <c r="I83" s="1014"/>
      <c r="J83" s="1014"/>
      <c r="K83" s="1015" t="s">
        <v>5</v>
      </c>
      <c r="L83" s="295"/>
      <c r="M83" s="292"/>
      <c r="N83" s="298"/>
      <c r="O83" s="298" t="s">
        <v>5</v>
      </c>
      <c r="P83" s="298"/>
      <c r="Q83" s="298"/>
      <c r="R83" s="298"/>
      <c r="S83" s="298"/>
      <c r="T83" s="298"/>
      <c r="U83" s="298"/>
      <c r="V83" s="298"/>
      <c r="W83" s="298"/>
      <c r="X83" s="298"/>
      <c r="Y83" s="298"/>
      <c r="Z83" s="298"/>
    </row>
    <row r="84" spans="1:26" ht="34.15" hidden="1" customHeight="1" outlineLevel="1" x14ac:dyDescent="0.25">
      <c r="A84" s="93"/>
      <c r="B84" s="93"/>
      <c r="C84" s="93"/>
      <c r="D84" s="294"/>
      <c r="E84" s="1014" t="s">
        <v>5</v>
      </c>
      <c r="F84" s="1014" t="s">
        <v>5</v>
      </c>
      <c r="G84" s="1014" t="s">
        <v>5</v>
      </c>
      <c r="H84" s="1014"/>
      <c r="I84" s="1014"/>
      <c r="J84" s="1014"/>
      <c r="K84" s="1015" t="s">
        <v>5</v>
      </c>
      <c r="L84" s="295"/>
      <c r="M84" s="292"/>
      <c r="N84" s="298"/>
      <c r="O84" s="298" t="s">
        <v>5</v>
      </c>
      <c r="P84" s="298"/>
      <c r="Q84" s="298"/>
      <c r="R84" s="298"/>
      <c r="S84" s="298"/>
      <c r="T84" s="298"/>
      <c r="U84" s="298"/>
      <c r="V84" s="298"/>
      <c r="W84" s="298"/>
      <c r="X84" s="298"/>
      <c r="Y84" s="298"/>
      <c r="Z84" s="298"/>
    </row>
    <row r="85" spans="1:26" ht="34.15" hidden="1" customHeight="1" outlineLevel="1" x14ac:dyDescent="0.25">
      <c r="A85" s="306" t="str">
        <f>CONCATENATE(B26," ",C26)</f>
        <v xml:space="preserve"> </v>
      </c>
      <c r="B85" s="306"/>
      <c r="C85" s="307"/>
      <c r="D85" s="307"/>
      <c r="E85" s="308"/>
      <c r="F85" s="308"/>
      <c r="G85" s="308"/>
      <c r="H85" s="308"/>
      <c r="I85" s="308"/>
      <c r="J85" s="308"/>
      <c r="K85" s="308"/>
      <c r="L85" s="308"/>
      <c r="M85" s="308"/>
      <c r="N85" s="308"/>
      <c r="O85" s="308" t="s">
        <v>5</v>
      </c>
      <c r="P85" s="308"/>
      <c r="Q85" s="308"/>
      <c r="R85" s="308"/>
      <c r="S85" s="308"/>
      <c r="T85" s="308"/>
      <c r="U85" s="308"/>
      <c r="V85" s="308"/>
      <c r="W85" s="308"/>
      <c r="X85" s="308"/>
      <c r="Y85" s="308"/>
      <c r="Z85" s="308"/>
    </row>
    <row r="86" spans="1:26" ht="34.15" hidden="1" customHeight="1" outlineLevel="1" x14ac:dyDescent="0.25">
      <c r="A86" s="93" t="s">
        <v>279</v>
      </c>
      <c r="B86" s="93"/>
      <c r="C86" s="93"/>
      <c r="D86" s="294"/>
      <c r="E86" s="1014" t="s">
        <v>5</v>
      </c>
      <c r="F86" s="1014" t="s">
        <v>5</v>
      </c>
      <c r="G86" s="1014" t="s">
        <v>5</v>
      </c>
      <c r="H86" s="1014"/>
      <c r="I86" s="1014"/>
      <c r="J86" s="1014"/>
      <c r="K86" s="1015" t="s">
        <v>5</v>
      </c>
      <c r="L86" s="295"/>
      <c r="M86" s="292"/>
      <c r="N86" s="298"/>
      <c r="O86" s="298" t="s">
        <v>5</v>
      </c>
      <c r="P86" s="298"/>
      <c r="Q86" s="298"/>
      <c r="R86" s="298"/>
      <c r="S86" s="298"/>
      <c r="T86" s="298"/>
      <c r="U86" s="298"/>
      <c r="V86" s="298"/>
      <c r="W86" s="298"/>
      <c r="X86" s="298"/>
      <c r="Y86" s="298"/>
      <c r="Z86" s="298"/>
    </row>
    <row r="87" spans="1:26" ht="34.15" hidden="1" customHeight="1" outlineLevel="1" x14ac:dyDescent="0.25">
      <c r="A87" s="93" t="s">
        <v>280</v>
      </c>
      <c r="B87" s="93"/>
      <c r="C87" s="93"/>
      <c r="D87" s="294"/>
      <c r="E87" s="1014" t="s">
        <v>5</v>
      </c>
      <c r="F87" s="1014" t="s">
        <v>5</v>
      </c>
      <c r="G87" s="1014" t="s">
        <v>5</v>
      </c>
      <c r="H87" s="1014"/>
      <c r="I87" s="1014"/>
      <c r="J87" s="1014"/>
      <c r="K87" s="1015" t="s">
        <v>5</v>
      </c>
      <c r="L87" s="295"/>
      <c r="M87" s="292"/>
      <c r="N87" s="298"/>
      <c r="O87" s="298" t="s">
        <v>5</v>
      </c>
      <c r="P87" s="298"/>
      <c r="Q87" s="298"/>
      <c r="R87" s="298"/>
      <c r="S87" s="298"/>
      <c r="T87" s="298"/>
      <c r="U87" s="298"/>
      <c r="V87" s="298"/>
      <c r="W87" s="298"/>
      <c r="X87" s="298"/>
      <c r="Y87" s="298"/>
      <c r="Z87" s="298"/>
    </row>
    <row r="88" spans="1:26" ht="34.15" hidden="1" customHeight="1" outlineLevel="1" x14ac:dyDescent="0.25">
      <c r="A88" s="93"/>
      <c r="B88" s="93"/>
      <c r="C88" s="93"/>
      <c r="D88" s="294"/>
      <c r="E88" s="1014" t="s">
        <v>5</v>
      </c>
      <c r="F88" s="1014" t="s">
        <v>5</v>
      </c>
      <c r="G88" s="1014" t="s">
        <v>5</v>
      </c>
      <c r="H88" s="1014"/>
      <c r="I88" s="1014"/>
      <c r="J88" s="1014"/>
      <c r="K88" s="1015" t="s">
        <v>5</v>
      </c>
      <c r="L88" s="295"/>
      <c r="M88" s="292"/>
      <c r="N88" s="298"/>
      <c r="O88" s="298" t="s">
        <v>5</v>
      </c>
      <c r="P88" s="298"/>
      <c r="Q88" s="298"/>
      <c r="R88" s="298"/>
      <c r="S88" s="298"/>
      <c r="T88" s="298"/>
      <c r="U88" s="298"/>
      <c r="V88" s="298"/>
      <c r="W88" s="298"/>
      <c r="X88" s="298"/>
      <c r="Y88" s="298"/>
      <c r="Z88" s="298"/>
    </row>
    <row r="89" spans="1:26" ht="34.15" hidden="1" customHeight="1" outlineLevel="1" x14ac:dyDescent="0.25">
      <c r="A89" s="93"/>
      <c r="B89" s="93"/>
      <c r="C89" s="93"/>
      <c r="D89" s="294"/>
      <c r="E89" s="1014" t="s">
        <v>5</v>
      </c>
      <c r="F89" s="1014" t="s">
        <v>5</v>
      </c>
      <c r="G89" s="1014" t="s">
        <v>5</v>
      </c>
      <c r="H89" s="1014"/>
      <c r="I89" s="1014"/>
      <c r="J89" s="1014"/>
      <c r="K89" s="1015" t="s">
        <v>5</v>
      </c>
      <c r="L89" s="295"/>
      <c r="M89" s="292"/>
      <c r="N89" s="298"/>
      <c r="O89" s="298" t="s">
        <v>5</v>
      </c>
      <c r="P89" s="298"/>
      <c r="Q89" s="298"/>
      <c r="R89" s="298"/>
      <c r="S89" s="298"/>
      <c r="T89" s="298"/>
      <c r="U89" s="298"/>
      <c r="V89" s="298"/>
      <c r="W89" s="298"/>
      <c r="X89" s="298"/>
      <c r="Y89" s="298"/>
      <c r="Z89" s="298"/>
    </row>
    <row r="90" spans="1:26" ht="34.15" hidden="1" customHeight="1" outlineLevel="1" x14ac:dyDescent="0.25">
      <c r="A90" s="93"/>
      <c r="B90" s="93"/>
      <c r="C90" s="93"/>
      <c r="D90" s="294"/>
      <c r="E90" s="1014" t="s">
        <v>5</v>
      </c>
      <c r="F90" s="1014" t="s">
        <v>5</v>
      </c>
      <c r="G90" s="1014" t="s">
        <v>5</v>
      </c>
      <c r="H90" s="1014"/>
      <c r="I90" s="1014"/>
      <c r="J90" s="1014"/>
      <c r="K90" s="1015" t="s">
        <v>5</v>
      </c>
      <c r="L90" s="295"/>
      <c r="M90" s="292"/>
      <c r="N90" s="298"/>
      <c r="O90" s="298" t="s">
        <v>5</v>
      </c>
      <c r="P90" s="298"/>
      <c r="Q90" s="298"/>
      <c r="R90" s="298"/>
      <c r="S90" s="298"/>
      <c r="T90" s="298"/>
      <c r="U90" s="298"/>
      <c r="V90" s="298"/>
      <c r="W90" s="298"/>
      <c r="X90" s="298"/>
      <c r="Y90" s="298"/>
      <c r="Z90" s="298"/>
    </row>
    <row r="91" spans="1:26" ht="34.15" hidden="1" customHeight="1" collapsed="1" x14ac:dyDescent="0.25"/>
    <row r="92" spans="1:26" ht="34.15" customHeight="1" x14ac:dyDescent="0.25">
      <c r="A92" s="287" t="s">
        <v>37</v>
      </c>
      <c r="B92" s="287"/>
      <c r="C92" s="288"/>
      <c r="D92" s="288"/>
      <c r="E92" s="288"/>
      <c r="F92" s="288"/>
      <c r="G92" s="288"/>
      <c r="H92" s="289"/>
      <c r="I92" s="289"/>
      <c r="J92" s="288"/>
      <c r="K92" s="288"/>
      <c r="L92" s="288"/>
      <c r="M92" s="288"/>
      <c r="N92" s="288"/>
      <c r="O92" s="288" t="s">
        <v>5</v>
      </c>
      <c r="P92" s="288"/>
      <c r="Q92" s="288"/>
      <c r="R92" s="288"/>
      <c r="S92" s="288"/>
      <c r="T92" s="288"/>
      <c r="U92" s="288"/>
      <c r="V92" s="288"/>
      <c r="W92" s="288"/>
      <c r="X92" s="288"/>
      <c r="Y92" s="288"/>
      <c r="Z92" s="288"/>
    </row>
    <row r="93" spans="1:26" ht="34.15" customHeight="1" x14ac:dyDescent="0.25">
      <c r="A93" s="306" t="str">
        <f>CONCATENATE(B17," ",C17)</f>
        <v xml:space="preserve">External Communications </v>
      </c>
      <c r="B93" s="306"/>
      <c r="C93" s="307"/>
      <c r="D93" s="307"/>
      <c r="E93" s="308"/>
      <c r="F93" s="308"/>
      <c r="G93" s="308"/>
      <c r="H93" s="308"/>
      <c r="I93" s="308"/>
      <c r="J93" s="308"/>
      <c r="K93" s="308"/>
      <c r="L93" s="308"/>
      <c r="M93" s="308"/>
      <c r="N93" s="308"/>
      <c r="O93" s="308" t="s">
        <v>5</v>
      </c>
      <c r="P93" s="308"/>
      <c r="Q93" s="308"/>
      <c r="R93" s="308"/>
      <c r="S93" s="308"/>
      <c r="T93" s="308"/>
      <c r="U93" s="308"/>
      <c r="V93" s="308"/>
      <c r="W93" s="308"/>
      <c r="X93" s="308"/>
      <c r="Y93" s="308"/>
      <c r="Z93" s="308"/>
    </row>
    <row r="94" spans="1:26" ht="34.15" customHeight="1" x14ac:dyDescent="0.25">
      <c r="A94" s="92" t="s">
        <v>261</v>
      </c>
      <c r="B94" s="92" t="s">
        <v>13</v>
      </c>
      <c r="C94" s="92" t="s">
        <v>14</v>
      </c>
      <c r="D94" s="311" t="s">
        <v>286</v>
      </c>
      <c r="E94" s="291" t="s">
        <v>16</v>
      </c>
      <c r="F94" s="291" t="s">
        <v>295</v>
      </c>
      <c r="G94" s="291" t="s">
        <v>39</v>
      </c>
      <c r="H94" s="291" t="s">
        <v>297</v>
      </c>
      <c r="I94" s="291" t="s">
        <v>298</v>
      </c>
      <c r="J94" s="291" t="s">
        <v>299</v>
      </c>
      <c r="K94" s="291" t="s">
        <v>300</v>
      </c>
      <c r="L94" s="291" t="s">
        <v>17</v>
      </c>
      <c r="M94" s="291" t="s">
        <v>18</v>
      </c>
      <c r="N94" s="291" t="s">
        <v>19</v>
      </c>
      <c r="O94" s="293">
        <v>43101</v>
      </c>
      <c r="P94" s="293">
        <v>43132</v>
      </c>
      <c r="Q94" s="293">
        <v>43160</v>
      </c>
      <c r="R94" s="293">
        <v>43191</v>
      </c>
      <c r="S94" s="293">
        <v>43221</v>
      </c>
      <c r="T94" s="293">
        <v>43252</v>
      </c>
      <c r="U94" s="293">
        <v>43282</v>
      </c>
      <c r="V94" s="293">
        <v>43313</v>
      </c>
      <c r="W94" s="293">
        <v>43344</v>
      </c>
      <c r="X94" s="293">
        <v>43374</v>
      </c>
      <c r="Y94" s="293">
        <v>43405</v>
      </c>
      <c r="Z94" s="293">
        <v>43435</v>
      </c>
    </row>
    <row r="95" spans="1:26" ht="34.15" customHeight="1" x14ac:dyDescent="0.25">
      <c r="A95" s="152" t="s">
        <v>1889</v>
      </c>
      <c r="B95" s="93" t="s">
        <v>1085</v>
      </c>
      <c r="C95" s="93" t="s">
        <v>1086</v>
      </c>
      <c r="D95" s="141" t="s">
        <v>1087</v>
      </c>
      <c r="E95" s="295" t="s">
        <v>212</v>
      </c>
      <c r="F95" s="295" t="s">
        <v>293</v>
      </c>
      <c r="G95" s="295" t="s">
        <v>1088</v>
      </c>
      <c r="H95" s="310" t="s">
        <v>41</v>
      </c>
      <c r="I95" s="310" t="s">
        <v>41</v>
      </c>
      <c r="J95" s="310" t="s">
        <v>41</v>
      </c>
      <c r="K95" s="295" t="s">
        <v>42</v>
      </c>
      <c r="L95" s="295">
        <v>12</v>
      </c>
      <c r="M95" s="295"/>
      <c r="N95" s="312">
        <f t="shared" ref="N95:N104" si="6">SUM(O95:Z95)</f>
        <v>36000</v>
      </c>
      <c r="O95" s="295">
        <v>3000</v>
      </c>
      <c r="P95" s="295">
        <v>3000</v>
      </c>
      <c r="Q95" s="295">
        <v>3000</v>
      </c>
      <c r="R95" s="295">
        <v>3000</v>
      </c>
      <c r="S95" s="295">
        <v>3000</v>
      </c>
      <c r="T95" s="295">
        <v>3000</v>
      </c>
      <c r="U95" s="295">
        <v>3000</v>
      </c>
      <c r="V95" s="295">
        <v>3000</v>
      </c>
      <c r="W95" s="295">
        <v>3000</v>
      </c>
      <c r="X95" s="295">
        <v>3000</v>
      </c>
      <c r="Y95" s="295">
        <v>3000</v>
      </c>
      <c r="Z95" s="295">
        <v>3000</v>
      </c>
    </row>
    <row r="96" spans="1:26" ht="32.450000000000003" customHeight="1" x14ac:dyDescent="0.25">
      <c r="A96" s="152" t="s">
        <v>1892</v>
      </c>
      <c r="B96" s="93" t="s">
        <v>1089</v>
      </c>
      <c r="C96" s="93" t="s">
        <v>1090</v>
      </c>
      <c r="D96" s="141" t="s">
        <v>1091</v>
      </c>
      <c r="E96" s="295" t="s">
        <v>212</v>
      </c>
      <c r="F96" s="295" t="s">
        <v>293</v>
      </c>
      <c r="G96" s="295" t="s">
        <v>1092</v>
      </c>
      <c r="H96" s="310" t="s">
        <v>41</v>
      </c>
      <c r="I96" s="310" t="s">
        <v>41</v>
      </c>
      <c r="J96" s="310" t="s">
        <v>41</v>
      </c>
      <c r="K96" s="295" t="s">
        <v>42</v>
      </c>
      <c r="L96" s="295">
        <v>12</v>
      </c>
      <c r="M96" s="295"/>
      <c r="N96" s="312">
        <f t="shared" si="6"/>
        <v>57996</v>
      </c>
      <c r="O96" s="295">
        <v>4833</v>
      </c>
      <c r="P96" s="295">
        <v>4833</v>
      </c>
      <c r="Q96" s="295">
        <v>4833</v>
      </c>
      <c r="R96" s="295">
        <v>4833</v>
      </c>
      <c r="S96" s="295">
        <v>4833</v>
      </c>
      <c r="T96" s="295">
        <v>4833</v>
      </c>
      <c r="U96" s="295">
        <v>4833</v>
      </c>
      <c r="V96" s="295">
        <v>4833</v>
      </c>
      <c r="W96" s="295">
        <v>4833</v>
      </c>
      <c r="X96" s="295">
        <v>4833</v>
      </c>
      <c r="Y96" s="295">
        <v>4833</v>
      </c>
      <c r="Z96" s="295">
        <v>4833</v>
      </c>
    </row>
    <row r="97" spans="1:26" ht="30" customHeight="1" x14ac:dyDescent="0.25">
      <c r="A97" s="152" t="s">
        <v>1894</v>
      </c>
      <c r="B97" s="93" t="s">
        <v>1093</v>
      </c>
      <c r="C97" s="93" t="s">
        <v>1094</v>
      </c>
      <c r="D97" s="141" t="s">
        <v>1095</v>
      </c>
      <c r="E97" s="295" t="s">
        <v>212</v>
      </c>
      <c r="F97" s="295" t="s">
        <v>290</v>
      </c>
      <c r="G97" s="295" t="s">
        <v>1096</v>
      </c>
      <c r="H97" s="310" t="s">
        <v>41</v>
      </c>
      <c r="I97" s="310" t="s">
        <v>41</v>
      </c>
      <c r="J97" s="310" t="s">
        <v>41</v>
      </c>
      <c r="K97" s="295" t="s">
        <v>42</v>
      </c>
      <c r="L97" s="295">
        <v>12</v>
      </c>
      <c r="M97" s="295"/>
      <c r="N97" s="312">
        <f t="shared" si="6"/>
        <v>48000</v>
      </c>
      <c r="O97" s="295">
        <v>4000</v>
      </c>
      <c r="P97" s="295">
        <v>4000</v>
      </c>
      <c r="Q97" s="295">
        <v>4000</v>
      </c>
      <c r="R97" s="295">
        <v>4000</v>
      </c>
      <c r="S97" s="295">
        <v>4000</v>
      </c>
      <c r="T97" s="295">
        <v>4000</v>
      </c>
      <c r="U97" s="295">
        <v>4000</v>
      </c>
      <c r="V97" s="295">
        <v>4000</v>
      </c>
      <c r="W97" s="295">
        <v>4000</v>
      </c>
      <c r="X97" s="295">
        <v>4000</v>
      </c>
      <c r="Y97" s="295">
        <v>4000</v>
      </c>
      <c r="Z97" s="295">
        <v>4000</v>
      </c>
    </row>
    <row r="98" spans="1:26" ht="25.15" customHeight="1" x14ac:dyDescent="0.25">
      <c r="A98" s="152" t="s">
        <v>1895</v>
      </c>
      <c r="B98" s="93" t="s">
        <v>1097</v>
      </c>
      <c r="C98" s="93" t="s">
        <v>1098</v>
      </c>
      <c r="D98" s="141" t="s">
        <v>1027</v>
      </c>
      <c r="E98" s="295" t="s">
        <v>212</v>
      </c>
      <c r="F98" s="295" t="s">
        <v>293</v>
      </c>
      <c r="G98" s="295" t="s">
        <v>1099</v>
      </c>
      <c r="H98" s="310" t="s">
        <v>41</v>
      </c>
      <c r="I98" s="310" t="s">
        <v>41</v>
      </c>
      <c r="J98" s="310" t="s">
        <v>41</v>
      </c>
      <c r="K98" s="295" t="s">
        <v>42</v>
      </c>
      <c r="L98" s="295">
        <v>12</v>
      </c>
      <c r="M98" s="295"/>
      <c r="N98" s="312">
        <f t="shared" si="6"/>
        <v>15996</v>
      </c>
      <c r="O98" s="295">
        <v>1333</v>
      </c>
      <c r="P98" s="295">
        <v>1333</v>
      </c>
      <c r="Q98" s="295">
        <v>1333</v>
      </c>
      <c r="R98" s="295">
        <v>1333</v>
      </c>
      <c r="S98" s="295">
        <v>1333</v>
      </c>
      <c r="T98" s="295">
        <v>1333</v>
      </c>
      <c r="U98" s="295">
        <v>1333</v>
      </c>
      <c r="V98" s="295">
        <v>1333</v>
      </c>
      <c r="W98" s="295">
        <v>1333</v>
      </c>
      <c r="X98" s="295">
        <v>1333</v>
      </c>
      <c r="Y98" s="295">
        <v>1333</v>
      </c>
      <c r="Z98" s="295">
        <v>1333</v>
      </c>
    </row>
    <row r="99" spans="1:26" ht="32.450000000000003" customHeight="1" x14ac:dyDescent="0.25">
      <c r="A99" s="152" t="s">
        <v>1898</v>
      </c>
      <c r="B99" s="93" t="s">
        <v>1100</v>
      </c>
      <c r="C99" s="93" t="s">
        <v>1101</v>
      </c>
      <c r="D99" s="141" t="s">
        <v>1027</v>
      </c>
      <c r="E99" s="295" t="s">
        <v>212</v>
      </c>
      <c r="F99" s="295" t="s">
        <v>293</v>
      </c>
      <c r="G99" s="295" t="s">
        <v>1102</v>
      </c>
      <c r="H99" s="310" t="s">
        <v>41</v>
      </c>
      <c r="I99" s="310" t="s">
        <v>41</v>
      </c>
      <c r="J99" s="310" t="s">
        <v>41</v>
      </c>
      <c r="K99" s="295" t="s">
        <v>42</v>
      </c>
      <c r="L99" s="295">
        <v>12</v>
      </c>
      <c r="M99" s="295"/>
      <c r="N99" s="312">
        <f t="shared" si="6"/>
        <v>12492</v>
      </c>
      <c r="O99" s="295">
        <v>1041</v>
      </c>
      <c r="P99" s="295">
        <v>1041</v>
      </c>
      <c r="Q99" s="295">
        <v>1041</v>
      </c>
      <c r="R99" s="295">
        <v>1041</v>
      </c>
      <c r="S99" s="295">
        <v>1041</v>
      </c>
      <c r="T99" s="295">
        <v>1041</v>
      </c>
      <c r="U99" s="295">
        <v>1041</v>
      </c>
      <c r="V99" s="295">
        <v>1041</v>
      </c>
      <c r="W99" s="295">
        <v>1041</v>
      </c>
      <c r="X99" s="295">
        <v>1041</v>
      </c>
      <c r="Y99" s="295">
        <v>1041</v>
      </c>
      <c r="Z99" s="295">
        <v>1041</v>
      </c>
    </row>
    <row r="100" spans="1:26" ht="26.45" customHeight="1" x14ac:dyDescent="0.25">
      <c r="A100" s="152" t="s">
        <v>1899</v>
      </c>
      <c r="B100" s="93" t="s">
        <v>1103</v>
      </c>
      <c r="C100" s="93" t="s">
        <v>1104</v>
      </c>
      <c r="D100" s="141" t="s">
        <v>1105</v>
      </c>
      <c r="E100" s="295" t="s">
        <v>212</v>
      </c>
      <c r="F100" s="295" t="s">
        <v>293</v>
      </c>
      <c r="G100" s="295" t="s">
        <v>1092</v>
      </c>
      <c r="H100" s="310" t="s">
        <v>41</v>
      </c>
      <c r="I100" s="310" t="s">
        <v>41</v>
      </c>
      <c r="J100" s="310" t="s">
        <v>41</v>
      </c>
      <c r="K100" s="295" t="s">
        <v>45</v>
      </c>
      <c r="L100" s="295">
        <v>1</v>
      </c>
      <c r="M100" s="295"/>
      <c r="N100" s="295">
        <f t="shared" si="6"/>
        <v>10000</v>
      </c>
      <c r="O100" s="295"/>
      <c r="P100" s="295"/>
      <c r="Q100" s="295"/>
      <c r="R100" s="295">
        <v>10000</v>
      </c>
      <c r="S100" s="295"/>
      <c r="T100" s="295"/>
      <c r="U100" s="295"/>
      <c r="V100" s="295"/>
      <c r="W100" s="295"/>
      <c r="X100" s="295"/>
      <c r="Y100" s="295"/>
      <c r="Z100" s="295"/>
    </row>
    <row r="101" spans="1:26" ht="34.15" customHeight="1" x14ac:dyDescent="0.25">
      <c r="A101" s="152" t="s">
        <v>1900</v>
      </c>
      <c r="B101" s="93" t="s">
        <v>1106</v>
      </c>
      <c r="C101" s="93" t="s">
        <v>1107</v>
      </c>
      <c r="D101" s="141" t="s">
        <v>1108</v>
      </c>
      <c r="E101" s="295" t="s">
        <v>212</v>
      </c>
      <c r="F101" s="295" t="s">
        <v>289</v>
      </c>
      <c r="G101" s="295" t="s">
        <v>1096</v>
      </c>
      <c r="H101" s="310" t="s">
        <v>41</v>
      </c>
      <c r="I101" s="310" t="s">
        <v>41</v>
      </c>
      <c r="J101" s="310" t="s">
        <v>41</v>
      </c>
      <c r="K101" s="295" t="s">
        <v>42</v>
      </c>
      <c r="L101" s="295">
        <v>12</v>
      </c>
      <c r="M101" s="295"/>
      <c r="N101" s="295">
        <f t="shared" si="6"/>
        <v>30000</v>
      </c>
      <c r="O101" s="295">
        <v>2000</v>
      </c>
      <c r="P101" s="295">
        <v>2000</v>
      </c>
      <c r="Q101" s="295">
        <v>4000</v>
      </c>
      <c r="R101" s="295">
        <v>2000</v>
      </c>
      <c r="S101" s="295">
        <v>2000</v>
      </c>
      <c r="T101" s="295">
        <v>4000</v>
      </c>
      <c r="U101" s="295">
        <v>2000</v>
      </c>
      <c r="V101" s="295">
        <v>2000</v>
      </c>
      <c r="W101" s="295">
        <v>4000</v>
      </c>
      <c r="X101" s="295">
        <v>2000</v>
      </c>
      <c r="Y101" s="295">
        <v>2000</v>
      </c>
      <c r="Z101" s="295">
        <v>2000</v>
      </c>
    </row>
    <row r="102" spans="1:26" ht="34.15" customHeight="1" x14ac:dyDescent="0.25">
      <c r="A102" s="152" t="s">
        <v>1901</v>
      </c>
      <c r="B102" s="93" t="s">
        <v>1109</v>
      </c>
      <c r="C102" s="93" t="s">
        <v>1109</v>
      </c>
      <c r="D102" s="141" t="s">
        <v>1110</v>
      </c>
      <c r="E102" s="295" t="s">
        <v>212</v>
      </c>
      <c r="F102" s="295" t="s">
        <v>293</v>
      </c>
      <c r="G102" s="295" t="s">
        <v>1111</v>
      </c>
      <c r="H102" s="310" t="s">
        <v>41</v>
      </c>
      <c r="I102" s="310" t="s">
        <v>41</v>
      </c>
      <c r="J102" s="310" t="s">
        <v>41</v>
      </c>
      <c r="K102" s="295" t="s">
        <v>42</v>
      </c>
      <c r="L102" s="295">
        <v>12</v>
      </c>
      <c r="M102" s="295"/>
      <c r="N102" s="295">
        <f t="shared" si="6"/>
        <v>8000</v>
      </c>
      <c r="O102" s="295"/>
      <c r="P102" s="295"/>
      <c r="Q102" s="295">
        <v>2700</v>
      </c>
      <c r="R102" s="295"/>
      <c r="S102" s="295"/>
      <c r="T102" s="295">
        <v>2650</v>
      </c>
      <c r="U102" s="295"/>
      <c r="V102" s="295"/>
      <c r="W102" s="295"/>
      <c r="X102" s="295">
        <v>2650</v>
      </c>
      <c r="Y102" s="295"/>
      <c r="Z102" s="295"/>
    </row>
    <row r="103" spans="1:26" ht="34.15" customHeight="1" x14ac:dyDescent="0.25">
      <c r="A103" s="152" t="s">
        <v>1903</v>
      </c>
      <c r="B103" s="93" t="s">
        <v>1112</v>
      </c>
      <c r="C103" s="93" t="s">
        <v>1113</v>
      </c>
      <c r="D103" s="141" t="s">
        <v>1027</v>
      </c>
      <c r="E103" s="295" t="s">
        <v>212</v>
      </c>
      <c r="F103" s="295" t="s">
        <v>293</v>
      </c>
      <c r="G103" s="295" t="s">
        <v>1114</v>
      </c>
      <c r="H103" s="310" t="s">
        <v>41</v>
      </c>
      <c r="I103" s="310" t="s">
        <v>41</v>
      </c>
      <c r="J103" s="310" t="s">
        <v>41</v>
      </c>
      <c r="K103" s="295" t="s">
        <v>42</v>
      </c>
      <c r="L103" s="295">
        <v>12</v>
      </c>
      <c r="M103" s="295"/>
      <c r="N103" s="295">
        <f t="shared" si="6"/>
        <v>7200</v>
      </c>
      <c r="O103" s="295">
        <v>600</v>
      </c>
      <c r="P103" s="295">
        <v>600</v>
      </c>
      <c r="Q103" s="295">
        <v>600</v>
      </c>
      <c r="R103" s="295">
        <v>600</v>
      </c>
      <c r="S103" s="295">
        <v>600</v>
      </c>
      <c r="T103" s="295">
        <v>600</v>
      </c>
      <c r="U103" s="295">
        <v>600</v>
      </c>
      <c r="V103" s="295">
        <v>600</v>
      </c>
      <c r="W103" s="295">
        <v>600</v>
      </c>
      <c r="X103" s="295">
        <v>600</v>
      </c>
      <c r="Y103" s="295">
        <v>600</v>
      </c>
      <c r="Z103" s="295">
        <v>600</v>
      </c>
    </row>
    <row r="104" spans="1:26" ht="28.15" customHeight="1" x14ac:dyDescent="0.25">
      <c r="A104" s="152" t="s">
        <v>1905</v>
      </c>
      <c r="B104" s="93" t="s">
        <v>1205</v>
      </c>
      <c r="C104" s="93" t="s">
        <v>1206</v>
      </c>
      <c r="D104" s="141" t="s">
        <v>1207</v>
      </c>
      <c r="E104" s="295"/>
      <c r="F104" s="295"/>
      <c r="G104" s="295"/>
      <c r="H104" s="295"/>
      <c r="I104" s="295"/>
      <c r="J104" s="310"/>
      <c r="K104" s="295"/>
      <c r="L104" s="295"/>
      <c r="M104" s="295"/>
      <c r="N104" s="295">
        <f t="shared" si="6"/>
        <v>25000</v>
      </c>
      <c r="O104" s="295"/>
      <c r="P104" s="295"/>
      <c r="Q104" s="295"/>
      <c r="R104" s="295"/>
      <c r="S104" s="295"/>
      <c r="T104" s="295">
        <v>12500</v>
      </c>
      <c r="U104" s="295"/>
      <c r="V104" s="295">
        <v>12500</v>
      </c>
      <c r="W104" s="295"/>
      <c r="X104" s="295"/>
      <c r="Y104" s="295"/>
      <c r="Z104" s="295"/>
    </row>
    <row r="105" spans="1:26" ht="34.15" hidden="1" customHeight="1" x14ac:dyDescent="0.25">
      <c r="A105" s="152"/>
      <c r="B105" s="93"/>
      <c r="C105" s="93"/>
      <c r="D105" s="141"/>
      <c r="E105" s="295"/>
      <c r="F105" s="295"/>
      <c r="G105" s="295"/>
      <c r="H105" s="295"/>
      <c r="I105" s="295"/>
      <c r="J105" s="310"/>
      <c r="K105" s="295"/>
      <c r="L105" s="295"/>
      <c r="M105" s="295"/>
      <c r="N105" s="295"/>
      <c r="O105" s="295"/>
      <c r="P105" s="295"/>
      <c r="Q105" s="295"/>
      <c r="R105" s="295"/>
      <c r="S105" s="295"/>
      <c r="T105" s="295"/>
      <c r="U105" s="295"/>
      <c r="V105" s="295"/>
      <c r="W105" s="295"/>
      <c r="X105" s="295"/>
      <c r="Y105" s="295"/>
      <c r="Z105" s="295"/>
    </row>
    <row r="106" spans="1:26" ht="34.15" customHeight="1" x14ac:dyDescent="0.25">
      <c r="A106" s="152"/>
      <c r="B106" s="93"/>
      <c r="C106" s="93"/>
      <c r="D106" s="141"/>
      <c r="E106" s="295"/>
      <c r="F106" s="295"/>
      <c r="G106" s="295"/>
      <c r="H106" s="295"/>
      <c r="I106" s="295"/>
      <c r="J106" s="310"/>
      <c r="K106" s="295"/>
      <c r="L106" s="295"/>
      <c r="M106" s="295"/>
      <c r="N106" s="295"/>
      <c r="O106" s="295"/>
      <c r="P106" s="295"/>
      <c r="Q106" s="295"/>
      <c r="R106" s="295"/>
      <c r="S106" s="295"/>
      <c r="T106" s="295"/>
      <c r="U106" s="295"/>
      <c r="V106" s="295"/>
      <c r="W106" s="295"/>
      <c r="X106" s="295"/>
      <c r="Y106" s="295"/>
      <c r="Z106" s="295"/>
    </row>
    <row r="107" spans="1:26" ht="34.15" customHeight="1" x14ac:dyDescent="0.25">
      <c r="A107" s="313"/>
      <c r="B107" s="314"/>
      <c r="C107" s="314"/>
      <c r="D107" s="314"/>
      <c r="E107" s="315"/>
      <c r="F107" s="315"/>
      <c r="G107" s="315"/>
      <c r="H107" s="315"/>
      <c r="I107" s="315"/>
      <c r="J107" s="316" t="s">
        <v>20</v>
      </c>
      <c r="K107" s="315"/>
      <c r="L107" s="291">
        <f t="shared" ref="L107:Z107" si="7">SUM(L95:L106)</f>
        <v>97</v>
      </c>
      <c r="M107" s="291">
        <f t="shared" si="7"/>
        <v>0</v>
      </c>
      <c r="N107" s="291">
        <f>SUM(N95:N106)</f>
        <v>250684</v>
      </c>
      <c r="O107" s="291">
        <f t="shared" si="7"/>
        <v>16807</v>
      </c>
      <c r="P107" s="291">
        <f t="shared" si="7"/>
        <v>16807</v>
      </c>
      <c r="Q107" s="291">
        <f t="shared" si="7"/>
        <v>21507</v>
      </c>
      <c r="R107" s="291">
        <f t="shared" si="7"/>
        <v>26807</v>
      </c>
      <c r="S107" s="291">
        <f t="shared" si="7"/>
        <v>16807</v>
      </c>
      <c r="T107" s="291">
        <f t="shared" si="7"/>
        <v>33957</v>
      </c>
      <c r="U107" s="291">
        <f t="shared" si="7"/>
        <v>16807</v>
      </c>
      <c r="V107" s="291">
        <f t="shared" si="7"/>
        <v>29307</v>
      </c>
      <c r="W107" s="291">
        <f t="shared" si="7"/>
        <v>18807</v>
      </c>
      <c r="X107" s="291">
        <f t="shared" si="7"/>
        <v>19457</v>
      </c>
      <c r="Y107" s="291">
        <f t="shared" si="7"/>
        <v>16807</v>
      </c>
      <c r="Z107" s="291">
        <f t="shared" si="7"/>
        <v>16807</v>
      </c>
    </row>
    <row r="108" spans="1:26" ht="34.15" customHeight="1" x14ac:dyDescent="0.25">
      <c r="A108" s="309" t="str">
        <f>CONCATENATE(B18," ",C18)</f>
        <v xml:space="preserve">Internal Communications </v>
      </c>
      <c r="B108" s="306"/>
      <c r="C108" s="307"/>
      <c r="D108" s="307"/>
      <c r="E108" s="308"/>
      <c r="F108" s="308"/>
      <c r="G108" s="308"/>
      <c r="H108" s="308"/>
      <c r="I108" s="308"/>
      <c r="J108" s="308"/>
      <c r="K108" s="308"/>
      <c r="L108" s="308"/>
      <c r="M108" s="308"/>
      <c r="N108" s="308"/>
      <c r="O108" s="308" t="s">
        <v>5</v>
      </c>
      <c r="P108" s="308"/>
      <c r="Q108" s="308"/>
      <c r="R108" s="308"/>
      <c r="S108" s="308"/>
      <c r="T108" s="308"/>
      <c r="U108" s="308"/>
      <c r="V108" s="308"/>
      <c r="W108" s="308"/>
      <c r="X108" s="308"/>
      <c r="Y108" s="308"/>
      <c r="Z108" s="308"/>
    </row>
    <row r="109" spans="1:26" ht="34.15" customHeight="1" x14ac:dyDescent="0.25">
      <c r="A109" s="165" t="s">
        <v>261</v>
      </c>
      <c r="B109" s="92" t="s">
        <v>13</v>
      </c>
      <c r="C109" s="92" t="s">
        <v>14</v>
      </c>
      <c r="D109" s="311" t="s">
        <v>286</v>
      </c>
      <c r="E109" s="291" t="s">
        <v>16</v>
      </c>
      <c r="F109" s="291" t="s">
        <v>295</v>
      </c>
      <c r="G109" s="291" t="s">
        <v>39</v>
      </c>
      <c r="H109" s="291" t="s">
        <v>297</v>
      </c>
      <c r="I109" s="291" t="s">
        <v>298</v>
      </c>
      <c r="J109" s="291" t="s">
        <v>299</v>
      </c>
      <c r="K109" s="291" t="s">
        <v>300</v>
      </c>
      <c r="L109" s="291" t="s">
        <v>17</v>
      </c>
      <c r="M109" s="291" t="s">
        <v>18</v>
      </c>
      <c r="N109" s="291" t="s">
        <v>19</v>
      </c>
      <c r="O109" s="293">
        <v>43101</v>
      </c>
      <c r="P109" s="293">
        <v>43132</v>
      </c>
      <c r="Q109" s="293">
        <v>43160</v>
      </c>
      <c r="R109" s="293">
        <v>43191</v>
      </c>
      <c r="S109" s="293">
        <v>43221</v>
      </c>
      <c r="T109" s="293">
        <v>43252</v>
      </c>
      <c r="U109" s="293">
        <v>43282</v>
      </c>
      <c r="V109" s="293">
        <v>43313</v>
      </c>
      <c r="W109" s="293">
        <v>43344</v>
      </c>
      <c r="X109" s="293">
        <v>43374</v>
      </c>
      <c r="Y109" s="293">
        <v>43405</v>
      </c>
      <c r="Z109" s="293">
        <v>43435</v>
      </c>
    </row>
    <row r="110" spans="1:26" ht="34.15" customHeight="1" x14ac:dyDescent="0.25">
      <c r="A110" s="152" t="s">
        <v>1907</v>
      </c>
      <c r="B110" s="93" t="s">
        <v>1115</v>
      </c>
      <c r="C110" s="93" t="s">
        <v>1116</v>
      </c>
      <c r="D110" s="141" t="s">
        <v>1117</v>
      </c>
      <c r="E110" s="295" t="s">
        <v>212</v>
      </c>
      <c r="F110" s="295" t="s">
        <v>289</v>
      </c>
      <c r="G110" s="295" t="s">
        <v>1096</v>
      </c>
      <c r="H110" s="310" t="s">
        <v>41</v>
      </c>
      <c r="I110" s="310" t="s">
        <v>41</v>
      </c>
      <c r="J110" s="310" t="s">
        <v>41</v>
      </c>
      <c r="K110" s="295" t="s">
        <v>42</v>
      </c>
      <c r="L110" s="295">
        <v>12</v>
      </c>
      <c r="M110" s="295"/>
      <c r="N110" s="312">
        <f>SUM(O110:Z110)</f>
        <v>6000</v>
      </c>
      <c r="O110" s="295">
        <v>500</v>
      </c>
      <c r="P110" s="295">
        <v>500</v>
      </c>
      <c r="Q110" s="295">
        <v>500</v>
      </c>
      <c r="R110" s="295">
        <v>500</v>
      </c>
      <c r="S110" s="295">
        <v>500</v>
      </c>
      <c r="T110" s="295">
        <v>500</v>
      </c>
      <c r="U110" s="295">
        <v>500</v>
      </c>
      <c r="V110" s="295">
        <v>500</v>
      </c>
      <c r="W110" s="295">
        <v>500</v>
      </c>
      <c r="X110" s="295">
        <v>500</v>
      </c>
      <c r="Y110" s="295">
        <v>500</v>
      </c>
      <c r="Z110" s="295">
        <v>500</v>
      </c>
    </row>
    <row r="111" spans="1:26" ht="34.15" customHeight="1" x14ac:dyDescent="0.25">
      <c r="A111" s="152" t="s">
        <v>1908</v>
      </c>
      <c r="B111" s="93" t="s">
        <v>1118</v>
      </c>
      <c r="C111" s="93" t="s">
        <v>1119</v>
      </c>
      <c r="D111" s="141" t="s">
        <v>1120</v>
      </c>
      <c r="E111" s="295" t="s">
        <v>212</v>
      </c>
      <c r="F111" s="295" t="s">
        <v>289</v>
      </c>
      <c r="G111" s="295" t="s">
        <v>1096</v>
      </c>
      <c r="H111" s="310" t="s">
        <v>41</v>
      </c>
      <c r="I111" s="310" t="s">
        <v>41</v>
      </c>
      <c r="J111" s="310" t="s">
        <v>41</v>
      </c>
      <c r="K111" s="295" t="s">
        <v>42</v>
      </c>
      <c r="L111" s="295">
        <v>12</v>
      </c>
      <c r="M111" s="295"/>
      <c r="N111" s="312">
        <f>SUM(O111:Z111)</f>
        <v>54800</v>
      </c>
      <c r="O111" s="295">
        <v>12500</v>
      </c>
      <c r="P111" s="295">
        <v>12500</v>
      </c>
      <c r="Q111" s="295">
        <v>12500</v>
      </c>
      <c r="R111" s="295">
        <v>12500</v>
      </c>
      <c r="S111" s="295">
        <v>600</v>
      </c>
      <c r="T111" s="295">
        <v>600</v>
      </c>
      <c r="U111" s="295">
        <v>600</v>
      </c>
      <c r="V111" s="295">
        <v>600</v>
      </c>
      <c r="W111" s="295">
        <v>600</v>
      </c>
      <c r="X111" s="295">
        <v>600</v>
      </c>
      <c r="Y111" s="295">
        <v>600</v>
      </c>
      <c r="Z111" s="295">
        <v>600</v>
      </c>
    </row>
    <row r="112" spans="1:26" ht="34.15" customHeight="1" x14ac:dyDescent="0.25">
      <c r="A112" s="152" t="s">
        <v>1910</v>
      </c>
      <c r="B112" s="93" t="s">
        <v>1121</v>
      </c>
      <c r="C112" s="93" t="s">
        <v>1122</v>
      </c>
      <c r="D112" s="141" t="s">
        <v>1123</v>
      </c>
      <c r="E112" s="295" t="s">
        <v>212</v>
      </c>
      <c r="F112" s="295" t="s">
        <v>289</v>
      </c>
      <c r="G112" s="295" t="s">
        <v>1096</v>
      </c>
      <c r="H112" s="310" t="s">
        <v>41</v>
      </c>
      <c r="I112" s="310" t="s">
        <v>41</v>
      </c>
      <c r="J112" s="310" t="s">
        <v>41</v>
      </c>
      <c r="K112" s="295" t="s">
        <v>42</v>
      </c>
      <c r="L112" s="295">
        <v>12</v>
      </c>
      <c r="M112" s="295"/>
      <c r="N112" s="312">
        <f>SUM(O112:Z112)</f>
        <v>28000</v>
      </c>
      <c r="O112" s="295">
        <v>5000</v>
      </c>
      <c r="P112" s="295">
        <v>2000</v>
      </c>
      <c r="Q112" s="295">
        <v>2000</v>
      </c>
      <c r="R112" s="295">
        <v>2000</v>
      </c>
      <c r="S112" s="295">
        <v>2000</v>
      </c>
      <c r="T112" s="295">
        <v>2000</v>
      </c>
      <c r="U112" s="295">
        <v>2000</v>
      </c>
      <c r="V112" s="295">
        <v>1000</v>
      </c>
      <c r="W112" s="295">
        <v>1000</v>
      </c>
      <c r="X112" s="295">
        <v>5000</v>
      </c>
      <c r="Y112" s="295">
        <v>2000</v>
      </c>
      <c r="Z112" s="295">
        <v>2000</v>
      </c>
    </row>
    <row r="113" spans="1:26" ht="34.15" customHeight="1" x14ac:dyDescent="0.25">
      <c r="A113" s="152" t="s">
        <v>1911</v>
      </c>
      <c r="B113" s="93" t="s">
        <v>1208</v>
      </c>
      <c r="C113" s="93" t="s">
        <v>1209</v>
      </c>
      <c r="D113" s="141" t="s">
        <v>1210</v>
      </c>
      <c r="E113" s="295"/>
      <c r="F113" s="295"/>
      <c r="G113" s="295"/>
      <c r="H113" s="295"/>
      <c r="I113" s="295"/>
      <c r="J113" s="295"/>
      <c r="K113" s="295"/>
      <c r="L113" s="295"/>
      <c r="M113" s="295"/>
      <c r="N113" s="312">
        <f>SUM(O113:Z113)</f>
        <v>60000</v>
      </c>
      <c r="O113" s="295">
        <v>5000</v>
      </c>
      <c r="P113" s="295">
        <v>5000</v>
      </c>
      <c r="Q113" s="295">
        <v>5000</v>
      </c>
      <c r="R113" s="295">
        <v>5000</v>
      </c>
      <c r="S113" s="295">
        <v>5000</v>
      </c>
      <c r="T113" s="295">
        <v>5000</v>
      </c>
      <c r="U113" s="295">
        <v>5000</v>
      </c>
      <c r="V113" s="295">
        <v>5000</v>
      </c>
      <c r="W113" s="295">
        <v>5000</v>
      </c>
      <c r="X113" s="295">
        <v>5000</v>
      </c>
      <c r="Y113" s="295">
        <v>5000</v>
      </c>
      <c r="Z113" s="295">
        <v>5000</v>
      </c>
    </row>
    <row r="114" spans="1:26" ht="34.15" customHeight="1" x14ac:dyDescent="0.25">
      <c r="A114" s="313"/>
      <c r="B114" s="314"/>
      <c r="C114" s="314"/>
      <c r="D114" s="314"/>
      <c r="E114" s="315"/>
      <c r="F114" s="315"/>
      <c r="G114" s="315"/>
      <c r="H114" s="315"/>
      <c r="I114" s="315"/>
      <c r="J114" s="316" t="s">
        <v>20</v>
      </c>
      <c r="K114" s="315"/>
      <c r="L114" s="291">
        <f>SUM(L113:L113)</f>
        <v>0</v>
      </c>
      <c r="M114" s="291">
        <f>SUM(M113:M113)</f>
        <v>0</v>
      </c>
      <c r="N114" s="291">
        <f>SUM(N110:N113)</f>
        <v>148800</v>
      </c>
      <c r="O114" s="291">
        <f t="shared" ref="O114:Z114" si="8">SUM(O110:O113)</f>
        <v>23000</v>
      </c>
      <c r="P114" s="291">
        <f t="shared" si="8"/>
        <v>20000</v>
      </c>
      <c r="Q114" s="291">
        <f t="shared" si="8"/>
        <v>20000</v>
      </c>
      <c r="R114" s="291">
        <f t="shared" si="8"/>
        <v>20000</v>
      </c>
      <c r="S114" s="291">
        <f t="shared" si="8"/>
        <v>8100</v>
      </c>
      <c r="T114" s="291">
        <f t="shared" si="8"/>
        <v>8100</v>
      </c>
      <c r="U114" s="291">
        <f t="shared" si="8"/>
        <v>8100</v>
      </c>
      <c r="V114" s="291">
        <f t="shared" si="8"/>
        <v>7100</v>
      </c>
      <c r="W114" s="291">
        <f t="shared" si="8"/>
        <v>7100</v>
      </c>
      <c r="X114" s="291">
        <f t="shared" si="8"/>
        <v>11100</v>
      </c>
      <c r="Y114" s="291">
        <f t="shared" si="8"/>
        <v>8100</v>
      </c>
      <c r="Z114" s="291">
        <f t="shared" si="8"/>
        <v>8100</v>
      </c>
    </row>
    <row r="115" spans="1:26" ht="34.15" customHeight="1" x14ac:dyDescent="0.25">
      <c r="A115" s="309" t="str">
        <f>CONCATENATE(B19," ",C19)</f>
        <v xml:space="preserve">Memberships </v>
      </c>
      <c r="B115" s="306"/>
      <c r="C115" s="307"/>
      <c r="D115" s="307"/>
      <c r="E115" s="308"/>
      <c r="F115" s="308"/>
      <c r="G115" s="308"/>
      <c r="H115" s="308"/>
      <c r="I115" s="308"/>
      <c r="J115" s="308"/>
      <c r="K115" s="308"/>
      <c r="L115" s="308"/>
      <c r="M115" s="308"/>
      <c r="N115" s="308"/>
      <c r="O115" s="308" t="s">
        <v>5</v>
      </c>
      <c r="P115" s="308"/>
      <c r="Q115" s="308"/>
      <c r="R115" s="308"/>
      <c r="S115" s="308"/>
      <c r="T115" s="308"/>
      <c r="U115" s="308"/>
      <c r="V115" s="308"/>
      <c r="W115" s="308"/>
      <c r="X115" s="308"/>
      <c r="Y115" s="308"/>
      <c r="Z115" s="308"/>
    </row>
    <row r="116" spans="1:26" ht="34.15" customHeight="1" x14ac:dyDescent="0.25">
      <c r="A116" s="165" t="s">
        <v>261</v>
      </c>
      <c r="B116" s="92" t="s">
        <v>13</v>
      </c>
      <c r="C116" s="92" t="s">
        <v>14</v>
      </c>
      <c r="D116" s="311" t="s">
        <v>286</v>
      </c>
      <c r="E116" s="291" t="s">
        <v>16</v>
      </c>
      <c r="F116" s="291" t="s">
        <v>295</v>
      </c>
      <c r="G116" s="291" t="s">
        <v>39</v>
      </c>
      <c r="H116" s="291" t="s">
        <v>297</v>
      </c>
      <c r="I116" s="291" t="s">
        <v>298</v>
      </c>
      <c r="J116" s="291" t="s">
        <v>299</v>
      </c>
      <c r="K116" s="291" t="s">
        <v>300</v>
      </c>
      <c r="L116" s="291" t="s">
        <v>17</v>
      </c>
      <c r="M116" s="291" t="s">
        <v>18</v>
      </c>
      <c r="N116" s="291" t="s">
        <v>19</v>
      </c>
      <c r="O116" s="293">
        <v>43101</v>
      </c>
      <c r="P116" s="293">
        <v>43132</v>
      </c>
      <c r="Q116" s="293">
        <v>43160</v>
      </c>
      <c r="R116" s="293">
        <v>43191</v>
      </c>
      <c r="S116" s="293">
        <v>43221</v>
      </c>
      <c r="T116" s="293">
        <v>43252</v>
      </c>
      <c r="U116" s="293">
        <v>43282</v>
      </c>
      <c r="V116" s="293">
        <v>43313</v>
      </c>
      <c r="W116" s="293">
        <v>43344</v>
      </c>
      <c r="X116" s="293">
        <v>43374</v>
      </c>
      <c r="Y116" s="293">
        <v>43405</v>
      </c>
      <c r="Z116" s="293">
        <v>43435</v>
      </c>
    </row>
    <row r="117" spans="1:26" ht="25.15" customHeight="1" x14ac:dyDescent="0.25">
      <c r="A117" s="152" t="s">
        <v>1913</v>
      </c>
      <c r="B117" s="93" t="s">
        <v>1124</v>
      </c>
      <c r="C117" s="93" t="s">
        <v>1125</v>
      </c>
      <c r="D117" s="141" t="s">
        <v>1126</v>
      </c>
      <c r="E117" s="295" t="s">
        <v>212</v>
      </c>
      <c r="F117" s="295" t="s">
        <v>289</v>
      </c>
      <c r="G117" s="295" t="s">
        <v>1124</v>
      </c>
      <c r="H117" s="310" t="s">
        <v>41</v>
      </c>
      <c r="I117" s="310" t="s">
        <v>41</v>
      </c>
      <c r="J117" s="310" t="s">
        <v>41</v>
      </c>
      <c r="K117" s="295" t="s">
        <v>42</v>
      </c>
      <c r="L117" s="295">
        <v>12</v>
      </c>
      <c r="M117" s="295"/>
      <c r="N117" s="312">
        <f t="shared" ref="N117:N121" si="9">SUM(O117:Z117)</f>
        <v>4000</v>
      </c>
      <c r="O117" s="295"/>
      <c r="P117" s="295"/>
      <c r="Q117" s="295">
        <v>4000</v>
      </c>
      <c r="R117" s="295"/>
      <c r="S117" s="295"/>
      <c r="T117" s="295"/>
      <c r="U117" s="295"/>
      <c r="V117" s="295"/>
      <c r="W117" s="295"/>
      <c r="X117" s="295"/>
      <c r="Y117" s="295"/>
      <c r="Z117" s="295"/>
    </row>
    <row r="118" spans="1:26" ht="26.45" customHeight="1" x14ac:dyDescent="0.25">
      <c r="A118" s="152" t="s">
        <v>1914</v>
      </c>
      <c r="B118" s="93" t="s">
        <v>1127</v>
      </c>
      <c r="C118" s="93" t="s">
        <v>1128</v>
      </c>
      <c r="D118" s="141" t="s">
        <v>1126</v>
      </c>
      <c r="E118" s="295" t="s">
        <v>212</v>
      </c>
      <c r="F118" s="295" t="s">
        <v>289</v>
      </c>
      <c r="G118" s="295" t="s">
        <v>1129</v>
      </c>
      <c r="H118" s="310" t="s">
        <v>41</v>
      </c>
      <c r="I118" s="310" t="s">
        <v>41</v>
      </c>
      <c r="J118" s="310" t="s">
        <v>41</v>
      </c>
      <c r="K118" s="295" t="s">
        <v>42</v>
      </c>
      <c r="L118" s="295">
        <v>12</v>
      </c>
      <c r="M118" s="295"/>
      <c r="N118" s="312">
        <f t="shared" si="9"/>
        <v>5000</v>
      </c>
      <c r="O118" s="295"/>
      <c r="P118" s="295"/>
      <c r="Q118" s="295">
        <v>2500</v>
      </c>
      <c r="R118" s="295"/>
      <c r="S118" s="295"/>
      <c r="T118" s="295"/>
      <c r="U118" s="295"/>
      <c r="V118" s="295"/>
      <c r="W118" s="295"/>
      <c r="X118" s="295">
        <v>2500</v>
      </c>
      <c r="Y118" s="295"/>
      <c r="Z118" s="295"/>
    </row>
    <row r="119" spans="1:26" ht="34.15" customHeight="1" x14ac:dyDescent="0.25">
      <c r="A119" s="152" t="s">
        <v>1915</v>
      </c>
      <c r="B119" s="93" t="s">
        <v>1130</v>
      </c>
      <c r="C119" s="93" t="s">
        <v>1131</v>
      </c>
      <c r="D119" s="141" t="s">
        <v>1126</v>
      </c>
      <c r="E119" s="295" t="s">
        <v>212</v>
      </c>
      <c r="F119" s="295" t="s">
        <v>289</v>
      </c>
      <c r="G119" s="295" t="s">
        <v>1130</v>
      </c>
      <c r="H119" s="310" t="s">
        <v>41</v>
      </c>
      <c r="I119" s="310" t="s">
        <v>41</v>
      </c>
      <c r="J119" s="310" t="s">
        <v>41</v>
      </c>
      <c r="K119" s="295" t="s">
        <v>42</v>
      </c>
      <c r="L119" s="295">
        <v>12</v>
      </c>
      <c r="M119" s="295"/>
      <c r="N119" s="312">
        <f t="shared" si="9"/>
        <v>5000</v>
      </c>
      <c r="O119" s="295"/>
      <c r="P119" s="295"/>
      <c r="Q119" s="295">
        <v>5000</v>
      </c>
      <c r="R119" s="295"/>
      <c r="S119" s="295"/>
      <c r="T119" s="295"/>
      <c r="U119" s="295"/>
      <c r="V119" s="295"/>
      <c r="W119" s="295"/>
      <c r="X119" s="295"/>
      <c r="Y119" s="295"/>
      <c r="Z119" s="295"/>
    </row>
    <row r="120" spans="1:26" ht="34.15" customHeight="1" x14ac:dyDescent="0.25">
      <c r="A120" s="152" t="s">
        <v>1916</v>
      </c>
      <c r="B120" s="93" t="s">
        <v>1132</v>
      </c>
      <c r="C120" s="93" t="s">
        <v>1133</v>
      </c>
      <c r="D120" s="141" t="s">
        <v>1126</v>
      </c>
      <c r="E120" s="295" t="s">
        <v>212</v>
      </c>
      <c r="F120" s="295" t="s">
        <v>289</v>
      </c>
      <c r="G120" s="295" t="s">
        <v>1134</v>
      </c>
      <c r="H120" s="310" t="s">
        <v>41</v>
      </c>
      <c r="I120" s="310" t="s">
        <v>41</v>
      </c>
      <c r="J120" s="310" t="s">
        <v>41</v>
      </c>
      <c r="K120" s="295" t="s">
        <v>42</v>
      </c>
      <c r="L120" s="295">
        <v>12</v>
      </c>
      <c r="M120" s="295"/>
      <c r="N120" s="312">
        <f t="shared" si="9"/>
        <v>2000</v>
      </c>
      <c r="O120" s="295"/>
      <c r="P120" s="295"/>
      <c r="Q120" s="295">
        <v>2000</v>
      </c>
      <c r="R120" s="295"/>
      <c r="S120" s="295"/>
      <c r="T120" s="295"/>
      <c r="U120" s="295"/>
      <c r="V120" s="295"/>
      <c r="W120" s="295"/>
      <c r="X120" s="295"/>
      <c r="Y120" s="295"/>
      <c r="Z120" s="295"/>
    </row>
    <row r="121" spans="1:26" ht="32.450000000000003" customHeight="1" x14ac:dyDescent="0.25">
      <c r="A121" s="152" t="s">
        <v>1917</v>
      </c>
      <c r="B121" s="93" t="s">
        <v>1135</v>
      </c>
      <c r="C121" s="93" t="s">
        <v>1136</v>
      </c>
      <c r="D121" s="141" t="s">
        <v>1126</v>
      </c>
      <c r="E121" s="295" t="s">
        <v>212</v>
      </c>
      <c r="F121" s="295" t="s">
        <v>289</v>
      </c>
      <c r="G121" s="296" t="s">
        <v>1137</v>
      </c>
      <c r="H121" s="310" t="s">
        <v>41</v>
      </c>
      <c r="I121" s="310" t="s">
        <v>41</v>
      </c>
      <c r="J121" s="310" t="s">
        <v>41</v>
      </c>
      <c r="K121" s="295" t="s">
        <v>42</v>
      </c>
      <c r="L121" s="295">
        <v>12</v>
      </c>
      <c r="M121" s="295"/>
      <c r="N121" s="312">
        <f t="shared" si="9"/>
        <v>3000</v>
      </c>
      <c r="O121" s="295"/>
      <c r="P121" s="295"/>
      <c r="Q121" s="295">
        <v>3000</v>
      </c>
      <c r="R121" s="295"/>
      <c r="S121" s="295"/>
      <c r="T121" s="295"/>
      <c r="U121" s="295"/>
      <c r="V121" s="295"/>
      <c r="W121" s="295"/>
      <c r="X121" s="295"/>
      <c r="Y121" s="295"/>
      <c r="Z121" s="295"/>
    </row>
    <row r="122" spans="1:26" ht="34.15" customHeight="1" x14ac:dyDescent="0.25">
      <c r="A122" s="152"/>
      <c r="B122" s="93"/>
      <c r="C122" s="93"/>
      <c r="D122" s="141"/>
      <c r="E122" s="295"/>
      <c r="F122" s="295"/>
      <c r="G122" s="296"/>
      <c r="H122" s="295"/>
      <c r="I122" s="295"/>
      <c r="J122" s="295"/>
      <c r="K122" s="295"/>
      <c r="L122" s="295"/>
      <c r="M122" s="295"/>
      <c r="N122" s="295"/>
      <c r="O122" s="295"/>
      <c r="P122" s="295"/>
      <c r="Q122" s="295"/>
      <c r="R122" s="295"/>
      <c r="S122" s="295"/>
      <c r="T122" s="295"/>
      <c r="U122" s="295"/>
      <c r="V122" s="295"/>
      <c r="W122" s="295"/>
      <c r="X122" s="295"/>
      <c r="Y122" s="295"/>
      <c r="Z122" s="295"/>
    </row>
    <row r="123" spans="1:26" ht="34.15" customHeight="1" x14ac:dyDescent="0.25">
      <c r="A123" s="152"/>
      <c r="B123" s="93"/>
      <c r="C123" s="93"/>
      <c r="D123" s="141"/>
      <c r="E123" s="295"/>
      <c r="F123" s="295"/>
      <c r="G123" s="296"/>
      <c r="H123" s="295"/>
      <c r="I123" s="295"/>
      <c r="J123" s="295"/>
      <c r="K123" s="295"/>
      <c r="L123" s="295"/>
      <c r="M123" s="295"/>
      <c r="N123" s="295"/>
      <c r="O123" s="295"/>
      <c r="P123" s="295"/>
      <c r="Q123" s="295"/>
      <c r="R123" s="295"/>
      <c r="S123" s="295"/>
      <c r="T123" s="295"/>
      <c r="U123" s="295"/>
      <c r="V123" s="295"/>
      <c r="W123" s="295"/>
      <c r="X123" s="295"/>
      <c r="Y123" s="295"/>
      <c r="Z123" s="295"/>
    </row>
    <row r="124" spans="1:26" ht="34.15" customHeight="1" x14ac:dyDescent="0.25">
      <c r="A124" s="152"/>
      <c r="B124" s="93"/>
      <c r="C124" s="93"/>
      <c r="D124" s="141"/>
      <c r="E124" s="295"/>
      <c r="F124" s="295"/>
      <c r="G124" s="292"/>
      <c r="H124" s="295"/>
      <c r="I124" s="295"/>
      <c r="J124" s="295"/>
      <c r="K124" s="315" t="s">
        <v>20</v>
      </c>
      <c r="L124" s="291">
        <f>SUM(L116:L120)</f>
        <v>48</v>
      </c>
      <c r="M124" s="291">
        <f>SUM(M116:M120)</f>
        <v>0</v>
      </c>
      <c r="N124" s="291">
        <f t="shared" ref="N124:Z124" si="10">SUM(N117:N123)</f>
        <v>19000</v>
      </c>
      <c r="O124" s="317">
        <f t="shared" si="10"/>
        <v>0</v>
      </c>
      <c r="P124" s="317">
        <f t="shared" si="10"/>
        <v>0</v>
      </c>
      <c r="Q124" s="317">
        <f t="shared" si="10"/>
        <v>16500</v>
      </c>
      <c r="R124" s="317">
        <f t="shared" si="10"/>
        <v>0</v>
      </c>
      <c r="S124" s="317">
        <f t="shared" si="10"/>
        <v>0</v>
      </c>
      <c r="T124" s="317">
        <f t="shared" si="10"/>
        <v>0</v>
      </c>
      <c r="U124" s="317">
        <f t="shared" si="10"/>
        <v>0</v>
      </c>
      <c r="V124" s="317">
        <f t="shared" si="10"/>
        <v>0</v>
      </c>
      <c r="W124" s="317">
        <f t="shared" si="10"/>
        <v>0</v>
      </c>
      <c r="X124" s="317">
        <f t="shared" si="10"/>
        <v>2500</v>
      </c>
      <c r="Y124" s="317">
        <f t="shared" si="10"/>
        <v>0</v>
      </c>
      <c r="Z124" s="317">
        <f t="shared" si="10"/>
        <v>0</v>
      </c>
    </row>
    <row r="125" spans="1:26" ht="34.15" customHeight="1" outlineLevel="1" x14ac:dyDescent="0.25">
      <c r="A125" s="309" t="str">
        <f>CONCATENATE(B20," ",C20)</f>
        <v xml:space="preserve">Sponsorships and special events </v>
      </c>
      <c r="B125" s="306"/>
      <c r="C125" s="307"/>
      <c r="D125" s="307"/>
      <c r="E125" s="308"/>
      <c r="F125" s="308"/>
      <c r="G125" s="308"/>
      <c r="H125" s="308"/>
      <c r="I125" s="308"/>
      <c r="J125" s="308"/>
      <c r="K125" s="308"/>
      <c r="L125" s="308"/>
      <c r="M125" s="308"/>
      <c r="N125" s="308"/>
      <c r="O125" s="308" t="s">
        <v>5</v>
      </c>
      <c r="P125" s="308"/>
      <c r="Q125" s="308"/>
      <c r="R125" s="308"/>
      <c r="S125" s="308"/>
      <c r="T125" s="308"/>
      <c r="U125" s="308"/>
      <c r="V125" s="308"/>
      <c r="W125" s="308"/>
      <c r="X125" s="308"/>
      <c r="Y125" s="308"/>
      <c r="Z125" s="308"/>
    </row>
    <row r="126" spans="1:26" ht="34.15" customHeight="1" outlineLevel="1" x14ac:dyDescent="0.25">
      <c r="A126" s="165" t="s">
        <v>261</v>
      </c>
      <c r="B126" s="92" t="s">
        <v>13</v>
      </c>
      <c r="C126" s="92" t="s">
        <v>14</v>
      </c>
      <c r="D126" s="311" t="s">
        <v>286</v>
      </c>
      <c r="E126" s="291" t="s">
        <v>16</v>
      </c>
      <c r="F126" s="291" t="s">
        <v>295</v>
      </c>
      <c r="G126" s="291" t="s">
        <v>39</v>
      </c>
      <c r="H126" s="291" t="s">
        <v>297</v>
      </c>
      <c r="I126" s="291" t="s">
        <v>298</v>
      </c>
      <c r="J126" s="291" t="s">
        <v>299</v>
      </c>
      <c r="K126" s="291" t="s">
        <v>300</v>
      </c>
      <c r="L126" s="291" t="s">
        <v>17</v>
      </c>
      <c r="M126" s="291" t="s">
        <v>18</v>
      </c>
      <c r="N126" s="291" t="s">
        <v>19</v>
      </c>
      <c r="O126" s="293">
        <v>43101</v>
      </c>
      <c r="P126" s="293">
        <v>43132</v>
      </c>
      <c r="Q126" s="293">
        <v>43160</v>
      </c>
      <c r="R126" s="293">
        <v>43191</v>
      </c>
      <c r="S126" s="293">
        <v>43221</v>
      </c>
      <c r="T126" s="293">
        <v>43252</v>
      </c>
      <c r="U126" s="293">
        <v>43282</v>
      </c>
      <c r="V126" s="293">
        <v>43313</v>
      </c>
      <c r="W126" s="293">
        <v>43344</v>
      </c>
      <c r="X126" s="293">
        <v>43374</v>
      </c>
      <c r="Y126" s="293">
        <v>43405</v>
      </c>
      <c r="Z126" s="293">
        <v>43435</v>
      </c>
    </row>
    <row r="127" spans="1:26" ht="34.15" customHeight="1" outlineLevel="1" x14ac:dyDescent="0.25">
      <c r="A127" s="152" t="s">
        <v>1918</v>
      </c>
      <c r="B127" s="93" t="s">
        <v>1138</v>
      </c>
      <c r="C127" s="93" t="s">
        <v>1139</v>
      </c>
      <c r="D127" s="141" t="s">
        <v>1140</v>
      </c>
      <c r="E127" s="295" t="s">
        <v>212</v>
      </c>
      <c r="F127" s="295" t="s">
        <v>289</v>
      </c>
      <c r="G127" s="295" t="s">
        <v>1096</v>
      </c>
      <c r="H127" s="310" t="s">
        <v>41</v>
      </c>
      <c r="I127" s="310" t="s">
        <v>41</v>
      </c>
      <c r="J127" s="310" t="s">
        <v>41</v>
      </c>
      <c r="K127" s="295" t="s">
        <v>45</v>
      </c>
      <c r="L127" s="295">
        <v>3</v>
      </c>
      <c r="M127" s="295"/>
      <c r="N127" s="295">
        <f t="shared" ref="N127:N130" si="11">SUM(O127:Z127)</f>
        <v>25000</v>
      </c>
      <c r="O127" s="295"/>
      <c r="P127" s="295"/>
      <c r="Q127" s="295"/>
      <c r="R127" s="295"/>
      <c r="S127" s="295">
        <v>25000</v>
      </c>
      <c r="T127" s="295"/>
      <c r="U127" s="295"/>
      <c r="V127" s="295"/>
      <c r="W127" s="295"/>
      <c r="X127" s="295"/>
      <c r="Y127" s="295"/>
      <c r="Z127" s="295"/>
    </row>
    <row r="128" spans="1:26" ht="34.15" customHeight="1" outlineLevel="1" x14ac:dyDescent="0.25">
      <c r="A128" s="152" t="s">
        <v>1921</v>
      </c>
      <c r="B128" s="93" t="s">
        <v>1141</v>
      </c>
      <c r="C128" s="93" t="s">
        <v>1141</v>
      </c>
      <c r="D128" s="141" t="s">
        <v>1142</v>
      </c>
      <c r="E128" s="295" t="s">
        <v>212</v>
      </c>
      <c r="F128" s="295" t="s">
        <v>289</v>
      </c>
      <c r="G128" s="295" t="s">
        <v>1143</v>
      </c>
      <c r="H128" s="310" t="s">
        <v>41</v>
      </c>
      <c r="I128" s="310" t="s">
        <v>41</v>
      </c>
      <c r="J128" s="310" t="s">
        <v>41</v>
      </c>
      <c r="K128" s="295" t="s">
        <v>44</v>
      </c>
      <c r="L128" s="295">
        <v>1</v>
      </c>
      <c r="M128" s="295"/>
      <c r="N128" s="295">
        <f t="shared" si="11"/>
        <v>1500</v>
      </c>
      <c r="O128" s="295"/>
      <c r="P128" s="295"/>
      <c r="Q128" s="295"/>
      <c r="R128" s="295">
        <v>1500</v>
      </c>
      <c r="S128" s="295"/>
      <c r="T128" s="295"/>
      <c r="U128" s="295"/>
      <c r="V128" s="295"/>
      <c r="W128" s="295"/>
      <c r="X128" s="295"/>
      <c r="Y128" s="295"/>
      <c r="Z128" s="295"/>
    </row>
    <row r="129" spans="1:26" ht="34.15" customHeight="1" outlineLevel="1" x14ac:dyDescent="0.25">
      <c r="A129" s="152" t="s">
        <v>1922</v>
      </c>
      <c r="B129" s="93" t="s">
        <v>1144</v>
      </c>
      <c r="C129" s="93" t="s">
        <v>1144</v>
      </c>
      <c r="D129" s="141" t="s">
        <v>1145</v>
      </c>
      <c r="E129" s="295" t="s">
        <v>212</v>
      </c>
      <c r="F129" s="295" t="s">
        <v>289</v>
      </c>
      <c r="G129" s="295" t="s">
        <v>1124</v>
      </c>
      <c r="H129" s="310" t="s">
        <v>41</v>
      </c>
      <c r="I129" s="310" t="s">
        <v>41</v>
      </c>
      <c r="J129" s="310" t="s">
        <v>41</v>
      </c>
      <c r="K129" s="295" t="s">
        <v>49</v>
      </c>
      <c r="L129" s="295">
        <v>1</v>
      </c>
      <c r="M129" s="295"/>
      <c r="N129" s="295">
        <f t="shared" si="11"/>
        <v>1500</v>
      </c>
      <c r="O129" s="295"/>
      <c r="P129" s="295"/>
      <c r="Q129" s="295"/>
      <c r="R129" s="295"/>
      <c r="S129" s="295"/>
      <c r="T129" s="295"/>
      <c r="U129" s="295"/>
      <c r="V129" s="295">
        <v>1500</v>
      </c>
      <c r="W129" s="295"/>
      <c r="X129" s="295"/>
      <c r="Y129" s="295"/>
      <c r="Z129" s="295"/>
    </row>
    <row r="130" spans="1:26" ht="34.15" customHeight="1" outlineLevel="1" x14ac:dyDescent="0.25">
      <c r="A130" s="152" t="s">
        <v>1923</v>
      </c>
      <c r="B130" s="93" t="s">
        <v>1146</v>
      </c>
      <c r="C130" s="93" t="s">
        <v>1147</v>
      </c>
      <c r="D130" s="141" t="s">
        <v>1148</v>
      </c>
      <c r="E130" s="295" t="s">
        <v>212</v>
      </c>
      <c r="F130" s="295" t="s">
        <v>289</v>
      </c>
      <c r="G130" s="295" t="s">
        <v>1096</v>
      </c>
      <c r="H130" s="310" t="s">
        <v>41</v>
      </c>
      <c r="I130" s="310" t="s">
        <v>41</v>
      </c>
      <c r="J130" s="310" t="s">
        <v>41</v>
      </c>
      <c r="K130" s="295" t="s">
        <v>50</v>
      </c>
      <c r="L130" s="295">
        <v>4</v>
      </c>
      <c r="M130" s="295"/>
      <c r="N130" s="295">
        <f t="shared" si="11"/>
        <v>10000</v>
      </c>
      <c r="O130" s="295"/>
      <c r="P130" s="295"/>
      <c r="Q130" s="295"/>
      <c r="R130" s="295"/>
      <c r="S130" s="295"/>
      <c r="T130" s="295"/>
      <c r="U130" s="295"/>
      <c r="V130" s="295"/>
      <c r="W130" s="295"/>
      <c r="X130" s="295"/>
      <c r="Y130" s="295">
        <v>10000</v>
      </c>
      <c r="Z130" s="295"/>
    </row>
    <row r="131" spans="1:26" ht="34.15" customHeight="1" outlineLevel="1" x14ac:dyDescent="0.25">
      <c r="A131" s="152"/>
      <c r="B131" s="93"/>
      <c r="C131" s="93"/>
      <c r="D131" s="141"/>
      <c r="E131" s="295"/>
      <c r="F131" s="295"/>
      <c r="G131" s="292"/>
      <c r="H131" s="295"/>
      <c r="I131" s="295"/>
      <c r="J131" s="295"/>
      <c r="K131" s="315" t="s">
        <v>20</v>
      </c>
      <c r="L131" s="291">
        <f>SUM(L126:L130)</f>
        <v>9</v>
      </c>
      <c r="M131" s="291">
        <f>SUM(M126:M130)</f>
        <v>0</v>
      </c>
      <c r="N131" s="291">
        <f>SUM(N127:N130)</f>
        <v>38000</v>
      </c>
      <c r="O131" s="291">
        <f t="shared" ref="O131:Z131" si="12">SUM(O127:O130)</f>
        <v>0</v>
      </c>
      <c r="P131" s="291">
        <f t="shared" si="12"/>
        <v>0</v>
      </c>
      <c r="Q131" s="291">
        <f t="shared" si="12"/>
        <v>0</v>
      </c>
      <c r="R131" s="291">
        <f t="shared" si="12"/>
        <v>1500</v>
      </c>
      <c r="S131" s="291">
        <f t="shared" si="12"/>
        <v>25000</v>
      </c>
      <c r="T131" s="291">
        <f t="shared" si="12"/>
        <v>0</v>
      </c>
      <c r="U131" s="291">
        <f t="shared" si="12"/>
        <v>0</v>
      </c>
      <c r="V131" s="291">
        <f t="shared" si="12"/>
        <v>1500</v>
      </c>
      <c r="W131" s="291">
        <f t="shared" si="12"/>
        <v>0</v>
      </c>
      <c r="X131" s="291">
        <f t="shared" si="12"/>
        <v>0</v>
      </c>
      <c r="Y131" s="291">
        <f t="shared" si="12"/>
        <v>10000</v>
      </c>
      <c r="Z131" s="291">
        <f t="shared" si="12"/>
        <v>0</v>
      </c>
    </row>
    <row r="132" spans="1:26" ht="34.15" hidden="1" customHeight="1" outlineLevel="1" x14ac:dyDescent="0.25">
      <c r="A132" s="306" t="str">
        <f>CONCATENATE(B21," ",C21)</f>
        <v xml:space="preserve"> </v>
      </c>
      <c r="B132" s="306"/>
      <c r="C132" s="307"/>
      <c r="D132" s="307"/>
      <c r="E132" s="308"/>
      <c r="F132" s="308"/>
      <c r="G132" s="308"/>
      <c r="H132" s="308"/>
      <c r="I132" s="308"/>
      <c r="J132" s="308"/>
      <c r="K132" s="308"/>
      <c r="L132" s="308"/>
      <c r="M132" s="308"/>
      <c r="N132" s="308"/>
      <c r="O132" s="308" t="s">
        <v>5</v>
      </c>
      <c r="P132" s="308"/>
      <c r="Q132" s="308"/>
      <c r="R132" s="308"/>
      <c r="S132" s="308"/>
      <c r="T132" s="308"/>
      <c r="U132" s="308"/>
      <c r="V132" s="308"/>
      <c r="W132" s="308"/>
      <c r="X132" s="308"/>
      <c r="Y132" s="308"/>
      <c r="Z132" s="308"/>
    </row>
    <row r="133" spans="1:26" ht="34.15" hidden="1" customHeight="1" outlineLevel="1" x14ac:dyDescent="0.25">
      <c r="A133" s="92" t="s">
        <v>261</v>
      </c>
      <c r="B133" s="92" t="s">
        <v>13</v>
      </c>
      <c r="C133" s="92" t="s">
        <v>14</v>
      </c>
      <c r="D133" s="311" t="s">
        <v>286</v>
      </c>
      <c r="E133" s="291" t="s">
        <v>16</v>
      </c>
      <c r="F133" s="291" t="s">
        <v>295</v>
      </c>
      <c r="G133" s="291" t="s">
        <v>39</v>
      </c>
      <c r="H133" s="291" t="s">
        <v>297</v>
      </c>
      <c r="I133" s="291" t="s">
        <v>298</v>
      </c>
      <c r="J133" s="291" t="s">
        <v>299</v>
      </c>
      <c r="K133" s="291" t="s">
        <v>300</v>
      </c>
      <c r="L133" s="291" t="s">
        <v>17</v>
      </c>
      <c r="M133" s="291" t="s">
        <v>18</v>
      </c>
      <c r="N133" s="291" t="s">
        <v>19</v>
      </c>
      <c r="O133" s="293">
        <v>43101</v>
      </c>
      <c r="P133" s="293">
        <v>43132</v>
      </c>
      <c r="Q133" s="293">
        <v>43160</v>
      </c>
      <c r="R133" s="293">
        <v>43191</v>
      </c>
      <c r="S133" s="293">
        <v>43221</v>
      </c>
      <c r="T133" s="293">
        <v>43252</v>
      </c>
      <c r="U133" s="293">
        <v>43282</v>
      </c>
      <c r="V133" s="293">
        <v>43313</v>
      </c>
      <c r="W133" s="293">
        <v>43344</v>
      </c>
      <c r="X133" s="293">
        <v>43374</v>
      </c>
      <c r="Y133" s="293">
        <v>43405</v>
      </c>
      <c r="Z133" s="293">
        <v>43435</v>
      </c>
    </row>
    <row r="134" spans="1:26" ht="34.15" hidden="1" customHeight="1" outlineLevel="1" x14ac:dyDescent="0.25">
      <c r="A134" s="93" t="s">
        <v>265</v>
      </c>
      <c r="B134" s="93"/>
      <c r="C134" s="93"/>
      <c r="D134" s="141"/>
      <c r="E134" s="295"/>
      <c r="F134" s="295"/>
      <c r="G134" s="295"/>
      <c r="H134" s="295"/>
      <c r="I134" s="295"/>
      <c r="J134" s="295"/>
      <c r="K134" s="295"/>
      <c r="L134" s="295"/>
      <c r="M134" s="295"/>
      <c r="N134" s="295">
        <f t="shared" ref="N134:N137" si="13">SUM(O134:Z134)</f>
        <v>0</v>
      </c>
      <c r="O134" s="295"/>
      <c r="P134" s="295"/>
      <c r="Q134" s="295"/>
      <c r="R134" s="295"/>
      <c r="S134" s="295"/>
      <c r="T134" s="295"/>
      <c r="U134" s="295"/>
      <c r="V134" s="295"/>
      <c r="W134" s="295"/>
      <c r="X134" s="295"/>
      <c r="Y134" s="295"/>
      <c r="Z134" s="295"/>
    </row>
    <row r="135" spans="1:26" ht="34.15" hidden="1" customHeight="1" outlineLevel="1" x14ac:dyDescent="0.25">
      <c r="A135" s="93" t="s">
        <v>266</v>
      </c>
      <c r="B135" s="93"/>
      <c r="C135" s="93"/>
      <c r="D135" s="141"/>
      <c r="E135" s="295"/>
      <c r="F135" s="295"/>
      <c r="G135" s="295"/>
      <c r="H135" s="295"/>
      <c r="I135" s="295"/>
      <c r="J135" s="295"/>
      <c r="K135" s="295"/>
      <c r="L135" s="295"/>
      <c r="M135" s="295"/>
      <c r="N135" s="295">
        <f t="shared" si="13"/>
        <v>0</v>
      </c>
      <c r="O135" s="295"/>
      <c r="P135" s="295"/>
      <c r="Q135" s="295"/>
      <c r="R135" s="295"/>
      <c r="S135" s="295"/>
      <c r="T135" s="295"/>
      <c r="U135" s="295"/>
      <c r="V135" s="295"/>
      <c r="W135" s="295"/>
      <c r="X135" s="295"/>
      <c r="Y135" s="295"/>
      <c r="Z135" s="295"/>
    </row>
    <row r="136" spans="1:26" ht="34.15" hidden="1" customHeight="1" outlineLevel="1" x14ac:dyDescent="0.25">
      <c r="A136" s="93" t="s">
        <v>283</v>
      </c>
      <c r="B136" s="93"/>
      <c r="C136" s="93"/>
      <c r="D136" s="141"/>
      <c r="E136" s="295"/>
      <c r="F136" s="295"/>
      <c r="G136" s="295"/>
      <c r="H136" s="295"/>
      <c r="I136" s="295"/>
      <c r="J136" s="295"/>
      <c r="K136" s="295"/>
      <c r="L136" s="295"/>
      <c r="M136" s="295"/>
      <c r="N136" s="295">
        <f t="shared" si="13"/>
        <v>0</v>
      </c>
      <c r="O136" s="295"/>
      <c r="P136" s="295"/>
      <c r="Q136" s="295"/>
      <c r="R136" s="295"/>
      <c r="S136" s="295"/>
      <c r="T136" s="295"/>
      <c r="U136" s="295"/>
      <c r="V136" s="295"/>
      <c r="W136" s="295"/>
      <c r="X136" s="295"/>
      <c r="Y136" s="295"/>
      <c r="Z136" s="295"/>
    </row>
    <row r="137" spans="1:26" ht="34.15" hidden="1" customHeight="1" outlineLevel="1" x14ac:dyDescent="0.25">
      <c r="A137" s="93" t="s">
        <v>284</v>
      </c>
      <c r="B137" s="93"/>
      <c r="C137" s="93"/>
      <c r="D137" s="141"/>
      <c r="E137" s="295"/>
      <c r="F137" s="295"/>
      <c r="G137" s="295"/>
      <c r="H137" s="295"/>
      <c r="I137" s="295"/>
      <c r="J137" s="295"/>
      <c r="K137" s="295"/>
      <c r="L137" s="295"/>
      <c r="M137" s="295"/>
      <c r="N137" s="295">
        <f t="shared" si="13"/>
        <v>0</v>
      </c>
      <c r="O137" s="295"/>
      <c r="P137" s="295"/>
      <c r="Q137" s="295"/>
      <c r="R137" s="295"/>
      <c r="S137" s="295"/>
      <c r="T137" s="295"/>
      <c r="U137" s="295"/>
      <c r="V137" s="295"/>
      <c r="W137" s="295"/>
      <c r="X137" s="295"/>
      <c r="Y137" s="295"/>
      <c r="Z137" s="295"/>
    </row>
    <row r="138" spans="1:26" ht="34.15" hidden="1" customHeight="1" outlineLevel="1" x14ac:dyDescent="0.25">
      <c r="A138" s="93" t="s">
        <v>285</v>
      </c>
      <c r="B138" s="93"/>
      <c r="C138" s="93"/>
      <c r="D138" s="141"/>
      <c r="E138" s="295"/>
      <c r="F138" s="295"/>
      <c r="G138" s="292"/>
      <c r="H138" s="295"/>
      <c r="I138" s="295"/>
      <c r="J138" s="295"/>
      <c r="K138" s="315" t="s">
        <v>20</v>
      </c>
      <c r="L138" s="291">
        <f>SUM(L133:L137)</f>
        <v>0</v>
      </c>
      <c r="M138" s="291">
        <f>SUM(M133:M137)</f>
        <v>0</v>
      </c>
      <c r="N138" s="295">
        <f>SUM(N134:N137)</f>
        <v>0</v>
      </c>
      <c r="O138" s="295">
        <f t="shared" ref="O138:Z138" si="14">SUM(O134:O137)</f>
        <v>0</v>
      </c>
      <c r="P138" s="295">
        <f t="shared" si="14"/>
        <v>0</v>
      </c>
      <c r="Q138" s="295">
        <f t="shared" si="14"/>
        <v>0</v>
      </c>
      <c r="R138" s="295">
        <f t="shared" si="14"/>
        <v>0</v>
      </c>
      <c r="S138" s="295">
        <f t="shared" si="14"/>
        <v>0</v>
      </c>
      <c r="T138" s="295">
        <f t="shared" si="14"/>
        <v>0</v>
      </c>
      <c r="U138" s="295">
        <f t="shared" si="14"/>
        <v>0</v>
      </c>
      <c r="V138" s="295">
        <f t="shared" si="14"/>
        <v>0</v>
      </c>
      <c r="W138" s="295">
        <f t="shared" si="14"/>
        <v>0</v>
      </c>
      <c r="X138" s="295">
        <f t="shared" si="14"/>
        <v>0</v>
      </c>
      <c r="Y138" s="295">
        <f t="shared" si="14"/>
        <v>0</v>
      </c>
      <c r="Z138" s="295">
        <f t="shared" si="14"/>
        <v>0</v>
      </c>
    </row>
    <row r="139" spans="1:26" ht="34.15" hidden="1" customHeight="1" outlineLevel="1" x14ac:dyDescent="0.25">
      <c r="A139" s="306" t="str">
        <f>CONCATENATE(B22," ",C22)</f>
        <v xml:space="preserve"> </v>
      </c>
      <c r="B139" s="306"/>
      <c r="C139" s="307"/>
      <c r="D139" s="307"/>
      <c r="E139" s="308"/>
      <c r="F139" s="308"/>
      <c r="G139" s="308"/>
      <c r="H139" s="308"/>
      <c r="I139" s="308"/>
      <c r="J139" s="308"/>
      <c r="K139" s="308"/>
      <c r="L139" s="308"/>
      <c r="M139" s="308"/>
      <c r="N139" s="308"/>
      <c r="O139" s="308" t="s">
        <v>5</v>
      </c>
      <c r="P139" s="308"/>
      <c r="Q139" s="308"/>
      <c r="R139" s="308"/>
      <c r="S139" s="308"/>
      <c r="T139" s="308"/>
      <c r="U139" s="308"/>
      <c r="V139" s="308"/>
      <c r="W139" s="308"/>
      <c r="X139" s="308"/>
      <c r="Y139" s="308"/>
      <c r="Z139" s="308"/>
    </row>
    <row r="140" spans="1:26" ht="34.15" hidden="1" customHeight="1" outlineLevel="1" x14ac:dyDescent="0.25">
      <c r="A140" s="92" t="s">
        <v>261</v>
      </c>
      <c r="B140" s="92" t="s">
        <v>13</v>
      </c>
      <c r="C140" s="92" t="s">
        <v>14</v>
      </c>
      <c r="D140" s="311" t="s">
        <v>286</v>
      </c>
      <c r="E140" s="291" t="s">
        <v>16</v>
      </c>
      <c r="F140" s="291" t="s">
        <v>295</v>
      </c>
      <c r="G140" s="291" t="s">
        <v>39</v>
      </c>
      <c r="H140" s="291" t="s">
        <v>297</v>
      </c>
      <c r="I140" s="291" t="s">
        <v>298</v>
      </c>
      <c r="J140" s="291" t="s">
        <v>299</v>
      </c>
      <c r="K140" s="291" t="s">
        <v>300</v>
      </c>
      <c r="L140" s="291" t="s">
        <v>17</v>
      </c>
      <c r="M140" s="291" t="s">
        <v>18</v>
      </c>
      <c r="N140" s="291" t="s">
        <v>19</v>
      </c>
      <c r="O140" s="293">
        <v>43101</v>
      </c>
      <c r="P140" s="293">
        <v>43132</v>
      </c>
      <c r="Q140" s="293">
        <v>43160</v>
      </c>
      <c r="R140" s="293">
        <v>43191</v>
      </c>
      <c r="S140" s="293">
        <v>43221</v>
      </c>
      <c r="T140" s="293">
        <v>43252</v>
      </c>
      <c r="U140" s="293">
        <v>43282</v>
      </c>
      <c r="V140" s="293">
        <v>43313</v>
      </c>
      <c r="W140" s="293">
        <v>43344</v>
      </c>
      <c r="X140" s="293">
        <v>43374</v>
      </c>
      <c r="Y140" s="293">
        <v>43405</v>
      </c>
      <c r="Z140" s="293">
        <v>43435</v>
      </c>
    </row>
    <row r="141" spans="1:26" ht="34.15" hidden="1" customHeight="1" outlineLevel="1" x14ac:dyDescent="0.25">
      <c r="A141" s="93" t="s">
        <v>265</v>
      </c>
      <c r="B141" s="93"/>
      <c r="C141" s="93"/>
      <c r="D141" s="141"/>
      <c r="E141" s="295"/>
      <c r="F141" s="295"/>
      <c r="G141" s="295"/>
      <c r="H141" s="295"/>
      <c r="I141" s="295"/>
      <c r="J141" s="295"/>
      <c r="K141" s="295"/>
      <c r="L141" s="295"/>
      <c r="M141" s="295"/>
      <c r="N141" s="295">
        <f t="shared" ref="N141:N144" si="15">SUM(O141:Z141)</f>
        <v>0</v>
      </c>
      <c r="O141" s="295"/>
      <c r="P141" s="295"/>
      <c r="Q141" s="295"/>
      <c r="R141" s="295"/>
      <c r="S141" s="295"/>
      <c r="T141" s="295"/>
      <c r="U141" s="295"/>
      <c r="V141" s="295"/>
      <c r="W141" s="295"/>
      <c r="X141" s="295"/>
      <c r="Y141" s="295"/>
      <c r="Z141" s="295"/>
    </row>
    <row r="142" spans="1:26" ht="34.15" hidden="1" customHeight="1" outlineLevel="1" x14ac:dyDescent="0.25">
      <c r="A142" s="93" t="s">
        <v>266</v>
      </c>
      <c r="B142" s="93"/>
      <c r="C142" s="93"/>
      <c r="D142" s="141"/>
      <c r="E142" s="295"/>
      <c r="F142" s="295"/>
      <c r="G142" s="295"/>
      <c r="H142" s="295"/>
      <c r="I142" s="295"/>
      <c r="J142" s="295"/>
      <c r="K142" s="295"/>
      <c r="L142" s="295"/>
      <c r="M142" s="295"/>
      <c r="N142" s="295">
        <f t="shared" si="15"/>
        <v>0</v>
      </c>
      <c r="O142" s="295"/>
      <c r="P142" s="295"/>
      <c r="Q142" s="295"/>
      <c r="R142" s="295"/>
      <c r="S142" s="295"/>
      <c r="T142" s="295"/>
      <c r="U142" s="295"/>
      <c r="V142" s="295"/>
      <c r="W142" s="295"/>
      <c r="X142" s="295"/>
      <c r="Y142" s="295"/>
      <c r="Z142" s="295"/>
    </row>
    <row r="143" spans="1:26" ht="34.15" hidden="1" customHeight="1" outlineLevel="1" x14ac:dyDescent="0.25">
      <c r="A143" s="93" t="s">
        <v>283</v>
      </c>
      <c r="B143" s="93"/>
      <c r="C143" s="93"/>
      <c r="D143" s="141"/>
      <c r="E143" s="295"/>
      <c r="F143" s="295"/>
      <c r="G143" s="295"/>
      <c r="H143" s="295"/>
      <c r="I143" s="295"/>
      <c r="J143" s="295"/>
      <c r="K143" s="295"/>
      <c r="L143" s="295"/>
      <c r="M143" s="295"/>
      <c r="N143" s="295">
        <f t="shared" si="15"/>
        <v>0</v>
      </c>
      <c r="O143" s="295"/>
      <c r="P143" s="295"/>
      <c r="Q143" s="295"/>
      <c r="R143" s="295"/>
      <c r="S143" s="295"/>
      <c r="T143" s="295"/>
      <c r="U143" s="295"/>
      <c r="V143" s="295"/>
      <c r="W143" s="295"/>
      <c r="X143" s="295"/>
      <c r="Y143" s="295"/>
      <c r="Z143" s="295"/>
    </row>
    <row r="144" spans="1:26" ht="34.15" hidden="1" customHeight="1" outlineLevel="1" x14ac:dyDescent="0.25">
      <c r="A144" s="93" t="s">
        <v>284</v>
      </c>
      <c r="B144" s="93"/>
      <c r="C144" s="93"/>
      <c r="D144" s="141"/>
      <c r="E144" s="295"/>
      <c r="F144" s="295"/>
      <c r="G144" s="295"/>
      <c r="H144" s="295"/>
      <c r="I144" s="295"/>
      <c r="J144" s="295"/>
      <c r="K144" s="295"/>
      <c r="L144" s="295"/>
      <c r="M144" s="295"/>
      <c r="N144" s="295">
        <f t="shared" si="15"/>
        <v>0</v>
      </c>
      <c r="O144" s="295"/>
      <c r="P144" s="295"/>
      <c r="Q144" s="295"/>
      <c r="R144" s="295"/>
      <c r="S144" s="295"/>
      <c r="T144" s="295"/>
      <c r="U144" s="295"/>
      <c r="V144" s="295"/>
      <c r="W144" s="295"/>
      <c r="X144" s="295"/>
      <c r="Y144" s="295"/>
      <c r="Z144" s="295"/>
    </row>
    <row r="145" spans="1:26" ht="34.15" hidden="1" customHeight="1" outlineLevel="1" x14ac:dyDescent="0.25">
      <c r="A145" s="93" t="s">
        <v>285</v>
      </c>
      <c r="B145" s="93"/>
      <c r="C145" s="93"/>
      <c r="D145" s="141"/>
      <c r="E145" s="295"/>
      <c r="F145" s="295"/>
      <c r="G145" s="292"/>
      <c r="H145" s="295"/>
      <c r="I145" s="295"/>
      <c r="J145" s="295"/>
      <c r="K145" s="315" t="s">
        <v>20</v>
      </c>
      <c r="L145" s="291">
        <f>SUM(L140:L144)</f>
        <v>0</v>
      </c>
      <c r="M145" s="291">
        <f>SUM(M140:M144)</f>
        <v>0</v>
      </c>
      <c r="N145" s="295">
        <f>SUM(N141:N144)</f>
        <v>0</v>
      </c>
      <c r="O145" s="295">
        <f t="shared" ref="O145:Z145" si="16">SUM(O141:O144)</f>
        <v>0</v>
      </c>
      <c r="P145" s="295">
        <f t="shared" si="16"/>
        <v>0</v>
      </c>
      <c r="Q145" s="295">
        <f t="shared" si="16"/>
        <v>0</v>
      </c>
      <c r="R145" s="295">
        <f t="shared" si="16"/>
        <v>0</v>
      </c>
      <c r="S145" s="295">
        <f t="shared" si="16"/>
        <v>0</v>
      </c>
      <c r="T145" s="295">
        <f t="shared" si="16"/>
        <v>0</v>
      </c>
      <c r="U145" s="295">
        <f t="shared" si="16"/>
        <v>0</v>
      </c>
      <c r="V145" s="295">
        <f t="shared" si="16"/>
        <v>0</v>
      </c>
      <c r="W145" s="295">
        <f t="shared" si="16"/>
        <v>0</v>
      </c>
      <c r="X145" s="295">
        <f t="shared" si="16"/>
        <v>0</v>
      </c>
      <c r="Y145" s="295">
        <f t="shared" si="16"/>
        <v>0</v>
      </c>
      <c r="Z145" s="295">
        <f t="shared" si="16"/>
        <v>0</v>
      </c>
    </row>
    <row r="146" spans="1:26" ht="34.15" hidden="1" customHeight="1" outlineLevel="1" x14ac:dyDescent="0.25">
      <c r="A146" s="306" t="str">
        <f>CONCATENATE(B23," ",C23)</f>
        <v xml:space="preserve"> </v>
      </c>
      <c r="B146" s="306"/>
      <c r="C146" s="307"/>
      <c r="D146" s="307"/>
      <c r="E146" s="308"/>
      <c r="F146" s="308"/>
      <c r="G146" s="308"/>
      <c r="H146" s="308"/>
      <c r="I146" s="308"/>
      <c r="J146" s="308"/>
      <c r="K146" s="308"/>
      <c r="L146" s="308"/>
      <c r="M146" s="308"/>
      <c r="N146" s="308"/>
      <c r="O146" s="308" t="s">
        <v>5</v>
      </c>
      <c r="P146" s="308"/>
      <c r="Q146" s="308"/>
      <c r="R146" s="308"/>
      <c r="S146" s="308"/>
      <c r="T146" s="308"/>
      <c r="U146" s="308"/>
      <c r="V146" s="308"/>
      <c r="W146" s="308"/>
      <c r="X146" s="308"/>
      <c r="Y146" s="308"/>
      <c r="Z146" s="308"/>
    </row>
    <row r="147" spans="1:26" ht="34.15" hidden="1" customHeight="1" outlineLevel="1" x14ac:dyDescent="0.25">
      <c r="A147" s="92" t="s">
        <v>261</v>
      </c>
      <c r="B147" s="92" t="s">
        <v>13</v>
      </c>
      <c r="C147" s="92" t="s">
        <v>14</v>
      </c>
      <c r="D147" s="311" t="s">
        <v>286</v>
      </c>
      <c r="E147" s="291" t="s">
        <v>16</v>
      </c>
      <c r="F147" s="291" t="s">
        <v>295</v>
      </c>
      <c r="G147" s="291" t="s">
        <v>39</v>
      </c>
      <c r="H147" s="291" t="s">
        <v>297</v>
      </c>
      <c r="I147" s="291" t="s">
        <v>298</v>
      </c>
      <c r="J147" s="291" t="s">
        <v>299</v>
      </c>
      <c r="K147" s="291" t="s">
        <v>300</v>
      </c>
      <c r="L147" s="291" t="s">
        <v>17</v>
      </c>
      <c r="M147" s="291" t="s">
        <v>18</v>
      </c>
      <c r="N147" s="291" t="s">
        <v>19</v>
      </c>
      <c r="O147" s="293">
        <v>43101</v>
      </c>
      <c r="P147" s="293">
        <v>43132</v>
      </c>
      <c r="Q147" s="293">
        <v>43160</v>
      </c>
      <c r="R147" s="293">
        <v>43191</v>
      </c>
      <c r="S147" s="293">
        <v>43221</v>
      </c>
      <c r="T147" s="293">
        <v>43252</v>
      </c>
      <c r="U147" s="293">
        <v>43282</v>
      </c>
      <c r="V147" s="293">
        <v>43313</v>
      </c>
      <c r="W147" s="293">
        <v>43344</v>
      </c>
      <c r="X147" s="293">
        <v>43374</v>
      </c>
      <c r="Y147" s="293">
        <v>43405</v>
      </c>
      <c r="Z147" s="293">
        <v>43435</v>
      </c>
    </row>
    <row r="148" spans="1:26" ht="34.15" hidden="1" customHeight="1" outlineLevel="1" x14ac:dyDescent="0.25">
      <c r="A148" s="93" t="s">
        <v>265</v>
      </c>
      <c r="B148" s="93"/>
      <c r="C148" s="93"/>
      <c r="D148" s="141"/>
      <c r="E148" s="295"/>
      <c r="F148" s="295"/>
      <c r="G148" s="295"/>
      <c r="H148" s="295"/>
      <c r="I148" s="295"/>
      <c r="J148" s="295"/>
      <c r="K148" s="295"/>
      <c r="L148" s="295"/>
      <c r="M148" s="295"/>
      <c r="N148" s="295">
        <f t="shared" ref="N148:N151" si="17">SUM(O148:Z148)</f>
        <v>0</v>
      </c>
      <c r="O148" s="295"/>
      <c r="P148" s="295"/>
      <c r="Q148" s="295"/>
      <c r="R148" s="295"/>
      <c r="S148" s="295"/>
      <c r="T148" s="295"/>
      <c r="U148" s="295"/>
      <c r="V148" s="295"/>
      <c r="W148" s="295"/>
      <c r="X148" s="295"/>
      <c r="Y148" s="295"/>
      <c r="Z148" s="295"/>
    </row>
    <row r="149" spans="1:26" ht="34.15" hidden="1" customHeight="1" outlineLevel="1" x14ac:dyDescent="0.25">
      <c r="A149" s="93" t="s">
        <v>266</v>
      </c>
      <c r="B149" s="93"/>
      <c r="C149" s="93"/>
      <c r="D149" s="141"/>
      <c r="E149" s="295"/>
      <c r="F149" s="295"/>
      <c r="G149" s="295"/>
      <c r="H149" s="295"/>
      <c r="I149" s="295"/>
      <c r="J149" s="295"/>
      <c r="K149" s="295"/>
      <c r="L149" s="295"/>
      <c r="M149" s="295"/>
      <c r="N149" s="295">
        <f t="shared" si="17"/>
        <v>0</v>
      </c>
      <c r="O149" s="295"/>
      <c r="P149" s="295"/>
      <c r="Q149" s="295"/>
      <c r="R149" s="295"/>
      <c r="S149" s="295"/>
      <c r="T149" s="295"/>
      <c r="U149" s="295"/>
      <c r="V149" s="295"/>
      <c r="W149" s="295"/>
      <c r="X149" s="295"/>
      <c r="Y149" s="295"/>
      <c r="Z149" s="295"/>
    </row>
    <row r="150" spans="1:26" ht="34.15" hidden="1" customHeight="1" outlineLevel="1" x14ac:dyDescent="0.25">
      <c r="A150" s="93" t="s">
        <v>283</v>
      </c>
      <c r="B150" s="93"/>
      <c r="C150" s="93"/>
      <c r="D150" s="141"/>
      <c r="E150" s="295"/>
      <c r="F150" s="295"/>
      <c r="G150" s="295"/>
      <c r="H150" s="295"/>
      <c r="I150" s="295"/>
      <c r="J150" s="295"/>
      <c r="K150" s="295"/>
      <c r="L150" s="295"/>
      <c r="M150" s="295"/>
      <c r="N150" s="295">
        <f t="shared" si="17"/>
        <v>0</v>
      </c>
      <c r="O150" s="295"/>
      <c r="P150" s="295"/>
      <c r="Q150" s="295"/>
      <c r="R150" s="295"/>
      <c r="S150" s="295"/>
      <c r="T150" s="295"/>
      <c r="U150" s="295"/>
      <c r="V150" s="295"/>
      <c r="W150" s="295"/>
      <c r="X150" s="295"/>
      <c r="Y150" s="295"/>
      <c r="Z150" s="295"/>
    </row>
    <row r="151" spans="1:26" ht="34.15" hidden="1" customHeight="1" outlineLevel="1" x14ac:dyDescent="0.25">
      <c r="A151" s="93" t="s">
        <v>284</v>
      </c>
      <c r="B151" s="93"/>
      <c r="C151" s="93"/>
      <c r="D151" s="141"/>
      <c r="E151" s="295"/>
      <c r="F151" s="295"/>
      <c r="G151" s="295"/>
      <c r="H151" s="295"/>
      <c r="I151" s="295"/>
      <c r="J151" s="295"/>
      <c r="K151" s="295"/>
      <c r="L151" s="295"/>
      <c r="M151" s="295"/>
      <c r="N151" s="295">
        <f t="shared" si="17"/>
        <v>0</v>
      </c>
      <c r="O151" s="295"/>
      <c r="P151" s="295"/>
      <c r="Q151" s="295"/>
      <c r="R151" s="295"/>
      <c r="S151" s="295"/>
      <c r="T151" s="295"/>
      <c r="U151" s="295"/>
      <c r="V151" s="295"/>
      <c r="W151" s="295"/>
      <c r="X151" s="295"/>
      <c r="Y151" s="295"/>
      <c r="Z151" s="295"/>
    </row>
    <row r="152" spans="1:26" ht="34.15" hidden="1" customHeight="1" outlineLevel="1" x14ac:dyDescent="0.25">
      <c r="A152" s="93" t="s">
        <v>285</v>
      </c>
      <c r="B152" s="93"/>
      <c r="C152" s="93"/>
      <c r="D152" s="141"/>
      <c r="E152" s="295"/>
      <c r="F152" s="295"/>
      <c r="G152" s="292"/>
      <c r="H152" s="295"/>
      <c r="I152" s="295"/>
      <c r="J152" s="295"/>
      <c r="K152" s="315" t="s">
        <v>20</v>
      </c>
      <c r="L152" s="291">
        <f>SUM(L147:L151)</f>
        <v>0</v>
      </c>
      <c r="M152" s="291">
        <f>SUM(M147:M151)</f>
        <v>0</v>
      </c>
      <c r="N152" s="295">
        <f>SUM(N148:N151)</f>
        <v>0</v>
      </c>
      <c r="O152" s="295">
        <f t="shared" ref="O152:Z152" si="18">SUM(O148:O151)</f>
        <v>0</v>
      </c>
      <c r="P152" s="295">
        <f t="shared" si="18"/>
        <v>0</v>
      </c>
      <c r="Q152" s="295">
        <f t="shared" si="18"/>
        <v>0</v>
      </c>
      <c r="R152" s="295">
        <f t="shared" si="18"/>
        <v>0</v>
      </c>
      <c r="S152" s="295">
        <f t="shared" si="18"/>
        <v>0</v>
      </c>
      <c r="T152" s="295">
        <f t="shared" si="18"/>
        <v>0</v>
      </c>
      <c r="U152" s="295">
        <f t="shared" si="18"/>
        <v>0</v>
      </c>
      <c r="V152" s="295">
        <f t="shared" si="18"/>
        <v>0</v>
      </c>
      <c r="W152" s="295">
        <f t="shared" si="18"/>
        <v>0</v>
      </c>
      <c r="X152" s="295">
        <f t="shared" si="18"/>
        <v>0</v>
      </c>
      <c r="Y152" s="295">
        <f t="shared" si="18"/>
        <v>0</v>
      </c>
      <c r="Z152" s="295">
        <f t="shared" si="18"/>
        <v>0</v>
      </c>
    </row>
    <row r="153" spans="1:26" ht="34.15" hidden="1" customHeight="1" outlineLevel="1" x14ac:dyDescent="0.25">
      <c r="A153" s="306" t="str">
        <f>CONCATENATE(B24," ",C24)</f>
        <v xml:space="preserve"> </v>
      </c>
      <c r="B153" s="306"/>
      <c r="C153" s="307"/>
      <c r="D153" s="307"/>
      <c r="E153" s="308"/>
      <c r="F153" s="308"/>
      <c r="G153" s="308"/>
      <c r="H153" s="308"/>
      <c r="I153" s="308"/>
      <c r="J153" s="308"/>
      <c r="K153" s="308"/>
      <c r="L153" s="308"/>
      <c r="M153" s="308"/>
      <c r="N153" s="308"/>
      <c r="O153" s="308" t="s">
        <v>5</v>
      </c>
      <c r="P153" s="308"/>
      <c r="Q153" s="308"/>
      <c r="R153" s="308"/>
      <c r="S153" s="308"/>
      <c r="T153" s="308"/>
      <c r="U153" s="308"/>
      <c r="V153" s="308"/>
      <c r="W153" s="308"/>
      <c r="X153" s="308"/>
      <c r="Y153" s="308"/>
      <c r="Z153" s="308"/>
    </row>
    <row r="154" spans="1:26" ht="34.15" hidden="1" customHeight="1" outlineLevel="1" x14ac:dyDescent="0.25">
      <c r="A154" s="92" t="s">
        <v>261</v>
      </c>
      <c r="B154" s="92" t="s">
        <v>13</v>
      </c>
      <c r="C154" s="92" t="s">
        <v>14</v>
      </c>
      <c r="D154" s="311" t="s">
        <v>286</v>
      </c>
      <c r="E154" s="291" t="s">
        <v>16</v>
      </c>
      <c r="F154" s="291" t="s">
        <v>295</v>
      </c>
      <c r="G154" s="291" t="s">
        <v>39</v>
      </c>
      <c r="H154" s="291" t="s">
        <v>297</v>
      </c>
      <c r="I154" s="291" t="s">
        <v>298</v>
      </c>
      <c r="J154" s="291" t="s">
        <v>299</v>
      </c>
      <c r="K154" s="291" t="s">
        <v>300</v>
      </c>
      <c r="L154" s="291" t="s">
        <v>17</v>
      </c>
      <c r="M154" s="291" t="s">
        <v>18</v>
      </c>
      <c r="N154" s="291" t="s">
        <v>19</v>
      </c>
      <c r="O154" s="293">
        <v>43101</v>
      </c>
      <c r="P154" s="293">
        <v>43132</v>
      </c>
      <c r="Q154" s="293">
        <v>43160</v>
      </c>
      <c r="R154" s="293">
        <v>43191</v>
      </c>
      <c r="S154" s="293">
        <v>43221</v>
      </c>
      <c r="T154" s="293">
        <v>43252</v>
      </c>
      <c r="U154" s="293">
        <v>43282</v>
      </c>
      <c r="V154" s="293">
        <v>43313</v>
      </c>
      <c r="W154" s="293">
        <v>43344</v>
      </c>
      <c r="X154" s="293">
        <v>43374</v>
      </c>
      <c r="Y154" s="293">
        <v>43405</v>
      </c>
      <c r="Z154" s="293">
        <v>43435</v>
      </c>
    </row>
    <row r="155" spans="1:26" ht="34.15" hidden="1" customHeight="1" outlineLevel="1" x14ac:dyDescent="0.25">
      <c r="A155" s="93" t="s">
        <v>265</v>
      </c>
      <c r="B155" s="93"/>
      <c r="C155" s="93"/>
      <c r="D155" s="141"/>
      <c r="E155" s="295"/>
      <c r="F155" s="295"/>
      <c r="G155" s="295"/>
      <c r="H155" s="295"/>
      <c r="I155" s="295"/>
      <c r="J155" s="295"/>
      <c r="K155" s="295"/>
      <c r="L155" s="295"/>
      <c r="M155" s="295"/>
      <c r="N155" s="295">
        <f t="shared" ref="N155:N158" si="19">SUM(O155:Z155)</f>
        <v>0</v>
      </c>
      <c r="O155" s="295"/>
      <c r="P155" s="295"/>
      <c r="Q155" s="295"/>
      <c r="R155" s="295"/>
      <c r="S155" s="295"/>
      <c r="T155" s="295"/>
      <c r="U155" s="295"/>
      <c r="V155" s="295"/>
      <c r="W155" s="295"/>
      <c r="X155" s="295"/>
      <c r="Y155" s="295"/>
      <c r="Z155" s="295"/>
    </row>
    <row r="156" spans="1:26" ht="34.15" hidden="1" customHeight="1" outlineLevel="1" x14ac:dyDescent="0.25">
      <c r="A156" s="93" t="s">
        <v>266</v>
      </c>
      <c r="B156" s="93"/>
      <c r="C156" s="93"/>
      <c r="D156" s="141"/>
      <c r="E156" s="295"/>
      <c r="F156" s="295"/>
      <c r="G156" s="295"/>
      <c r="H156" s="295"/>
      <c r="I156" s="295"/>
      <c r="J156" s="295"/>
      <c r="K156" s="295"/>
      <c r="L156" s="295"/>
      <c r="M156" s="295"/>
      <c r="N156" s="295">
        <f t="shared" si="19"/>
        <v>0</v>
      </c>
      <c r="O156" s="295"/>
      <c r="P156" s="295"/>
      <c r="Q156" s="295"/>
      <c r="R156" s="295"/>
      <c r="S156" s="295"/>
      <c r="T156" s="295"/>
      <c r="U156" s="295"/>
      <c r="V156" s="295"/>
      <c r="W156" s="295"/>
      <c r="X156" s="295"/>
      <c r="Y156" s="295"/>
      <c r="Z156" s="295"/>
    </row>
    <row r="157" spans="1:26" ht="34.15" hidden="1" customHeight="1" outlineLevel="1" x14ac:dyDescent="0.25">
      <c r="A157" s="93" t="s">
        <v>283</v>
      </c>
      <c r="B157" s="93"/>
      <c r="C157" s="93"/>
      <c r="D157" s="141"/>
      <c r="E157" s="295"/>
      <c r="F157" s="295"/>
      <c r="G157" s="295"/>
      <c r="H157" s="295"/>
      <c r="I157" s="295"/>
      <c r="J157" s="295"/>
      <c r="K157" s="295"/>
      <c r="L157" s="295"/>
      <c r="M157" s="295"/>
      <c r="N157" s="295">
        <f t="shared" si="19"/>
        <v>0</v>
      </c>
      <c r="O157" s="295"/>
      <c r="P157" s="295"/>
      <c r="Q157" s="295"/>
      <c r="R157" s="295"/>
      <c r="S157" s="295"/>
      <c r="T157" s="295"/>
      <c r="U157" s="295"/>
      <c r="V157" s="295"/>
      <c r="W157" s="295"/>
      <c r="X157" s="295"/>
      <c r="Y157" s="295"/>
      <c r="Z157" s="295"/>
    </row>
    <row r="158" spans="1:26" ht="34.15" hidden="1" customHeight="1" outlineLevel="1" x14ac:dyDescent="0.25">
      <c r="A158" s="93" t="s">
        <v>284</v>
      </c>
      <c r="B158" s="93"/>
      <c r="C158" s="93"/>
      <c r="D158" s="141"/>
      <c r="E158" s="295"/>
      <c r="F158" s="295"/>
      <c r="G158" s="295"/>
      <c r="H158" s="295"/>
      <c r="I158" s="295"/>
      <c r="J158" s="295"/>
      <c r="K158" s="295"/>
      <c r="L158" s="295"/>
      <c r="M158" s="295"/>
      <c r="N158" s="295">
        <f t="shared" si="19"/>
        <v>0</v>
      </c>
      <c r="O158" s="295"/>
      <c r="P158" s="295"/>
      <c r="Q158" s="295"/>
      <c r="R158" s="295"/>
      <c r="S158" s="295"/>
      <c r="T158" s="295"/>
      <c r="U158" s="295"/>
      <c r="V158" s="295"/>
      <c r="W158" s="295"/>
      <c r="X158" s="295"/>
      <c r="Y158" s="295"/>
      <c r="Z158" s="295"/>
    </row>
    <row r="159" spans="1:26" ht="34.15" hidden="1" customHeight="1" outlineLevel="1" x14ac:dyDescent="0.25">
      <c r="A159" s="93" t="s">
        <v>285</v>
      </c>
      <c r="B159" s="93"/>
      <c r="C159" s="93"/>
      <c r="D159" s="141"/>
      <c r="E159" s="295"/>
      <c r="F159" s="295"/>
      <c r="G159" s="292"/>
      <c r="H159" s="295"/>
      <c r="I159" s="295"/>
      <c r="J159" s="295"/>
      <c r="K159" s="315" t="s">
        <v>20</v>
      </c>
      <c r="L159" s="291">
        <f>SUM(L154:L158)</f>
        <v>0</v>
      </c>
      <c r="M159" s="291">
        <f>SUM(M154:M158)</f>
        <v>0</v>
      </c>
      <c r="N159" s="295">
        <f>SUM(N155:N158)</f>
        <v>0</v>
      </c>
      <c r="O159" s="295">
        <f t="shared" ref="O159:Z159" si="20">SUM(O155:O158)</f>
        <v>0</v>
      </c>
      <c r="P159" s="295">
        <f t="shared" si="20"/>
        <v>0</v>
      </c>
      <c r="Q159" s="295">
        <f t="shared" si="20"/>
        <v>0</v>
      </c>
      <c r="R159" s="295">
        <f t="shared" si="20"/>
        <v>0</v>
      </c>
      <c r="S159" s="295">
        <f t="shared" si="20"/>
        <v>0</v>
      </c>
      <c r="T159" s="295">
        <f t="shared" si="20"/>
        <v>0</v>
      </c>
      <c r="U159" s="295">
        <f t="shared" si="20"/>
        <v>0</v>
      </c>
      <c r="V159" s="295">
        <f t="shared" si="20"/>
        <v>0</v>
      </c>
      <c r="W159" s="295">
        <f t="shared" si="20"/>
        <v>0</v>
      </c>
      <c r="X159" s="295">
        <f t="shared" si="20"/>
        <v>0</v>
      </c>
      <c r="Y159" s="295">
        <f t="shared" si="20"/>
        <v>0</v>
      </c>
      <c r="Z159" s="295">
        <f t="shared" si="20"/>
        <v>0</v>
      </c>
    </row>
    <row r="160" spans="1:26" ht="34.15" hidden="1" customHeight="1" outlineLevel="1" x14ac:dyDescent="0.25">
      <c r="A160" s="306" t="str">
        <f>CONCATENATE(B25," ",C25)</f>
        <v xml:space="preserve"> </v>
      </c>
      <c r="B160" s="306"/>
      <c r="C160" s="307"/>
      <c r="D160" s="307"/>
      <c r="E160" s="308"/>
      <c r="F160" s="308"/>
      <c r="G160" s="308"/>
      <c r="H160" s="308"/>
      <c r="I160" s="308"/>
      <c r="J160" s="308"/>
      <c r="K160" s="308"/>
      <c r="L160" s="308"/>
      <c r="M160" s="308"/>
      <c r="N160" s="308"/>
      <c r="O160" s="308" t="s">
        <v>5</v>
      </c>
      <c r="P160" s="308"/>
      <c r="Q160" s="308"/>
      <c r="R160" s="308"/>
      <c r="S160" s="308"/>
      <c r="T160" s="308"/>
      <c r="U160" s="308"/>
      <c r="V160" s="308"/>
      <c r="W160" s="308"/>
      <c r="X160" s="308"/>
      <c r="Y160" s="308"/>
      <c r="Z160" s="308"/>
    </row>
    <row r="161" spans="1:26" ht="34.15" hidden="1" customHeight="1" outlineLevel="1" x14ac:dyDescent="0.25">
      <c r="A161" s="92" t="s">
        <v>261</v>
      </c>
      <c r="B161" s="92" t="s">
        <v>13</v>
      </c>
      <c r="C161" s="92" t="s">
        <v>14</v>
      </c>
      <c r="D161" s="311" t="s">
        <v>286</v>
      </c>
      <c r="E161" s="291" t="s">
        <v>16</v>
      </c>
      <c r="F161" s="291" t="s">
        <v>295</v>
      </c>
      <c r="G161" s="291" t="s">
        <v>39</v>
      </c>
      <c r="H161" s="291" t="s">
        <v>297</v>
      </c>
      <c r="I161" s="291" t="s">
        <v>298</v>
      </c>
      <c r="J161" s="291" t="s">
        <v>299</v>
      </c>
      <c r="K161" s="291" t="s">
        <v>300</v>
      </c>
      <c r="L161" s="291" t="s">
        <v>17</v>
      </c>
      <c r="M161" s="291" t="s">
        <v>18</v>
      </c>
      <c r="N161" s="291" t="s">
        <v>19</v>
      </c>
      <c r="O161" s="293">
        <v>43101</v>
      </c>
      <c r="P161" s="293">
        <v>43132</v>
      </c>
      <c r="Q161" s="293">
        <v>43160</v>
      </c>
      <c r="R161" s="293">
        <v>43191</v>
      </c>
      <c r="S161" s="293">
        <v>43221</v>
      </c>
      <c r="T161" s="293">
        <v>43252</v>
      </c>
      <c r="U161" s="293">
        <v>43282</v>
      </c>
      <c r="V161" s="293">
        <v>43313</v>
      </c>
      <c r="W161" s="293">
        <v>43344</v>
      </c>
      <c r="X161" s="293">
        <v>43374</v>
      </c>
      <c r="Y161" s="293">
        <v>43405</v>
      </c>
      <c r="Z161" s="293">
        <v>43435</v>
      </c>
    </row>
    <row r="162" spans="1:26" ht="34.15" hidden="1" customHeight="1" outlineLevel="1" x14ac:dyDescent="0.25">
      <c r="A162" s="93" t="s">
        <v>265</v>
      </c>
      <c r="B162" s="93"/>
      <c r="C162" s="93"/>
      <c r="D162" s="141"/>
      <c r="E162" s="295"/>
      <c r="F162" s="295"/>
      <c r="G162" s="295"/>
      <c r="H162" s="295"/>
      <c r="I162" s="295"/>
      <c r="J162" s="295"/>
      <c r="K162" s="295"/>
      <c r="L162" s="295"/>
      <c r="M162" s="295"/>
      <c r="N162" s="295">
        <f t="shared" ref="N162:N165" si="21">SUM(O162:Z162)</f>
        <v>0</v>
      </c>
      <c r="O162" s="295"/>
      <c r="P162" s="295"/>
      <c r="Q162" s="295"/>
      <c r="R162" s="295"/>
      <c r="S162" s="295"/>
      <c r="T162" s="295"/>
      <c r="U162" s="295"/>
      <c r="V162" s="295"/>
      <c r="W162" s="295"/>
      <c r="X162" s="295"/>
      <c r="Y162" s="295"/>
      <c r="Z162" s="295"/>
    </row>
    <row r="163" spans="1:26" ht="34.15" hidden="1" customHeight="1" outlineLevel="1" x14ac:dyDescent="0.25">
      <c r="A163" s="93" t="s">
        <v>266</v>
      </c>
      <c r="B163" s="93"/>
      <c r="C163" s="93"/>
      <c r="D163" s="141"/>
      <c r="E163" s="295"/>
      <c r="F163" s="295"/>
      <c r="G163" s="295"/>
      <c r="H163" s="295"/>
      <c r="I163" s="295"/>
      <c r="J163" s="295"/>
      <c r="K163" s="295"/>
      <c r="L163" s="295"/>
      <c r="M163" s="295"/>
      <c r="N163" s="295">
        <f t="shared" si="21"/>
        <v>0</v>
      </c>
      <c r="O163" s="295"/>
      <c r="P163" s="295"/>
      <c r="Q163" s="295"/>
      <c r="R163" s="295"/>
      <c r="S163" s="295"/>
      <c r="T163" s="295"/>
      <c r="U163" s="295"/>
      <c r="V163" s="295"/>
      <c r="W163" s="295"/>
      <c r="X163" s="295"/>
      <c r="Y163" s="295"/>
      <c r="Z163" s="295"/>
    </row>
    <row r="164" spans="1:26" ht="34.15" hidden="1" customHeight="1" outlineLevel="1" x14ac:dyDescent="0.25">
      <c r="A164" s="93" t="s">
        <v>283</v>
      </c>
      <c r="B164" s="93"/>
      <c r="C164" s="93"/>
      <c r="D164" s="141"/>
      <c r="E164" s="295"/>
      <c r="F164" s="295"/>
      <c r="G164" s="295"/>
      <c r="H164" s="295"/>
      <c r="I164" s="295"/>
      <c r="J164" s="295"/>
      <c r="K164" s="295"/>
      <c r="L164" s="295"/>
      <c r="M164" s="295"/>
      <c r="N164" s="295">
        <f t="shared" si="21"/>
        <v>0</v>
      </c>
      <c r="O164" s="295"/>
      <c r="P164" s="295"/>
      <c r="Q164" s="295"/>
      <c r="R164" s="295"/>
      <c r="S164" s="295"/>
      <c r="T164" s="295"/>
      <c r="U164" s="295"/>
      <c r="V164" s="295"/>
      <c r="W164" s="295"/>
      <c r="X164" s="295"/>
      <c r="Y164" s="295"/>
      <c r="Z164" s="295"/>
    </row>
    <row r="165" spans="1:26" ht="34.15" hidden="1" customHeight="1" outlineLevel="1" x14ac:dyDescent="0.25">
      <c r="A165" s="93" t="s">
        <v>284</v>
      </c>
      <c r="B165" s="93"/>
      <c r="C165" s="93"/>
      <c r="D165" s="141"/>
      <c r="E165" s="295"/>
      <c r="F165" s="295"/>
      <c r="G165" s="295"/>
      <c r="H165" s="295"/>
      <c r="I165" s="295"/>
      <c r="J165" s="295"/>
      <c r="K165" s="295"/>
      <c r="L165" s="295"/>
      <c r="M165" s="295"/>
      <c r="N165" s="295">
        <f t="shared" si="21"/>
        <v>0</v>
      </c>
      <c r="O165" s="295"/>
      <c r="P165" s="295"/>
      <c r="Q165" s="295"/>
      <c r="R165" s="295"/>
      <c r="S165" s="295"/>
      <c r="T165" s="295"/>
      <c r="U165" s="295"/>
      <c r="V165" s="295"/>
      <c r="W165" s="295"/>
      <c r="X165" s="295"/>
      <c r="Y165" s="295"/>
      <c r="Z165" s="295"/>
    </row>
    <row r="166" spans="1:26" ht="34.15" hidden="1" customHeight="1" outlineLevel="1" x14ac:dyDescent="0.25">
      <c r="A166" s="93" t="s">
        <v>285</v>
      </c>
      <c r="B166" s="93"/>
      <c r="C166" s="93"/>
      <c r="D166" s="141"/>
      <c r="E166" s="295"/>
      <c r="F166" s="295"/>
      <c r="G166" s="292"/>
      <c r="H166" s="295"/>
      <c r="I166" s="295"/>
      <c r="J166" s="295"/>
      <c r="K166" s="315" t="s">
        <v>20</v>
      </c>
      <c r="L166" s="291">
        <f>SUM(L161:L165)</f>
        <v>0</v>
      </c>
      <c r="M166" s="291">
        <f>SUM(M161:M165)</f>
        <v>0</v>
      </c>
      <c r="N166" s="295">
        <f>SUM(N162:N165)</f>
        <v>0</v>
      </c>
      <c r="O166" s="295">
        <f t="shared" ref="O166:Z166" si="22">SUM(O162:O165)</f>
        <v>0</v>
      </c>
      <c r="P166" s="295">
        <f t="shared" si="22"/>
        <v>0</v>
      </c>
      <c r="Q166" s="295">
        <f t="shared" si="22"/>
        <v>0</v>
      </c>
      <c r="R166" s="295">
        <f t="shared" si="22"/>
        <v>0</v>
      </c>
      <c r="S166" s="295">
        <f t="shared" si="22"/>
        <v>0</v>
      </c>
      <c r="T166" s="295">
        <f t="shared" si="22"/>
        <v>0</v>
      </c>
      <c r="U166" s="295">
        <f t="shared" si="22"/>
        <v>0</v>
      </c>
      <c r="V166" s="295">
        <f t="shared" si="22"/>
        <v>0</v>
      </c>
      <c r="W166" s="295">
        <f t="shared" si="22"/>
        <v>0</v>
      </c>
      <c r="X166" s="295">
        <f t="shared" si="22"/>
        <v>0</v>
      </c>
      <c r="Y166" s="295">
        <f t="shared" si="22"/>
        <v>0</v>
      </c>
      <c r="Z166" s="295">
        <f t="shared" si="22"/>
        <v>0</v>
      </c>
    </row>
    <row r="167" spans="1:26" ht="34.15" customHeight="1" outlineLevel="1" x14ac:dyDescent="0.25">
      <c r="A167" s="306" t="str">
        <f>CONCATENATE(B26," ",C26)</f>
        <v xml:space="preserve"> </v>
      </c>
      <c r="B167" s="306"/>
      <c r="C167" s="307"/>
      <c r="D167" s="307"/>
      <c r="E167" s="308"/>
      <c r="F167" s="308"/>
      <c r="G167" s="308"/>
      <c r="H167" s="308"/>
      <c r="I167" s="308"/>
      <c r="J167" s="308"/>
      <c r="K167" s="308"/>
      <c r="L167" s="308"/>
      <c r="M167" s="308"/>
      <c r="N167" s="308"/>
      <c r="O167" s="308" t="s">
        <v>5</v>
      </c>
      <c r="P167" s="308"/>
      <c r="Q167" s="308"/>
      <c r="R167" s="308"/>
      <c r="S167" s="308"/>
      <c r="T167" s="308"/>
      <c r="U167" s="308"/>
      <c r="V167" s="308"/>
      <c r="W167" s="308"/>
      <c r="X167" s="308"/>
      <c r="Y167" s="308"/>
      <c r="Z167" s="308"/>
    </row>
    <row r="169" spans="1:26" ht="34.15" customHeight="1" x14ac:dyDescent="0.25">
      <c r="A169" s="287" t="s">
        <v>324</v>
      </c>
      <c r="B169" s="287"/>
      <c r="C169" s="288"/>
      <c r="D169" s="288"/>
      <c r="E169" s="288"/>
      <c r="F169" s="288"/>
      <c r="G169" s="288"/>
      <c r="H169" s="289"/>
      <c r="I169" s="289"/>
      <c r="J169" s="288"/>
      <c r="K169" s="288"/>
      <c r="L169" s="288"/>
      <c r="M169" s="288"/>
      <c r="N169" s="288"/>
      <c r="O169" s="288" t="s">
        <v>5</v>
      </c>
      <c r="P169" s="288"/>
      <c r="Q169" s="288"/>
      <c r="R169" s="288"/>
      <c r="S169" s="288"/>
      <c r="T169" s="288"/>
      <c r="U169" s="288"/>
      <c r="V169" s="288"/>
      <c r="W169" s="288"/>
      <c r="X169" s="288"/>
      <c r="Y169" s="288"/>
      <c r="Z169" s="288"/>
    </row>
    <row r="170" spans="1:26" ht="34.15" hidden="1" customHeight="1" outlineLevel="1" x14ac:dyDescent="0.25">
      <c r="A170" s="92" t="s">
        <v>261</v>
      </c>
      <c r="B170" s="92" t="s">
        <v>13</v>
      </c>
      <c r="C170" s="92" t="s">
        <v>14</v>
      </c>
      <c r="D170" s="290" t="s">
        <v>15</v>
      </c>
      <c r="E170" s="318"/>
      <c r="F170" s="318"/>
      <c r="G170" s="318"/>
      <c r="H170" s="318"/>
      <c r="I170" s="318"/>
      <c r="J170" s="292"/>
      <c r="K170" s="298"/>
      <c r="L170" s="291" t="s">
        <v>52</v>
      </c>
      <c r="M170" s="291" t="s">
        <v>53</v>
      </c>
      <c r="N170" s="291" t="s">
        <v>54</v>
      </c>
      <c r="O170" s="293">
        <v>43101</v>
      </c>
      <c r="P170" s="293">
        <v>43132</v>
      </c>
      <c r="Q170" s="293">
        <v>43160</v>
      </c>
      <c r="R170" s="293">
        <v>43191</v>
      </c>
      <c r="S170" s="293">
        <v>43221</v>
      </c>
      <c r="T170" s="293">
        <v>43252</v>
      </c>
      <c r="U170" s="293">
        <v>43282</v>
      </c>
      <c r="V170" s="293">
        <v>43313</v>
      </c>
      <c r="W170" s="293">
        <v>43344</v>
      </c>
      <c r="X170" s="293">
        <v>43374</v>
      </c>
      <c r="Y170" s="293">
        <v>43405</v>
      </c>
      <c r="Z170" s="293">
        <v>43435</v>
      </c>
    </row>
    <row r="171" spans="1:26" ht="34.15" hidden="1" customHeight="1" outlineLevel="1" x14ac:dyDescent="0.25">
      <c r="A171" s="93" t="str">
        <f>+A17</f>
        <v>5.1</v>
      </c>
      <c r="B171" s="93" t="s">
        <v>27</v>
      </c>
      <c r="C171" s="93">
        <f t="shared" ref="C171:D180" si="23">C17</f>
        <v>0</v>
      </c>
      <c r="D171" s="93">
        <f t="shared" si="23"/>
        <v>0</v>
      </c>
      <c r="E171" s="318"/>
      <c r="F171" s="318"/>
      <c r="G171" s="318"/>
      <c r="H171" s="318"/>
      <c r="I171" s="318"/>
      <c r="J171" s="292"/>
      <c r="K171" s="298" t="s">
        <v>5</v>
      </c>
      <c r="L171" s="295" t="s">
        <v>48</v>
      </c>
      <c r="M171" s="295" t="s">
        <v>55</v>
      </c>
      <c r="N171" s="295">
        <v>6</v>
      </c>
      <c r="O171" s="319">
        <f t="shared" ref="O171:Z171" si="24">+O17/SUM($O17:$Z17)</f>
        <v>6.7044566067240033E-2</v>
      </c>
      <c r="P171" s="319">
        <f t="shared" si="24"/>
        <v>6.7044566067240033E-2</v>
      </c>
      <c r="Q171" s="319">
        <f t="shared" si="24"/>
        <v>8.5793269614335185E-2</v>
      </c>
      <c r="R171" s="319">
        <f t="shared" si="24"/>
        <v>0.10693542467808077</v>
      </c>
      <c r="S171" s="319">
        <f t="shared" si="24"/>
        <v>6.7044566067240033E-2</v>
      </c>
      <c r="T171" s="319">
        <f t="shared" si="24"/>
        <v>0.13545738858483189</v>
      </c>
      <c r="U171" s="319">
        <f t="shared" si="24"/>
        <v>6.7044566067240033E-2</v>
      </c>
      <c r="V171" s="319">
        <f t="shared" si="24"/>
        <v>0.11690813933079096</v>
      </c>
      <c r="W171" s="319">
        <f t="shared" si="24"/>
        <v>7.5022737789408184E-2</v>
      </c>
      <c r="X171" s="319">
        <f t="shared" si="24"/>
        <v>7.7615643599112827E-2</v>
      </c>
      <c r="Y171" s="319">
        <f t="shared" si="24"/>
        <v>6.7044566067240033E-2</v>
      </c>
      <c r="Z171" s="319">
        <f t="shared" si="24"/>
        <v>6.7044566067240033E-2</v>
      </c>
    </row>
    <row r="172" spans="1:26" ht="34.15" hidden="1" customHeight="1" outlineLevel="1" x14ac:dyDescent="0.25">
      <c r="A172" s="93" t="str">
        <f>+A18</f>
        <v>5.2</v>
      </c>
      <c r="B172" s="93" t="s">
        <v>29</v>
      </c>
      <c r="C172" s="93">
        <f t="shared" si="23"/>
        <v>0</v>
      </c>
      <c r="D172" s="93">
        <f t="shared" si="23"/>
        <v>0</v>
      </c>
      <c r="E172" s="318"/>
      <c r="F172" s="318"/>
      <c r="G172" s="318"/>
      <c r="H172" s="318"/>
      <c r="I172" s="318"/>
      <c r="J172" s="292"/>
      <c r="K172" s="298" t="s">
        <v>5</v>
      </c>
      <c r="L172" s="295" t="s">
        <v>49</v>
      </c>
      <c r="M172" s="295" t="s">
        <v>42</v>
      </c>
      <c r="N172" s="295">
        <v>6</v>
      </c>
      <c r="O172" s="319">
        <f t="shared" ref="O172:Z172" si="25">+O18/SUM($O18:$Z18)</f>
        <v>0.15456989247311828</v>
      </c>
      <c r="P172" s="319">
        <f t="shared" si="25"/>
        <v>0.13440860215053763</v>
      </c>
      <c r="Q172" s="319">
        <f t="shared" si="25"/>
        <v>0.13440860215053763</v>
      </c>
      <c r="R172" s="319">
        <f t="shared" si="25"/>
        <v>0.13440860215053763</v>
      </c>
      <c r="S172" s="319">
        <f t="shared" si="25"/>
        <v>5.4435483870967742E-2</v>
      </c>
      <c r="T172" s="319">
        <f t="shared" si="25"/>
        <v>5.4435483870967742E-2</v>
      </c>
      <c r="U172" s="319">
        <f t="shared" si="25"/>
        <v>5.4435483870967742E-2</v>
      </c>
      <c r="V172" s="319">
        <f t="shared" si="25"/>
        <v>4.7715053763440859E-2</v>
      </c>
      <c r="W172" s="319">
        <f t="shared" si="25"/>
        <v>4.7715053763440859E-2</v>
      </c>
      <c r="X172" s="319">
        <f t="shared" si="25"/>
        <v>7.459677419354839E-2</v>
      </c>
      <c r="Y172" s="319">
        <f t="shared" si="25"/>
        <v>5.4435483870967742E-2</v>
      </c>
      <c r="Z172" s="319">
        <f t="shared" si="25"/>
        <v>5.4435483870967742E-2</v>
      </c>
    </row>
    <row r="173" spans="1:26" ht="34.15" hidden="1" customHeight="1" outlineLevel="1" x14ac:dyDescent="0.25">
      <c r="A173" s="93" t="str">
        <f>+A19</f>
        <v>5.3</v>
      </c>
      <c r="B173" s="93" t="s">
        <v>30</v>
      </c>
      <c r="C173" s="93">
        <f t="shared" si="23"/>
        <v>0</v>
      </c>
      <c r="D173" s="93">
        <f t="shared" si="23"/>
        <v>0</v>
      </c>
      <c r="E173" s="318"/>
      <c r="F173" s="318"/>
      <c r="G173" s="318"/>
      <c r="H173" s="318"/>
      <c r="I173" s="318"/>
      <c r="J173" s="292"/>
      <c r="K173" s="298" t="s">
        <v>5</v>
      </c>
      <c r="L173" s="295" t="s">
        <v>50</v>
      </c>
      <c r="M173" s="295" t="s">
        <v>43</v>
      </c>
      <c r="N173" s="295"/>
      <c r="O173" s="319">
        <f t="shared" ref="O173:Z181" si="26">+O19/SUM($O19:$Z19)</f>
        <v>0</v>
      </c>
      <c r="P173" s="319">
        <f t="shared" si="26"/>
        <v>0</v>
      </c>
      <c r="Q173" s="319">
        <f t="shared" si="26"/>
        <v>0.86842105263157898</v>
      </c>
      <c r="R173" s="319">
        <f t="shared" si="26"/>
        <v>0</v>
      </c>
      <c r="S173" s="319">
        <f t="shared" si="26"/>
        <v>0</v>
      </c>
      <c r="T173" s="319">
        <f t="shared" si="26"/>
        <v>0</v>
      </c>
      <c r="U173" s="319">
        <f t="shared" si="26"/>
        <v>0</v>
      </c>
      <c r="V173" s="319">
        <f t="shared" si="26"/>
        <v>0</v>
      </c>
      <c r="W173" s="319">
        <f t="shared" si="26"/>
        <v>0</v>
      </c>
      <c r="X173" s="319">
        <f t="shared" si="26"/>
        <v>0.13157894736842105</v>
      </c>
      <c r="Y173" s="319">
        <f t="shared" si="26"/>
        <v>0</v>
      </c>
      <c r="Z173" s="319">
        <f t="shared" si="26"/>
        <v>0</v>
      </c>
    </row>
    <row r="174" spans="1:26" ht="34.15" hidden="1" customHeight="1" outlineLevel="1" x14ac:dyDescent="0.25">
      <c r="A174" s="93" t="str">
        <f>+A20</f>
        <v>5.4</v>
      </c>
      <c r="B174" s="93" t="s">
        <v>31</v>
      </c>
      <c r="C174" s="93">
        <f t="shared" si="23"/>
        <v>0</v>
      </c>
      <c r="D174" s="141">
        <f t="shared" si="23"/>
        <v>0</v>
      </c>
      <c r="E174" s="318"/>
      <c r="F174" s="318"/>
      <c r="G174" s="318"/>
      <c r="H174" s="318"/>
      <c r="I174" s="318"/>
      <c r="J174" s="292"/>
      <c r="K174" s="298" t="s">
        <v>5</v>
      </c>
      <c r="L174" s="295" t="s">
        <v>207</v>
      </c>
      <c r="M174" s="295" t="s">
        <v>44</v>
      </c>
      <c r="N174" s="295"/>
      <c r="O174" s="319">
        <f t="shared" si="26"/>
        <v>0</v>
      </c>
      <c r="P174" s="319">
        <f t="shared" si="26"/>
        <v>0</v>
      </c>
      <c r="Q174" s="319">
        <f t="shared" si="26"/>
        <v>0</v>
      </c>
      <c r="R174" s="319">
        <f t="shared" si="26"/>
        <v>3.9473684210526314E-2</v>
      </c>
      <c r="S174" s="319">
        <f t="shared" si="26"/>
        <v>0.65789473684210531</v>
      </c>
      <c r="T174" s="319">
        <f t="shared" si="26"/>
        <v>0</v>
      </c>
      <c r="U174" s="319">
        <f t="shared" si="26"/>
        <v>0</v>
      </c>
      <c r="V174" s="319">
        <f t="shared" si="26"/>
        <v>3.9473684210526314E-2</v>
      </c>
      <c r="W174" s="319">
        <f t="shared" si="26"/>
        <v>0</v>
      </c>
      <c r="X174" s="319">
        <f t="shared" si="26"/>
        <v>0</v>
      </c>
      <c r="Y174" s="319">
        <f t="shared" si="26"/>
        <v>0.26315789473684209</v>
      </c>
      <c r="Z174" s="319">
        <f t="shared" si="26"/>
        <v>0</v>
      </c>
    </row>
    <row r="175" spans="1:26" ht="34.15" hidden="1" customHeight="1" outlineLevel="1" x14ac:dyDescent="0.25">
      <c r="A175" s="93">
        <f t="shared" ref="A175:A180" si="27">+A21</f>
        <v>0</v>
      </c>
      <c r="B175" s="93" t="s">
        <v>32</v>
      </c>
      <c r="C175" s="93">
        <f t="shared" si="23"/>
        <v>0</v>
      </c>
      <c r="D175" s="141">
        <f t="shared" si="23"/>
        <v>0</v>
      </c>
      <c r="E175" s="318"/>
      <c r="F175" s="318"/>
      <c r="G175" s="318"/>
      <c r="H175" s="318"/>
      <c r="I175" s="318"/>
      <c r="J175" s="292"/>
      <c r="K175" s="298"/>
      <c r="L175" s="295" t="s">
        <v>210</v>
      </c>
      <c r="M175" s="295" t="s">
        <v>45</v>
      </c>
      <c r="N175" s="295"/>
      <c r="O175" s="319" t="e">
        <f t="shared" si="26"/>
        <v>#DIV/0!</v>
      </c>
      <c r="P175" s="319" t="e">
        <f t="shared" si="26"/>
        <v>#DIV/0!</v>
      </c>
      <c r="Q175" s="319" t="e">
        <f t="shared" si="26"/>
        <v>#DIV/0!</v>
      </c>
      <c r="R175" s="319" t="e">
        <f t="shared" si="26"/>
        <v>#DIV/0!</v>
      </c>
      <c r="S175" s="319" t="e">
        <f t="shared" si="26"/>
        <v>#DIV/0!</v>
      </c>
      <c r="T175" s="319" t="e">
        <f t="shared" si="26"/>
        <v>#DIV/0!</v>
      </c>
      <c r="U175" s="319" t="e">
        <f t="shared" si="26"/>
        <v>#DIV/0!</v>
      </c>
      <c r="V175" s="319" t="e">
        <f t="shared" si="26"/>
        <v>#DIV/0!</v>
      </c>
      <c r="W175" s="319" t="e">
        <f t="shared" si="26"/>
        <v>#DIV/0!</v>
      </c>
      <c r="X175" s="319" t="e">
        <f t="shared" si="26"/>
        <v>#DIV/0!</v>
      </c>
      <c r="Y175" s="319" t="e">
        <f t="shared" si="26"/>
        <v>#DIV/0!</v>
      </c>
      <c r="Z175" s="319" t="e">
        <f t="shared" si="26"/>
        <v>#DIV/0!</v>
      </c>
    </row>
    <row r="176" spans="1:26" ht="34.15" hidden="1" customHeight="1" outlineLevel="1" x14ac:dyDescent="0.25">
      <c r="A176" s="93">
        <f t="shared" si="27"/>
        <v>0</v>
      </c>
      <c r="B176" s="93" t="s">
        <v>256</v>
      </c>
      <c r="C176" s="93">
        <f t="shared" si="23"/>
        <v>0</v>
      </c>
      <c r="D176" s="141">
        <f t="shared" si="23"/>
        <v>0</v>
      </c>
      <c r="E176" s="318"/>
      <c r="F176" s="318"/>
      <c r="G176" s="318"/>
      <c r="H176" s="318"/>
      <c r="I176" s="318"/>
      <c r="J176" s="292"/>
      <c r="K176" s="298"/>
      <c r="L176" s="295" t="s">
        <v>55</v>
      </c>
      <c r="M176" s="295" t="s">
        <v>195</v>
      </c>
      <c r="N176" s="295"/>
      <c r="O176" s="319" t="e">
        <f t="shared" si="26"/>
        <v>#DIV/0!</v>
      </c>
      <c r="P176" s="319" t="e">
        <f t="shared" si="26"/>
        <v>#DIV/0!</v>
      </c>
      <c r="Q176" s="319" t="e">
        <f t="shared" si="26"/>
        <v>#DIV/0!</v>
      </c>
      <c r="R176" s="319" t="e">
        <f t="shared" si="26"/>
        <v>#DIV/0!</v>
      </c>
      <c r="S176" s="319" t="e">
        <f t="shared" si="26"/>
        <v>#DIV/0!</v>
      </c>
      <c r="T176" s="319" t="e">
        <f t="shared" si="26"/>
        <v>#DIV/0!</v>
      </c>
      <c r="U176" s="319" t="e">
        <f t="shared" si="26"/>
        <v>#DIV/0!</v>
      </c>
      <c r="V176" s="319" t="e">
        <f t="shared" si="26"/>
        <v>#DIV/0!</v>
      </c>
      <c r="W176" s="319" t="e">
        <f t="shared" si="26"/>
        <v>#DIV/0!</v>
      </c>
      <c r="X176" s="319" t="e">
        <f t="shared" si="26"/>
        <v>#DIV/0!</v>
      </c>
      <c r="Y176" s="319" t="e">
        <f t="shared" si="26"/>
        <v>#DIV/0!</v>
      </c>
      <c r="Z176" s="319" t="e">
        <f t="shared" si="26"/>
        <v>#DIV/0!</v>
      </c>
    </row>
    <row r="177" spans="1:26" ht="34.15" hidden="1" customHeight="1" outlineLevel="1" x14ac:dyDescent="0.25">
      <c r="A177" s="93">
        <f t="shared" si="27"/>
        <v>0</v>
      </c>
      <c r="B177" s="93" t="s">
        <v>257</v>
      </c>
      <c r="C177" s="93">
        <f t="shared" si="23"/>
        <v>0</v>
      </c>
      <c r="D177" s="141">
        <f t="shared" si="23"/>
        <v>0</v>
      </c>
      <c r="E177" s="318"/>
      <c r="F177" s="318"/>
      <c r="G177" s="318"/>
      <c r="H177" s="318"/>
      <c r="I177" s="318"/>
      <c r="J177" s="292"/>
      <c r="K177" s="298"/>
      <c r="L177" s="295" t="s">
        <v>42</v>
      </c>
      <c r="M177" s="295" t="s">
        <v>47</v>
      </c>
      <c r="N177" s="295"/>
      <c r="O177" s="319" t="e">
        <f t="shared" si="26"/>
        <v>#DIV/0!</v>
      </c>
      <c r="P177" s="319" t="e">
        <f t="shared" si="26"/>
        <v>#DIV/0!</v>
      </c>
      <c r="Q177" s="319" t="e">
        <f t="shared" si="26"/>
        <v>#DIV/0!</v>
      </c>
      <c r="R177" s="319" t="e">
        <f t="shared" si="26"/>
        <v>#DIV/0!</v>
      </c>
      <c r="S177" s="319" t="e">
        <f t="shared" si="26"/>
        <v>#DIV/0!</v>
      </c>
      <c r="T177" s="319" t="e">
        <f t="shared" si="26"/>
        <v>#DIV/0!</v>
      </c>
      <c r="U177" s="319" t="e">
        <f t="shared" si="26"/>
        <v>#DIV/0!</v>
      </c>
      <c r="V177" s="319" t="e">
        <f t="shared" si="26"/>
        <v>#DIV/0!</v>
      </c>
      <c r="W177" s="319" t="e">
        <f t="shared" si="26"/>
        <v>#DIV/0!</v>
      </c>
      <c r="X177" s="319" t="e">
        <f t="shared" si="26"/>
        <v>#DIV/0!</v>
      </c>
      <c r="Y177" s="319" t="e">
        <f t="shared" si="26"/>
        <v>#DIV/0!</v>
      </c>
      <c r="Z177" s="319" t="e">
        <f t="shared" si="26"/>
        <v>#DIV/0!</v>
      </c>
    </row>
    <row r="178" spans="1:26" ht="34.15" hidden="1" customHeight="1" outlineLevel="1" x14ac:dyDescent="0.25">
      <c r="A178" s="93">
        <f t="shared" si="27"/>
        <v>0</v>
      </c>
      <c r="B178" s="93" t="s">
        <v>258</v>
      </c>
      <c r="C178" s="93">
        <f t="shared" si="23"/>
        <v>0</v>
      </c>
      <c r="D178" s="141">
        <f t="shared" si="23"/>
        <v>0</v>
      </c>
      <c r="E178" s="318"/>
      <c r="F178" s="318"/>
      <c r="G178" s="318"/>
      <c r="H178" s="318"/>
      <c r="I178" s="318"/>
      <c r="J178" s="292"/>
      <c r="K178" s="298"/>
      <c r="L178" s="295" t="s">
        <v>43</v>
      </c>
      <c r="M178" s="295" t="s">
        <v>48</v>
      </c>
      <c r="N178" s="295"/>
      <c r="O178" s="319" t="e">
        <f t="shared" si="26"/>
        <v>#DIV/0!</v>
      </c>
      <c r="P178" s="319" t="e">
        <f t="shared" si="26"/>
        <v>#DIV/0!</v>
      </c>
      <c r="Q178" s="319" t="e">
        <f t="shared" si="26"/>
        <v>#DIV/0!</v>
      </c>
      <c r="R178" s="319" t="e">
        <f t="shared" si="26"/>
        <v>#DIV/0!</v>
      </c>
      <c r="S178" s="319" t="e">
        <f t="shared" si="26"/>
        <v>#DIV/0!</v>
      </c>
      <c r="T178" s="319" t="e">
        <f t="shared" si="26"/>
        <v>#DIV/0!</v>
      </c>
      <c r="U178" s="319" t="e">
        <f t="shared" si="26"/>
        <v>#DIV/0!</v>
      </c>
      <c r="V178" s="319" t="e">
        <f t="shared" si="26"/>
        <v>#DIV/0!</v>
      </c>
      <c r="W178" s="319" t="e">
        <f t="shared" si="26"/>
        <v>#DIV/0!</v>
      </c>
      <c r="X178" s="319" t="e">
        <f t="shared" si="26"/>
        <v>#DIV/0!</v>
      </c>
      <c r="Y178" s="319" t="e">
        <f t="shared" si="26"/>
        <v>#DIV/0!</v>
      </c>
      <c r="Z178" s="319" t="e">
        <f t="shared" si="26"/>
        <v>#DIV/0!</v>
      </c>
    </row>
    <row r="179" spans="1:26" ht="34.15" hidden="1" customHeight="1" outlineLevel="1" x14ac:dyDescent="0.25">
      <c r="A179" s="93">
        <f t="shared" si="27"/>
        <v>0</v>
      </c>
      <c r="B179" s="93" t="s">
        <v>259</v>
      </c>
      <c r="C179" s="93">
        <f t="shared" si="23"/>
        <v>0</v>
      </c>
      <c r="D179" s="141">
        <f t="shared" si="23"/>
        <v>0</v>
      </c>
      <c r="E179" s="318"/>
      <c r="F179" s="318"/>
      <c r="G179" s="318"/>
      <c r="H179" s="318"/>
      <c r="I179" s="318"/>
      <c r="J179" s="292"/>
      <c r="K179" s="298"/>
      <c r="L179" s="295" t="s">
        <v>44</v>
      </c>
      <c r="M179" s="295" t="s">
        <v>49</v>
      </c>
      <c r="N179" s="295"/>
      <c r="O179" s="319" t="e">
        <f t="shared" si="26"/>
        <v>#DIV/0!</v>
      </c>
      <c r="P179" s="319" t="e">
        <f t="shared" si="26"/>
        <v>#DIV/0!</v>
      </c>
      <c r="Q179" s="319" t="e">
        <f t="shared" si="26"/>
        <v>#DIV/0!</v>
      </c>
      <c r="R179" s="319" t="e">
        <f t="shared" si="26"/>
        <v>#DIV/0!</v>
      </c>
      <c r="S179" s="319" t="e">
        <f t="shared" si="26"/>
        <v>#DIV/0!</v>
      </c>
      <c r="T179" s="319" t="e">
        <f t="shared" si="26"/>
        <v>#DIV/0!</v>
      </c>
      <c r="U179" s="319" t="e">
        <f t="shared" si="26"/>
        <v>#DIV/0!</v>
      </c>
      <c r="V179" s="319" t="e">
        <f t="shared" si="26"/>
        <v>#DIV/0!</v>
      </c>
      <c r="W179" s="319" t="e">
        <f t="shared" si="26"/>
        <v>#DIV/0!</v>
      </c>
      <c r="X179" s="319" t="e">
        <f t="shared" si="26"/>
        <v>#DIV/0!</v>
      </c>
      <c r="Y179" s="319" t="e">
        <f t="shared" si="26"/>
        <v>#DIV/0!</v>
      </c>
      <c r="Z179" s="319" t="e">
        <f t="shared" si="26"/>
        <v>#DIV/0!</v>
      </c>
    </row>
    <row r="180" spans="1:26" ht="34.15" hidden="1" customHeight="1" outlineLevel="1" x14ac:dyDescent="0.25">
      <c r="A180" s="93">
        <f t="shared" si="27"/>
        <v>0</v>
      </c>
      <c r="B180" s="93" t="s">
        <v>260</v>
      </c>
      <c r="C180" s="93">
        <f t="shared" si="23"/>
        <v>0</v>
      </c>
      <c r="D180" s="141">
        <f t="shared" si="23"/>
        <v>0</v>
      </c>
      <c r="E180" s="318"/>
      <c r="F180" s="318"/>
      <c r="G180" s="318"/>
      <c r="H180" s="318"/>
      <c r="I180" s="318"/>
      <c r="J180" s="292"/>
      <c r="K180" s="298" t="s">
        <v>5</v>
      </c>
      <c r="L180" s="295" t="s">
        <v>45</v>
      </c>
      <c r="M180" s="295" t="s">
        <v>50</v>
      </c>
      <c r="N180" s="295"/>
      <c r="O180" s="319" t="e">
        <f t="shared" si="26"/>
        <v>#VALUE!</v>
      </c>
      <c r="P180" s="319" t="e">
        <f t="shared" si="26"/>
        <v>#DIV/0!</v>
      </c>
      <c r="Q180" s="319" t="e">
        <f t="shared" si="26"/>
        <v>#DIV/0!</v>
      </c>
      <c r="R180" s="319" t="e">
        <f t="shared" si="26"/>
        <v>#DIV/0!</v>
      </c>
      <c r="S180" s="319" t="e">
        <f t="shared" si="26"/>
        <v>#DIV/0!</v>
      </c>
      <c r="T180" s="319" t="e">
        <f t="shared" si="26"/>
        <v>#DIV/0!</v>
      </c>
      <c r="U180" s="319" t="e">
        <f t="shared" si="26"/>
        <v>#DIV/0!</v>
      </c>
      <c r="V180" s="319" t="e">
        <f t="shared" si="26"/>
        <v>#DIV/0!</v>
      </c>
      <c r="W180" s="319" t="e">
        <f t="shared" si="26"/>
        <v>#DIV/0!</v>
      </c>
      <c r="X180" s="319" t="e">
        <f t="shared" si="26"/>
        <v>#DIV/0!</v>
      </c>
      <c r="Y180" s="319" t="e">
        <f t="shared" si="26"/>
        <v>#DIV/0!</v>
      </c>
      <c r="Z180" s="319" t="e">
        <f t="shared" si="26"/>
        <v>#DIV/0!</v>
      </c>
    </row>
    <row r="181" spans="1:26" ht="34.15" customHeight="1" outlineLevel="1" x14ac:dyDescent="0.25">
      <c r="A181" s="320"/>
      <c r="B181" s="314"/>
      <c r="C181" s="314"/>
      <c r="D181" s="314"/>
      <c r="E181" s="315"/>
      <c r="F181" s="315"/>
      <c r="G181" s="315"/>
      <c r="H181" s="315"/>
      <c r="I181" s="315"/>
      <c r="J181" s="316" t="s">
        <v>20</v>
      </c>
      <c r="K181" s="315"/>
      <c r="L181" s="295" t="s">
        <v>48</v>
      </c>
      <c r="M181" s="295" t="s">
        <v>55</v>
      </c>
      <c r="N181" s="321">
        <f>SUM(N171:N180)</f>
        <v>12</v>
      </c>
      <c r="O181" s="319">
        <f t="shared" si="26"/>
        <v>8.7203494536500725E-2</v>
      </c>
      <c r="P181" s="319">
        <f t="shared" si="26"/>
        <v>8.0631522682065526E-2</v>
      </c>
      <c r="Q181" s="319">
        <f t="shared" si="26"/>
        <v>0.12707345712007431</v>
      </c>
      <c r="R181" s="319">
        <f t="shared" si="26"/>
        <v>0.10582408145740048</v>
      </c>
      <c r="S181" s="319">
        <f t="shared" si="26"/>
        <v>0.10932913311309926</v>
      </c>
      <c r="T181" s="319">
        <f t="shared" si="26"/>
        <v>9.2132473427327138E-2</v>
      </c>
      <c r="U181" s="319">
        <f t="shared" si="26"/>
        <v>5.4562700992805885E-2</v>
      </c>
      <c r="V181" s="319">
        <f t="shared" si="26"/>
        <v>8.3041245695358437E-2</v>
      </c>
      <c r="W181" s="319">
        <f t="shared" si="26"/>
        <v>5.6753358277617613E-2</v>
      </c>
      <c r="X181" s="319">
        <f t="shared" si="26"/>
        <v>7.2416557864021527E-2</v>
      </c>
      <c r="Y181" s="319">
        <f t="shared" si="26"/>
        <v>7.6469273840923224E-2</v>
      </c>
      <c r="Z181" s="319">
        <f t="shared" si="26"/>
        <v>5.4562700992805885E-2</v>
      </c>
    </row>
    <row r="183" spans="1:26" ht="34.15" customHeight="1" x14ac:dyDescent="0.25">
      <c r="B183" s="112" t="s">
        <v>21</v>
      </c>
      <c r="C183" s="322">
        <v>43102</v>
      </c>
    </row>
    <row r="184" spans="1:26" ht="34.15" customHeight="1" x14ac:dyDescent="0.25">
      <c r="B184" s="112" t="s">
        <v>23</v>
      </c>
      <c r="C184" s="322">
        <v>42917</v>
      </c>
    </row>
    <row r="186" spans="1:26" ht="34.15" customHeight="1" x14ac:dyDescent="0.25">
      <c r="A186" s="323" t="s">
        <v>262</v>
      </c>
    </row>
    <row r="187" spans="1:26" ht="34.15" customHeight="1" x14ac:dyDescent="0.25">
      <c r="A187" s="324" t="s">
        <v>1199</v>
      </c>
    </row>
    <row r="188" spans="1:26" ht="34.15" customHeight="1" x14ac:dyDescent="0.25">
      <c r="A188" s="324" t="s">
        <v>323</v>
      </c>
    </row>
    <row r="190" spans="1:26" ht="34.15" customHeight="1" x14ac:dyDescent="0.25">
      <c r="A190" s="282" t="s">
        <v>1200</v>
      </c>
      <c r="B190" s="325" t="s">
        <v>288</v>
      </c>
      <c r="C190" s="325" t="s">
        <v>320</v>
      </c>
    </row>
    <row r="191" spans="1:26" ht="34.15" customHeight="1" x14ac:dyDescent="0.25">
      <c r="A191" s="326" t="s">
        <v>310</v>
      </c>
      <c r="B191" s="325" t="s">
        <v>289</v>
      </c>
      <c r="C191" s="325" t="s">
        <v>321</v>
      </c>
    </row>
    <row r="192" spans="1:26" ht="34.15" customHeight="1" x14ac:dyDescent="0.25">
      <c r="A192" s="326" t="s">
        <v>311</v>
      </c>
      <c r="B192" s="325" t="s">
        <v>290</v>
      </c>
      <c r="C192" s="325" t="s">
        <v>319</v>
      </c>
    </row>
    <row r="193" spans="1:3" ht="34.15" customHeight="1" x14ac:dyDescent="0.25">
      <c r="A193" s="326" t="s">
        <v>312</v>
      </c>
      <c r="B193" s="325" t="s">
        <v>291</v>
      </c>
      <c r="C193" s="325" t="s">
        <v>322</v>
      </c>
    </row>
    <row r="194" spans="1:3" ht="34.15" customHeight="1" x14ac:dyDescent="0.25">
      <c r="A194" s="326" t="s">
        <v>313</v>
      </c>
      <c r="B194" s="325" t="s">
        <v>292</v>
      </c>
      <c r="C194" s="325" t="s">
        <v>327</v>
      </c>
    </row>
    <row r="195" spans="1:3" ht="34.15" customHeight="1" x14ac:dyDescent="0.25">
      <c r="A195" s="326" t="s">
        <v>314</v>
      </c>
      <c r="B195" s="325" t="s">
        <v>293</v>
      </c>
      <c r="C195" s="325" t="s">
        <v>317</v>
      </c>
    </row>
    <row r="196" spans="1:3" ht="34.15" customHeight="1" x14ac:dyDescent="0.25">
      <c r="A196" s="326" t="s">
        <v>315</v>
      </c>
      <c r="B196" s="325" t="s">
        <v>296</v>
      </c>
      <c r="C196" s="325" t="s">
        <v>318</v>
      </c>
    </row>
    <row r="198" spans="1:3" ht="34.15" customHeight="1" x14ac:dyDescent="0.25">
      <c r="A198" s="327" t="s">
        <v>301</v>
      </c>
      <c r="B198" s="282" t="s">
        <v>1201</v>
      </c>
    </row>
    <row r="200" spans="1:3" ht="34.15" customHeight="1" x14ac:dyDescent="0.25">
      <c r="A200" s="327" t="s">
        <v>303</v>
      </c>
      <c r="B200" s="282" t="s">
        <v>1202</v>
      </c>
    </row>
    <row r="202" spans="1:3" ht="34.15" customHeight="1" x14ac:dyDescent="0.25">
      <c r="A202" s="327" t="s">
        <v>304</v>
      </c>
      <c r="B202" s="282" t="s">
        <v>1203</v>
      </c>
    </row>
    <row r="204" spans="1:3" ht="34.15" customHeight="1" x14ac:dyDescent="0.25">
      <c r="A204" s="282" t="s">
        <v>308</v>
      </c>
      <c r="B204" s="282" t="s">
        <v>1204</v>
      </c>
    </row>
  </sheetData>
  <mergeCells count="50">
    <mergeCell ref="E38:K38"/>
    <mergeCell ref="E32:K32"/>
    <mergeCell ref="D33:K33"/>
    <mergeCell ref="E34:K34"/>
    <mergeCell ref="E35:K35"/>
    <mergeCell ref="E36:K36"/>
    <mergeCell ref="E52:K52"/>
    <mergeCell ref="D39:K39"/>
    <mergeCell ref="E40:K40"/>
    <mergeCell ref="E41:K41"/>
    <mergeCell ref="E42:K42"/>
    <mergeCell ref="E44:K44"/>
    <mergeCell ref="D45:K45"/>
    <mergeCell ref="E46:K46"/>
    <mergeCell ref="E47:K47"/>
    <mergeCell ref="E48:K48"/>
    <mergeCell ref="E50:K50"/>
    <mergeCell ref="E51:K51"/>
    <mergeCell ref="E66:K66"/>
    <mergeCell ref="E53:K53"/>
    <mergeCell ref="E54:K54"/>
    <mergeCell ref="E56:K56"/>
    <mergeCell ref="E57:K57"/>
    <mergeCell ref="E58:K58"/>
    <mergeCell ref="E59:K59"/>
    <mergeCell ref="E60:K60"/>
    <mergeCell ref="E62:K62"/>
    <mergeCell ref="E63:K63"/>
    <mergeCell ref="E64:K64"/>
    <mergeCell ref="E65:K65"/>
    <mergeCell ref="E81:K81"/>
    <mergeCell ref="E68:K68"/>
    <mergeCell ref="E69:K69"/>
    <mergeCell ref="E70:K70"/>
    <mergeCell ref="E71:K71"/>
    <mergeCell ref="E72:K72"/>
    <mergeCell ref="E74:K74"/>
    <mergeCell ref="E75:K75"/>
    <mergeCell ref="E76:K76"/>
    <mergeCell ref="E77:K77"/>
    <mergeCell ref="E78:K78"/>
    <mergeCell ref="E80:K80"/>
    <mergeCell ref="E89:K89"/>
    <mergeCell ref="E90:K90"/>
    <mergeCell ref="E82:K82"/>
    <mergeCell ref="E83:K83"/>
    <mergeCell ref="E84:K84"/>
    <mergeCell ref="E86:K86"/>
    <mergeCell ref="E87:K87"/>
    <mergeCell ref="E88:K88"/>
  </mergeCells>
  <dataValidations count="5">
    <dataValidation type="list" allowBlank="1" showInputMessage="1" showErrorMessage="1" sqref="F113 F162:F166 F155:F159 F148:F152 F141:F145 F134:F138 F122:F124 F131">
      <formula1>$A$3:$A$9</formula1>
    </dataValidation>
    <dataValidation type="list" allowBlank="1" showInputMessage="1" showErrorMessage="1" sqref="H159:J159 H166:J166 H155:K158 H148:K151 H141:K144 H134:K137 H131:J131 H162:K165 H138:I138 H124:J124 H145:J145 H152:J152">
      <formula1>$C$3:$C$15</formula1>
    </dataValidation>
    <dataValidation type="list" allowBlank="1" showInputMessage="1" showErrorMessage="1" sqref="L27">
      <formula1>$D$4:$D$15</formula1>
    </dataValidation>
    <dataValidation type="list" allowBlank="1" showInputMessage="1" showErrorMessage="1" sqref="J138">
      <formula1>$C$3:$C$14</formula1>
    </dataValidation>
    <dataValidation type="list" allowBlank="1" showInputMessage="1" showErrorMessage="1" sqref="L86:L90 L42 L48 L56:L60 L62:L66 L68:L72 L74:L78 L80:L84 L51:L54">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3">
        <x14:dataValidation type="list" allowBlank="1" showInputMessage="1" showErrorMessage="1">
          <x14:formula1>
            <xm:f>'C:\Users\gineva.alcota\AppData\Local\Microsoft\Windows\INetCache\Content.Outlook\ZG6HJCZN\[1002-40303-PS-SOA-0001_REV5  Comunications and Government Relations.xlsx]Lists'!#REF!</xm:f>
          </x14:formula1>
          <xm:sqref>L113 L122:L123 L134:M137 L141:M144 L148:M151 L155:M158 L162:M165 L104:L106 M117:M123 M127:M130</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H104:I106</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F104:F106</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H122:K123 M110:M113 K104:K106 H113:K113</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L50 L36 L44:L47</xm:sqref>
        </x14:dataValidation>
        <x14:dataValidation type="list" allowBlank="1" showInputMessage="1" showErrorMessage="1">
          <x14:formula1>
            <xm:f>'C:\Users\gineva.alcota\AppData\Local\Microsoft\Windows\INetCache\Content.Outlook\ZG6HJCZN\[1002-40303-PS-SOA-0001_REV5  Comunications and Government Relations.xlsx]Lists'!#REF!</xm:f>
          </x14:formula1>
          <xm:sqref>L17:L25 N172:N180</xm:sqref>
        </x14:dataValidation>
        <x14:dataValidation type="list" allowBlank="1" showInputMessage="1" showErrorMessage="1">
          <x14:formula1>
            <xm:f>Lists!$E$2:$E$41</xm:f>
          </x14:formula1>
          <xm:sqref>B8</xm:sqref>
        </x14:dataValidation>
        <x14:dataValidation type="list" allowBlank="1" showInputMessage="1" showErrorMessage="1">
          <x14:formula1>
            <xm:f>'C:\Users\gineva.alcota\AppData\Local\Microsoft\Windows\INetCache\Content.Outlook\ZG6HJCZN\[1002-40303-PS-SOA-0001_REV5  Comunications and Government Relations.xlsx]CCs &amp; Accounts'!#REF!</xm:f>
          </x14:formula1>
          <xm:sqref>E113 E122:E124 E134:E138 E141:E145 E148:E152 E155:E159 E162:E166 E21:E26 E104:E106 E131</xm:sqref>
        </x14:dataValidation>
        <x14:dataValidation type="list" allowBlank="1" showInputMessage="1" showErrorMessage="1">
          <x14:formula1>
            <xm:f>Lists!$B$3:$B$41</xm:f>
          </x14:formula1>
          <xm:sqref>E17:E20 E95:E103 E110:E112 E117:E121 E127:E130</xm:sqref>
        </x14:dataValidation>
        <x14:dataValidation type="list" allowBlank="1" showInputMessage="1" showErrorMessage="1">
          <x14:formula1>
            <xm:f>Lists!$H$2:$H$10</xm:f>
          </x14:formula1>
          <xm:sqref>L32:L35 L38:L41</xm:sqref>
        </x14:dataValidation>
        <x14:dataValidation type="list" allowBlank="1" showInputMessage="1" showErrorMessage="1">
          <x14:formula1>
            <xm:f>Lists!$C$2:$C$14</xm:f>
          </x14:formula1>
          <xm:sqref>J104:J106 H95:K103 H110:K112 H117:K121 H127:K130 L171:M181</xm:sqref>
        </x14:dataValidation>
        <x14:dataValidation type="list" allowBlank="1" showInputMessage="1" showErrorMessage="1">
          <x14:formula1>
            <xm:f>Lists!$D$2:$D$14</xm:f>
          </x14:formula1>
          <xm:sqref>L95:L103 L110:L112 L117:L121 L127:L130 N171</xm:sqref>
        </x14:dataValidation>
        <x14:dataValidation type="list" allowBlank="1" showInputMessage="1" showErrorMessage="1">
          <x14:formula1>
            <xm:f>Lists!$A$2:$A$8</xm:f>
          </x14:formula1>
          <xm:sqref>F95:F103 F110:F112 F117:F121 F127:F130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pageSetUpPr fitToPage="1"/>
  </sheetPr>
  <dimension ref="A1:U23"/>
  <sheetViews>
    <sheetView showGridLines="0" view="pageLayout" topLeftCell="A4" zoomScale="70" zoomScaleNormal="80" zoomScalePageLayoutView="70" workbookViewId="0">
      <selection activeCell="D18" sqref="D18"/>
    </sheetView>
  </sheetViews>
  <sheetFormatPr baseColWidth="10" defaultColWidth="11.42578125" defaultRowHeight="15" outlineLevelRow="1" outlineLevelCol="1" x14ac:dyDescent="0.25"/>
  <cols>
    <col min="1" max="1" width="10.85546875" style="400" customWidth="1"/>
    <col min="2" max="2" width="32" style="400" customWidth="1"/>
    <col min="3" max="3" width="43.7109375" style="400" customWidth="1"/>
    <col min="4" max="4" width="52.85546875" style="400" customWidth="1"/>
    <col min="5" max="5" width="17.5703125" style="400" customWidth="1"/>
    <col min="6" max="7" width="17.710937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1439</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tr">
        <f>+Resettlement!B8</f>
        <v>4.2 Resettlement</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+Resettlement!B10</f>
        <v>684 SERA</v>
      </c>
      <c r="C7" s="433"/>
      <c r="D7" s="423" t="str">
        <f>+Resettlement!D10</f>
        <v>Petri Sopera</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+Resettlement!B12</f>
        <v>43328</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19</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t="str">
        <f>+Resettlement!A17</f>
        <v>5.1</v>
      </c>
      <c r="B14" s="444" t="str">
        <f>+Resettlement!B17</f>
        <v>Phase II B</v>
      </c>
      <c r="C14" s="444" t="str">
        <f>+Resettlement!C17</f>
        <v xml:space="preserve">Finish Phase II B Resettlement </v>
      </c>
      <c r="D14" s="405" t="str">
        <f>+Resettlement!D17</f>
        <v>consultants rePlan and RC Consultores</v>
      </c>
      <c r="E14" s="406" t="str">
        <f>+Resettlement!E17</f>
        <v>684 / 51-11-3360</v>
      </c>
      <c r="F14" s="406">
        <f>+Resettlement!L17</f>
        <v>0</v>
      </c>
      <c r="G14" s="407">
        <f>+Resettlement!M17</f>
        <v>0</v>
      </c>
      <c r="H14" s="406">
        <f>+Resettlement!N17</f>
        <v>157265</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t="str">
        <f>+Resettlement!A18</f>
        <v>5.2</v>
      </c>
      <c r="B15" s="444" t="str">
        <f>+Resettlement!B18</f>
        <v>Phase II C</v>
      </c>
      <c r="C15" s="444" t="str">
        <f>+Resettlement!C18</f>
        <v>Post agreements stage</v>
      </c>
      <c r="D15" s="405" t="str">
        <f>+Resettlement!D18</f>
        <v>consultants rePlan and RC Consultores</v>
      </c>
      <c r="E15" s="406" t="str">
        <f>+Resettlement!E18</f>
        <v>684 / 51-11-3360</v>
      </c>
      <c r="F15" s="406">
        <f>+Resettlement!L18</f>
        <v>0</v>
      </c>
      <c r="G15" s="407">
        <f>+Resettlement!M18</f>
        <v>0</v>
      </c>
      <c r="H15" s="406">
        <f>+Resettlement!N18</f>
        <v>310991</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ht="30" outlineLevel="1" x14ac:dyDescent="0.25">
      <c r="A16" s="444" t="str">
        <f>+Resettlement!A19</f>
        <v>5.3</v>
      </c>
      <c r="B16" s="444" t="str">
        <f>+Resettlement!B19</f>
        <v>Phase III</v>
      </c>
      <c r="C16" s="444" t="str">
        <f>+Resettlement!C19</f>
        <v>Phase III consultants during ESIA tramiting period</v>
      </c>
      <c r="D16" s="405" t="str">
        <f>+Resettlement!D19</f>
        <v>consultants rePlan and RC Consultores</v>
      </c>
      <c r="E16" s="406" t="str">
        <f>+Resettlement!E19</f>
        <v>684 / 51-11-3360</v>
      </c>
      <c r="F16" s="406">
        <f>+Resettlement!L19</f>
        <v>0</v>
      </c>
      <c r="G16" s="407">
        <f>+Resettlement!M19</f>
        <v>0</v>
      </c>
      <c r="H16" s="406">
        <f>+Resettlement!N19</f>
        <v>152793</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outlineLevel="1" x14ac:dyDescent="0.25">
      <c r="A17" s="444" t="str">
        <f>+Resettlement!A20</f>
        <v>5.4</v>
      </c>
      <c r="B17" s="444" t="str">
        <f>+Resettlement!B20</f>
        <v>Administrative expenses</v>
      </c>
      <c r="C17" s="444" t="str">
        <f>+Resettlement!C20</f>
        <v>Administrative expenses</v>
      </c>
      <c r="D17" s="405" t="str">
        <f>IF(Resettlement!D20="","",Resettlement!D20)</f>
        <v>administrative expenses during resetttlement process</v>
      </c>
      <c r="E17" s="406" t="str">
        <f>IF(Resettlement!E20="","",Resettlement!E20)</f>
        <v>684 / 51-11-3360</v>
      </c>
      <c r="F17" s="406">
        <f>+Resettlement!L20</f>
        <v>0</v>
      </c>
      <c r="G17" s="407">
        <f>+Resettlement!M20</f>
        <v>0</v>
      </c>
      <c r="H17" s="406">
        <f>IF(Resettlement!N20="","",Resettlement!N20)</f>
        <v>36996</v>
      </c>
      <c r="I17" s="409" t="s">
        <v>5</v>
      </c>
      <c r="J17" s="409"/>
      <c r="K17" s="409"/>
      <c r="L17" s="409"/>
      <c r="M17" s="409"/>
      <c r="N17" s="409"/>
      <c r="O17" s="409"/>
      <c r="P17" s="409"/>
      <c r="Q17" s="409"/>
      <c r="R17" s="409"/>
      <c r="S17" s="409"/>
      <c r="T17" s="409"/>
    </row>
    <row r="18" spans="1:20" ht="30" outlineLevel="1" x14ac:dyDescent="0.25">
      <c r="A18" s="444"/>
      <c r="B18" s="444" t="str">
        <f>+Resettlement!B21</f>
        <v>Community development program</v>
      </c>
      <c r="C18" s="444" t="str">
        <f>+Resettlement!C21</f>
        <v>Community development program</v>
      </c>
      <c r="D18" s="405" t="str">
        <f>IF(Resettlement!D21="","",Resettlement!D21)</f>
        <v>Community development program</v>
      </c>
      <c r="E18" s="406" t="str">
        <f>IF(Resettlement!E21="","",Resettlement!E21)</f>
        <v>684 / 51-11-3360</v>
      </c>
      <c r="F18" s="406">
        <f>+Resettlement!L21</f>
        <v>0</v>
      </c>
      <c r="G18" s="407">
        <f>+Resettlement!M21</f>
        <v>0</v>
      </c>
      <c r="H18" s="406">
        <f>IF(Resettlement!N21="","",Resettlement!N21)</f>
        <v>99999.999999999985</v>
      </c>
      <c r="I18" s="409" t="s">
        <v>5</v>
      </c>
      <c r="J18" s="409"/>
      <c r="K18" s="409"/>
      <c r="L18" s="409"/>
      <c r="M18" s="409"/>
      <c r="N18" s="409"/>
      <c r="O18" s="409"/>
      <c r="P18" s="409"/>
      <c r="Q18" s="409"/>
      <c r="R18" s="409"/>
      <c r="S18" s="409"/>
      <c r="T18" s="409"/>
    </row>
    <row r="19" spans="1:20" outlineLevel="1" x14ac:dyDescent="0.25">
      <c r="A19" s="412"/>
      <c r="B19" s="413"/>
      <c r="C19" s="413"/>
      <c r="D19" s="414"/>
      <c r="E19" s="415"/>
      <c r="F19" s="404">
        <f>+Resettlement!L27</f>
        <v>12</v>
      </c>
      <c r="G19" s="404">
        <f>SUM(G1:G18)</f>
        <v>0</v>
      </c>
      <c r="H19" s="404">
        <f>SUM(H13:H18)</f>
        <v>758045</v>
      </c>
      <c r="I19" s="404" t="e">
        <f t="shared" ref="I19:T19" si="0">SUM(I13:I18)</f>
        <v>#REF!</v>
      </c>
      <c r="J19" s="404" t="e">
        <f t="shared" si="0"/>
        <v>#REF!</v>
      </c>
      <c r="K19" s="404" t="e">
        <f t="shared" si="0"/>
        <v>#REF!</v>
      </c>
      <c r="L19" s="404" t="e">
        <f t="shared" si="0"/>
        <v>#REF!</v>
      </c>
      <c r="M19" s="404" t="e">
        <f t="shared" si="0"/>
        <v>#REF!</v>
      </c>
      <c r="N19" s="404" t="e">
        <f t="shared" si="0"/>
        <v>#REF!</v>
      </c>
      <c r="O19" s="404" t="e">
        <f t="shared" si="0"/>
        <v>#REF!</v>
      </c>
      <c r="P19" s="404" t="e">
        <f t="shared" si="0"/>
        <v>#REF!</v>
      </c>
      <c r="Q19" s="404" t="e">
        <f t="shared" si="0"/>
        <v>#REF!</v>
      </c>
      <c r="R19" s="404" t="e">
        <f t="shared" si="0"/>
        <v>#REF!</v>
      </c>
      <c r="S19" s="404" t="e">
        <f t="shared" si="0"/>
        <v>#REF!</v>
      </c>
      <c r="T19" s="404" t="e">
        <f t="shared" si="0"/>
        <v>#REF!</v>
      </c>
    </row>
    <row r="20" spans="1:20" ht="6.75" customHeight="1" x14ac:dyDescent="0.25">
      <c r="A20" s="414"/>
      <c r="B20" s="414"/>
      <c r="C20" s="414"/>
      <c r="D20" s="414"/>
      <c r="E20" s="414"/>
    </row>
    <row r="22" spans="1:20" ht="24.75" customHeight="1" x14ac:dyDescent="0.25">
      <c r="B22" s="445" t="s">
        <v>21</v>
      </c>
      <c r="C22" s="446">
        <v>43102</v>
      </c>
      <c r="F22" s="445" t="s">
        <v>22</v>
      </c>
      <c r="G22" s="447"/>
      <c r="H22" s="448"/>
    </row>
    <row r="23" spans="1:20" ht="24.75" customHeight="1" x14ac:dyDescent="0.25">
      <c r="B23" s="445" t="s">
        <v>23</v>
      </c>
      <c r="C23" s="446">
        <v>42917</v>
      </c>
      <c r="F23" s="445" t="s">
        <v>24</v>
      </c>
      <c r="G23" s="447"/>
      <c r="H23"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F19</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A293"/>
  <sheetViews>
    <sheetView showGridLines="0" topLeftCell="C7" zoomScale="80" zoomScaleNormal="80" zoomScalePageLayoutView="60" workbookViewId="0">
      <selection activeCell="N30" sqref="N30"/>
    </sheetView>
  </sheetViews>
  <sheetFormatPr baseColWidth="10" defaultColWidth="11.42578125" defaultRowHeight="14.25" outlineLevelRow="1" outlineLevelCol="1" x14ac:dyDescent="0.25"/>
  <cols>
    <col min="1" max="1" width="10.85546875" style="817" customWidth="1"/>
    <col min="2" max="2" width="32" style="817" customWidth="1"/>
    <col min="3" max="3" width="43.7109375" style="817" customWidth="1"/>
    <col min="4" max="4" width="82.85546875" style="817" customWidth="1"/>
    <col min="5" max="5" width="17.5703125" style="817" hidden="1" customWidth="1"/>
    <col min="6" max="6" width="23" style="817" hidden="1" customWidth="1"/>
    <col min="7" max="8" width="17.5703125" style="817" hidden="1" customWidth="1"/>
    <col min="9" max="10" width="11.5703125" style="817" hidden="1" customWidth="1"/>
    <col min="11" max="11" width="17.5703125" style="817" hidden="1" customWidth="1"/>
    <col min="12" max="13" width="17.7109375" style="817" hidden="1" customWidth="1"/>
    <col min="14" max="14" width="13.5703125" style="817" customWidth="1"/>
    <col min="15" max="15" width="11.5703125" style="817" customWidth="1" outlineLevel="1"/>
    <col min="16" max="17" width="16.42578125" style="817" customWidth="1" outlineLevel="1"/>
    <col min="18" max="18" width="16.85546875" style="817" customWidth="1" outlineLevel="1"/>
    <col min="19" max="19" width="16.42578125" style="817" customWidth="1" outlineLevel="1"/>
    <col min="20" max="23" width="16.85546875" style="817" customWidth="1" outlineLevel="1"/>
    <col min="24" max="25" width="16.42578125" style="817" customWidth="1" outlineLevel="1"/>
    <col min="26" max="26" width="16.85546875" style="817" customWidth="1" outlineLevel="1"/>
    <col min="27" max="16384" width="11.42578125" style="817"/>
  </cols>
  <sheetData>
    <row r="1" spans="1:26" ht="24.75" customHeight="1" x14ac:dyDescent="0.25"/>
    <row r="2" spans="1:26" s="784" customFormat="1" ht="24.75" customHeight="1" x14ac:dyDescent="0.2">
      <c r="B2" s="785"/>
    </row>
    <row r="3" spans="1:26" s="784" customFormat="1" ht="24.75" customHeight="1" x14ac:dyDescent="0.25">
      <c r="B3" s="818"/>
    </row>
    <row r="4" spans="1:26" s="784" customFormat="1" ht="36.6" customHeight="1" x14ac:dyDescent="0.2"/>
    <row r="5" spans="1:26" ht="24.75" customHeight="1" x14ac:dyDescent="0.25"/>
    <row r="6" spans="1:26" ht="36.6" customHeight="1" x14ac:dyDescent="0.25">
      <c r="A6" s="819" t="s">
        <v>25</v>
      </c>
      <c r="B6" s="819"/>
      <c r="C6" s="820"/>
      <c r="D6" s="821"/>
      <c r="E6" s="821"/>
      <c r="F6" s="821"/>
      <c r="G6" s="821"/>
      <c r="H6" s="822"/>
      <c r="I6" s="822"/>
      <c r="J6" s="823"/>
      <c r="K6" s="821"/>
      <c r="L6" s="824"/>
      <c r="M6" s="824"/>
      <c r="N6" s="824"/>
      <c r="O6" s="824" t="s">
        <v>5</v>
      </c>
      <c r="P6" s="824"/>
      <c r="Q6" s="824"/>
      <c r="R6" s="824"/>
      <c r="S6" s="824"/>
      <c r="T6" s="824"/>
      <c r="U6" s="824"/>
      <c r="V6" s="824"/>
      <c r="W6" s="824"/>
      <c r="X6" s="824"/>
      <c r="Y6" s="824"/>
      <c r="Z6" s="824"/>
    </row>
    <row r="7" spans="1:26" ht="18" x14ac:dyDescent="0.25">
      <c r="A7" s="786"/>
      <c r="B7" s="787" t="s">
        <v>6</v>
      </c>
      <c r="C7" s="787"/>
      <c r="D7" s="787"/>
      <c r="E7" s="787"/>
      <c r="F7" s="787"/>
      <c r="G7" s="787"/>
      <c r="H7" s="787"/>
      <c r="I7" s="787"/>
      <c r="J7" s="787"/>
      <c r="K7" s="787"/>
      <c r="L7" s="787"/>
      <c r="M7" s="787"/>
      <c r="N7" s="788"/>
      <c r="O7" s="789"/>
      <c r="P7" s="789"/>
      <c r="Q7" s="789"/>
      <c r="R7" s="789"/>
      <c r="S7" s="789"/>
      <c r="T7" s="789"/>
      <c r="U7" s="789"/>
      <c r="V7" s="789"/>
      <c r="W7" s="789"/>
      <c r="X7" s="789"/>
      <c r="Y7" s="789"/>
      <c r="Z7" s="790"/>
    </row>
    <row r="8" spans="1:26" ht="18" x14ac:dyDescent="0.25">
      <c r="A8" s="791"/>
      <c r="B8" s="77" t="s">
        <v>332</v>
      </c>
      <c r="C8" s="78"/>
      <c r="D8" s="78"/>
      <c r="E8" s="792"/>
      <c r="F8" s="792"/>
      <c r="G8" s="792"/>
      <c r="H8" s="792"/>
      <c r="I8" s="792"/>
      <c r="J8" s="792"/>
      <c r="K8" s="792"/>
      <c r="L8" s="792"/>
      <c r="M8" s="792"/>
      <c r="N8" s="793" t="s">
        <v>7</v>
      </c>
      <c r="O8" s="794"/>
      <c r="P8" s="794"/>
      <c r="Q8" s="794"/>
      <c r="R8" s="794"/>
      <c r="S8" s="794"/>
      <c r="T8" s="794"/>
      <c r="U8" s="794"/>
      <c r="V8" s="794"/>
      <c r="W8" s="794"/>
      <c r="X8" s="794"/>
      <c r="Y8" s="794"/>
      <c r="Z8" s="795"/>
    </row>
    <row r="9" spans="1:26" ht="18" x14ac:dyDescent="0.25">
      <c r="A9" s="791"/>
      <c r="B9" s="796" t="s">
        <v>8</v>
      </c>
      <c r="C9" s="792"/>
      <c r="D9" s="796" t="s">
        <v>9</v>
      </c>
      <c r="E9" s="796"/>
      <c r="F9" s="796"/>
      <c r="G9" s="796"/>
      <c r="H9" s="796"/>
      <c r="I9" s="796"/>
      <c r="J9" s="796"/>
      <c r="K9" s="796"/>
      <c r="L9" s="796"/>
      <c r="M9" s="796"/>
      <c r="N9" s="82">
        <v>43831</v>
      </c>
      <c r="O9" s="797"/>
      <c r="P9" s="797"/>
      <c r="Q9" s="797"/>
      <c r="R9" s="797"/>
      <c r="S9" s="797"/>
      <c r="T9" s="797"/>
      <c r="U9" s="797"/>
      <c r="V9" s="797"/>
      <c r="W9" s="797"/>
      <c r="X9" s="797"/>
      <c r="Y9" s="797"/>
      <c r="Z9" s="798"/>
    </row>
    <row r="10" spans="1:26" ht="18" x14ac:dyDescent="0.25">
      <c r="A10" s="799"/>
      <c r="B10" s="83" t="str">
        <f>VLOOKUP(B8,[1]Lists!E2:G41,3,)</f>
        <v>683 Legal</v>
      </c>
      <c r="C10" s="800"/>
      <c r="D10" s="77" t="str">
        <f>VLOOKUP(B8,[1]Lists!$E$3:$F$41,2,)</f>
        <v>Ariel Scharfstein</v>
      </c>
      <c r="E10" s="792"/>
      <c r="F10" s="792"/>
      <c r="G10" s="792"/>
      <c r="H10" s="792"/>
      <c r="I10" s="792"/>
      <c r="J10" s="792"/>
      <c r="K10" s="792"/>
      <c r="L10" s="792"/>
      <c r="M10" s="792"/>
      <c r="N10" s="801"/>
      <c r="O10" s="794"/>
      <c r="P10" s="794"/>
      <c r="Q10" s="794"/>
      <c r="R10" s="794"/>
      <c r="S10" s="794"/>
      <c r="T10" s="794"/>
      <c r="U10" s="794"/>
      <c r="V10" s="794"/>
      <c r="W10" s="794"/>
      <c r="X10" s="794"/>
      <c r="Y10" s="794"/>
      <c r="Z10" s="795"/>
    </row>
    <row r="11" spans="1:26" ht="18" x14ac:dyDescent="0.25">
      <c r="A11" s="799"/>
      <c r="B11" s="802" t="s">
        <v>10</v>
      </c>
      <c r="C11" s="800"/>
      <c r="D11" s="802"/>
      <c r="E11" s="802"/>
      <c r="F11" s="802"/>
      <c r="G11" s="802"/>
      <c r="H11" s="802"/>
      <c r="I11" s="802"/>
      <c r="J11" s="802"/>
      <c r="K11" s="802"/>
      <c r="L11" s="802"/>
      <c r="M11" s="802"/>
      <c r="N11" s="803" t="s">
        <v>11</v>
      </c>
      <c r="O11" s="804"/>
      <c r="P11" s="804"/>
      <c r="Q11" s="804"/>
      <c r="R11" s="804"/>
      <c r="S11" s="804"/>
      <c r="T11" s="804"/>
      <c r="U11" s="804"/>
      <c r="V11" s="804"/>
      <c r="W11" s="804"/>
      <c r="X11" s="804"/>
      <c r="Y11" s="804"/>
      <c r="Z11" s="805"/>
    </row>
    <row r="12" spans="1:26" ht="18" x14ac:dyDescent="0.25">
      <c r="A12" s="799"/>
      <c r="B12" s="88">
        <v>43003</v>
      </c>
      <c r="C12" s="800"/>
      <c r="D12" s="802"/>
      <c r="E12" s="792"/>
      <c r="F12" s="792"/>
      <c r="G12" s="792"/>
      <c r="H12" s="792"/>
      <c r="I12" s="792"/>
      <c r="J12" s="792"/>
      <c r="K12" s="792"/>
      <c r="L12" s="792"/>
      <c r="M12" s="792"/>
      <c r="N12" s="82">
        <v>44196</v>
      </c>
      <c r="O12" s="794"/>
      <c r="P12" s="794"/>
      <c r="Q12" s="794"/>
      <c r="R12" s="794"/>
      <c r="S12" s="794"/>
      <c r="T12" s="794"/>
      <c r="U12" s="794"/>
      <c r="V12" s="794"/>
      <c r="W12" s="794"/>
      <c r="X12" s="794"/>
      <c r="Y12" s="794"/>
      <c r="Z12" s="805"/>
    </row>
    <row r="13" spans="1:26" ht="18" x14ac:dyDescent="0.25">
      <c r="A13" s="806"/>
      <c r="B13" s="807"/>
      <c r="C13" s="808"/>
      <c r="D13" s="808"/>
      <c r="E13" s="808"/>
      <c r="F13" s="808"/>
      <c r="G13" s="808"/>
      <c r="H13" s="808"/>
      <c r="I13" s="808"/>
      <c r="J13" s="808"/>
      <c r="K13" s="808"/>
      <c r="L13" s="808"/>
      <c r="M13" s="808"/>
      <c r="N13" s="809"/>
      <c r="O13" s="810"/>
      <c r="P13" s="810"/>
      <c r="Q13" s="810"/>
      <c r="R13" s="810"/>
      <c r="S13" s="810"/>
      <c r="T13" s="810"/>
      <c r="U13" s="810"/>
      <c r="V13" s="810"/>
      <c r="W13" s="810"/>
      <c r="X13" s="810"/>
      <c r="Y13" s="810"/>
      <c r="Z13" s="811"/>
    </row>
    <row r="14" spans="1:26" ht="6.75" customHeight="1" x14ac:dyDescent="0.25"/>
    <row r="15" spans="1:26" ht="18" x14ac:dyDescent="0.25">
      <c r="A15" s="825" t="s">
        <v>12</v>
      </c>
      <c r="B15" s="825"/>
      <c r="C15" s="826"/>
      <c r="D15" s="826"/>
      <c r="E15" s="824"/>
      <c r="F15" s="824"/>
      <c r="G15" s="824"/>
      <c r="H15" s="827"/>
      <c r="I15" s="827"/>
      <c r="J15" s="823"/>
      <c r="K15" s="824"/>
      <c r="L15" s="824"/>
      <c r="M15" s="824"/>
      <c r="N15" s="824"/>
      <c r="O15" s="824" t="s">
        <v>5</v>
      </c>
      <c r="P15" s="824"/>
      <c r="Q15" s="824"/>
      <c r="R15" s="824"/>
      <c r="S15" s="824"/>
      <c r="T15" s="824"/>
      <c r="U15" s="824"/>
      <c r="V15" s="824"/>
      <c r="W15" s="824"/>
      <c r="X15" s="824"/>
      <c r="Y15" s="824"/>
      <c r="Z15" s="824"/>
    </row>
    <row r="16" spans="1:26" ht="30" x14ac:dyDescent="0.25">
      <c r="A16" s="828" t="s">
        <v>261</v>
      </c>
      <c r="B16" s="828" t="s">
        <v>13</v>
      </c>
      <c r="C16" s="828" t="s">
        <v>14</v>
      </c>
      <c r="D16" s="829" t="s">
        <v>15</v>
      </c>
      <c r="E16" s="830" t="s">
        <v>16</v>
      </c>
      <c r="F16" s="831"/>
      <c r="G16" s="831"/>
      <c r="H16" s="831"/>
      <c r="I16" s="831"/>
      <c r="J16" s="831"/>
      <c r="K16" s="831"/>
      <c r="L16" s="830" t="s">
        <v>17</v>
      </c>
      <c r="M16" s="830" t="s">
        <v>18</v>
      </c>
      <c r="N16" s="830" t="s">
        <v>825</v>
      </c>
      <c r="O16" s="832">
        <v>43101</v>
      </c>
      <c r="P16" s="832">
        <v>43132</v>
      </c>
      <c r="Q16" s="832">
        <v>43160</v>
      </c>
      <c r="R16" s="832">
        <v>43191</v>
      </c>
      <c r="S16" s="832">
        <v>43221</v>
      </c>
      <c r="T16" s="832">
        <v>43252</v>
      </c>
      <c r="U16" s="832">
        <v>43282</v>
      </c>
      <c r="V16" s="832">
        <v>43313</v>
      </c>
      <c r="W16" s="832">
        <v>43344</v>
      </c>
      <c r="X16" s="832">
        <v>43374</v>
      </c>
      <c r="Y16" s="832">
        <v>43405</v>
      </c>
      <c r="Z16" s="832">
        <v>43435</v>
      </c>
    </row>
    <row r="17" spans="1:26" ht="15" x14ac:dyDescent="0.25">
      <c r="A17" s="833" t="s">
        <v>102</v>
      </c>
      <c r="B17" s="833" t="s">
        <v>27</v>
      </c>
      <c r="C17" s="833" t="s">
        <v>826</v>
      </c>
      <c r="D17" s="834" t="s">
        <v>1564</v>
      </c>
      <c r="E17" s="812" t="s">
        <v>202</v>
      </c>
      <c r="F17" s="831"/>
      <c r="G17" s="831"/>
      <c r="H17" s="831"/>
      <c r="I17" s="831"/>
      <c r="J17" s="831"/>
      <c r="K17" s="831"/>
      <c r="L17" s="813">
        <v>12</v>
      </c>
      <c r="M17" s="814">
        <f>+M115</f>
        <v>0</v>
      </c>
      <c r="N17" s="813">
        <f>SUM(O17:Z17)</f>
        <v>793426.42441911437</v>
      </c>
      <c r="O17" s="835">
        <f t="shared" ref="O17:Z17" si="0">+O115</f>
        <v>21792.46323529413</v>
      </c>
      <c r="P17" s="835">
        <f t="shared" si="0"/>
        <v>24735.147058819999</v>
      </c>
      <c r="Q17" s="835">
        <f t="shared" si="0"/>
        <v>481019.9538308825</v>
      </c>
      <c r="R17" s="835">
        <f t="shared" si="0"/>
        <v>39422.058823529413</v>
      </c>
      <c r="S17" s="835">
        <f t="shared" si="0"/>
        <v>22244.117647058807</v>
      </c>
      <c r="T17" s="835">
        <f t="shared" si="0"/>
        <v>39481.25</v>
      </c>
      <c r="U17" s="835">
        <f t="shared" si="0"/>
        <v>40186.764705882393</v>
      </c>
      <c r="V17" s="835">
        <f t="shared" si="0"/>
        <v>11990.808823529416</v>
      </c>
      <c r="W17" s="835">
        <f t="shared" si="0"/>
        <v>49636.764705882393</v>
      </c>
      <c r="X17" s="835">
        <f t="shared" si="0"/>
        <v>18931.433823529416</v>
      </c>
      <c r="Y17" s="835">
        <f t="shared" si="0"/>
        <v>28493.749999999949</v>
      </c>
      <c r="Z17" s="835">
        <f t="shared" si="0"/>
        <v>15491.911764705937</v>
      </c>
    </row>
    <row r="18" spans="1:26" ht="15" x14ac:dyDescent="0.25">
      <c r="A18" s="833" t="s">
        <v>105</v>
      </c>
      <c r="B18" s="833" t="s">
        <v>29</v>
      </c>
      <c r="C18" s="833" t="s">
        <v>88</v>
      </c>
      <c r="D18" s="834" t="s">
        <v>828</v>
      </c>
      <c r="E18" s="812" t="s">
        <v>204</v>
      </c>
      <c r="F18" s="831"/>
      <c r="G18" s="831"/>
      <c r="H18" s="831"/>
      <c r="I18" s="831"/>
      <c r="J18" s="831"/>
      <c r="K18" s="831"/>
      <c r="L18" s="813">
        <v>12</v>
      </c>
      <c r="M18" s="814">
        <f>+M122</f>
        <v>0</v>
      </c>
      <c r="N18" s="813">
        <f t="shared" ref="N18:N28" si="1">SUM(O18:Z18)</f>
        <v>932364.72081617685</v>
      </c>
      <c r="O18" s="835">
        <f t="shared" ref="O18:Z18" si="2">+O122</f>
        <v>1927.9382352941179</v>
      </c>
      <c r="P18" s="835">
        <f t="shared" si="2"/>
        <v>3580.1441176470626</v>
      </c>
      <c r="Q18" s="835">
        <f t="shared" si="2"/>
        <v>740125.02081617678</v>
      </c>
      <c r="R18" s="835">
        <f t="shared" si="2"/>
        <v>29586.948529411773</v>
      </c>
      <c r="S18" s="835">
        <f t="shared" si="2"/>
        <v>20662.867647058858</v>
      </c>
      <c r="T18" s="835">
        <f t="shared" si="2"/>
        <v>1755.1470588235297</v>
      </c>
      <c r="U18" s="835">
        <f t="shared" si="2"/>
        <v>67974.632352941146</v>
      </c>
      <c r="V18" s="835">
        <f t="shared" si="2"/>
        <v>3685.2941176470626</v>
      </c>
      <c r="W18" s="835">
        <f t="shared" si="2"/>
        <v>1755.1470588235297</v>
      </c>
      <c r="X18" s="835">
        <f t="shared" si="2"/>
        <v>2226.1029411764712</v>
      </c>
      <c r="Y18" s="835">
        <f t="shared" si="2"/>
        <v>57330.330882352988</v>
      </c>
      <c r="Z18" s="835">
        <f t="shared" si="2"/>
        <v>1755.1470588235297</v>
      </c>
    </row>
    <row r="19" spans="1:26" s="842" customFormat="1" ht="15" customHeight="1" x14ac:dyDescent="0.25">
      <c r="A19" s="833" t="s">
        <v>108</v>
      </c>
      <c r="B19" s="833" t="s">
        <v>1557</v>
      </c>
      <c r="C19" s="833" t="s">
        <v>1558</v>
      </c>
      <c r="D19" s="836" t="s">
        <v>1559</v>
      </c>
      <c r="E19" s="813" t="s">
        <v>206</v>
      </c>
      <c r="F19" s="837"/>
      <c r="G19" s="838"/>
      <c r="H19" s="837"/>
      <c r="I19" s="837"/>
      <c r="J19" s="837"/>
      <c r="K19" s="837"/>
      <c r="L19" s="839">
        <v>12</v>
      </c>
      <c r="M19" s="840" t="e">
        <f>+#REF!</f>
        <v>#REF!</v>
      </c>
      <c r="N19" s="839">
        <f t="shared" si="1"/>
        <v>836420.58823529433</v>
      </c>
      <c r="O19" s="841">
        <f t="shared" ref="O19:Z19" si="3">+O138</f>
        <v>58243.382352941175</v>
      </c>
      <c r="P19" s="841">
        <f t="shared" si="3"/>
        <v>58243.382352941175</v>
      </c>
      <c r="Q19" s="841">
        <f t="shared" si="3"/>
        <v>92343.382352941175</v>
      </c>
      <c r="R19" s="841">
        <f t="shared" si="3"/>
        <v>58243.382352941175</v>
      </c>
      <c r="S19" s="841">
        <f t="shared" si="3"/>
        <v>59343.382352941175</v>
      </c>
      <c r="T19" s="841">
        <f t="shared" si="3"/>
        <v>91243.382352941175</v>
      </c>
      <c r="U19" s="841">
        <f t="shared" si="3"/>
        <v>59343.382352941175</v>
      </c>
      <c r="V19" s="841">
        <f t="shared" si="3"/>
        <v>58243.382352941175</v>
      </c>
      <c r="W19" s="841">
        <f t="shared" si="3"/>
        <v>92343.382352941175</v>
      </c>
      <c r="X19" s="841">
        <f t="shared" si="3"/>
        <v>58243.382352941175</v>
      </c>
      <c r="Y19" s="841">
        <f t="shared" si="3"/>
        <v>59343.382352941175</v>
      </c>
      <c r="Z19" s="841">
        <f t="shared" si="3"/>
        <v>91243.382352941175</v>
      </c>
    </row>
    <row r="20" spans="1:26" s="842" customFormat="1" ht="15" customHeight="1" x14ac:dyDescent="0.25">
      <c r="A20" s="833" t="s">
        <v>108</v>
      </c>
      <c r="B20" s="833" t="s">
        <v>1560</v>
      </c>
      <c r="C20" s="833" t="s">
        <v>1561</v>
      </c>
      <c r="D20" s="836" t="s">
        <v>1562</v>
      </c>
      <c r="E20" s="813" t="s">
        <v>206</v>
      </c>
      <c r="F20" s="837"/>
      <c r="G20" s="838"/>
      <c r="H20" s="837"/>
      <c r="I20" s="837"/>
      <c r="J20" s="837"/>
      <c r="K20" s="837"/>
      <c r="L20" s="839">
        <v>12</v>
      </c>
      <c r="M20" s="840" t="e">
        <f>+#REF!</f>
        <v>#REF!</v>
      </c>
      <c r="N20" s="839">
        <f t="shared" si="1"/>
        <v>44000</v>
      </c>
      <c r="O20" s="841">
        <f t="shared" ref="O20:Z20" si="4">+O150</f>
        <v>0</v>
      </c>
      <c r="P20" s="841">
        <f t="shared" si="4"/>
        <v>0</v>
      </c>
      <c r="Q20" s="841">
        <f t="shared" si="4"/>
        <v>11000</v>
      </c>
      <c r="R20" s="841">
        <f t="shared" si="4"/>
        <v>0</v>
      </c>
      <c r="S20" s="841">
        <f t="shared" si="4"/>
        <v>0</v>
      </c>
      <c r="T20" s="841">
        <f t="shared" si="4"/>
        <v>11000</v>
      </c>
      <c r="U20" s="841">
        <f t="shared" si="4"/>
        <v>0</v>
      </c>
      <c r="V20" s="841">
        <f t="shared" si="4"/>
        <v>0</v>
      </c>
      <c r="W20" s="841">
        <f t="shared" si="4"/>
        <v>11000</v>
      </c>
      <c r="X20" s="841">
        <f t="shared" si="4"/>
        <v>0</v>
      </c>
      <c r="Y20" s="841">
        <f t="shared" si="4"/>
        <v>0</v>
      </c>
      <c r="Z20" s="841">
        <f t="shared" si="4"/>
        <v>11000</v>
      </c>
    </row>
    <row r="21" spans="1:26" ht="15" x14ac:dyDescent="0.25">
      <c r="A21" s="833" t="s">
        <v>831</v>
      </c>
      <c r="B21" s="833" t="s">
        <v>1297</v>
      </c>
      <c r="C21" s="833" t="s">
        <v>1298</v>
      </c>
      <c r="D21" s="834" t="s">
        <v>1299</v>
      </c>
      <c r="E21" s="812" t="s">
        <v>206</v>
      </c>
      <c r="F21" s="831"/>
      <c r="G21" s="831"/>
      <c r="H21" s="831"/>
      <c r="I21" s="831"/>
      <c r="J21" s="831"/>
      <c r="K21" s="831"/>
      <c r="L21" s="813">
        <v>12</v>
      </c>
      <c r="M21" s="814">
        <f>+M151</f>
        <v>0</v>
      </c>
      <c r="N21" s="813">
        <f t="shared" si="1"/>
        <v>0</v>
      </c>
      <c r="O21" s="835">
        <f t="shared" ref="O21:Z21" si="5">+O158</f>
        <v>0</v>
      </c>
      <c r="P21" s="835">
        <f t="shared" si="5"/>
        <v>0</v>
      </c>
      <c r="Q21" s="835">
        <f t="shared" si="5"/>
        <v>0</v>
      </c>
      <c r="R21" s="835">
        <f t="shared" si="5"/>
        <v>0</v>
      </c>
      <c r="S21" s="835">
        <f t="shared" si="5"/>
        <v>0</v>
      </c>
      <c r="T21" s="835">
        <f t="shared" si="5"/>
        <v>0</v>
      </c>
      <c r="U21" s="835">
        <f t="shared" si="5"/>
        <v>0</v>
      </c>
      <c r="V21" s="835">
        <f t="shared" si="5"/>
        <v>0</v>
      </c>
      <c r="W21" s="835">
        <f t="shared" si="5"/>
        <v>0</v>
      </c>
      <c r="X21" s="835">
        <f t="shared" si="5"/>
        <v>0</v>
      </c>
      <c r="Y21" s="835">
        <f t="shared" si="5"/>
        <v>0</v>
      </c>
      <c r="Z21" s="835">
        <f t="shared" si="5"/>
        <v>0</v>
      </c>
    </row>
    <row r="22" spans="1:26" ht="15" x14ac:dyDescent="0.25">
      <c r="A22" s="833" t="s">
        <v>835</v>
      </c>
      <c r="B22" s="833" t="s">
        <v>1300</v>
      </c>
      <c r="C22" s="833" t="s">
        <v>952</v>
      </c>
      <c r="D22" s="834" t="s">
        <v>953</v>
      </c>
      <c r="E22" s="812" t="s">
        <v>206</v>
      </c>
      <c r="F22" s="831"/>
      <c r="G22" s="831"/>
      <c r="H22" s="831"/>
      <c r="I22" s="831"/>
      <c r="J22" s="831"/>
      <c r="K22" s="831"/>
      <c r="L22" s="813">
        <v>12</v>
      </c>
      <c r="M22" s="814">
        <v>0</v>
      </c>
      <c r="N22" s="813">
        <f t="shared" si="1"/>
        <v>0</v>
      </c>
      <c r="O22" s="835">
        <f t="shared" ref="O22:Z22" si="6">+O162</f>
        <v>0</v>
      </c>
      <c r="P22" s="835">
        <f t="shared" si="6"/>
        <v>0</v>
      </c>
      <c r="Q22" s="835">
        <f t="shared" si="6"/>
        <v>0</v>
      </c>
      <c r="R22" s="835">
        <f t="shared" si="6"/>
        <v>0</v>
      </c>
      <c r="S22" s="835">
        <f t="shared" si="6"/>
        <v>0</v>
      </c>
      <c r="T22" s="835">
        <f t="shared" si="6"/>
        <v>0</v>
      </c>
      <c r="U22" s="835">
        <f t="shared" si="6"/>
        <v>0</v>
      </c>
      <c r="V22" s="835">
        <f t="shared" si="6"/>
        <v>0</v>
      </c>
      <c r="W22" s="835">
        <f t="shared" si="6"/>
        <v>0</v>
      </c>
      <c r="X22" s="835">
        <f t="shared" si="6"/>
        <v>0</v>
      </c>
      <c r="Y22" s="835">
        <f t="shared" si="6"/>
        <v>0</v>
      </c>
      <c r="Z22" s="835">
        <f t="shared" si="6"/>
        <v>0</v>
      </c>
    </row>
    <row r="23" spans="1:26" ht="15" x14ac:dyDescent="0.25">
      <c r="A23" s="833" t="s">
        <v>839</v>
      </c>
      <c r="B23" s="833" t="s">
        <v>1301</v>
      </c>
      <c r="C23" s="833" t="s">
        <v>935</v>
      </c>
      <c r="D23" s="834" t="s">
        <v>1302</v>
      </c>
      <c r="E23" s="812" t="s">
        <v>206</v>
      </c>
      <c r="F23" s="831"/>
      <c r="G23" s="831"/>
      <c r="H23" s="831"/>
      <c r="I23" s="831"/>
      <c r="J23" s="831"/>
      <c r="K23" s="831"/>
      <c r="L23" s="813">
        <v>12</v>
      </c>
      <c r="M23" s="814">
        <f t="shared" ref="M23:M24" si="7">+M153</f>
        <v>0</v>
      </c>
      <c r="N23" s="813">
        <f t="shared" si="1"/>
        <v>1115200</v>
      </c>
      <c r="O23" s="835">
        <f t="shared" ref="O23:Z23" si="8">+O172</f>
        <v>0</v>
      </c>
      <c r="P23" s="835">
        <f t="shared" si="8"/>
        <v>0</v>
      </c>
      <c r="Q23" s="835">
        <f t="shared" si="8"/>
        <v>0</v>
      </c>
      <c r="R23" s="835">
        <f t="shared" si="8"/>
        <v>0</v>
      </c>
      <c r="S23" s="835">
        <f t="shared" si="8"/>
        <v>0</v>
      </c>
      <c r="T23" s="835">
        <f t="shared" si="8"/>
        <v>0</v>
      </c>
      <c r="U23" s="835">
        <f t="shared" si="8"/>
        <v>0</v>
      </c>
      <c r="V23" s="835">
        <f t="shared" si="8"/>
        <v>0</v>
      </c>
      <c r="W23" s="835">
        <f t="shared" si="8"/>
        <v>0</v>
      </c>
      <c r="X23" s="835">
        <f t="shared" si="8"/>
        <v>0</v>
      </c>
      <c r="Y23" s="835">
        <f t="shared" si="8"/>
        <v>0</v>
      </c>
      <c r="Z23" s="835">
        <f t="shared" si="8"/>
        <v>1115200</v>
      </c>
    </row>
    <row r="24" spans="1:26" ht="15" customHeight="1" x14ac:dyDescent="0.25">
      <c r="A24" s="833" t="s">
        <v>841</v>
      </c>
      <c r="B24" s="833" t="s">
        <v>1303</v>
      </c>
      <c r="C24" s="833" t="s">
        <v>1304</v>
      </c>
      <c r="D24" s="834" t="s">
        <v>1305</v>
      </c>
      <c r="E24" s="812" t="s">
        <v>206</v>
      </c>
      <c r="F24" s="831"/>
      <c r="G24" s="831"/>
      <c r="H24" s="831"/>
      <c r="I24" s="831"/>
      <c r="J24" s="831"/>
      <c r="K24" s="831"/>
      <c r="L24" s="813">
        <v>12</v>
      </c>
      <c r="M24" s="814">
        <f t="shared" si="7"/>
        <v>0</v>
      </c>
      <c r="N24" s="813">
        <f t="shared" si="1"/>
        <v>1846435.0080000001</v>
      </c>
      <c r="O24" s="835">
        <f t="shared" ref="O24:Z24" si="9">+O178</f>
        <v>0</v>
      </c>
      <c r="P24" s="835">
        <f t="shared" si="9"/>
        <v>0</v>
      </c>
      <c r="Q24" s="835">
        <f t="shared" si="9"/>
        <v>0</v>
      </c>
      <c r="R24" s="835">
        <f t="shared" si="9"/>
        <v>0</v>
      </c>
      <c r="S24" s="835">
        <f t="shared" si="9"/>
        <v>0</v>
      </c>
      <c r="T24" s="835">
        <f t="shared" si="9"/>
        <v>1846435.0080000001</v>
      </c>
      <c r="U24" s="835">
        <f t="shared" si="9"/>
        <v>0</v>
      </c>
      <c r="V24" s="835">
        <f t="shared" si="9"/>
        <v>0</v>
      </c>
      <c r="W24" s="835">
        <f t="shared" si="9"/>
        <v>0</v>
      </c>
      <c r="X24" s="835">
        <f t="shared" si="9"/>
        <v>0</v>
      </c>
      <c r="Y24" s="835">
        <f t="shared" si="9"/>
        <v>0</v>
      </c>
      <c r="Z24" s="835">
        <f t="shared" si="9"/>
        <v>0</v>
      </c>
    </row>
    <row r="25" spans="1:26" ht="15" x14ac:dyDescent="0.25">
      <c r="A25" s="833" t="s">
        <v>844</v>
      </c>
      <c r="B25" s="833" t="s">
        <v>1306</v>
      </c>
      <c r="C25" s="833" t="s">
        <v>1307</v>
      </c>
      <c r="D25" s="834" t="s">
        <v>1308</v>
      </c>
      <c r="E25" s="812" t="s">
        <v>206</v>
      </c>
      <c r="F25" s="831"/>
      <c r="G25" s="831"/>
      <c r="H25" s="831"/>
      <c r="I25" s="831"/>
      <c r="J25" s="831"/>
      <c r="K25" s="831"/>
      <c r="L25" s="813">
        <v>12</v>
      </c>
      <c r="M25" s="814">
        <f t="shared" ref="M25:M27" si="10">+M156</f>
        <v>0</v>
      </c>
      <c r="N25" s="813">
        <f t="shared" si="1"/>
        <v>15777809.4</v>
      </c>
      <c r="O25" s="835">
        <f t="shared" ref="O25:Z25" si="11">+O200</f>
        <v>725330.4</v>
      </c>
      <c r="P25" s="835">
        <f t="shared" si="11"/>
        <v>0</v>
      </c>
      <c r="Q25" s="835">
        <f t="shared" si="11"/>
        <v>0</v>
      </c>
      <c r="R25" s="835">
        <f t="shared" si="11"/>
        <v>12282142.08</v>
      </c>
      <c r="S25" s="835">
        <f t="shared" si="11"/>
        <v>0</v>
      </c>
      <c r="T25" s="835">
        <f t="shared" si="11"/>
        <v>2770336.92</v>
      </c>
      <c r="U25" s="835">
        <f t="shared" si="11"/>
        <v>0</v>
      </c>
      <c r="V25" s="835">
        <f t="shared" si="11"/>
        <v>0</v>
      </c>
      <c r="W25" s="835">
        <f t="shared" si="11"/>
        <v>0</v>
      </c>
      <c r="X25" s="835">
        <f t="shared" si="11"/>
        <v>0</v>
      </c>
      <c r="Y25" s="835">
        <f t="shared" si="11"/>
        <v>0</v>
      </c>
      <c r="Z25" s="835">
        <f t="shared" si="11"/>
        <v>0</v>
      </c>
    </row>
    <row r="26" spans="1:26" ht="15" x14ac:dyDescent="0.25">
      <c r="A26" s="833" t="s">
        <v>848</v>
      </c>
      <c r="B26" s="833" t="s">
        <v>1492</v>
      </c>
      <c r="C26" s="833" t="s">
        <v>1493</v>
      </c>
      <c r="D26" s="834" t="s">
        <v>1494</v>
      </c>
      <c r="E26" s="812" t="s">
        <v>206</v>
      </c>
      <c r="F26" s="831"/>
      <c r="G26" s="831"/>
      <c r="H26" s="831"/>
      <c r="I26" s="831"/>
      <c r="J26" s="831"/>
      <c r="K26" s="831"/>
      <c r="L26" s="813">
        <v>12</v>
      </c>
      <c r="M26" s="814">
        <f t="shared" si="10"/>
        <v>0</v>
      </c>
      <c r="N26" s="813">
        <f t="shared" si="1"/>
        <v>8518132.0800000001</v>
      </c>
      <c r="O26" s="835">
        <f t="shared" ref="O26:Z26" si="12">+O209</f>
        <v>2400000</v>
      </c>
      <c r="P26" s="835">
        <f t="shared" si="12"/>
        <v>24000</v>
      </c>
      <c r="Q26" s="835">
        <f t="shared" si="12"/>
        <v>0</v>
      </c>
      <c r="R26" s="835">
        <f t="shared" si="12"/>
        <v>6022132.0800000001</v>
      </c>
      <c r="S26" s="835">
        <f t="shared" si="12"/>
        <v>0</v>
      </c>
      <c r="T26" s="835">
        <f t="shared" si="12"/>
        <v>0</v>
      </c>
      <c r="U26" s="835">
        <f t="shared" si="12"/>
        <v>24000</v>
      </c>
      <c r="V26" s="835">
        <f t="shared" si="12"/>
        <v>0</v>
      </c>
      <c r="W26" s="835">
        <f t="shared" si="12"/>
        <v>0</v>
      </c>
      <c r="X26" s="835">
        <f t="shared" si="12"/>
        <v>24000</v>
      </c>
      <c r="Y26" s="835">
        <f t="shared" si="12"/>
        <v>0</v>
      </c>
      <c r="Z26" s="835">
        <f t="shared" si="12"/>
        <v>24000</v>
      </c>
    </row>
    <row r="27" spans="1:26" ht="15" x14ac:dyDescent="0.25">
      <c r="A27" s="833" t="s">
        <v>110</v>
      </c>
      <c r="B27" s="833" t="s">
        <v>31</v>
      </c>
      <c r="C27" s="833" t="s">
        <v>1495</v>
      </c>
      <c r="D27" s="834" t="s">
        <v>1496</v>
      </c>
      <c r="E27" s="812" t="s">
        <v>206</v>
      </c>
      <c r="F27" s="831"/>
      <c r="G27" s="831"/>
      <c r="H27" s="831"/>
      <c r="I27" s="831"/>
      <c r="J27" s="831"/>
      <c r="K27" s="831"/>
      <c r="L27" s="813">
        <v>12</v>
      </c>
      <c r="M27" s="814">
        <f t="shared" si="10"/>
        <v>0</v>
      </c>
      <c r="N27" s="813">
        <f t="shared" si="1"/>
        <v>2869992.6800003275</v>
      </c>
      <c r="O27" s="835">
        <f>+O216</f>
        <v>169112.06115557684</v>
      </c>
      <c r="P27" s="835">
        <f t="shared" ref="P27:Z27" si="13">+P216</f>
        <v>169112.06115557684</v>
      </c>
      <c r="Q27" s="835">
        <f t="shared" si="13"/>
        <v>169112.06115557684</v>
      </c>
      <c r="R27" s="835">
        <f t="shared" si="13"/>
        <v>226778.39270539695</v>
      </c>
      <c r="S27" s="835">
        <f t="shared" si="13"/>
        <v>226778.39270539695</v>
      </c>
      <c r="T27" s="835">
        <f t="shared" si="13"/>
        <v>226778.39270539695</v>
      </c>
      <c r="U27" s="835">
        <f t="shared" si="13"/>
        <v>260321.1494862581</v>
      </c>
      <c r="V27" s="835">
        <f t="shared" si="13"/>
        <v>260321.1494862581</v>
      </c>
      <c r="W27" s="835">
        <f t="shared" si="13"/>
        <v>260321.1494862581</v>
      </c>
      <c r="X27" s="835">
        <f t="shared" si="13"/>
        <v>300452.62331954378</v>
      </c>
      <c r="Y27" s="835">
        <f t="shared" si="13"/>
        <v>300452.62331954378</v>
      </c>
      <c r="Z27" s="835">
        <f t="shared" si="13"/>
        <v>300452.62331954378</v>
      </c>
    </row>
    <row r="28" spans="1:26" ht="15" x14ac:dyDescent="0.25">
      <c r="A28" s="833" t="s">
        <v>1497</v>
      </c>
      <c r="B28" s="833" t="s">
        <v>32</v>
      </c>
      <c r="C28" s="833" t="s">
        <v>94</v>
      </c>
      <c r="D28" s="834" t="s">
        <v>830</v>
      </c>
      <c r="E28" s="812" t="s">
        <v>209</v>
      </c>
      <c r="F28" s="831"/>
      <c r="G28" s="831"/>
      <c r="H28" s="831"/>
      <c r="I28" s="831"/>
      <c r="J28" s="831"/>
      <c r="K28" s="831"/>
      <c r="L28" s="813">
        <v>12</v>
      </c>
      <c r="M28" s="814">
        <f t="shared" ref="M28" si="14">+M157</f>
        <v>0</v>
      </c>
      <c r="N28" s="813">
        <f t="shared" si="1"/>
        <v>40000</v>
      </c>
      <c r="O28" s="835">
        <f t="shared" ref="O28:Z28" si="15">+O220</f>
        <v>0</v>
      </c>
      <c r="P28" s="835">
        <f t="shared" si="15"/>
        <v>0</v>
      </c>
      <c r="Q28" s="835">
        <f t="shared" si="15"/>
        <v>0</v>
      </c>
      <c r="R28" s="835">
        <f t="shared" si="15"/>
        <v>10000</v>
      </c>
      <c r="S28" s="835">
        <f t="shared" si="15"/>
        <v>0</v>
      </c>
      <c r="T28" s="835">
        <f t="shared" si="15"/>
        <v>10000</v>
      </c>
      <c r="U28" s="835">
        <f t="shared" si="15"/>
        <v>0</v>
      </c>
      <c r="V28" s="835">
        <f t="shared" si="15"/>
        <v>0</v>
      </c>
      <c r="W28" s="835">
        <f t="shared" si="15"/>
        <v>10000</v>
      </c>
      <c r="X28" s="835">
        <f t="shared" si="15"/>
        <v>0</v>
      </c>
      <c r="Y28" s="835">
        <f t="shared" si="15"/>
        <v>10000</v>
      </c>
      <c r="Z28" s="835">
        <f t="shared" si="15"/>
        <v>0</v>
      </c>
    </row>
    <row r="29" spans="1:26" ht="15" x14ac:dyDescent="0.25">
      <c r="A29" s="833"/>
      <c r="B29" s="833"/>
      <c r="C29" s="833"/>
      <c r="D29" s="834"/>
      <c r="E29" s="813"/>
      <c r="F29" s="831"/>
      <c r="G29" s="831"/>
      <c r="H29" s="831"/>
      <c r="I29" s="831"/>
      <c r="J29" s="831"/>
      <c r="K29" s="831"/>
      <c r="L29" s="813"/>
      <c r="M29" s="831"/>
      <c r="N29" s="843"/>
      <c r="O29" s="843" t="s">
        <v>5</v>
      </c>
      <c r="P29" s="843"/>
      <c r="Q29" s="843"/>
      <c r="R29" s="843"/>
      <c r="S29" s="843"/>
      <c r="T29" s="843"/>
      <c r="U29" s="843"/>
      <c r="V29" s="843"/>
      <c r="W29" s="843"/>
      <c r="X29" s="843"/>
      <c r="Y29" s="843"/>
      <c r="Z29" s="843"/>
    </row>
    <row r="30" spans="1:26" ht="15" x14ac:dyDescent="0.25">
      <c r="A30" s="844"/>
      <c r="B30" s="845"/>
      <c r="C30" s="845"/>
      <c r="D30" s="846"/>
      <c r="E30" s="847"/>
      <c r="F30" s="847"/>
      <c r="G30" s="847"/>
      <c r="H30" s="847"/>
      <c r="I30" s="847"/>
      <c r="J30" s="848" t="s">
        <v>20</v>
      </c>
      <c r="K30" s="849"/>
      <c r="L30" s="830">
        <v>12</v>
      </c>
      <c r="M30" s="830" t="e">
        <f>SUM(M2:M29)</f>
        <v>#REF!</v>
      </c>
      <c r="N30" s="830">
        <f>SUM(N17:N29)</f>
        <v>32773780.901470914</v>
      </c>
      <c r="O30" s="830">
        <f t="shared" ref="O30:Z30" si="16">SUM(O17:O29)</f>
        <v>3376406.2449791064</v>
      </c>
      <c r="P30" s="830">
        <f t="shared" si="16"/>
        <v>279670.73468498507</v>
      </c>
      <c r="Q30" s="830">
        <f t="shared" si="16"/>
        <v>1493600.4181555775</v>
      </c>
      <c r="R30" s="830">
        <f t="shared" si="16"/>
        <v>18668304.942411277</v>
      </c>
      <c r="S30" s="830">
        <f t="shared" si="16"/>
        <v>329028.76035245578</v>
      </c>
      <c r="T30" s="830">
        <f t="shared" si="16"/>
        <v>4997030.1001171609</v>
      </c>
      <c r="U30" s="830">
        <f t="shared" si="16"/>
        <v>451825.9288980228</v>
      </c>
      <c r="V30" s="830">
        <f t="shared" si="16"/>
        <v>334240.63478037575</v>
      </c>
      <c r="W30" s="830">
        <f t="shared" si="16"/>
        <v>425056.44360390521</v>
      </c>
      <c r="X30" s="830">
        <f t="shared" si="16"/>
        <v>403853.54243719083</v>
      </c>
      <c r="Y30" s="830">
        <f t="shared" si="16"/>
        <v>455620.08655483788</v>
      </c>
      <c r="Z30" s="830">
        <f t="shared" si="16"/>
        <v>1559143.0644960143</v>
      </c>
    </row>
    <row r="31" spans="1:26" ht="6.75" customHeight="1" x14ac:dyDescent="0.25">
      <c r="A31" s="846"/>
      <c r="B31" s="846"/>
      <c r="C31" s="846"/>
      <c r="D31" s="846"/>
      <c r="E31" s="846"/>
      <c r="F31" s="846"/>
      <c r="G31" s="846"/>
      <c r="H31" s="846"/>
      <c r="I31" s="846"/>
      <c r="J31" s="846"/>
      <c r="K31" s="846"/>
    </row>
    <row r="32" spans="1:26" ht="18" x14ac:dyDescent="0.25">
      <c r="A32" s="825" t="s">
        <v>33</v>
      </c>
      <c r="B32" s="825"/>
      <c r="C32" s="826"/>
      <c r="D32" s="826"/>
      <c r="E32" s="824"/>
      <c r="F32" s="824"/>
      <c r="G32" s="824"/>
      <c r="H32" s="827"/>
      <c r="I32" s="827"/>
      <c r="J32" s="824"/>
      <c r="K32" s="824"/>
      <c r="L32" s="824"/>
      <c r="M32" s="824"/>
      <c r="N32" s="824"/>
      <c r="O32" s="824" t="s">
        <v>5</v>
      </c>
      <c r="P32" s="824"/>
      <c r="Q32" s="824"/>
      <c r="R32" s="824"/>
      <c r="S32" s="824"/>
      <c r="T32" s="824"/>
      <c r="U32" s="824"/>
      <c r="V32" s="824"/>
      <c r="W32" s="824"/>
      <c r="X32" s="824"/>
      <c r="Y32" s="824"/>
      <c r="Z32" s="824"/>
    </row>
    <row r="33" spans="1:26" ht="15.75" x14ac:dyDescent="0.25">
      <c r="A33" s="828" t="s">
        <v>261</v>
      </c>
      <c r="B33" s="851" t="s">
        <v>13</v>
      </c>
      <c r="C33" s="851" t="s">
        <v>14</v>
      </c>
      <c r="D33" s="829" t="s">
        <v>15</v>
      </c>
      <c r="E33" s="831" t="s">
        <v>5</v>
      </c>
      <c r="F33" s="831" t="s">
        <v>5</v>
      </c>
      <c r="G33" s="831" t="s">
        <v>5</v>
      </c>
      <c r="H33" s="831"/>
      <c r="I33" s="831"/>
      <c r="J33" s="831"/>
      <c r="K33" s="831" t="s">
        <v>5</v>
      </c>
      <c r="L33" s="852" t="s">
        <v>287</v>
      </c>
      <c r="M33" s="831"/>
      <c r="N33" s="843"/>
      <c r="O33" s="843" t="s">
        <v>5</v>
      </c>
      <c r="P33" s="843"/>
      <c r="Q33" s="843"/>
      <c r="R33" s="843"/>
      <c r="S33" s="843"/>
      <c r="T33" s="843"/>
      <c r="U33" s="843"/>
      <c r="V33" s="843"/>
      <c r="W33" s="843"/>
      <c r="X33" s="843"/>
      <c r="Y33" s="843"/>
      <c r="Z33" s="843"/>
    </row>
    <row r="34" spans="1:26" ht="17.45" customHeight="1" x14ac:dyDescent="0.25">
      <c r="A34" s="853" t="s">
        <v>1565</v>
      </c>
      <c r="B34" s="853"/>
      <c r="C34" s="854"/>
      <c r="D34" s="854"/>
      <c r="E34" s="855"/>
      <c r="F34" s="855"/>
      <c r="G34" s="856"/>
      <c r="H34" s="855"/>
      <c r="I34" s="855"/>
      <c r="J34" s="855"/>
      <c r="K34" s="855"/>
      <c r="L34" s="855"/>
      <c r="M34" s="855"/>
      <c r="N34" s="855"/>
      <c r="O34" s="855" t="s">
        <v>5</v>
      </c>
      <c r="P34" s="855"/>
      <c r="Q34" s="855"/>
      <c r="R34" s="855"/>
      <c r="S34" s="855"/>
      <c r="T34" s="855"/>
      <c r="U34" s="855"/>
      <c r="V34" s="855"/>
      <c r="W34" s="855"/>
      <c r="X34" s="855"/>
      <c r="Y34" s="855"/>
      <c r="Z34" s="855"/>
    </row>
    <row r="35" spans="1:26" ht="15" x14ac:dyDescent="0.25">
      <c r="A35" s="833"/>
      <c r="B35" s="857"/>
      <c r="C35" s="857"/>
      <c r="D35" s="834"/>
      <c r="E35" s="989"/>
      <c r="F35" s="989"/>
      <c r="G35" s="989"/>
      <c r="H35" s="989"/>
      <c r="I35" s="989"/>
      <c r="J35" s="989"/>
      <c r="K35" s="990"/>
      <c r="L35" s="813"/>
      <c r="M35" s="831"/>
      <c r="N35" s="843"/>
      <c r="O35" s="843" t="s">
        <v>5</v>
      </c>
      <c r="P35" s="843"/>
      <c r="Q35" s="843"/>
      <c r="R35" s="843"/>
      <c r="S35" s="843"/>
      <c r="T35" s="843"/>
      <c r="U35" s="843"/>
      <c r="V35" s="843"/>
      <c r="W35" s="843"/>
      <c r="X35" s="843"/>
      <c r="Y35" s="843"/>
      <c r="Z35" s="843"/>
    </row>
    <row r="36" spans="1:26" ht="15" x14ac:dyDescent="0.25">
      <c r="A36" s="833"/>
      <c r="B36" s="857"/>
      <c r="C36" s="857"/>
      <c r="D36" s="834"/>
      <c r="E36" s="989"/>
      <c r="F36" s="989"/>
      <c r="G36" s="989"/>
      <c r="H36" s="989"/>
      <c r="I36" s="989"/>
      <c r="J36" s="989"/>
      <c r="K36" s="990"/>
      <c r="L36" s="813"/>
      <c r="M36" s="831"/>
      <c r="N36" s="843"/>
      <c r="O36" s="843" t="s">
        <v>5</v>
      </c>
      <c r="P36" s="843"/>
      <c r="Q36" s="843"/>
      <c r="R36" s="843"/>
      <c r="S36" s="843"/>
      <c r="T36" s="843"/>
      <c r="U36" s="843"/>
      <c r="V36" s="843"/>
      <c r="W36" s="843"/>
      <c r="X36" s="843"/>
      <c r="Y36" s="843"/>
      <c r="Z36" s="843"/>
    </row>
    <row r="37" spans="1:26" ht="17.45" customHeight="1" x14ac:dyDescent="0.25">
      <c r="A37" s="853" t="s">
        <v>1566</v>
      </c>
      <c r="B37" s="853"/>
      <c r="C37" s="854"/>
      <c r="D37" s="854"/>
      <c r="E37" s="855"/>
      <c r="F37" s="855"/>
      <c r="G37" s="856"/>
      <c r="H37" s="855"/>
      <c r="I37" s="855"/>
      <c r="J37" s="855"/>
      <c r="K37" s="855"/>
      <c r="L37" s="855"/>
      <c r="M37" s="855"/>
      <c r="N37" s="855"/>
      <c r="O37" s="855" t="s">
        <v>5</v>
      </c>
      <c r="P37" s="855"/>
      <c r="Q37" s="855"/>
      <c r="R37" s="855"/>
      <c r="S37" s="855"/>
      <c r="T37" s="855"/>
      <c r="U37" s="855"/>
      <c r="V37" s="855"/>
      <c r="W37" s="855"/>
      <c r="X37" s="855"/>
      <c r="Y37" s="855"/>
      <c r="Z37" s="855"/>
    </row>
    <row r="38" spans="1:26" ht="15" x14ac:dyDescent="0.25">
      <c r="A38" s="833"/>
      <c r="B38" s="857"/>
      <c r="C38" s="857"/>
      <c r="D38" s="834"/>
      <c r="E38" s="989"/>
      <c r="F38" s="989"/>
      <c r="G38" s="989"/>
      <c r="H38" s="989"/>
      <c r="I38" s="989"/>
      <c r="J38" s="989"/>
      <c r="K38" s="990"/>
      <c r="L38" s="813"/>
      <c r="M38" s="831"/>
      <c r="N38" s="843"/>
      <c r="O38" s="843" t="s">
        <v>5</v>
      </c>
      <c r="P38" s="843"/>
      <c r="Q38" s="843"/>
      <c r="R38" s="843"/>
      <c r="S38" s="843"/>
      <c r="T38" s="843"/>
      <c r="U38" s="843"/>
      <c r="V38" s="843"/>
      <c r="W38" s="843"/>
      <c r="X38" s="843"/>
      <c r="Y38" s="843"/>
      <c r="Z38" s="843"/>
    </row>
    <row r="39" spans="1:26" ht="15" x14ac:dyDescent="0.25">
      <c r="A39" s="833"/>
      <c r="B39" s="857"/>
      <c r="C39" s="857"/>
      <c r="D39" s="834"/>
      <c r="E39" s="989" t="s">
        <v>5</v>
      </c>
      <c r="F39" s="989" t="s">
        <v>5</v>
      </c>
      <c r="G39" s="989" t="s">
        <v>5</v>
      </c>
      <c r="H39" s="989"/>
      <c r="I39" s="989"/>
      <c r="J39" s="989"/>
      <c r="K39" s="990" t="s">
        <v>5</v>
      </c>
      <c r="L39" s="813"/>
      <c r="M39" s="831"/>
      <c r="N39" s="843"/>
      <c r="O39" s="843" t="s">
        <v>5</v>
      </c>
      <c r="P39" s="843"/>
      <c r="Q39" s="843"/>
      <c r="R39" s="843"/>
      <c r="S39" s="843"/>
      <c r="T39" s="843"/>
      <c r="U39" s="843"/>
      <c r="V39" s="843"/>
      <c r="W39" s="843"/>
      <c r="X39" s="843"/>
      <c r="Y39" s="843"/>
      <c r="Z39" s="843"/>
    </row>
    <row r="40" spans="1:26" ht="17.45" customHeight="1" x14ac:dyDescent="0.25">
      <c r="A40" s="853" t="str">
        <f>CONCATENATE(B19," ",C19)</f>
        <v xml:space="preserve">Objective 3.01 Legal/Consulting </v>
      </c>
      <c r="B40" s="853"/>
      <c r="C40" s="854"/>
      <c r="D40" s="854"/>
      <c r="E40" s="855"/>
      <c r="F40" s="855"/>
      <c r="G40" s="856"/>
      <c r="H40" s="855"/>
      <c r="I40" s="855"/>
      <c r="J40" s="855"/>
      <c r="K40" s="855"/>
      <c r="L40" s="855"/>
      <c r="M40" s="855"/>
      <c r="N40" s="855"/>
      <c r="O40" s="855" t="s">
        <v>5</v>
      </c>
      <c r="P40" s="855"/>
      <c r="Q40" s="855"/>
      <c r="R40" s="855"/>
      <c r="S40" s="855"/>
      <c r="T40" s="855"/>
      <c r="U40" s="855"/>
      <c r="V40" s="855"/>
      <c r="W40" s="855"/>
      <c r="X40" s="855"/>
      <c r="Y40" s="855"/>
      <c r="Z40" s="855"/>
    </row>
    <row r="41" spans="1:26" ht="15" x14ac:dyDescent="0.25">
      <c r="A41" s="833"/>
      <c r="B41" s="851"/>
      <c r="C41" s="857"/>
      <c r="D41" s="834"/>
      <c r="E41" s="989"/>
      <c r="F41" s="989"/>
      <c r="G41" s="989"/>
      <c r="H41" s="989"/>
      <c r="I41" s="989"/>
      <c r="J41" s="989"/>
      <c r="K41" s="990"/>
      <c r="L41" s="858"/>
      <c r="M41" s="831"/>
      <c r="N41" s="843"/>
      <c r="O41" s="843"/>
      <c r="P41" s="843"/>
      <c r="Q41" s="843"/>
      <c r="R41" s="843"/>
      <c r="S41" s="843"/>
      <c r="T41" s="843"/>
      <c r="U41" s="843"/>
      <c r="V41" s="843"/>
      <c r="W41" s="843"/>
      <c r="X41" s="843"/>
      <c r="Y41" s="843"/>
      <c r="Z41" s="843"/>
    </row>
    <row r="42" spans="1:26" ht="15" x14ac:dyDescent="0.25">
      <c r="A42" s="833"/>
      <c r="B42" s="857"/>
      <c r="C42" s="857"/>
      <c r="D42" s="834"/>
      <c r="E42" s="989" t="s">
        <v>5</v>
      </c>
      <c r="F42" s="989" t="s">
        <v>5</v>
      </c>
      <c r="G42" s="989" t="s">
        <v>5</v>
      </c>
      <c r="H42" s="989"/>
      <c r="I42" s="989"/>
      <c r="J42" s="989"/>
      <c r="K42" s="990" t="s">
        <v>5</v>
      </c>
      <c r="L42" s="813"/>
      <c r="M42" s="831"/>
      <c r="N42" s="843"/>
      <c r="O42" s="843" t="s">
        <v>5</v>
      </c>
      <c r="P42" s="843"/>
      <c r="Q42" s="843"/>
      <c r="R42" s="843"/>
      <c r="S42" s="843"/>
      <c r="T42" s="843"/>
      <c r="U42" s="843"/>
      <c r="V42" s="843"/>
      <c r="W42" s="843"/>
      <c r="X42" s="843"/>
      <c r="Y42" s="843"/>
      <c r="Z42" s="843"/>
    </row>
    <row r="43" spans="1:26" ht="17.45" customHeight="1" x14ac:dyDescent="0.25">
      <c r="A43" s="853" t="str">
        <f>CONCATENATE(B20," ",C20)</f>
        <v>Objective 3.02 Legal/Consulting Land Access</v>
      </c>
      <c r="B43" s="853"/>
      <c r="C43" s="854"/>
      <c r="D43" s="854"/>
      <c r="E43" s="855"/>
      <c r="F43" s="855"/>
      <c r="G43" s="856"/>
      <c r="H43" s="855"/>
      <c r="I43" s="855"/>
      <c r="J43" s="855"/>
      <c r="K43" s="855"/>
      <c r="L43" s="855"/>
      <c r="M43" s="855"/>
      <c r="N43" s="855"/>
      <c r="O43" s="855" t="s">
        <v>5</v>
      </c>
      <c r="P43" s="855"/>
      <c r="Q43" s="855"/>
      <c r="R43" s="855"/>
      <c r="S43" s="855"/>
      <c r="T43" s="855"/>
      <c r="U43" s="855"/>
      <c r="V43" s="855"/>
      <c r="W43" s="855"/>
      <c r="X43" s="855"/>
      <c r="Y43" s="855"/>
      <c r="Z43" s="855"/>
    </row>
    <row r="44" spans="1:26" ht="30" x14ac:dyDescent="0.25">
      <c r="A44" s="833" t="s">
        <v>831</v>
      </c>
      <c r="B44" s="851" t="s">
        <v>845</v>
      </c>
      <c r="C44" s="857" t="s">
        <v>846</v>
      </c>
      <c r="D44" s="834" t="s">
        <v>838</v>
      </c>
      <c r="E44" s="989" t="s">
        <v>5</v>
      </c>
      <c r="F44" s="989" t="s">
        <v>5</v>
      </c>
      <c r="G44" s="989" t="s">
        <v>5</v>
      </c>
      <c r="H44" s="989"/>
      <c r="I44" s="989"/>
      <c r="J44" s="989"/>
      <c r="K44" s="990" t="s">
        <v>5</v>
      </c>
      <c r="L44" s="858" t="s">
        <v>847</v>
      </c>
      <c r="M44" s="831"/>
      <c r="N44" s="843"/>
      <c r="O44" s="843" t="s">
        <v>5</v>
      </c>
      <c r="P44" s="843"/>
      <c r="Q44" s="843"/>
      <c r="R44" s="843"/>
      <c r="S44" s="843"/>
      <c r="T44" s="843"/>
      <c r="U44" s="843"/>
      <c r="V44" s="843"/>
      <c r="W44" s="843"/>
      <c r="X44" s="843"/>
      <c r="Y44" s="843"/>
      <c r="Z44" s="843"/>
    </row>
    <row r="45" spans="1:26" ht="30" x14ac:dyDescent="0.25">
      <c r="A45" s="833" t="s">
        <v>835</v>
      </c>
      <c r="B45" s="851" t="s">
        <v>849</v>
      </c>
      <c r="C45" s="857" t="s">
        <v>850</v>
      </c>
      <c r="D45" s="834" t="s">
        <v>838</v>
      </c>
      <c r="E45" s="989" t="s">
        <v>5</v>
      </c>
      <c r="F45" s="989" t="s">
        <v>5</v>
      </c>
      <c r="G45" s="989" t="s">
        <v>5</v>
      </c>
      <c r="H45" s="989"/>
      <c r="I45" s="989"/>
      <c r="J45" s="989"/>
      <c r="K45" s="990" t="s">
        <v>5</v>
      </c>
      <c r="L45" s="859" t="s">
        <v>113</v>
      </c>
      <c r="M45" s="831"/>
      <c r="N45" s="843"/>
      <c r="O45" s="843" t="s">
        <v>5</v>
      </c>
      <c r="P45" s="843"/>
      <c r="Q45" s="843"/>
      <c r="R45" s="843"/>
      <c r="S45" s="843"/>
      <c r="T45" s="843"/>
      <c r="U45" s="843"/>
      <c r="V45" s="843"/>
      <c r="W45" s="843"/>
      <c r="X45" s="843"/>
      <c r="Y45" s="843"/>
      <c r="Z45" s="843"/>
    </row>
    <row r="46" spans="1:26" ht="15" x14ac:dyDescent="0.25">
      <c r="A46" s="833"/>
      <c r="B46" s="857"/>
      <c r="C46" s="857"/>
      <c r="D46" s="834"/>
      <c r="E46" s="989" t="s">
        <v>5</v>
      </c>
      <c r="F46" s="989" t="s">
        <v>5</v>
      </c>
      <c r="G46" s="989" t="s">
        <v>5</v>
      </c>
      <c r="H46" s="989"/>
      <c r="I46" s="989"/>
      <c r="J46" s="989"/>
      <c r="K46" s="990" t="s">
        <v>5</v>
      </c>
      <c r="L46" s="813"/>
      <c r="M46" s="831"/>
      <c r="N46" s="843"/>
      <c r="O46" s="843" t="s">
        <v>5</v>
      </c>
      <c r="P46" s="843"/>
      <c r="Q46" s="843"/>
      <c r="R46" s="843"/>
      <c r="S46" s="843"/>
      <c r="T46" s="843"/>
      <c r="U46" s="843"/>
      <c r="V46" s="843"/>
      <c r="W46" s="843"/>
      <c r="X46" s="843"/>
      <c r="Y46" s="843"/>
      <c r="Z46" s="843"/>
    </row>
    <row r="47" spans="1:26" ht="18" x14ac:dyDescent="0.25">
      <c r="A47" s="853" t="s">
        <v>1567</v>
      </c>
      <c r="B47" s="853"/>
      <c r="C47" s="854"/>
      <c r="D47" s="854"/>
      <c r="E47" s="855"/>
      <c r="F47" s="855"/>
      <c r="G47" s="856"/>
      <c r="H47" s="855"/>
      <c r="I47" s="855"/>
      <c r="J47" s="855"/>
      <c r="K47" s="855"/>
      <c r="L47" s="855"/>
      <c r="M47" s="855"/>
      <c r="N47" s="855"/>
      <c r="O47" s="855" t="s">
        <v>5</v>
      </c>
      <c r="P47" s="855"/>
      <c r="Q47" s="855"/>
      <c r="R47" s="855"/>
      <c r="S47" s="855"/>
      <c r="T47" s="855"/>
      <c r="U47" s="855"/>
      <c r="V47" s="855"/>
      <c r="W47" s="855"/>
      <c r="X47" s="855"/>
      <c r="Y47" s="855"/>
      <c r="Z47" s="855"/>
    </row>
    <row r="48" spans="1:26" ht="14.25" customHeight="1" x14ac:dyDescent="0.25">
      <c r="A48" s="833"/>
      <c r="B48" s="857"/>
      <c r="C48" s="857"/>
      <c r="D48" s="834"/>
      <c r="E48" s="989" t="s">
        <v>5</v>
      </c>
      <c r="F48" s="989" t="s">
        <v>5</v>
      </c>
      <c r="G48" s="989" t="s">
        <v>5</v>
      </c>
      <c r="H48" s="989"/>
      <c r="I48" s="989"/>
      <c r="J48" s="989"/>
      <c r="K48" s="990" t="s">
        <v>5</v>
      </c>
      <c r="L48" s="813"/>
      <c r="M48" s="831"/>
      <c r="N48" s="843"/>
      <c r="O48" s="843" t="s">
        <v>5</v>
      </c>
      <c r="P48" s="843"/>
      <c r="Q48" s="843"/>
      <c r="R48" s="843"/>
      <c r="S48" s="843"/>
      <c r="T48" s="843"/>
      <c r="U48" s="843"/>
      <c r="V48" s="843"/>
      <c r="W48" s="843"/>
      <c r="X48" s="843"/>
      <c r="Y48" s="843"/>
      <c r="Z48" s="843"/>
    </row>
    <row r="49" spans="1:26" ht="17.45" customHeight="1" outlineLevel="1" x14ac:dyDescent="0.25">
      <c r="A49" s="853" t="s">
        <v>1568</v>
      </c>
      <c r="B49" s="853"/>
      <c r="C49" s="854"/>
      <c r="D49" s="854"/>
      <c r="E49" s="855"/>
      <c r="F49" s="855"/>
      <c r="G49" s="856"/>
      <c r="H49" s="855"/>
      <c r="I49" s="855"/>
      <c r="J49" s="855"/>
      <c r="K49" s="855"/>
      <c r="L49" s="855"/>
      <c r="M49" s="855"/>
      <c r="N49" s="855"/>
      <c r="O49" s="855" t="s">
        <v>5</v>
      </c>
      <c r="P49" s="855"/>
      <c r="Q49" s="855"/>
      <c r="R49" s="855"/>
      <c r="S49" s="855"/>
      <c r="T49" s="855"/>
      <c r="U49" s="855"/>
      <c r="V49" s="855"/>
      <c r="W49" s="855"/>
      <c r="X49" s="855"/>
      <c r="Y49" s="855"/>
      <c r="Z49" s="855"/>
    </row>
    <row r="50" spans="1:26" ht="15" outlineLevel="1" x14ac:dyDescent="0.25">
      <c r="A50" s="833"/>
      <c r="B50" s="857"/>
      <c r="C50" s="857"/>
      <c r="D50" s="834"/>
      <c r="E50" s="989" t="s">
        <v>5</v>
      </c>
      <c r="F50" s="989" t="s">
        <v>5</v>
      </c>
      <c r="G50" s="989" t="s">
        <v>5</v>
      </c>
      <c r="H50" s="989"/>
      <c r="I50" s="989"/>
      <c r="J50" s="989"/>
      <c r="K50" s="990" t="s">
        <v>5</v>
      </c>
      <c r="L50" s="813"/>
      <c r="M50" s="831"/>
      <c r="N50" s="843"/>
      <c r="O50" s="843" t="s">
        <v>5</v>
      </c>
      <c r="P50" s="843"/>
      <c r="Q50" s="843"/>
      <c r="R50" s="843"/>
      <c r="S50" s="843"/>
      <c r="T50" s="843"/>
      <c r="U50" s="843"/>
      <c r="V50" s="843"/>
      <c r="W50" s="843"/>
      <c r="X50" s="843"/>
      <c r="Y50" s="843"/>
      <c r="Z50" s="843"/>
    </row>
    <row r="51" spans="1:26" ht="17.45" customHeight="1" outlineLevel="1" x14ac:dyDescent="0.25">
      <c r="A51" s="853" t="s">
        <v>1569</v>
      </c>
      <c r="B51" s="853"/>
      <c r="C51" s="854"/>
      <c r="D51" s="854"/>
      <c r="E51" s="855"/>
      <c r="F51" s="855"/>
      <c r="G51" s="856"/>
      <c r="H51" s="855"/>
      <c r="I51" s="855"/>
      <c r="J51" s="855"/>
      <c r="K51" s="855"/>
      <c r="L51" s="855"/>
      <c r="M51" s="855"/>
      <c r="N51" s="855"/>
      <c r="O51" s="855" t="s">
        <v>5</v>
      </c>
      <c r="P51" s="855"/>
      <c r="Q51" s="855"/>
      <c r="R51" s="855"/>
      <c r="S51" s="855"/>
      <c r="T51" s="855"/>
      <c r="U51" s="855"/>
      <c r="V51" s="855"/>
      <c r="W51" s="855"/>
      <c r="X51" s="855"/>
      <c r="Y51" s="855"/>
      <c r="Z51" s="855"/>
    </row>
    <row r="52" spans="1:26" ht="15" outlineLevel="1" x14ac:dyDescent="0.25">
      <c r="A52" s="833"/>
      <c r="B52" s="857"/>
      <c r="C52" s="857"/>
      <c r="D52" s="834"/>
      <c r="E52" s="989" t="s">
        <v>5</v>
      </c>
      <c r="F52" s="989" t="s">
        <v>5</v>
      </c>
      <c r="G52" s="989" t="s">
        <v>5</v>
      </c>
      <c r="H52" s="989"/>
      <c r="I52" s="989"/>
      <c r="J52" s="989"/>
      <c r="K52" s="990" t="s">
        <v>5</v>
      </c>
      <c r="L52" s="813"/>
      <c r="M52" s="831"/>
      <c r="N52" s="843"/>
      <c r="O52" s="843" t="s">
        <v>5</v>
      </c>
      <c r="P52" s="843"/>
      <c r="Q52" s="843"/>
      <c r="R52" s="843"/>
      <c r="S52" s="843"/>
      <c r="T52" s="843"/>
      <c r="U52" s="843"/>
      <c r="V52" s="843"/>
      <c r="W52" s="843"/>
      <c r="X52" s="843"/>
      <c r="Y52" s="843"/>
      <c r="Z52" s="843"/>
    </row>
    <row r="53" spans="1:26" ht="17.25" customHeight="1" outlineLevel="1" x14ac:dyDescent="0.25">
      <c r="A53" s="853" t="s">
        <v>1570</v>
      </c>
      <c r="B53" s="853"/>
      <c r="C53" s="854"/>
      <c r="D53" s="854"/>
      <c r="E53" s="855"/>
      <c r="F53" s="855"/>
      <c r="G53" s="856"/>
      <c r="H53" s="855"/>
      <c r="I53" s="855"/>
      <c r="J53" s="855"/>
      <c r="K53" s="855"/>
      <c r="L53" s="855"/>
      <c r="M53" s="855"/>
      <c r="N53" s="855"/>
      <c r="O53" s="855" t="s">
        <v>5</v>
      </c>
      <c r="P53" s="855"/>
      <c r="Q53" s="855"/>
      <c r="R53" s="855"/>
      <c r="S53" s="855"/>
      <c r="T53" s="855"/>
      <c r="U53" s="855"/>
      <c r="V53" s="855"/>
      <c r="W53" s="855"/>
      <c r="X53" s="855"/>
      <c r="Y53" s="855"/>
      <c r="Z53" s="855"/>
    </row>
    <row r="54" spans="1:26" ht="28.5" outlineLevel="1" x14ac:dyDescent="0.25">
      <c r="A54" s="833" t="s">
        <v>1498</v>
      </c>
      <c r="B54" s="851" t="s">
        <v>836</v>
      </c>
      <c r="C54" s="857" t="s">
        <v>1312</v>
      </c>
      <c r="D54" s="834" t="s">
        <v>838</v>
      </c>
      <c r="E54" s="989" t="s">
        <v>5</v>
      </c>
      <c r="F54" s="989" t="s">
        <v>5</v>
      </c>
      <c r="G54" s="989" t="s">
        <v>5</v>
      </c>
      <c r="H54" s="989"/>
      <c r="I54" s="989"/>
      <c r="J54" s="989"/>
      <c r="K54" s="990" t="s">
        <v>5</v>
      </c>
      <c r="L54" s="859" t="s">
        <v>148</v>
      </c>
      <c r="M54" s="831"/>
      <c r="N54" s="843"/>
      <c r="O54" s="843" t="s">
        <v>5</v>
      </c>
      <c r="P54" s="843"/>
      <c r="Q54" s="843"/>
      <c r="R54" s="843"/>
      <c r="S54" s="843"/>
      <c r="T54" s="843"/>
      <c r="U54" s="843"/>
      <c r="V54" s="843"/>
      <c r="W54" s="843"/>
      <c r="X54" s="843"/>
      <c r="Y54" s="843"/>
      <c r="Z54" s="843"/>
    </row>
    <row r="55" spans="1:26" ht="34.9" customHeight="1" outlineLevel="1" x14ac:dyDescent="0.25">
      <c r="A55" s="833" t="s">
        <v>1499</v>
      </c>
      <c r="B55" s="851" t="s">
        <v>842</v>
      </c>
      <c r="C55" s="857" t="s">
        <v>843</v>
      </c>
      <c r="D55" s="834" t="s">
        <v>838</v>
      </c>
      <c r="E55" s="989" t="s">
        <v>5</v>
      </c>
      <c r="F55" s="989" t="s">
        <v>5</v>
      </c>
      <c r="G55" s="989" t="s">
        <v>5</v>
      </c>
      <c r="H55" s="989"/>
      <c r="I55" s="989"/>
      <c r="J55" s="989"/>
      <c r="K55" s="990" t="s">
        <v>5</v>
      </c>
      <c r="L55" s="812" t="s">
        <v>197</v>
      </c>
      <c r="M55" s="831"/>
      <c r="N55" s="843"/>
      <c r="O55" s="843" t="s">
        <v>5</v>
      </c>
      <c r="P55" s="843"/>
      <c r="Q55" s="843"/>
      <c r="R55" s="843"/>
      <c r="S55" s="843"/>
      <c r="T55" s="843"/>
      <c r="U55" s="843"/>
      <c r="V55" s="843"/>
      <c r="W55" s="843"/>
      <c r="X55" s="843"/>
      <c r="Y55" s="843"/>
      <c r="Z55" s="843"/>
    </row>
    <row r="56" spans="1:26" ht="30" x14ac:dyDescent="0.25">
      <c r="A56" s="833" t="s">
        <v>1500</v>
      </c>
      <c r="B56" s="851" t="s">
        <v>1316</v>
      </c>
      <c r="C56" s="857" t="s">
        <v>1317</v>
      </c>
      <c r="D56" s="834" t="s">
        <v>1318</v>
      </c>
      <c r="E56" s="989" t="s">
        <v>5</v>
      </c>
      <c r="F56" s="989" t="s">
        <v>5</v>
      </c>
      <c r="G56" s="989" t="s">
        <v>5</v>
      </c>
      <c r="H56" s="989"/>
      <c r="I56" s="989"/>
      <c r="J56" s="989"/>
      <c r="K56" s="990" t="s">
        <v>5</v>
      </c>
      <c r="L56" s="812" t="s">
        <v>197</v>
      </c>
      <c r="M56" s="831"/>
      <c r="N56" s="843"/>
      <c r="O56" s="843" t="s">
        <v>5</v>
      </c>
      <c r="P56" s="843"/>
      <c r="Q56" s="843"/>
      <c r="R56" s="843"/>
      <c r="S56" s="843"/>
      <c r="T56" s="843"/>
      <c r="U56" s="843"/>
      <c r="V56" s="843"/>
      <c r="W56" s="843"/>
      <c r="X56" s="843"/>
      <c r="Y56" s="843"/>
      <c r="Z56" s="843"/>
    </row>
    <row r="57" spans="1:26" ht="27.6" customHeight="1" x14ac:dyDescent="0.25">
      <c r="A57" s="833" t="s">
        <v>1501</v>
      </c>
      <c r="B57" s="851" t="s">
        <v>1319</v>
      </c>
      <c r="C57" s="857" t="s">
        <v>1319</v>
      </c>
      <c r="D57" s="834" t="s">
        <v>1320</v>
      </c>
      <c r="E57" s="989" t="s">
        <v>5</v>
      </c>
      <c r="F57" s="989" t="s">
        <v>5</v>
      </c>
      <c r="G57" s="989" t="s">
        <v>5</v>
      </c>
      <c r="H57" s="989"/>
      <c r="I57" s="989"/>
      <c r="J57" s="989"/>
      <c r="K57" s="990" t="s">
        <v>5</v>
      </c>
      <c r="L57" s="812" t="s">
        <v>148</v>
      </c>
      <c r="M57" s="831"/>
      <c r="N57" s="843"/>
      <c r="O57" s="843" t="s">
        <v>5</v>
      </c>
      <c r="P57" s="843"/>
      <c r="Q57" s="843"/>
      <c r="R57" s="843"/>
      <c r="S57" s="843"/>
      <c r="T57" s="843"/>
      <c r="U57" s="843"/>
      <c r="V57" s="843"/>
      <c r="W57" s="843"/>
      <c r="X57" s="843"/>
      <c r="Y57" s="843"/>
      <c r="Z57" s="843"/>
    </row>
    <row r="58" spans="1:26" ht="27.6" customHeight="1" x14ac:dyDescent="0.25">
      <c r="A58" s="833" t="s">
        <v>1502</v>
      </c>
      <c r="B58" s="851" t="s">
        <v>1321</v>
      </c>
      <c r="C58" s="857" t="s">
        <v>1322</v>
      </c>
      <c r="D58" s="834" t="s">
        <v>1323</v>
      </c>
      <c r="E58" s="989" t="s">
        <v>5</v>
      </c>
      <c r="F58" s="989" t="s">
        <v>5</v>
      </c>
      <c r="G58" s="989" t="s">
        <v>5</v>
      </c>
      <c r="H58" s="989"/>
      <c r="I58" s="989"/>
      <c r="J58" s="989"/>
      <c r="K58" s="990" t="s">
        <v>5</v>
      </c>
      <c r="L58" s="812" t="s">
        <v>148</v>
      </c>
      <c r="M58" s="831"/>
      <c r="N58" s="843"/>
      <c r="O58" s="843" t="s">
        <v>5</v>
      </c>
      <c r="P58" s="843"/>
      <c r="Q58" s="843"/>
      <c r="R58" s="843"/>
      <c r="S58" s="843"/>
      <c r="T58" s="843"/>
      <c r="U58" s="843"/>
      <c r="V58" s="843"/>
      <c r="W58" s="843"/>
      <c r="X58" s="843"/>
      <c r="Y58" s="843"/>
      <c r="Z58" s="843"/>
    </row>
    <row r="59" spans="1:26" ht="22.9" customHeight="1" outlineLevel="1" x14ac:dyDescent="0.25">
      <c r="A59" s="833"/>
      <c r="B59" s="857"/>
      <c r="C59" s="857"/>
      <c r="D59" s="834"/>
      <c r="E59" s="989" t="s">
        <v>5</v>
      </c>
      <c r="F59" s="989" t="s">
        <v>5</v>
      </c>
      <c r="G59" s="989" t="s">
        <v>5</v>
      </c>
      <c r="H59" s="989"/>
      <c r="I59" s="989"/>
      <c r="J59" s="989"/>
      <c r="K59" s="990" t="s">
        <v>5</v>
      </c>
      <c r="L59" s="813"/>
      <c r="M59" s="831"/>
      <c r="N59" s="843"/>
      <c r="O59" s="843" t="s">
        <v>5</v>
      </c>
      <c r="P59" s="843"/>
      <c r="Q59" s="843"/>
      <c r="R59" s="843"/>
      <c r="S59" s="843"/>
      <c r="T59" s="843"/>
      <c r="U59" s="843"/>
      <c r="V59" s="843"/>
      <c r="W59" s="843"/>
      <c r="X59" s="843"/>
      <c r="Y59" s="843"/>
      <c r="Z59" s="843"/>
    </row>
    <row r="60" spans="1:26" ht="27.6" customHeight="1" outlineLevel="1" x14ac:dyDescent="0.25">
      <c r="A60" s="853" t="s">
        <v>1571</v>
      </c>
      <c r="B60" s="853"/>
      <c r="C60" s="854"/>
      <c r="D60" s="854"/>
      <c r="E60" s="855"/>
      <c r="F60" s="855"/>
      <c r="G60" s="856"/>
      <c r="H60" s="855"/>
      <c r="I60" s="855"/>
      <c r="J60" s="855"/>
      <c r="K60" s="855"/>
      <c r="L60" s="855"/>
      <c r="M60" s="855"/>
      <c r="N60" s="855"/>
      <c r="O60" s="855" t="s">
        <v>5</v>
      </c>
      <c r="P60" s="855"/>
      <c r="Q60" s="855"/>
      <c r="R60" s="855"/>
      <c r="S60" s="855"/>
      <c r="T60" s="855"/>
      <c r="U60" s="855"/>
      <c r="V60" s="855"/>
      <c r="W60" s="855"/>
      <c r="X60" s="855"/>
      <c r="Y60" s="855"/>
      <c r="Z60" s="855"/>
    </row>
    <row r="61" spans="1:26" ht="28.5" outlineLevel="1" x14ac:dyDescent="0.25">
      <c r="A61" s="833" t="s">
        <v>1503</v>
      </c>
      <c r="B61" s="851" t="s">
        <v>840</v>
      </c>
      <c r="C61" s="857" t="s">
        <v>840</v>
      </c>
      <c r="D61" s="834" t="s">
        <v>838</v>
      </c>
      <c r="E61" s="989" t="s">
        <v>5</v>
      </c>
      <c r="F61" s="989" t="s">
        <v>5</v>
      </c>
      <c r="G61" s="989" t="s">
        <v>5</v>
      </c>
      <c r="H61" s="989"/>
      <c r="I61" s="989"/>
      <c r="J61" s="989"/>
      <c r="K61" s="990" t="s">
        <v>5</v>
      </c>
      <c r="L61" s="812" t="s">
        <v>197</v>
      </c>
      <c r="M61" s="831"/>
      <c r="N61" s="843"/>
      <c r="O61" s="843" t="s">
        <v>5</v>
      </c>
      <c r="P61" s="843"/>
      <c r="Q61" s="843"/>
      <c r="R61" s="843"/>
      <c r="S61" s="843"/>
      <c r="T61" s="843"/>
      <c r="U61" s="843"/>
      <c r="V61" s="843"/>
      <c r="W61" s="843"/>
      <c r="X61" s="843"/>
      <c r="Y61" s="843"/>
      <c r="Z61" s="843"/>
    </row>
    <row r="62" spans="1:26" ht="30" outlineLevel="1" x14ac:dyDescent="0.25">
      <c r="A62" s="833" t="s">
        <v>1504</v>
      </c>
      <c r="B62" s="851" t="s">
        <v>1505</v>
      </c>
      <c r="C62" s="857" t="s">
        <v>1506</v>
      </c>
      <c r="D62" s="834" t="s">
        <v>838</v>
      </c>
      <c r="E62" s="860" t="s">
        <v>5</v>
      </c>
      <c r="F62" s="860" t="s">
        <v>5</v>
      </c>
      <c r="G62" s="861" t="s">
        <v>5</v>
      </c>
      <c r="H62" s="860"/>
      <c r="I62" s="860"/>
      <c r="J62" s="860"/>
      <c r="K62" s="862" t="s">
        <v>5</v>
      </c>
      <c r="L62" s="812" t="s">
        <v>113</v>
      </c>
      <c r="M62" s="863"/>
      <c r="N62" s="864"/>
      <c r="O62" s="864" t="s">
        <v>5</v>
      </c>
      <c r="P62" s="864"/>
      <c r="Q62" s="864"/>
      <c r="R62" s="864"/>
      <c r="S62" s="864"/>
      <c r="T62" s="864"/>
      <c r="U62" s="864"/>
      <c r="V62" s="864"/>
      <c r="W62" s="864"/>
      <c r="X62" s="864"/>
      <c r="Y62" s="864"/>
      <c r="Z62" s="864"/>
    </row>
    <row r="63" spans="1:26" ht="28.5" outlineLevel="1" x14ac:dyDescent="0.25">
      <c r="A63" s="833" t="s">
        <v>1507</v>
      </c>
      <c r="B63" s="851" t="s">
        <v>1508</v>
      </c>
      <c r="C63" s="857" t="s">
        <v>1509</v>
      </c>
      <c r="D63" s="834" t="s">
        <v>838</v>
      </c>
      <c r="E63" s="860" t="s">
        <v>5</v>
      </c>
      <c r="F63" s="860" t="s">
        <v>5</v>
      </c>
      <c r="G63" s="861" t="s">
        <v>5</v>
      </c>
      <c r="H63" s="860"/>
      <c r="I63" s="860"/>
      <c r="J63" s="860"/>
      <c r="K63" s="862" t="s">
        <v>5</v>
      </c>
      <c r="L63" s="812" t="s">
        <v>113</v>
      </c>
      <c r="M63" s="863"/>
      <c r="N63" s="864"/>
      <c r="O63" s="864" t="s">
        <v>5</v>
      </c>
      <c r="P63" s="864"/>
      <c r="Q63" s="864"/>
      <c r="R63" s="864"/>
      <c r="S63" s="864"/>
      <c r="T63" s="864"/>
      <c r="U63" s="864"/>
      <c r="V63" s="864"/>
      <c r="W63" s="864"/>
      <c r="X63" s="864"/>
      <c r="Y63" s="864"/>
      <c r="Z63" s="864"/>
    </row>
    <row r="64" spans="1:26" ht="28.5" outlineLevel="1" x14ac:dyDescent="0.25">
      <c r="A64" s="833" t="s">
        <v>1510</v>
      </c>
      <c r="B64" s="851" t="s">
        <v>1511</v>
      </c>
      <c r="C64" s="857" t="s">
        <v>1511</v>
      </c>
      <c r="D64" s="834" t="s">
        <v>1512</v>
      </c>
      <c r="E64" s="860" t="s">
        <v>5</v>
      </c>
      <c r="F64" s="860" t="s">
        <v>5</v>
      </c>
      <c r="G64" s="861" t="s">
        <v>5</v>
      </c>
      <c r="H64" s="860"/>
      <c r="I64" s="860"/>
      <c r="J64" s="860"/>
      <c r="K64" s="862" t="s">
        <v>5</v>
      </c>
      <c r="L64" s="812" t="s">
        <v>113</v>
      </c>
      <c r="M64" s="863"/>
      <c r="N64" s="864"/>
      <c r="O64" s="864" t="s">
        <v>5</v>
      </c>
      <c r="P64" s="864"/>
      <c r="Q64" s="864"/>
      <c r="R64" s="864"/>
      <c r="S64" s="864"/>
      <c r="T64" s="864"/>
      <c r="U64" s="864"/>
      <c r="V64" s="864"/>
      <c r="W64" s="864"/>
      <c r="X64" s="864"/>
      <c r="Y64" s="864"/>
      <c r="Z64" s="864"/>
    </row>
    <row r="65" spans="1:26" ht="18" outlineLevel="1" x14ac:dyDescent="0.25">
      <c r="A65" s="853" t="s">
        <v>1572</v>
      </c>
      <c r="B65" s="853"/>
      <c r="C65" s="854"/>
      <c r="D65" s="854"/>
      <c r="E65" s="855"/>
      <c r="F65" s="855"/>
      <c r="G65" s="856"/>
      <c r="H65" s="855"/>
      <c r="I65" s="855"/>
      <c r="J65" s="855"/>
      <c r="K65" s="855"/>
      <c r="L65" s="855"/>
      <c r="M65" s="855"/>
      <c r="N65" s="855"/>
      <c r="O65" s="855" t="s">
        <v>5</v>
      </c>
      <c r="P65" s="855"/>
      <c r="Q65" s="855"/>
      <c r="R65" s="855"/>
      <c r="S65" s="855"/>
      <c r="T65" s="855"/>
      <c r="U65" s="855"/>
      <c r="V65" s="855"/>
      <c r="W65" s="855"/>
      <c r="X65" s="855"/>
      <c r="Y65" s="855"/>
      <c r="Z65" s="855"/>
    </row>
    <row r="66" spans="1:26" ht="30" outlineLevel="1" x14ac:dyDescent="0.25">
      <c r="A66" s="833" t="s">
        <v>831</v>
      </c>
      <c r="B66" s="851" t="s">
        <v>832</v>
      </c>
      <c r="C66" s="857" t="s">
        <v>833</v>
      </c>
      <c r="D66" s="834" t="s">
        <v>1605</v>
      </c>
      <c r="E66" s="989" t="s">
        <v>5</v>
      </c>
      <c r="F66" s="989" t="s">
        <v>5</v>
      </c>
      <c r="G66" s="989" t="s">
        <v>5</v>
      </c>
      <c r="H66" s="989"/>
      <c r="I66" s="989"/>
      <c r="J66" s="989"/>
      <c r="K66" s="990" t="s">
        <v>5</v>
      </c>
      <c r="L66" s="859" t="s">
        <v>148</v>
      </c>
      <c r="M66" s="831"/>
      <c r="N66" s="843"/>
      <c r="O66" s="843" t="s">
        <v>5</v>
      </c>
      <c r="P66" s="843"/>
      <c r="Q66" s="843"/>
      <c r="R66" s="843"/>
      <c r="S66" s="843"/>
      <c r="T66" s="843"/>
      <c r="U66" s="843"/>
      <c r="V66" s="843"/>
      <c r="W66" s="843"/>
      <c r="X66" s="843"/>
      <c r="Y66" s="843"/>
      <c r="Z66" s="843"/>
    </row>
    <row r="67" spans="1:26" ht="28.5" outlineLevel="1" x14ac:dyDescent="0.25">
      <c r="A67" s="833" t="s">
        <v>835</v>
      </c>
      <c r="B67" s="851" t="s">
        <v>1309</v>
      </c>
      <c r="C67" s="857" t="s">
        <v>1310</v>
      </c>
      <c r="D67" s="834" t="s">
        <v>1311</v>
      </c>
      <c r="E67" s="989" t="s">
        <v>5</v>
      </c>
      <c r="F67" s="989" t="s">
        <v>5</v>
      </c>
      <c r="G67" s="989" t="s">
        <v>5</v>
      </c>
      <c r="H67" s="989"/>
      <c r="I67" s="989"/>
      <c r="J67" s="989"/>
      <c r="K67" s="990" t="s">
        <v>5</v>
      </c>
      <c r="L67" s="859" t="s">
        <v>148</v>
      </c>
      <c r="M67" s="831"/>
      <c r="N67" s="843"/>
      <c r="O67" s="843" t="s">
        <v>5</v>
      </c>
      <c r="P67" s="843"/>
      <c r="Q67" s="843"/>
      <c r="R67" s="843"/>
      <c r="S67" s="843"/>
      <c r="T67" s="843"/>
      <c r="U67" s="843"/>
      <c r="V67" s="843"/>
      <c r="W67" s="843"/>
      <c r="X67" s="843"/>
      <c r="Y67" s="843"/>
      <c r="Z67" s="843"/>
    </row>
    <row r="68" spans="1:26" ht="17.25" customHeight="1" outlineLevel="1" x14ac:dyDescent="0.25">
      <c r="A68" s="833"/>
      <c r="B68" s="851"/>
      <c r="C68" s="857"/>
      <c r="D68" s="834"/>
      <c r="E68" s="860"/>
      <c r="F68" s="860"/>
      <c r="G68" s="860"/>
      <c r="H68" s="860"/>
      <c r="I68" s="860"/>
      <c r="J68" s="860"/>
      <c r="K68" s="862"/>
      <c r="L68" s="859"/>
      <c r="M68" s="831"/>
      <c r="N68" s="843"/>
      <c r="O68" s="843"/>
      <c r="P68" s="843"/>
      <c r="Q68" s="843"/>
      <c r="R68" s="843"/>
      <c r="S68" s="843"/>
      <c r="T68" s="843"/>
      <c r="U68" s="843"/>
      <c r="V68" s="843"/>
      <c r="W68" s="843"/>
      <c r="X68" s="843"/>
      <c r="Y68" s="843"/>
      <c r="Z68" s="843"/>
    </row>
    <row r="69" spans="1:26" ht="17.25" customHeight="1" outlineLevel="1" x14ac:dyDescent="0.25">
      <c r="A69" s="853" t="s">
        <v>1573</v>
      </c>
      <c r="B69" s="853"/>
      <c r="C69" s="854"/>
      <c r="D69" s="854"/>
      <c r="E69" s="855"/>
      <c r="F69" s="855"/>
      <c r="G69" s="856"/>
      <c r="H69" s="855"/>
      <c r="I69" s="855"/>
      <c r="J69" s="855"/>
      <c r="K69" s="855"/>
      <c r="L69" s="855"/>
      <c r="M69" s="855"/>
      <c r="N69" s="855"/>
      <c r="O69" s="855" t="s">
        <v>5</v>
      </c>
      <c r="P69" s="855"/>
      <c r="Q69" s="855"/>
      <c r="R69" s="855"/>
      <c r="S69" s="855"/>
      <c r="T69" s="855"/>
      <c r="U69" s="855"/>
      <c r="V69" s="855"/>
      <c r="W69" s="855"/>
      <c r="X69" s="855"/>
      <c r="Y69" s="855"/>
      <c r="Z69" s="855"/>
    </row>
    <row r="70" spans="1:26" ht="15" outlineLevel="1" x14ac:dyDescent="0.25">
      <c r="A70" s="833"/>
      <c r="B70" s="857"/>
      <c r="C70" s="857"/>
      <c r="D70" s="834"/>
      <c r="E70" s="989" t="s">
        <v>5</v>
      </c>
      <c r="F70" s="989" t="s">
        <v>5</v>
      </c>
      <c r="G70" s="989" t="s">
        <v>5</v>
      </c>
      <c r="H70" s="989"/>
      <c r="I70" s="989"/>
      <c r="J70" s="989"/>
      <c r="K70" s="990" t="s">
        <v>5</v>
      </c>
      <c r="L70" s="813"/>
      <c r="M70" s="831"/>
      <c r="N70" s="843"/>
      <c r="O70" s="843" t="s">
        <v>5</v>
      </c>
      <c r="P70" s="843"/>
      <c r="Q70" s="843"/>
      <c r="R70" s="843"/>
      <c r="S70" s="843"/>
      <c r="T70" s="843"/>
      <c r="U70" s="843"/>
      <c r="V70" s="843"/>
      <c r="W70" s="843"/>
      <c r="X70" s="843"/>
      <c r="Y70" s="843"/>
      <c r="Z70" s="843"/>
    </row>
    <row r="71" spans="1:26" ht="18" hidden="1" outlineLevel="1" x14ac:dyDescent="0.25">
      <c r="A71" s="853" t="e">
        <f>CONCATENATE(#REF!," ",#REF!)</f>
        <v>#REF!</v>
      </c>
      <c r="B71" s="853"/>
      <c r="C71" s="854"/>
      <c r="D71" s="854"/>
      <c r="E71" s="855"/>
      <c r="F71" s="855"/>
      <c r="G71" s="855"/>
      <c r="H71" s="855"/>
      <c r="I71" s="855"/>
      <c r="J71" s="855"/>
      <c r="K71" s="855"/>
      <c r="L71" s="855"/>
      <c r="M71" s="855"/>
      <c r="N71" s="855"/>
      <c r="O71" s="855" t="s">
        <v>5</v>
      </c>
      <c r="P71" s="855"/>
      <c r="Q71" s="855"/>
      <c r="R71" s="855"/>
      <c r="S71" s="855"/>
      <c r="T71" s="855"/>
      <c r="U71" s="855"/>
      <c r="V71" s="855"/>
      <c r="W71" s="855"/>
      <c r="X71" s="855"/>
      <c r="Y71" s="855"/>
      <c r="Z71" s="855"/>
    </row>
    <row r="72" spans="1:26" ht="15" hidden="1" outlineLevel="1" x14ac:dyDescent="0.25">
      <c r="A72" s="833" t="s">
        <v>269</v>
      </c>
      <c r="B72" s="857"/>
      <c r="C72" s="857"/>
      <c r="D72" s="834"/>
      <c r="E72" s="989" t="s">
        <v>5</v>
      </c>
      <c r="F72" s="989" t="s">
        <v>5</v>
      </c>
      <c r="G72" s="989" t="s">
        <v>5</v>
      </c>
      <c r="H72" s="989"/>
      <c r="I72" s="989"/>
      <c r="J72" s="989"/>
      <c r="K72" s="990" t="s">
        <v>5</v>
      </c>
      <c r="L72" s="813"/>
      <c r="M72" s="831"/>
      <c r="N72" s="843"/>
      <c r="O72" s="843" t="s">
        <v>5</v>
      </c>
      <c r="P72" s="843"/>
      <c r="Q72" s="843"/>
      <c r="R72" s="843"/>
      <c r="S72" s="843"/>
      <c r="T72" s="843"/>
      <c r="U72" s="843"/>
      <c r="V72" s="843"/>
      <c r="W72" s="843"/>
      <c r="X72" s="843"/>
      <c r="Y72" s="843"/>
      <c r="Z72" s="843"/>
    </row>
    <row r="73" spans="1:26" ht="15" hidden="1" outlineLevel="1" x14ac:dyDescent="0.25">
      <c r="A73" s="833" t="s">
        <v>270</v>
      </c>
      <c r="B73" s="857"/>
      <c r="C73" s="857"/>
      <c r="D73" s="834"/>
      <c r="E73" s="989" t="s">
        <v>5</v>
      </c>
      <c r="F73" s="989" t="s">
        <v>5</v>
      </c>
      <c r="G73" s="989" t="s">
        <v>5</v>
      </c>
      <c r="H73" s="989"/>
      <c r="I73" s="989"/>
      <c r="J73" s="989"/>
      <c r="K73" s="990" t="s">
        <v>5</v>
      </c>
      <c r="L73" s="813"/>
      <c r="M73" s="831"/>
      <c r="N73" s="843"/>
      <c r="O73" s="843" t="s">
        <v>5</v>
      </c>
      <c r="P73" s="843"/>
      <c r="Q73" s="843"/>
      <c r="R73" s="843"/>
      <c r="S73" s="843"/>
      <c r="T73" s="843"/>
      <c r="U73" s="843"/>
      <c r="V73" s="843"/>
      <c r="W73" s="843"/>
      <c r="X73" s="843"/>
      <c r="Y73" s="843"/>
      <c r="Z73" s="843"/>
    </row>
    <row r="74" spans="1:26" ht="15" hidden="1" outlineLevel="1" x14ac:dyDescent="0.25">
      <c r="A74" s="833"/>
      <c r="B74" s="857"/>
      <c r="C74" s="857"/>
      <c r="D74" s="834"/>
      <c r="E74" s="989" t="s">
        <v>5</v>
      </c>
      <c r="F74" s="989" t="s">
        <v>5</v>
      </c>
      <c r="G74" s="989" t="s">
        <v>5</v>
      </c>
      <c r="H74" s="989"/>
      <c r="I74" s="989"/>
      <c r="J74" s="989"/>
      <c r="K74" s="990" t="s">
        <v>5</v>
      </c>
      <c r="L74" s="813"/>
      <c r="M74" s="831"/>
      <c r="N74" s="843"/>
      <c r="O74" s="843" t="s">
        <v>5</v>
      </c>
      <c r="P74" s="843"/>
      <c r="Q74" s="843"/>
      <c r="R74" s="843"/>
      <c r="S74" s="843"/>
      <c r="T74" s="843"/>
      <c r="U74" s="843"/>
      <c r="V74" s="843"/>
      <c r="W74" s="843"/>
      <c r="X74" s="843"/>
      <c r="Y74" s="843"/>
      <c r="Z74" s="843"/>
    </row>
    <row r="75" spans="1:26" ht="15" hidden="1" outlineLevel="1" x14ac:dyDescent="0.25">
      <c r="A75" s="833"/>
      <c r="B75" s="857"/>
      <c r="C75" s="857"/>
      <c r="D75" s="834"/>
      <c r="E75" s="989" t="s">
        <v>5</v>
      </c>
      <c r="F75" s="989" t="s">
        <v>5</v>
      </c>
      <c r="G75" s="989" t="s">
        <v>5</v>
      </c>
      <c r="H75" s="989"/>
      <c r="I75" s="989"/>
      <c r="J75" s="989"/>
      <c r="K75" s="990" t="s">
        <v>5</v>
      </c>
      <c r="L75" s="813"/>
      <c r="M75" s="831"/>
      <c r="N75" s="843"/>
      <c r="O75" s="843" t="s">
        <v>5</v>
      </c>
      <c r="P75" s="843"/>
      <c r="Q75" s="843"/>
      <c r="R75" s="843"/>
      <c r="S75" s="843"/>
      <c r="T75" s="843"/>
      <c r="U75" s="843"/>
      <c r="V75" s="843"/>
      <c r="W75" s="843"/>
      <c r="X75" s="843"/>
      <c r="Y75" s="843"/>
      <c r="Z75" s="843"/>
    </row>
    <row r="76" spans="1:26" ht="15" hidden="1" outlineLevel="1" x14ac:dyDescent="0.25">
      <c r="A76" s="833"/>
      <c r="B76" s="857"/>
      <c r="C76" s="857"/>
      <c r="D76" s="834"/>
      <c r="E76" s="989" t="s">
        <v>5</v>
      </c>
      <c r="F76" s="989" t="s">
        <v>5</v>
      </c>
      <c r="G76" s="989" t="s">
        <v>5</v>
      </c>
      <c r="H76" s="989"/>
      <c r="I76" s="989"/>
      <c r="J76" s="989"/>
      <c r="K76" s="990" t="s">
        <v>5</v>
      </c>
      <c r="L76" s="813"/>
      <c r="M76" s="831"/>
      <c r="N76" s="843"/>
      <c r="O76" s="843" t="s">
        <v>5</v>
      </c>
      <c r="P76" s="843"/>
      <c r="Q76" s="843"/>
      <c r="R76" s="843"/>
      <c r="S76" s="843"/>
      <c r="T76" s="843"/>
      <c r="U76" s="843"/>
      <c r="V76" s="843"/>
      <c r="W76" s="843"/>
      <c r="X76" s="843"/>
      <c r="Y76" s="843"/>
      <c r="Z76" s="843"/>
    </row>
    <row r="77" spans="1:26" ht="18" hidden="1" outlineLevel="1" x14ac:dyDescent="0.25">
      <c r="A77" s="853" t="e">
        <f>CONCATENATE(#REF!," ",#REF!)</f>
        <v>#REF!</v>
      </c>
      <c r="B77" s="853"/>
      <c r="C77" s="854"/>
      <c r="D77" s="854"/>
      <c r="E77" s="855"/>
      <c r="F77" s="855"/>
      <c r="G77" s="855"/>
      <c r="H77" s="855"/>
      <c r="I77" s="855"/>
      <c r="J77" s="855"/>
      <c r="K77" s="855"/>
      <c r="L77" s="855"/>
      <c r="M77" s="855"/>
      <c r="N77" s="855"/>
      <c r="O77" s="855" t="s">
        <v>5</v>
      </c>
      <c r="P77" s="855"/>
      <c r="Q77" s="855"/>
      <c r="R77" s="855"/>
      <c r="S77" s="855"/>
      <c r="T77" s="855"/>
      <c r="U77" s="855"/>
      <c r="V77" s="855"/>
      <c r="W77" s="855"/>
      <c r="X77" s="855"/>
      <c r="Y77" s="855"/>
      <c r="Z77" s="855"/>
    </row>
    <row r="78" spans="1:26" ht="15" hidden="1" outlineLevel="1" x14ac:dyDescent="0.25">
      <c r="A78" s="833" t="s">
        <v>271</v>
      </c>
      <c r="B78" s="857"/>
      <c r="C78" s="857"/>
      <c r="D78" s="834"/>
      <c r="E78" s="989" t="s">
        <v>5</v>
      </c>
      <c r="F78" s="989" t="s">
        <v>5</v>
      </c>
      <c r="G78" s="989" t="s">
        <v>5</v>
      </c>
      <c r="H78" s="989"/>
      <c r="I78" s="989"/>
      <c r="J78" s="989"/>
      <c r="K78" s="990" t="s">
        <v>5</v>
      </c>
      <c r="L78" s="813"/>
      <c r="M78" s="831"/>
      <c r="N78" s="843"/>
      <c r="O78" s="843" t="s">
        <v>5</v>
      </c>
      <c r="P78" s="843"/>
      <c r="Q78" s="843"/>
      <c r="R78" s="843"/>
      <c r="S78" s="843"/>
      <c r="T78" s="843"/>
      <c r="U78" s="843"/>
      <c r="V78" s="843"/>
      <c r="W78" s="843"/>
      <c r="X78" s="843"/>
      <c r="Y78" s="843"/>
      <c r="Z78" s="843"/>
    </row>
    <row r="79" spans="1:26" ht="15" hidden="1" outlineLevel="1" x14ac:dyDescent="0.25">
      <c r="A79" s="833" t="s">
        <v>272</v>
      </c>
      <c r="B79" s="857"/>
      <c r="C79" s="857"/>
      <c r="D79" s="834"/>
      <c r="E79" s="989" t="s">
        <v>5</v>
      </c>
      <c r="F79" s="989" t="s">
        <v>5</v>
      </c>
      <c r="G79" s="989" t="s">
        <v>5</v>
      </c>
      <c r="H79" s="989"/>
      <c r="I79" s="989"/>
      <c r="J79" s="989"/>
      <c r="K79" s="990" t="s">
        <v>5</v>
      </c>
      <c r="L79" s="813"/>
      <c r="M79" s="831"/>
      <c r="N79" s="843"/>
      <c r="O79" s="843" t="s">
        <v>5</v>
      </c>
      <c r="P79" s="843"/>
      <c r="Q79" s="843"/>
      <c r="R79" s="843"/>
      <c r="S79" s="843"/>
      <c r="T79" s="843"/>
      <c r="U79" s="843"/>
      <c r="V79" s="843"/>
      <c r="W79" s="843"/>
      <c r="X79" s="843"/>
      <c r="Y79" s="843"/>
      <c r="Z79" s="843"/>
    </row>
    <row r="80" spans="1:26" ht="15" hidden="1" outlineLevel="1" x14ac:dyDescent="0.25">
      <c r="A80" s="833"/>
      <c r="B80" s="857"/>
      <c r="C80" s="857"/>
      <c r="D80" s="834"/>
      <c r="E80" s="989" t="s">
        <v>5</v>
      </c>
      <c r="F80" s="989" t="s">
        <v>5</v>
      </c>
      <c r="G80" s="989" t="s">
        <v>5</v>
      </c>
      <c r="H80" s="989"/>
      <c r="I80" s="989"/>
      <c r="J80" s="989"/>
      <c r="K80" s="990" t="s">
        <v>5</v>
      </c>
      <c r="L80" s="813"/>
      <c r="M80" s="831"/>
      <c r="N80" s="843"/>
      <c r="O80" s="843" t="s">
        <v>5</v>
      </c>
      <c r="P80" s="843"/>
      <c r="Q80" s="843"/>
      <c r="R80" s="843"/>
      <c r="S80" s="843"/>
      <c r="T80" s="843"/>
      <c r="U80" s="843"/>
      <c r="V80" s="843"/>
      <c r="W80" s="843"/>
      <c r="X80" s="843"/>
      <c r="Y80" s="843"/>
      <c r="Z80" s="843"/>
    </row>
    <row r="81" spans="1:26" ht="15" hidden="1" outlineLevel="1" x14ac:dyDescent="0.25">
      <c r="A81" s="833"/>
      <c r="B81" s="857"/>
      <c r="C81" s="857"/>
      <c r="D81" s="834"/>
      <c r="E81" s="989" t="s">
        <v>5</v>
      </c>
      <c r="F81" s="989" t="s">
        <v>5</v>
      </c>
      <c r="G81" s="989" t="s">
        <v>5</v>
      </c>
      <c r="H81" s="989"/>
      <c r="I81" s="989"/>
      <c r="J81" s="989"/>
      <c r="K81" s="990" t="s">
        <v>5</v>
      </c>
      <c r="L81" s="813"/>
      <c r="M81" s="831"/>
      <c r="N81" s="843"/>
      <c r="O81" s="843" t="s">
        <v>5</v>
      </c>
      <c r="P81" s="843"/>
      <c r="Q81" s="843"/>
      <c r="R81" s="843"/>
      <c r="S81" s="843"/>
      <c r="T81" s="843"/>
      <c r="U81" s="843"/>
      <c r="V81" s="843"/>
      <c r="W81" s="843"/>
      <c r="X81" s="843"/>
      <c r="Y81" s="843"/>
      <c r="Z81" s="843"/>
    </row>
    <row r="82" spans="1:26" ht="15" hidden="1" outlineLevel="1" x14ac:dyDescent="0.25">
      <c r="A82" s="833"/>
      <c r="B82" s="857"/>
      <c r="C82" s="857"/>
      <c r="D82" s="834"/>
      <c r="E82" s="989" t="s">
        <v>5</v>
      </c>
      <c r="F82" s="989" t="s">
        <v>5</v>
      </c>
      <c r="G82" s="989" t="s">
        <v>5</v>
      </c>
      <c r="H82" s="989"/>
      <c r="I82" s="989"/>
      <c r="J82" s="989"/>
      <c r="K82" s="990" t="s">
        <v>5</v>
      </c>
      <c r="L82" s="813"/>
      <c r="M82" s="831"/>
      <c r="N82" s="843"/>
      <c r="O82" s="843" t="s">
        <v>5</v>
      </c>
      <c r="P82" s="843"/>
      <c r="Q82" s="843"/>
      <c r="R82" s="843"/>
      <c r="S82" s="843"/>
      <c r="T82" s="843"/>
      <c r="U82" s="843"/>
      <c r="V82" s="843"/>
      <c r="W82" s="843"/>
      <c r="X82" s="843"/>
      <c r="Y82" s="843"/>
      <c r="Z82" s="843"/>
    </row>
    <row r="83" spans="1:26" ht="18" hidden="1" outlineLevel="1" x14ac:dyDescent="0.25">
      <c r="A83" s="853" t="e">
        <f>CONCATENATE(#REF!," ",#REF!)</f>
        <v>#REF!</v>
      </c>
      <c r="B83" s="853"/>
      <c r="C83" s="854"/>
      <c r="D83" s="854"/>
      <c r="E83" s="855"/>
      <c r="F83" s="855"/>
      <c r="G83" s="855"/>
      <c r="H83" s="855"/>
      <c r="I83" s="855"/>
      <c r="J83" s="855"/>
      <c r="K83" s="855"/>
      <c r="L83" s="855"/>
      <c r="M83" s="855"/>
      <c r="N83" s="855"/>
      <c r="O83" s="855" t="s">
        <v>5</v>
      </c>
      <c r="P83" s="855"/>
      <c r="Q83" s="855"/>
      <c r="R83" s="855"/>
      <c r="S83" s="855"/>
      <c r="T83" s="855"/>
      <c r="U83" s="855"/>
      <c r="V83" s="855"/>
      <c r="W83" s="855"/>
      <c r="X83" s="855"/>
      <c r="Y83" s="855"/>
      <c r="Z83" s="855"/>
    </row>
    <row r="84" spans="1:26" ht="15" hidden="1" outlineLevel="1" x14ac:dyDescent="0.25">
      <c r="A84" s="833" t="s">
        <v>273</v>
      </c>
      <c r="B84" s="857"/>
      <c r="C84" s="857"/>
      <c r="D84" s="834"/>
      <c r="E84" s="989" t="s">
        <v>5</v>
      </c>
      <c r="F84" s="989" t="s">
        <v>5</v>
      </c>
      <c r="G84" s="989" t="s">
        <v>5</v>
      </c>
      <c r="H84" s="989"/>
      <c r="I84" s="989"/>
      <c r="J84" s="989"/>
      <c r="K84" s="990" t="s">
        <v>5</v>
      </c>
      <c r="L84" s="813"/>
      <c r="M84" s="831"/>
      <c r="N84" s="843"/>
      <c r="O84" s="843" t="s">
        <v>5</v>
      </c>
      <c r="P84" s="843"/>
      <c r="Q84" s="843"/>
      <c r="R84" s="843"/>
      <c r="S84" s="843"/>
      <c r="T84" s="843"/>
      <c r="U84" s="843"/>
      <c r="V84" s="843"/>
      <c r="W84" s="843"/>
      <c r="X84" s="843"/>
      <c r="Y84" s="843"/>
      <c r="Z84" s="843"/>
    </row>
    <row r="85" spans="1:26" ht="15" hidden="1" outlineLevel="1" x14ac:dyDescent="0.25">
      <c r="A85" s="833" t="s">
        <v>274</v>
      </c>
      <c r="B85" s="857"/>
      <c r="C85" s="857"/>
      <c r="D85" s="834"/>
      <c r="E85" s="989" t="s">
        <v>5</v>
      </c>
      <c r="F85" s="989" t="s">
        <v>5</v>
      </c>
      <c r="G85" s="989" t="s">
        <v>5</v>
      </c>
      <c r="H85" s="989"/>
      <c r="I85" s="989"/>
      <c r="J85" s="989"/>
      <c r="K85" s="990" t="s">
        <v>5</v>
      </c>
      <c r="L85" s="813"/>
      <c r="M85" s="831"/>
      <c r="N85" s="843"/>
      <c r="O85" s="843" t="s">
        <v>5</v>
      </c>
      <c r="P85" s="843"/>
      <c r="Q85" s="843"/>
      <c r="R85" s="843"/>
      <c r="S85" s="843"/>
      <c r="T85" s="843"/>
      <c r="U85" s="843"/>
      <c r="V85" s="843"/>
      <c r="W85" s="843"/>
      <c r="X85" s="843"/>
      <c r="Y85" s="843"/>
      <c r="Z85" s="843"/>
    </row>
    <row r="86" spans="1:26" ht="15" hidden="1" outlineLevel="1" x14ac:dyDescent="0.25">
      <c r="A86" s="833"/>
      <c r="B86" s="857"/>
      <c r="C86" s="857"/>
      <c r="D86" s="834"/>
      <c r="E86" s="989" t="s">
        <v>5</v>
      </c>
      <c r="F86" s="989" t="s">
        <v>5</v>
      </c>
      <c r="G86" s="989" t="s">
        <v>5</v>
      </c>
      <c r="H86" s="989"/>
      <c r="I86" s="989"/>
      <c r="J86" s="989"/>
      <c r="K86" s="990" t="s">
        <v>5</v>
      </c>
      <c r="L86" s="813"/>
      <c r="M86" s="831"/>
      <c r="N86" s="843"/>
      <c r="O86" s="843" t="s">
        <v>5</v>
      </c>
      <c r="P86" s="843"/>
      <c r="Q86" s="843"/>
      <c r="R86" s="843"/>
      <c r="S86" s="843"/>
      <c r="T86" s="843"/>
      <c r="U86" s="843"/>
      <c r="V86" s="843"/>
      <c r="W86" s="843"/>
      <c r="X86" s="843"/>
      <c r="Y86" s="843"/>
      <c r="Z86" s="843"/>
    </row>
    <row r="87" spans="1:26" ht="15" hidden="1" outlineLevel="1" x14ac:dyDescent="0.25">
      <c r="A87" s="833"/>
      <c r="B87" s="857"/>
      <c r="C87" s="857"/>
      <c r="D87" s="834"/>
      <c r="E87" s="989" t="s">
        <v>5</v>
      </c>
      <c r="F87" s="989" t="s">
        <v>5</v>
      </c>
      <c r="G87" s="989" t="s">
        <v>5</v>
      </c>
      <c r="H87" s="989"/>
      <c r="I87" s="989"/>
      <c r="J87" s="989"/>
      <c r="K87" s="990" t="s">
        <v>5</v>
      </c>
      <c r="L87" s="813"/>
      <c r="M87" s="831"/>
      <c r="N87" s="843"/>
      <c r="O87" s="843" t="s">
        <v>5</v>
      </c>
      <c r="P87" s="843"/>
      <c r="Q87" s="843"/>
      <c r="R87" s="843"/>
      <c r="S87" s="843"/>
      <c r="T87" s="843"/>
      <c r="U87" s="843"/>
      <c r="V87" s="843"/>
      <c r="W87" s="843"/>
      <c r="X87" s="843"/>
      <c r="Y87" s="843"/>
      <c r="Z87" s="843"/>
    </row>
    <row r="88" spans="1:26" ht="15" hidden="1" outlineLevel="1" x14ac:dyDescent="0.25">
      <c r="A88" s="833"/>
      <c r="B88" s="857"/>
      <c r="C88" s="857"/>
      <c r="D88" s="834"/>
      <c r="E88" s="989" t="s">
        <v>5</v>
      </c>
      <c r="F88" s="989" t="s">
        <v>5</v>
      </c>
      <c r="G88" s="989" t="s">
        <v>5</v>
      </c>
      <c r="H88" s="989"/>
      <c r="I88" s="989"/>
      <c r="J88" s="989"/>
      <c r="K88" s="990" t="s">
        <v>5</v>
      </c>
      <c r="L88" s="813"/>
      <c r="M88" s="831"/>
      <c r="N88" s="843"/>
      <c r="O88" s="843" t="s">
        <v>5</v>
      </c>
      <c r="P88" s="843"/>
      <c r="Q88" s="843"/>
      <c r="R88" s="843"/>
      <c r="S88" s="843"/>
      <c r="T88" s="843"/>
      <c r="U88" s="843"/>
      <c r="V88" s="843"/>
      <c r="W88" s="843"/>
      <c r="X88" s="843"/>
      <c r="Y88" s="843"/>
      <c r="Z88" s="843"/>
    </row>
    <row r="89" spans="1:26" ht="18" hidden="1" outlineLevel="1" x14ac:dyDescent="0.25">
      <c r="A89" s="853" t="e">
        <f>CONCATENATE(#REF!," ",#REF!)</f>
        <v>#REF!</v>
      </c>
      <c r="B89" s="853"/>
      <c r="C89" s="854"/>
      <c r="D89" s="854"/>
      <c r="E89" s="855"/>
      <c r="F89" s="855"/>
      <c r="G89" s="855"/>
      <c r="H89" s="855"/>
      <c r="I89" s="855"/>
      <c r="J89" s="855"/>
      <c r="K89" s="855"/>
      <c r="L89" s="855"/>
      <c r="M89" s="855"/>
      <c r="N89" s="855"/>
      <c r="O89" s="855" t="s">
        <v>5</v>
      </c>
      <c r="P89" s="855"/>
      <c r="Q89" s="855"/>
      <c r="R89" s="855"/>
      <c r="S89" s="855"/>
      <c r="T89" s="855"/>
      <c r="U89" s="855"/>
      <c r="V89" s="855"/>
      <c r="W89" s="855"/>
      <c r="X89" s="855"/>
      <c r="Y89" s="855"/>
      <c r="Z89" s="855"/>
    </row>
    <row r="90" spans="1:26" ht="15" hidden="1" outlineLevel="1" x14ac:dyDescent="0.25">
      <c r="A90" s="833" t="s">
        <v>275</v>
      </c>
      <c r="B90" s="857"/>
      <c r="C90" s="857"/>
      <c r="D90" s="834"/>
      <c r="E90" s="989" t="s">
        <v>5</v>
      </c>
      <c r="F90" s="989" t="s">
        <v>5</v>
      </c>
      <c r="G90" s="989" t="s">
        <v>5</v>
      </c>
      <c r="H90" s="989"/>
      <c r="I90" s="989"/>
      <c r="J90" s="989"/>
      <c r="K90" s="990" t="s">
        <v>5</v>
      </c>
      <c r="L90" s="813"/>
      <c r="M90" s="831"/>
      <c r="N90" s="843"/>
      <c r="O90" s="843" t="s">
        <v>5</v>
      </c>
      <c r="P90" s="843"/>
      <c r="Q90" s="843"/>
      <c r="R90" s="843"/>
      <c r="S90" s="843"/>
      <c r="T90" s="843"/>
      <c r="U90" s="843"/>
      <c r="V90" s="843"/>
      <c r="W90" s="843"/>
      <c r="X90" s="843"/>
      <c r="Y90" s="843"/>
      <c r="Z90" s="843"/>
    </row>
    <row r="91" spans="1:26" ht="15" hidden="1" outlineLevel="1" x14ac:dyDescent="0.25">
      <c r="A91" s="833" t="s">
        <v>276</v>
      </c>
      <c r="B91" s="857"/>
      <c r="C91" s="857"/>
      <c r="D91" s="834"/>
      <c r="E91" s="989" t="s">
        <v>5</v>
      </c>
      <c r="F91" s="989" t="s">
        <v>5</v>
      </c>
      <c r="G91" s="989" t="s">
        <v>5</v>
      </c>
      <c r="H91" s="989"/>
      <c r="I91" s="989"/>
      <c r="J91" s="989"/>
      <c r="K91" s="990" t="s">
        <v>5</v>
      </c>
      <c r="L91" s="813"/>
      <c r="M91" s="831"/>
      <c r="N91" s="843"/>
      <c r="O91" s="843" t="s">
        <v>5</v>
      </c>
      <c r="P91" s="843"/>
      <c r="Q91" s="843"/>
      <c r="R91" s="843"/>
      <c r="S91" s="843"/>
      <c r="T91" s="843"/>
      <c r="U91" s="843"/>
      <c r="V91" s="843"/>
      <c r="W91" s="843"/>
      <c r="X91" s="843"/>
      <c r="Y91" s="843"/>
      <c r="Z91" s="843"/>
    </row>
    <row r="92" spans="1:26" ht="15" hidden="1" outlineLevel="1" x14ac:dyDescent="0.25">
      <c r="A92" s="833"/>
      <c r="B92" s="857"/>
      <c r="C92" s="857"/>
      <c r="D92" s="834"/>
      <c r="E92" s="989" t="s">
        <v>5</v>
      </c>
      <c r="F92" s="989" t="s">
        <v>5</v>
      </c>
      <c r="G92" s="989" t="s">
        <v>5</v>
      </c>
      <c r="H92" s="989"/>
      <c r="I92" s="989"/>
      <c r="J92" s="989"/>
      <c r="K92" s="990" t="s">
        <v>5</v>
      </c>
      <c r="L92" s="813"/>
      <c r="M92" s="831"/>
      <c r="N92" s="843"/>
      <c r="O92" s="843" t="s">
        <v>5</v>
      </c>
      <c r="P92" s="843"/>
      <c r="Q92" s="843"/>
      <c r="R92" s="843"/>
      <c r="S92" s="843"/>
      <c r="T92" s="843"/>
      <c r="U92" s="843"/>
      <c r="V92" s="843"/>
      <c r="W92" s="843"/>
      <c r="X92" s="843"/>
      <c r="Y92" s="843"/>
      <c r="Z92" s="843"/>
    </row>
    <row r="93" spans="1:26" ht="15" hidden="1" outlineLevel="1" x14ac:dyDescent="0.25">
      <c r="A93" s="833"/>
      <c r="B93" s="857"/>
      <c r="C93" s="857"/>
      <c r="D93" s="834"/>
      <c r="E93" s="989" t="s">
        <v>5</v>
      </c>
      <c r="F93" s="989" t="s">
        <v>5</v>
      </c>
      <c r="G93" s="989" t="s">
        <v>5</v>
      </c>
      <c r="H93" s="989"/>
      <c r="I93" s="989"/>
      <c r="J93" s="989"/>
      <c r="K93" s="990" t="s">
        <v>5</v>
      </c>
      <c r="L93" s="813"/>
      <c r="M93" s="831"/>
      <c r="N93" s="843"/>
      <c r="O93" s="843" t="s">
        <v>5</v>
      </c>
      <c r="P93" s="843"/>
      <c r="Q93" s="843"/>
      <c r="R93" s="843"/>
      <c r="S93" s="843"/>
      <c r="T93" s="843"/>
      <c r="U93" s="843"/>
      <c r="V93" s="843"/>
      <c r="W93" s="843"/>
      <c r="X93" s="843"/>
      <c r="Y93" s="843"/>
      <c r="Z93" s="843"/>
    </row>
    <row r="94" spans="1:26" ht="15" hidden="1" outlineLevel="1" x14ac:dyDescent="0.25">
      <c r="A94" s="833"/>
      <c r="B94" s="857"/>
      <c r="C94" s="857"/>
      <c r="D94" s="834"/>
      <c r="E94" s="989" t="s">
        <v>5</v>
      </c>
      <c r="F94" s="989" t="s">
        <v>5</v>
      </c>
      <c r="G94" s="989" t="s">
        <v>5</v>
      </c>
      <c r="H94" s="989"/>
      <c r="I94" s="989"/>
      <c r="J94" s="989"/>
      <c r="K94" s="990" t="s">
        <v>5</v>
      </c>
      <c r="L94" s="813"/>
      <c r="M94" s="831"/>
      <c r="N94" s="843"/>
      <c r="O94" s="843" t="s">
        <v>5</v>
      </c>
      <c r="P94" s="843"/>
      <c r="Q94" s="843"/>
      <c r="R94" s="843"/>
      <c r="S94" s="843"/>
      <c r="T94" s="843"/>
      <c r="U94" s="843"/>
      <c r="V94" s="843"/>
      <c r="W94" s="843"/>
      <c r="X94" s="843"/>
      <c r="Y94" s="843"/>
      <c r="Z94" s="843"/>
    </row>
    <row r="95" spans="1:26" ht="18" hidden="1" outlineLevel="1" x14ac:dyDescent="0.25">
      <c r="A95" s="853" t="str">
        <f>CONCATENATE(B28," ",C28)</f>
        <v>Objective 5 Permits Licences</v>
      </c>
      <c r="B95" s="853"/>
      <c r="C95" s="854"/>
      <c r="D95" s="854"/>
      <c r="E95" s="855"/>
      <c r="F95" s="855"/>
      <c r="G95" s="855"/>
      <c r="H95" s="855"/>
      <c r="I95" s="855"/>
      <c r="J95" s="855"/>
      <c r="K95" s="855"/>
      <c r="L95" s="855"/>
      <c r="M95" s="855"/>
      <c r="N95" s="855"/>
      <c r="O95" s="855" t="s">
        <v>5</v>
      </c>
      <c r="P95" s="855"/>
      <c r="Q95" s="855"/>
      <c r="R95" s="855"/>
      <c r="S95" s="855"/>
      <c r="T95" s="855"/>
      <c r="U95" s="855"/>
      <c r="V95" s="855"/>
      <c r="W95" s="855"/>
      <c r="X95" s="855"/>
      <c r="Y95" s="855"/>
      <c r="Z95" s="855"/>
    </row>
    <row r="96" spans="1:26" ht="15" hidden="1" outlineLevel="1" x14ac:dyDescent="0.25">
      <c r="A96" s="833" t="s">
        <v>277</v>
      </c>
      <c r="B96" s="857"/>
      <c r="C96" s="857"/>
      <c r="D96" s="834"/>
      <c r="E96" s="989" t="s">
        <v>5</v>
      </c>
      <c r="F96" s="989" t="s">
        <v>5</v>
      </c>
      <c r="G96" s="989" t="s">
        <v>5</v>
      </c>
      <c r="H96" s="989"/>
      <c r="I96" s="989"/>
      <c r="J96" s="989"/>
      <c r="K96" s="990" t="s">
        <v>5</v>
      </c>
      <c r="L96" s="813"/>
      <c r="M96" s="831"/>
      <c r="N96" s="843"/>
      <c r="O96" s="843" t="s">
        <v>5</v>
      </c>
      <c r="P96" s="843"/>
      <c r="Q96" s="843"/>
      <c r="R96" s="843"/>
      <c r="S96" s="843"/>
      <c r="T96" s="843"/>
      <c r="U96" s="843"/>
      <c r="V96" s="843"/>
      <c r="W96" s="843"/>
      <c r="X96" s="843"/>
      <c r="Y96" s="843"/>
      <c r="Z96" s="843"/>
    </row>
    <row r="97" spans="1:26" ht="15" hidden="1" outlineLevel="1" x14ac:dyDescent="0.25">
      <c r="A97" s="833" t="s">
        <v>278</v>
      </c>
      <c r="B97" s="857"/>
      <c r="C97" s="857"/>
      <c r="D97" s="834"/>
      <c r="E97" s="989" t="s">
        <v>5</v>
      </c>
      <c r="F97" s="989" t="s">
        <v>5</v>
      </c>
      <c r="G97" s="989" t="s">
        <v>5</v>
      </c>
      <c r="H97" s="989"/>
      <c r="I97" s="989"/>
      <c r="J97" s="989"/>
      <c r="K97" s="990" t="s">
        <v>5</v>
      </c>
      <c r="L97" s="813"/>
      <c r="M97" s="831"/>
      <c r="N97" s="843"/>
      <c r="O97" s="843" t="s">
        <v>5</v>
      </c>
      <c r="P97" s="843"/>
      <c r="Q97" s="843"/>
      <c r="R97" s="843"/>
      <c r="S97" s="843"/>
      <c r="T97" s="843"/>
      <c r="U97" s="843"/>
      <c r="V97" s="843"/>
      <c r="W97" s="843"/>
      <c r="X97" s="843"/>
      <c r="Y97" s="843"/>
      <c r="Z97" s="843"/>
    </row>
    <row r="98" spans="1:26" ht="15" hidden="1" outlineLevel="1" x14ac:dyDescent="0.25">
      <c r="A98" s="833"/>
      <c r="B98" s="857"/>
      <c r="C98" s="857"/>
      <c r="D98" s="834"/>
      <c r="E98" s="989" t="s">
        <v>5</v>
      </c>
      <c r="F98" s="989" t="s">
        <v>5</v>
      </c>
      <c r="G98" s="989" t="s">
        <v>5</v>
      </c>
      <c r="H98" s="989"/>
      <c r="I98" s="989"/>
      <c r="J98" s="989"/>
      <c r="K98" s="990" t="s">
        <v>5</v>
      </c>
      <c r="L98" s="813"/>
      <c r="M98" s="831"/>
      <c r="N98" s="843"/>
      <c r="O98" s="843" t="s">
        <v>5</v>
      </c>
      <c r="P98" s="843"/>
      <c r="Q98" s="843"/>
      <c r="R98" s="843"/>
      <c r="S98" s="843"/>
      <c r="T98" s="843"/>
      <c r="U98" s="843"/>
      <c r="V98" s="843"/>
      <c r="W98" s="843"/>
      <c r="X98" s="843"/>
      <c r="Y98" s="843"/>
      <c r="Z98" s="843"/>
    </row>
    <row r="99" spans="1:26" ht="15" hidden="1" outlineLevel="1" x14ac:dyDescent="0.25">
      <c r="A99" s="833"/>
      <c r="B99" s="857"/>
      <c r="C99" s="857"/>
      <c r="D99" s="834"/>
      <c r="E99" s="989" t="s">
        <v>5</v>
      </c>
      <c r="F99" s="989" t="s">
        <v>5</v>
      </c>
      <c r="G99" s="989" t="s">
        <v>5</v>
      </c>
      <c r="H99" s="989"/>
      <c r="I99" s="989"/>
      <c r="J99" s="989"/>
      <c r="K99" s="990" t="s">
        <v>5</v>
      </c>
      <c r="L99" s="813"/>
      <c r="M99" s="831"/>
      <c r="N99" s="843"/>
      <c r="O99" s="843" t="s">
        <v>5</v>
      </c>
      <c r="P99" s="843"/>
      <c r="Q99" s="843"/>
      <c r="R99" s="843"/>
      <c r="S99" s="843"/>
      <c r="T99" s="843"/>
      <c r="U99" s="843"/>
      <c r="V99" s="843"/>
      <c r="W99" s="843"/>
      <c r="X99" s="843"/>
      <c r="Y99" s="843"/>
      <c r="Z99" s="843"/>
    </row>
    <row r="100" spans="1:26" ht="15" hidden="1" outlineLevel="1" x14ac:dyDescent="0.25">
      <c r="A100" s="833"/>
      <c r="B100" s="857"/>
      <c r="C100" s="857"/>
      <c r="D100" s="834"/>
      <c r="E100" s="989" t="s">
        <v>5</v>
      </c>
      <c r="F100" s="989" t="s">
        <v>5</v>
      </c>
      <c r="G100" s="989" t="s">
        <v>5</v>
      </c>
      <c r="H100" s="989"/>
      <c r="I100" s="989"/>
      <c r="J100" s="989"/>
      <c r="K100" s="990" t="s">
        <v>5</v>
      </c>
      <c r="L100" s="813"/>
      <c r="M100" s="831"/>
      <c r="N100" s="843"/>
      <c r="O100" s="843" t="s">
        <v>5</v>
      </c>
      <c r="P100" s="843"/>
      <c r="Q100" s="843"/>
      <c r="R100" s="843"/>
      <c r="S100" s="843"/>
      <c r="T100" s="843"/>
      <c r="U100" s="843"/>
      <c r="V100" s="843"/>
      <c r="W100" s="843"/>
      <c r="X100" s="843"/>
      <c r="Y100" s="843"/>
      <c r="Z100" s="843"/>
    </row>
    <row r="101" spans="1:26" ht="18" hidden="1" outlineLevel="1" x14ac:dyDescent="0.25">
      <c r="A101" s="853" t="str">
        <f>CONCATENATE(B29," ",C29)</f>
        <v xml:space="preserve"> </v>
      </c>
      <c r="B101" s="853"/>
      <c r="C101" s="854"/>
      <c r="D101" s="854"/>
      <c r="E101" s="855"/>
      <c r="F101" s="855"/>
      <c r="G101" s="855"/>
      <c r="H101" s="855"/>
      <c r="I101" s="855"/>
      <c r="J101" s="855"/>
      <c r="K101" s="855"/>
      <c r="L101" s="855"/>
      <c r="M101" s="855"/>
      <c r="N101" s="855"/>
      <c r="O101" s="855" t="s">
        <v>5</v>
      </c>
      <c r="P101" s="855"/>
      <c r="Q101" s="855"/>
      <c r="R101" s="855"/>
      <c r="S101" s="855"/>
      <c r="T101" s="855"/>
      <c r="U101" s="855"/>
      <c r="V101" s="855"/>
      <c r="W101" s="855"/>
      <c r="X101" s="855"/>
      <c r="Y101" s="855"/>
      <c r="Z101" s="855"/>
    </row>
    <row r="102" spans="1:26" ht="15" hidden="1" outlineLevel="1" x14ac:dyDescent="0.25">
      <c r="A102" s="833" t="s">
        <v>279</v>
      </c>
      <c r="B102" s="857"/>
      <c r="C102" s="857"/>
      <c r="D102" s="834"/>
      <c r="E102" s="989" t="s">
        <v>5</v>
      </c>
      <c r="F102" s="989" t="s">
        <v>5</v>
      </c>
      <c r="G102" s="989" t="s">
        <v>5</v>
      </c>
      <c r="H102" s="989"/>
      <c r="I102" s="989"/>
      <c r="J102" s="989"/>
      <c r="K102" s="990" t="s">
        <v>5</v>
      </c>
      <c r="L102" s="813"/>
      <c r="M102" s="831"/>
      <c r="N102" s="843"/>
      <c r="O102" s="843" t="s">
        <v>5</v>
      </c>
      <c r="P102" s="843"/>
      <c r="Q102" s="843"/>
      <c r="R102" s="843"/>
      <c r="S102" s="843"/>
      <c r="T102" s="843"/>
      <c r="U102" s="843"/>
      <c r="V102" s="843"/>
      <c r="W102" s="843"/>
      <c r="X102" s="843"/>
      <c r="Y102" s="843"/>
      <c r="Z102" s="843"/>
    </row>
    <row r="103" spans="1:26" ht="15" hidden="1" outlineLevel="1" x14ac:dyDescent="0.25">
      <c r="A103" s="833" t="s">
        <v>280</v>
      </c>
      <c r="B103" s="857"/>
      <c r="C103" s="857"/>
      <c r="D103" s="834"/>
      <c r="E103" s="989" t="s">
        <v>5</v>
      </c>
      <c r="F103" s="989" t="s">
        <v>5</v>
      </c>
      <c r="G103" s="989" t="s">
        <v>5</v>
      </c>
      <c r="H103" s="989"/>
      <c r="I103" s="989"/>
      <c r="J103" s="989"/>
      <c r="K103" s="990" t="s">
        <v>5</v>
      </c>
      <c r="L103" s="813"/>
      <c r="M103" s="831"/>
      <c r="N103" s="843"/>
      <c r="O103" s="843" t="s">
        <v>5</v>
      </c>
      <c r="P103" s="843"/>
      <c r="Q103" s="843"/>
      <c r="R103" s="843"/>
      <c r="S103" s="843"/>
      <c r="T103" s="843"/>
      <c r="U103" s="843"/>
      <c r="V103" s="843"/>
      <c r="W103" s="843"/>
      <c r="X103" s="843"/>
      <c r="Y103" s="843"/>
      <c r="Z103" s="843"/>
    </row>
    <row r="104" spans="1:26" ht="15" hidden="1" outlineLevel="1" x14ac:dyDescent="0.25">
      <c r="A104" s="833"/>
      <c r="B104" s="857"/>
      <c r="C104" s="857"/>
      <c r="D104" s="834"/>
      <c r="E104" s="989" t="s">
        <v>5</v>
      </c>
      <c r="F104" s="989" t="s">
        <v>5</v>
      </c>
      <c r="G104" s="989" t="s">
        <v>5</v>
      </c>
      <c r="H104" s="989"/>
      <c r="I104" s="989"/>
      <c r="J104" s="989"/>
      <c r="K104" s="990" t="s">
        <v>5</v>
      </c>
      <c r="L104" s="813"/>
      <c r="M104" s="831"/>
      <c r="N104" s="843"/>
      <c r="O104" s="843" t="s">
        <v>5</v>
      </c>
      <c r="P104" s="843"/>
      <c r="Q104" s="843"/>
      <c r="R104" s="843"/>
      <c r="S104" s="843"/>
      <c r="T104" s="843"/>
      <c r="U104" s="843"/>
      <c r="V104" s="843"/>
      <c r="W104" s="843"/>
      <c r="X104" s="843"/>
      <c r="Y104" s="843"/>
      <c r="Z104" s="843"/>
    </row>
    <row r="105" spans="1:26" ht="15" hidden="1" outlineLevel="1" x14ac:dyDescent="0.25">
      <c r="A105" s="833"/>
      <c r="B105" s="857"/>
      <c r="C105" s="857"/>
      <c r="D105" s="834"/>
      <c r="E105" s="989" t="s">
        <v>5</v>
      </c>
      <c r="F105" s="989" t="s">
        <v>5</v>
      </c>
      <c r="G105" s="989" t="s">
        <v>5</v>
      </c>
      <c r="H105" s="989"/>
      <c r="I105" s="989"/>
      <c r="J105" s="989"/>
      <c r="K105" s="990" t="s">
        <v>5</v>
      </c>
      <c r="L105" s="813"/>
      <c r="M105" s="831"/>
      <c r="N105" s="843"/>
      <c r="O105" s="843" t="s">
        <v>5</v>
      </c>
      <c r="P105" s="843"/>
      <c r="Q105" s="843"/>
      <c r="R105" s="843"/>
      <c r="S105" s="843"/>
      <c r="T105" s="843"/>
      <c r="U105" s="843"/>
      <c r="V105" s="843"/>
      <c r="W105" s="843"/>
      <c r="X105" s="843"/>
      <c r="Y105" s="843"/>
      <c r="Z105" s="843"/>
    </row>
    <row r="106" spans="1:26" ht="15" hidden="1" outlineLevel="1" x14ac:dyDescent="0.25">
      <c r="A106" s="833"/>
      <c r="B106" s="857"/>
      <c r="C106" s="857"/>
      <c r="D106" s="834"/>
      <c r="E106" s="989" t="s">
        <v>5</v>
      </c>
      <c r="F106" s="989" t="s">
        <v>5</v>
      </c>
      <c r="G106" s="989" t="s">
        <v>5</v>
      </c>
      <c r="H106" s="989"/>
      <c r="I106" s="989"/>
      <c r="J106" s="989"/>
      <c r="K106" s="990" t="s">
        <v>5</v>
      </c>
      <c r="L106" s="813"/>
      <c r="M106" s="831"/>
      <c r="N106" s="843"/>
      <c r="O106" s="843" t="s">
        <v>5</v>
      </c>
      <c r="P106" s="843"/>
      <c r="Q106" s="843"/>
      <c r="R106" s="843"/>
      <c r="S106" s="843"/>
      <c r="T106" s="843"/>
      <c r="U106" s="843"/>
      <c r="V106" s="843"/>
      <c r="W106" s="843"/>
      <c r="X106" s="843"/>
      <c r="Y106" s="843"/>
      <c r="Z106" s="843"/>
    </row>
    <row r="107" spans="1:26" ht="6.75" customHeight="1" x14ac:dyDescent="0.25"/>
    <row r="108" spans="1:26" ht="18" x14ac:dyDescent="0.25">
      <c r="A108" s="825" t="s">
        <v>37</v>
      </c>
      <c r="B108" s="825"/>
      <c r="C108" s="826"/>
      <c r="D108" s="826"/>
      <c r="E108" s="824"/>
      <c r="F108" s="824"/>
      <c r="G108" s="824"/>
      <c r="H108" s="827"/>
      <c r="I108" s="827"/>
      <c r="J108" s="824"/>
      <c r="K108" s="824"/>
      <c r="L108" s="824"/>
      <c r="M108" s="824"/>
      <c r="N108" s="824"/>
      <c r="O108" s="824" t="s">
        <v>5</v>
      </c>
      <c r="P108" s="824"/>
      <c r="Q108" s="824"/>
      <c r="R108" s="824"/>
      <c r="S108" s="824"/>
      <c r="T108" s="824"/>
      <c r="U108" s="824"/>
      <c r="V108" s="824"/>
      <c r="W108" s="824"/>
      <c r="X108" s="824"/>
      <c r="Y108" s="824"/>
      <c r="Z108" s="824"/>
    </row>
    <row r="109" spans="1:26" ht="18" x14ac:dyDescent="0.25">
      <c r="A109" s="853" t="str">
        <f>CONCATENATE(B17," ",C17)</f>
        <v>Objective 1 RE Mine Property</v>
      </c>
      <c r="B109" s="853"/>
      <c r="C109" s="854"/>
      <c r="D109" s="854"/>
      <c r="E109" s="855"/>
      <c r="F109" s="855"/>
      <c r="G109" s="855"/>
      <c r="H109" s="855"/>
      <c r="I109" s="855"/>
      <c r="J109" s="855"/>
      <c r="K109" s="855"/>
      <c r="L109" s="855"/>
      <c r="M109" s="855"/>
      <c r="N109" s="855"/>
      <c r="O109" s="855" t="s">
        <v>5</v>
      </c>
      <c r="P109" s="855"/>
      <c r="Q109" s="855"/>
      <c r="R109" s="855"/>
      <c r="S109" s="855"/>
      <c r="T109" s="855"/>
      <c r="U109" s="855"/>
      <c r="V109" s="855"/>
      <c r="W109" s="855"/>
      <c r="X109" s="855"/>
      <c r="Y109" s="855"/>
      <c r="Z109" s="855"/>
    </row>
    <row r="110" spans="1:26" ht="60" x14ac:dyDescent="0.25">
      <c r="A110" s="828" t="s">
        <v>261</v>
      </c>
      <c r="B110" s="828" t="s">
        <v>13</v>
      </c>
      <c r="C110" s="828" t="s">
        <v>14</v>
      </c>
      <c r="D110" s="865" t="s">
        <v>286</v>
      </c>
      <c r="E110" s="830" t="s">
        <v>16</v>
      </c>
      <c r="F110" s="830" t="s">
        <v>295</v>
      </c>
      <c r="G110" s="830" t="s">
        <v>39</v>
      </c>
      <c r="H110" s="830" t="s">
        <v>297</v>
      </c>
      <c r="I110" s="830" t="s">
        <v>298</v>
      </c>
      <c r="J110" s="830" t="s">
        <v>299</v>
      </c>
      <c r="K110" s="830" t="s">
        <v>300</v>
      </c>
      <c r="L110" s="830" t="s">
        <v>17</v>
      </c>
      <c r="M110" s="830" t="s">
        <v>18</v>
      </c>
      <c r="N110" s="830" t="s">
        <v>825</v>
      </c>
      <c r="O110" s="832">
        <v>43101</v>
      </c>
      <c r="P110" s="832">
        <v>43132</v>
      </c>
      <c r="Q110" s="832">
        <v>43160</v>
      </c>
      <c r="R110" s="832">
        <v>43191</v>
      </c>
      <c r="S110" s="832">
        <v>43221</v>
      </c>
      <c r="T110" s="832">
        <v>43252</v>
      </c>
      <c r="U110" s="832">
        <v>43282</v>
      </c>
      <c r="V110" s="832">
        <v>43313</v>
      </c>
      <c r="W110" s="832">
        <v>43344</v>
      </c>
      <c r="X110" s="832">
        <v>43374</v>
      </c>
      <c r="Y110" s="832">
        <v>43405</v>
      </c>
      <c r="Z110" s="832">
        <v>43435</v>
      </c>
    </row>
    <row r="111" spans="1:26" ht="15" customHeight="1" x14ac:dyDescent="0.25">
      <c r="A111" s="833" t="s">
        <v>851</v>
      </c>
      <c r="B111" s="857" t="s">
        <v>852</v>
      </c>
      <c r="C111" s="857" t="s">
        <v>852</v>
      </c>
      <c r="D111" s="834" t="s">
        <v>853</v>
      </c>
      <c r="E111" s="812" t="s">
        <v>202</v>
      </c>
      <c r="F111" s="813"/>
      <c r="G111" s="813"/>
      <c r="H111" s="813" t="s">
        <v>41</v>
      </c>
      <c r="I111" s="813" t="s">
        <v>41</v>
      </c>
      <c r="J111" s="813" t="s">
        <v>41</v>
      </c>
      <c r="K111" s="813" t="s">
        <v>41</v>
      </c>
      <c r="L111" s="813">
        <v>12</v>
      </c>
      <c r="M111" s="813"/>
      <c r="N111" s="813">
        <f t="shared" ref="N111:N114" si="17">SUM(O111:Z111)</f>
        <v>430877.49059558834</v>
      </c>
      <c r="O111" s="813">
        <v>0</v>
      </c>
      <c r="P111" s="813">
        <v>0</v>
      </c>
      <c r="Q111" s="813">
        <f>391706.809632353*1.1</f>
        <v>430877.49059558834</v>
      </c>
      <c r="R111" s="813">
        <v>0</v>
      </c>
      <c r="S111" s="813">
        <v>0</v>
      </c>
      <c r="T111" s="813">
        <v>0</v>
      </c>
      <c r="U111" s="813">
        <v>0</v>
      </c>
      <c r="V111" s="813">
        <v>0</v>
      </c>
      <c r="W111" s="813">
        <v>0</v>
      </c>
      <c r="X111" s="813">
        <v>0</v>
      </c>
      <c r="Y111" s="813">
        <v>0</v>
      </c>
      <c r="Z111" s="813">
        <v>0</v>
      </c>
    </row>
    <row r="112" spans="1:26" ht="15" customHeight="1" x14ac:dyDescent="0.25">
      <c r="A112" s="833" t="s">
        <v>854</v>
      </c>
      <c r="B112" s="833" t="s">
        <v>855</v>
      </c>
      <c r="C112" s="833" t="s">
        <v>856</v>
      </c>
      <c r="D112" s="866" t="s">
        <v>857</v>
      </c>
      <c r="E112" s="812" t="s">
        <v>202</v>
      </c>
      <c r="F112" s="813"/>
      <c r="G112" s="813"/>
      <c r="H112" s="813" t="s">
        <v>41</v>
      </c>
      <c r="I112" s="813" t="s">
        <v>41</v>
      </c>
      <c r="J112" s="813" t="s">
        <v>41</v>
      </c>
      <c r="K112" s="813" t="s">
        <v>41</v>
      </c>
      <c r="L112" s="813">
        <v>12</v>
      </c>
      <c r="M112" s="813"/>
      <c r="N112" s="813">
        <f t="shared" si="17"/>
        <v>309939.15441176482</v>
      </c>
      <c r="O112" s="813">
        <f>17415.4411764706*1.05</f>
        <v>18286.21323529413</v>
      </c>
      <c r="P112" s="813">
        <f>15500*1.05</f>
        <v>16275</v>
      </c>
      <c r="Q112" s="813">
        <f>44415.4411764706*1.05</f>
        <v>46636.213235294133</v>
      </c>
      <c r="R112" s="813">
        <f>34375*1.05</f>
        <v>36093.75</v>
      </c>
      <c r="S112" s="813">
        <f>17845.5882352941*1.05</f>
        <v>18737.867647058807</v>
      </c>
      <c r="T112" s="813">
        <f>34323.5294117647*1.05</f>
        <v>36039.705882352937</v>
      </c>
      <c r="U112" s="813">
        <f>34933.8235294118*1.05</f>
        <v>36680.514705882393</v>
      </c>
      <c r="V112" s="813">
        <f>8250*1.05</f>
        <v>8662.5</v>
      </c>
      <c r="W112" s="813">
        <f>43933.8235294118*1.05</f>
        <v>46130.514705882393</v>
      </c>
      <c r="X112" s="813">
        <f>13812.5*1.05</f>
        <v>14503.125</v>
      </c>
      <c r="Y112" s="813">
        <f>19838.2352941176*1.05</f>
        <v>20830.147058823481</v>
      </c>
      <c r="Z112" s="813">
        <f>10536.7647058824*1.05</f>
        <v>11063.602941176521</v>
      </c>
    </row>
    <row r="113" spans="1:26" ht="15" customHeight="1" x14ac:dyDescent="0.25">
      <c r="A113" s="833" t="s">
        <v>858</v>
      </c>
      <c r="B113" s="833" t="s">
        <v>859</v>
      </c>
      <c r="C113" s="833" t="s">
        <v>860</v>
      </c>
      <c r="D113" s="866" t="s">
        <v>861</v>
      </c>
      <c r="E113" s="812" t="s">
        <v>202</v>
      </c>
      <c r="F113" s="813"/>
      <c r="G113" s="813"/>
      <c r="H113" s="813" t="s">
        <v>41</v>
      </c>
      <c r="I113" s="813" t="s">
        <v>41</v>
      </c>
      <c r="J113" s="813" t="s">
        <v>41</v>
      </c>
      <c r="K113" s="813" t="s">
        <v>41</v>
      </c>
      <c r="L113" s="813">
        <v>12</v>
      </c>
      <c r="M113" s="813"/>
      <c r="N113" s="813">
        <f t="shared" si="17"/>
        <v>17405.379411761194</v>
      </c>
      <c r="O113" s="813">
        <f>520.5*1.1</f>
        <v>572.55000000000007</v>
      </c>
      <c r="P113" s="813">
        <f>5138.14705882+353*1.1</f>
        <v>5526.4470588200002</v>
      </c>
      <c r="Q113" s="813">
        <f>520.5*1.1</f>
        <v>572.55000000000007</v>
      </c>
      <c r="R113" s="813">
        <f>358.73529411765*1.1</f>
        <v>394.60882352941508</v>
      </c>
      <c r="S113" s="813">
        <f>520.5*1.1</f>
        <v>572.55000000000007</v>
      </c>
      <c r="T113" s="813">
        <f>461.67647058824*1.1</f>
        <v>507.84411764706408</v>
      </c>
      <c r="U113" s="813">
        <f>520.5*1.1</f>
        <v>572.55000000000007</v>
      </c>
      <c r="V113" s="813">
        <f>358.73529411765*1.1</f>
        <v>394.60882352941508</v>
      </c>
      <c r="W113" s="813">
        <f>520.5*1.1</f>
        <v>572.55000000000007</v>
      </c>
      <c r="X113" s="813">
        <f>1358.73529411765*1.1</f>
        <v>1494.6088235294151</v>
      </c>
      <c r="Y113" s="813">
        <f>4299.91176470588*1.1</f>
        <v>4729.9029411764686</v>
      </c>
      <c r="Z113" s="813">
        <f>1358.73529411765*1.1</f>
        <v>1494.6088235294151</v>
      </c>
    </row>
    <row r="114" spans="1:26" ht="15" customHeight="1" x14ac:dyDescent="0.25">
      <c r="A114" s="833" t="s">
        <v>862</v>
      </c>
      <c r="B114" s="833" t="s">
        <v>863</v>
      </c>
      <c r="C114" s="833" t="s">
        <v>864</v>
      </c>
      <c r="D114" s="866" t="s">
        <v>865</v>
      </c>
      <c r="E114" s="812" t="s">
        <v>202</v>
      </c>
      <c r="F114" s="867" t="s">
        <v>294</v>
      </c>
      <c r="G114" s="867" t="s">
        <v>866</v>
      </c>
      <c r="H114" s="813" t="s">
        <v>41</v>
      </c>
      <c r="I114" s="813" t="s">
        <v>41</v>
      </c>
      <c r="J114" s="813" t="s">
        <v>42</v>
      </c>
      <c r="K114" s="813" t="s">
        <v>42</v>
      </c>
      <c r="L114" s="813">
        <v>12</v>
      </c>
      <c r="M114" s="813"/>
      <c r="N114" s="813">
        <f t="shared" si="17"/>
        <v>35204.400000000001</v>
      </c>
      <c r="O114" s="813">
        <f t="shared" ref="O114:Z114" si="18">2667*1.1</f>
        <v>2933.7000000000003</v>
      </c>
      <c r="P114" s="813">
        <f t="shared" si="18"/>
        <v>2933.7000000000003</v>
      </c>
      <c r="Q114" s="813">
        <f t="shared" si="18"/>
        <v>2933.7000000000003</v>
      </c>
      <c r="R114" s="813">
        <f t="shared" si="18"/>
        <v>2933.7000000000003</v>
      </c>
      <c r="S114" s="813">
        <f t="shared" si="18"/>
        <v>2933.7000000000003</v>
      </c>
      <c r="T114" s="813">
        <f t="shared" si="18"/>
        <v>2933.7000000000003</v>
      </c>
      <c r="U114" s="813">
        <f t="shared" si="18"/>
        <v>2933.7000000000003</v>
      </c>
      <c r="V114" s="813">
        <f t="shared" si="18"/>
        <v>2933.7000000000003</v>
      </c>
      <c r="W114" s="813">
        <f t="shared" si="18"/>
        <v>2933.7000000000003</v>
      </c>
      <c r="X114" s="813">
        <f t="shared" si="18"/>
        <v>2933.7000000000003</v>
      </c>
      <c r="Y114" s="813">
        <f t="shared" si="18"/>
        <v>2933.7000000000003</v>
      </c>
      <c r="Z114" s="813">
        <f t="shared" si="18"/>
        <v>2933.7000000000003</v>
      </c>
    </row>
    <row r="115" spans="1:26" s="872" customFormat="1" ht="22.5" customHeight="1" x14ac:dyDescent="0.25">
      <c r="A115" s="868"/>
      <c r="B115" s="869"/>
      <c r="C115" s="869"/>
      <c r="D115" s="869"/>
      <c r="E115" s="870"/>
      <c r="F115" s="870"/>
      <c r="G115" s="870"/>
      <c r="H115" s="870"/>
      <c r="I115" s="870"/>
      <c r="J115" s="871" t="s">
        <v>20</v>
      </c>
      <c r="K115" s="870"/>
      <c r="L115" s="830">
        <f t="shared" ref="L115:Z115" si="19">SUM(L111:L114)</f>
        <v>48</v>
      </c>
      <c r="M115" s="830">
        <f t="shared" si="19"/>
        <v>0</v>
      </c>
      <c r="N115" s="830">
        <f t="shared" si="19"/>
        <v>793426.42441911437</v>
      </c>
      <c r="O115" s="830">
        <f t="shared" si="19"/>
        <v>21792.46323529413</v>
      </c>
      <c r="P115" s="830">
        <f t="shared" si="19"/>
        <v>24735.147058819999</v>
      </c>
      <c r="Q115" s="830">
        <f t="shared" si="19"/>
        <v>481019.9538308825</v>
      </c>
      <c r="R115" s="830">
        <f t="shared" si="19"/>
        <v>39422.058823529413</v>
      </c>
      <c r="S115" s="830">
        <f t="shared" si="19"/>
        <v>22244.117647058807</v>
      </c>
      <c r="T115" s="830">
        <f t="shared" si="19"/>
        <v>39481.25</v>
      </c>
      <c r="U115" s="830">
        <f t="shared" si="19"/>
        <v>40186.764705882393</v>
      </c>
      <c r="V115" s="830">
        <f t="shared" si="19"/>
        <v>11990.808823529416</v>
      </c>
      <c r="W115" s="830">
        <f t="shared" si="19"/>
        <v>49636.764705882393</v>
      </c>
      <c r="X115" s="830">
        <f t="shared" si="19"/>
        <v>18931.433823529416</v>
      </c>
      <c r="Y115" s="830">
        <f t="shared" si="19"/>
        <v>28493.749999999949</v>
      </c>
      <c r="Z115" s="830">
        <f t="shared" si="19"/>
        <v>15491.911764705937</v>
      </c>
    </row>
    <row r="116" spans="1:26" ht="18" x14ac:dyDescent="0.25">
      <c r="A116" s="853" t="str">
        <f>CONCATENATE(B18," ",C18)</f>
        <v>Objective 2 EM Mine Property</v>
      </c>
      <c r="B116" s="853"/>
      <c r="C116" s="854"/>
      <c r="D116" s="854"/>
      <c r="E116" s="855"/>
      <c r="F116" s="855"/>
      <c r="G116" s="855"/>
      <c r="H116" s="855"/>
      <c r="I116" s="855"/>
      <c r="J116" s="855"/>
      <c r="K116" s="855"/>
      <c r="L116" s="855"/>
      <c r="M116" s="855"/>
      <c r="N116" s="855"/>
      <c r="O116" s="855" t="s">
        <v>5</v>
      </c>
      <c r="P116" s="855"/>
      <c r="Q116" s="855"/>
      <c r="R116" s="855"/>
      <c r="S116" s="855"/>
      <c r="T116" s="855"/>
      <c r="U116" s="855"/>
      <c r="V116" s="855"/>
      <c r="W116" s="855"/>
      <c r="X116" s="855"/>
      <c r="Y116" s="855"/>
      <c r="Z116" s="855"/>
    </row>
    <row r="117" spans="1:26" ht="60" x14ac:dyDescent="0.25">
      <c r="A117" s="828" t="s">
        <v>261</v>
      </c>
      <c r="B117" s="828" t="s">
        <v>13</v>
      </c>
      <c r="C117" s="828" t="s">
        <v>14</v>
      </c>
      <c r="D117" s="865" t="s">
        <v>286</v>
      </c>
      <c r="E117" s="830" t="s">
        <v>16</v>
      </c>
      <c r="F117" s="830" t="s">
        <v>295</v>
      </c>
      <c r="G117" s="830" t="s">
        <v>39</v>
      </c>
      <c r="H117" s="830" t="s">
        <v>297</v>
      </c>
      <c r="I117" s="830" t="s">
        <v>298</v>
      </c>
      <c r="J117" s="830" t="s">
        <v>299</v>
      </c>
      <c r="K117" s="830" t="s">
        <v>300</v>
      </c>
      <c r="L117" s="830" t="s">
        <v>17</v>
      </c>
      <c r="M117" s="830" t="s">
        <v>18</v>
      </c>
      <c r="N117" s="830" t="s">
        <v>825</v>
      </c>
      <c r="O117" s="832">
        <v>43101</v>
      </c>
      <c r="P117" s="832">
        <v>43132</v>
      </c>
      <c r="Q117" s="832">
        <v>43160</v>
      </c>
      <c r="R117" s="832">
        <v>43191</v>
      </c>
      <c r="S117" s="832">
        <v>43221</v>
      </c>
      <c r="T117" s="832">
        <v>43252</v>
      </c>
      <c r="U117" s="832">
        <v>43282</v>
      </c>
      <c r="V117" s="832">
        <v>43313</v>
      </c>
      <c r="W117" s="832">
        <v>43344</v>
      </c>
      <c r="X117" s="832">
        <v>43374</v>
      </c>
      <c r="Y117" s="832">
        <v>43405</v>
      </c>
      <c r="Z117" s="832">
        <v>43435</v>
      </c>
    </row>
    <row r="118" spans="1:26" ht="15" customHeight="1" x14ac:dyDescent="0.25">
      <c r="A118" s="833" t="s">
        <v>867</v>
      </c>
      <c r="B118" s="857" t="s">
        <v>868</v>
      </c>
      <c r="C118" s="857" t="s">
        <v>868</v>
      </c>
      <c r="D118" s="834" t="s">
        <v>869</v>
      </c>
      <c r="E118" s="812" t="s">
        <v>204</v>
      </c>
      <c r="F118" s="813"/>
      <c r="G118" s="813"/>
      <c r="H118" s="813" t="s">
        <v>41</v>
      </c>
      <c r="I118" s="813" t="s">
        <v>41</v>
      </c>
      <c r="J118" s="813" t="s">
        <v>41</v>
      </c>
      <c r="K118" s="813" t="s">
        <v>41</v>
      </c>
      <c r="L118" s="813">
        <v>12</v>
      </c>
      <c r="M118" s="813"/>
      <c r="N118" s="813">
        <f>SUM(O118:Z118)</f>
        <v>730188.62375735329</v>
      </c>
      <c r="O118" s="813">
        <v>0</v>
      </c>
      <c r="P118" s="813">
        <v>0</v>
      </c>
      <c r="Q118" s="813">
        <f>663807.839779412*1.1</f>
        <v>730188.62375735329</v>
      </c>
      <c r="R118" s="813">
        <v>0</v>
      </c>
      <c r="S118" s="813">
        <v>0</v>
      </c>
      <c r="T118" s="813">
        <v>0</v>
      </c>
      <c r="U118" s="813">
        <v>0</v>
      </c>
      <c r="V118" s="813">
        <v>0</v>
      </c>
      <c r="W118" s="813">
        <v>0</v>
      </c>
      <c r="X118" s="813">
        <v>0</v>
      </c>
      <c r="Y118" s="813">
        <v>0</v>
      </c>
      <c r="Z118" s="813">
        <v>0</v>
      </c>
    </row>
    <row r="119" spans="1:26" ht="15" customHeight="1" x14ac:dyDescent="0.25">
      <c r="A119" s="833" t="s">
        <v>870</v>
      </c>
      <c r="B119" s="833" t="s">
        <v>855</v>
      </c>
      <c r="C119" s="833" t="s">
        <v>871</v>
      </c>
      <c r="D119" s="866" t="s">
        <v>857</v>
      </c>
      <c r="E119" s="812" t="s">
        <v>204</v>
      </c>
      <c r="F119" s="813"/>
      <c r="G119" s="813"/>
      <c r="H119" s="813" t="s">
        <v>41</v>
      </c>
      <c r="I119" s="813" t="s">
        <v>41</v>
      </c>
      <c r="J119" s="813" t="s">
        <v>41</v>
      </c>
      <c r="K119" s="813" t="s">
        <v>41</v>
      </c>
      <c r="L119" s="813">
        <v>12</v>
      </c>
      <c r="M119" s="813"/>
      <c r="N119" s="813">
        <f>SUM(O119:Z119)</f>
        <v>135743.38235294123</v>
      </c>
      <c r="O119" s="813">
        <f>264.705882352941*1.05</f>
        <v>277.94117647058806</v>
      </c>
      <c r="P119" s="813">
        <f>1838.23529411765*1.05</f>
        <v>1930.1470588235327</v>
      </c>
      <c r="Q119" s="813">
        <f>0*1.05</f>
        <v>0</v>
      </c>
      <c r="R119" s="813">
        <f>2018.38235294118*1.05</f>
        <v>2119.3014705882392</v>
      </c>
      <c r="S119" s="813">
        <f>18007.3529411765*1.05</f>
        <v>18907.720588235326</v>
      </c>
      <c r="T119" s="813">
        <v>0</v>
      </c>
      <c r="U119" s="813">
        <f>63066.1764705882*1.05</f>
        <v>66219.485294117621</v>
      </c>
      <c r="V119" s="813">
        <f>1838.23529411765*1.05</f>
        <v>1930.1470588235327</v>
      </c>
      <c r="W119" s="813">
        <v>0</v>
      </c>
      <c r="X119" s="813">
        <f>448.529411764706*1.05</f>
        <v>470.95588235294133</v>
      </c>
      <c r="Y119" s="813">
        <f>41797.7941176471*1.05</f>
        <v>43887.683823529456</v>
      </c>
      <c r="Z119" s="813">
        <v>0</v>
      </c>
    </row>
    <row r="120" spans="1:26" ht="15" customHeight="1" x14ac:dyDescent="0.25">
      <c r="A120" s="833" t="s">
        <v>872</v>
      </c>
      <c r="B120" s="833" t="s">
        <v>859</v>
      </c>
      <c r="C120" s="833" t="s">
        <v>873</v>
      </c>
      <c r="D120" s="866" t="s">
        <v>861</v>
      </c>
      <c r="E120" s="812" t="s">
        <v>204</v>
      </c>
      <c r="F120" s="813"/>
      <c r="G120" s="813"/>
      <c r="H120" s="813" t="s">
        <v>41</v>
      </c>
      <c r="I120" s="813" t="s">
        <v>41</v>
      </c>
      <c r="J120" s="813" t="s">
        <v>41</v>
      </c>
      <c r="K120" s="813" t="s">
        <v>41</v>
      </c>
      <c r="L120" s="813">
        <v>12</v>
      </c>
      <c r="M120" s="813"/>
      <c r="N120" s="813">
        <f>SUM(O120:Z120)</f>
        <v>7036.7647058823577</v>
      </c>
      <c r="O120" s="813">
        <f t="shared" ref="O120:Z120" si="20">533.088235294118*1.1</f>
        <v>586.39705882352985</v>
      </c>
      <c r="P120" s="813">
        <f t="shared" si="20"/>
        <v>586.39705882352985</v>
      </c>
      <c r="Q120" s="813">
        <f t="shared" si="20"/>
        <v>586.39705882352985</v>
      </c>
      <c r="R120" s="813">
        <f t="shared" si="20"/>
        <v>586.39705882352985</v>
      </c>
      <c r="S120" s="813">
        <f t="shared" si="20"/>
        <v>586.39705882352985</v>
      </c>
      <c r="T120" s="813">
        <f t="shared" si="20"/>
        <v>586.39705882352985</v>
      </c>
      <c r="U120" s="813">
        <f t="shared" si="20"/>
        <v>586.39705882352985</v>
      </c>
      <c r="V120" s="813">
        <f t="shared" si="20"/>
        <v>586.39705882352985</v>
      </c>
      <c r="W120" s="813">
        <f t="shared" si="20"/>
        <v>586.39705882352985</v>
      </c>
      <c r="X120" s="813">
        <f t="shared" si="20"/>
        <v>586.39705882352985</v>
      </c>
      <c r="Y120" s="813">
        <f t="shared" si="20"/>
        <v>586.39705882352985</v>
      </c>
      <c r="Z120" s="813">
        <f t="shared" si="20"/>
        <v>586.39705882352985</v>
      </c>
    </row>
    <row r="121" spans="1:26" ht="14.25" customHeight="1" x14ac:dyDescent="0.25">
      <c r="A121" s="833" t="s">
        <v>874</v>
      </c>
      <c r="B121" s="833" t="s">
        <v>875</v>
      </c>
      <c r="C121" s="833" t="s">
        <v>876</v>
      </c>
      <c r="D121" s="866" t="s">
        <v>877</v>
      </c>
      <c r="E121" s="812" t="s">
        <v>204</v>
      </c>
      <c r="F121" s="813" t="s">
        <v>293</v>
      </c>
      <c r="G121" s="859" t="s">
        <v>878</v>
      </c>
      <c r="H121" s="813" t="s">
        <v>41</v>
      </c>
      <c r="I121" s="813" t="s">
        <v>41</v>
      </c>
      <c r="J121" s="813" t="s">
        <v>41</v>
      </c>
      <c r="K121" s="813" t="s">
        <v>42</v>
      </c>
      <c r="L121" s="813">
        <v>12</v>
      </c>
      <c r="M121" s="813"/>
      <c r="N121" s="813">
        <f t="shared" ref="N121" si="21">SUM(O121:Z121)</f>
        <v>59395.950000000004</v>
      </c>
      <c r="O121" s="813">
        <f>1062.5+1.1</f>
        <v>1063.5999999999999</v>
      </c>
      <c r="P121" s="813">
        <f>1062.5+1.1</f>
        <v>1063.5999999999999</v>
      </c>
      <c r="Q121" s="813">
        <f>8500*1.1</f>
        <v>9350</v>
      </c>
      <c r="R121" s="813">
        <f>24437.5*1.1</f>
        <v>26881.250000000004</v>
      </c>
      <c r="S121" s="813">
        <f t="shared" ref="S121:X121" si="22">1062.5*1.1</f>
        <v>1168.75</v>
      </c>
      <c r="T121" s="813">
        <f t="shared" si="22"/>
        <v>1168.75</v>
      </c>
      <c r="U121" s="813">
        <f t="shared" si="22"/>
        <v>1168.75</v>
      </c>
      <c r="V121" s="813">
        <f t="shared" si="22"/>
        <v>1168.75</v>
      </c>
      <c r="W121" s="813">
        <f t="shared" si="22"/>
        <v>1168.75</v>
      </c>
      <c r="X121" s="813">
        <f t="shared" si="22"/>
        <v>1168.75</v>
      </c>
      <c r="Y121" s="813">
        <f>11687.5*1.1</f>
        <v>12856.250000000002</v>
      </c>
      <c r="Z121" s="813">
        <f>1062.5*1.1</f>
        <v>1168.75</v>
      </c>
    </row>
    <row r="122" spans="1:26" s="872" customFormat="1" ht="22.5" customHeight="1" x14ac:dyDescent="0.25">
      <c r="A122" s="868"/>
      <c r="B122" s="869"/>
      <c r="C122" s="869"/>
      <c r="D122" s="869"/>
      <c r="E122" s="870"/>
      <c r="F122" s="870"/>
      <c r="G122" s="870"/>
      <c r="H122" s="870"/>
      <c r="I122" s="870"/>
      <c r="J122" s="871" t="s">
        <v>20</v>
      </c>
      <c r="K122" s="870"/>
      <c r="L122" s="813">
        <v>12</v>
      </c>
      <c r="M122" s="830">
        <f t="shared" ref="M122:Z122" si="23">SUM(M118:M121)</f>
        <v>0</v>
      </c>
      <c r="N122" s="830">
        <f t="shared" si="23"/>
        <v>932364.72081617685</v>
      </c>
      <c r="O122" s="830">
        <f t="shared" si="23"/>
        <v>1927.9382352941179</v>
      </c>
      <c r="P122" s="830">
        <f t="shared" si="23"/>
        <v>3580.1441176470626</v>
      </c>
      <c r="Q122" s="830">
        <f t="shared" si="23"/>
        <v>740125.02081617678</v>
      </c>
      <c r="R122" s="830">
        <f t="shared" si="23"/>
        <v>29586.948529411773</v>
      </c>
      <c r="S122" s="830">
        <f t="shared" si="23"/>
        <v>20662.867647058858</v>
      </c>
      <c r="T122" s="830">
        <f t="shared" si="23"/>
        <v>1755.1470588235297</v>
      </c>
      <c r="U122" s="830">
        <f t="shared" si="23"/>
        <v>67974.632352941146</v>
      </c>
      <c r="V122" s="830">
        <f t="shared" si="23"/>
        <v>3685.2941176470626</v>
      </c>
      <c r="W122" s="830">
        <f t="shared" si="23"/>
        <v>1755.1470588235297</v>
      </c>
      <c r="X122" s="830">
        <f t="shared" si="23"/>
        <v>2226.1029411764712</v>
      </c>
      <c r="Y122" s="830">
        <f t="shared" si="23"/>
        <v>57330.330882352988</v>
      </c>
      <c r="Z122" s="830">
        <f t="shared" si="23"/>
        <v>1755.1470588235297</v>
      </c>
    </row>
    <row r="123" spans="1:26" ht="18" x14ac:dyDescent="0.25">
      <c r="A123" s="853" t="str">
        <f>CONCATENATE(B19," ",C19)</f>
        <v xml:space="preserve">Objective 3.01 Legal/Consulting </v>
      </c>
      <c r="B123" s="853"/>
      <c r="C123" s="854"/>
      <c r="D123" s="854"/>
      <c r="E123" s="855"/>
      <c r="F123" s="855"/>
      <c r="G123" s="855"/>
      <c r="H123" s="855"/>
      <c r="I123" s="855"/>
      <c r="J123" s="855"/>
      <c r="K123" s="855"/>
      <c r="L123" s="855"/>
      <c r="M123" s="855"/>
      <c r="N123" s="855"/>
      <c r="O123" s="855" t="s">
        <v>5</v>
      </c>
      <c r="P123" s="855"/>
      <c r="Q123" s="855"/>
      <c r="R123" s="855"/>
      <c r="S123" s="855"/>
      <c r="T123" s="855"/>
      <c r="U123" s="855"/>
      <c r="V123" s="855"/>
      <c r="W123" s="855"/>
      <c r="X123" s="855"/>
      <c r="Y123" s="855"/>
      <c r="Z123" s="855"/>
    </row>
    <row r="124" spans="1:26" ht="60" x14ac:dyDescent="0.25">
      <c r="A124" s="828" t="s">
        <v>261</v>
      </c>
      <c r="B124" s="828" t="s">
        <v>13</v>
      </c>
      <c r="C124" s="828" t="s">
        <v>14</v>
      </c>
      <c r="D124" s="865" t="s">
        <v>286</v>
      </c>
      <c r="E124" s="830" t="s">
        <v>16</v>
      </c>
      <c r="F124" s="830" t="s">
        <v>295</v>
      </c>
      <c r="G124" s="830" t="s">
        <v>39</v>
      </c>
      <c r="H124" s="830" t="s">
        <v>297</v>
      </c>
      <c r="I124" s="830" t="s">
        <v>298</v>
      </c>
      <c r="J124" s="830" t="s">
        <v>299</v>
      </c>
      <c r="K124" s="830" t="s">
        <v>300</v>
      </c>
      <c r="L124" s="830" t="s">
        <v>17</v>
      </c>
      <c r="M124" s="830" t="s">
        <v>18</v>
      </c>
      <c r="N124" s="830" t="s">
        <v>825</v>
      </c>
      <c r="O124" s="832">
        <v>43101</v>
      </c>
      <c r="P124" s="832">
        <v>43132</v>
      </c>
      <c r="Q124" s="832">
        <v>43160</v>
      </c>
      <c r="R124" s="832">
        <v>43191</v>
      </c>
      <c r="S124" s="832">
        <v>43221</v>
      </c>
      <c r="T124" s="832">
        <v>43252</v>
      </c>
      <c r="U124" s="832">
        <v>43282</v>
      </c>
      <c r="V124" s="832">
        <v>43313</v>
      </c>
      <c r="W124" s="832">
        <v>43344</v>
      </c>
      <c r="X124" s="832">
        <v>43374</v>
      </c>
      <c r="Y124" s="832">
        <v>43405</v>
      </c>
      <c r="Z124" s="832">
        <v>43435</v>
      </c>
    </row>
    <row r="125" spans="1:26" ht="15" customHeight="1" x14ac:dyDescent="0.25">
      <c r="A125" s="833" t="s">
        <v>831</v>
      </c>
      <c r="B125" s="833" t="s">
        <v>863</v>
      </c>
      <c r="C125" s="833" t="s">
        <v>879</v>
      </c>
      <c r="D125" s="866" t="s">
        <v>880</v>
      </c>
      <c r="E125" s="812" t="s">
        <v>206</v>
      </c>
      <c r="F125" s="867" t="s">
        <v>294</v>
      </c>
      <c r="G125" s="873" t="s">
        <v>879</v>
      </c>
      <c r="H125" s="813" t="s">
        <v>41</v>
      </c>
      <c r="I125" s="813" t="s">
        <v>41</v>
      </c>
      <c r="J125" s="813" t="s">
        <v>42</v>
      </c>
      <c r="K125" s="813" t="s">
        <v>42</v>
      </c>
      <c r="L125" s="813">
        <v>12</v>
      </c>
      <c r="M125" s="813"/>
      <c r="N125" s="813">
        <f t="shared" ref="N125:N129" si="24">SUM(O125:Z125)</f>
        <v>87000</v>
      </c>
      <c r="O125" s="813">
        <v>7250</v>
      </c>
      <c r="P125" s="813">
        <v>7250</v>
      </c>
      <c r="Q125" s="813">
        <v>7250</v>
      </c>
      <c r="R125" s="813">
        <v>7250</v>
      </c>
      <c r="S125" s="813">
        <v>7250</v>
      </c>
      <c r="T125" s="813">
        <v>7250</v>
      </c>
      <c r="U125" s="813">
        <v>7250</v>
      </c>
      <c r="V125" s="813">
        <v>7250</v>
      </c>
      <c r="W125" s="813">
        <v>7250</v>
      </c>
      <c r="X125" s="813">
        <v>7250</v>
      </c>
      <c r="Y125" s="813">
        <v>7250</v>
      </c>
      <c r="Z125" s="813">
        <v>7250</v>
      </c>
    </row>
    <row r="126" spans="1:26" ht="15" customHeight="1" x14ac:dyDescent="0.25">
      <c r="A126" s="833" t="s">
        <v>835</v>
      </c>
      <c r="B126" s="833" t="s">
        <v>863</v>
      </c>
      <c r="C126" s="833" t="s">
        <v>881</v>
      </c>
      <c r="D126" s="866" t="s">
        <v>882</v>
      </c>
      <c r="E126" s="812" t="s">
        <v>206</v>
      </c>
      <c r="F126" s="867" t="s">
        <v>294</v>
      </c>
      <c r="G126" s="873" t="s">
        <v>883</v>
      </c>
      <c r="H126" s="813" t="s">
        <v>41</v>
      </c>
      <c r="I126" s="813" t="s">
        <v>41</v>
      </c>
      <c r="J126" s="813" t="s">
        <v>42</v>
      </c>
      <c r="K126" s="813" t="s">
        <v>42</v>
      </c>
      <c r="L126" s="813">
        <v>12</v>
      </c>
      <c r="M126" s="813"/>
      <c r="N126" s="813">
        <f t="shared" si="24"/>
        <v>87000</v>
      </c>
      <c r="O126" s="813">
        <v>7250</v>
      </c>
      <c r="P126" s="813">
        <v>7250</v>
      </c>
      <c r="Q126" s="813">
        <v>7250</v>
      </c>
      <c r="R126" s="813">
        <v>7250</v>
      </c>
      <c r="S126" s="813">
        <v>7250</v>
      </c>
      <c r="T126" s="813">
        <v>7250</v>
      </c>
      <c r="U126" s="813">
        <v>7250</v>
      </c>
      <c r="V126" s="813">
        <v>7250</v>
      </c>
      <c r="W126" s="813">
        <v>7250</v>
      </c>
      <c r="X126" s="813">
        <v>7250</v>
      </c>
      <c r="Y126" s="813">
        <v>7250</v>
      </c>
      <c r="Z126" s="813">
        <v>7250</v>
      </c>
    </row>
    <row r="127" spans="1:26" ht="15" customHeight="1" x14ac:dyDescent="0.25">
      <c r="A127" s="833" t="s">
        <v>839</v>
      </c>
      <c r="B127" s="833" t="s">
        <v>863</v>
      </c>
      <c r="C127" s="833" t="s">
        <v>885</v>
      </c>
      <c r="D127" s="866" t="s">
        <v>1599</v>
      </c>
      <c r="E127" s="812" t="s">
        <v>206</v>
      </c>
      <c r="F127" s="867" t="s">
        <v>294</v>
      </c>
      <c r="G127" s="873" t="s">
        <v>885</v>
      </c>
      <c r="H127" s="813" t="s">
        <v>41</v>
      </c>
      <c r="I127" s="813" t="s">
        <v>41</v>
      </c>
      <c r="J127" s="813" t="s">
        <v>42</v>
      </c>
      <c r="K127" s="813" t="s">
        <v>42</v>
      </c>
      <c r="L127" s="813">
        <v>12</v>
      </c>
      <c r="M127" s="813"/>
      <c r="N127" s="813">
        <f t="shared" si="24"/>
        <v>87000</v>
      </c>
      <c r="O127" s="813">
        <v>7250</v>
      </c>
      <c r="P127" s="813">
        <v>7250</v>
      </c>
      <c r="Q127" s="813">
        <v>7250</v>
      </c>
      <c r="R127" s="813">
        <v>7250</v>
      </c>
      <c r="S127" s="813">
        <v>7250</v>
      </c>
      <c r="T127" s="813">
        <v>7250</v>
      </c>
      <c r="U127" s="813">
        <v>7250</v>
      </c>
      <c r="V127" s="813">
        <v>7250</v>
      </c>
      <c r="W127" s="813">
        <v>7250</v>
      </c>
      <c r="X127" s="813">
        <v>7250</v>
      </c>
      <c r="Y127" s="813">
        <v>7250</v>
      </c>
      <c r="Z127" s="813">
        <v>7250</v>
      </c>
    </row>
    <row r="128" spans="1:26" ht="15" customHeight="1" x14ac:dyDescent="0.25">
      <c r="A128" s="833" t="s">
        <v>841</v>
      </c>
      <c r="B128" s="833" t="s">
        <v>863</v>
      </c>
      <c r="C128" s="833" t="s">
        <v>889</v>
      </c>
      <c r="D128" s="866" t="s">
        <v>890</v>
      </c>
      <c r="E128" s="812" t="s">
        <v>206</v>
      </c>
      <c r="F128" s="867" t="s">
        <v>294</v>
      </c>
      <c r="G128" s="873" t="s">
        <v>889</v>
      </c>
      <c r="H128" s="813" t="s">
        <v>41</v>
      </c>
      <c r="I128" s="813" t="s">
        <v>41</v>
      </c>
      <c r="J128" s="813" t="s">
        <v>42</v>
      </c>
      <c r="K128" s="813" t="s">
        <v>42</v>
      </c>
      <c r="L128" s="813">
        <v>12</v>
      </c>
      <c r="M128" s="813"/>
      <c r="N128" s="813">
        <f t="shared" si="24"/>
        <v>37500</v>
      </c>
      <c r="O128" s="813">
        <v>3125</v>
      </c>
      <c r="P128" s="813">
        <v>3125</v>
      </c>
      <c r="Q128" s="813">
        <v>3125</v>
      </c>
      <c r="R128" s="813">
        <v>3125</v>
      </c>
      <c r="S128" s="813">
        <v>3125</v>
      </c>
      <c r="T128" s="813">
        <v>3125</v>
      </c>
      <c r="U128" s="813">
        <v>3125</v>
      </c>
      <c r="V128" s="813">
        <v>3125</v>
      </c>
      <c r="W128" s="813">
        <v>3125</v>
      </c>
      <c r="X128" s="813">
        <v>3125</v>
      </c>
      <c r="Y128" s="813">
        <v>3125</v>
      </c>
      <c r="Z128" s="813">
        <v>3125</v>
      </c>
    </row>
    <row r="129" spans="1:27" ht="15" customHeight="1" x14ac:dyDescent="0.25">
      <c r="A129" s="833" t="s">
        <v>844</v>
      </c>
      <c r="B129" s="833" t="s">
        <v>863</v>
      </c>
      <c r="C129" s="833" t="s">
        <v>892</v>
      </c>
      <c r="D129" s="866" t="s">
        <v>893</v>
      </c>
      <c r="E129" s="812" t="s">
        <v>206</v>
      </c>
      <c r="F129" s="867" t="s">
        <v>294</v>
      </c>
      <c r="G129" s="873" t="s">
        <v>892</v>
      </c>
      <c r="H129" s="813" t="s">
        <v>41</v>
      </c>
      <c r="I129" s="813" t="s">
        <v>41</v>
      </c>
      <c r="J129" s="813" t="s">
        <v>42</v>
      </c>
      <c r="K129" s="813" t="s">
        <v>42</v>
      </c>
      <c r="L129" s="813">
        <v>12</v>
      </c>
      <c r="M129" s="813"/>
      <c r="N129" s="813">
        <f t="shared" si="24"/>
        <v>150000</v>
      </c>
      <c r="O129" s="813">
        <v>12500</v>
      </c>
      <c r="P129" s="813">
        <v>12500</v>
      </c>
      <c r="Q129" s="813">
        <v>12500</v>
      </c>
      <c r="R129" s="813">
        <v>12500</v>
      </c>
      <c r="S129" s="813">
        <v>12500</v>
      </c>
      <c r="T129" s="813">
        <v>12500</v>
      </c>
      <c r="U129" s="813">
        <v>12500</v>
      </c>
      <c r="V129" s="813">
        <v>12500</v>
      </c>
      <c r="W129" s="813">
        <v>12500</v>
      </c>
      <c r="X129" s="813">
        <v>12500</v>
      </c>
      <c r="Y129" s="813">
        <v>12500</v>
      </c>
      <c r="Z129" s="813">
        <v>12500</v>
      </c>
    </row>
    <row r="130" spans="1:27" ht="15" customHeight="1" x14ac:dyDescent="0.25">
      <c r="A130" s="833" t="s">
        <v>848</v>
      </c>
      <c r="B130" s="833" t="s">
        <v>863</v>
      </c>
      <c r="C130" s="833" t="s">
        <v>908</v>
      </c>
      <c r="D130" s="866" t="s">
        <v>909</v>
      </c>
      <c r="E130" s="812" t="s">
        <v>206</v>
      </c>
      <c r="F130" s="867" t="s">
        <v>294</v>
      </c>
      <c r="G130" s="873" t="s">
        <v>910</v>
      </c>
      <c r="H130" s="813" t="s">
        <v>41</v>
      </c>
      <c r="I130" s="813" t="s">
        <v>41</v>
      </c>
      <c r="J130" s="813" t="s">
        <v>42</v>
      </c>
      <c r="K130" s="813" t="s">
        <v>42</v>
      </c>
      <c r="L130" s="813">
        <v>12</v>
      </c>
      <c r="M130" s="813"/>
      <c r="N130" s="813">
        <f t="shared" ref="N130:N137" si="25">SUM(O130:Z130)</f>
        <v>87000</v>
      </c>
      <c r="O130" s="813">
        <v>7250</v>
      </c>
      <c r="P130" s="813">
        <v>7250</v>
      </c>
      <c r="Q130" s="813">
        <v>7250</v>
      </c>
      <c r="R130" s="813">
        <v>7250</v>
      </c>
      <c r="S130" s="813">
        <v>7250</v>
      </c>
      <c r="T130" s="813">
        <v>7250</v>
      </c>
      <c r="U130" s="813">
        <v>7250</v>
      </c>
      <c r="V130" s="813">
        <v>7250</v>
      </c>
      <c r="W130" s="813">
        <v>7250</v>
      </c>
      <c r="X130" s="813">
        <v>7250</v>
      </c>
      <c r="Y130" s="813">
        <v>7250</v>
      </c>
      <c r="Z130" s="813">
        <v>7250</v>
      </c>
    </row>
    <row r="131" spans="1:27" ht="14.25" customHeight="1" x14ac:dyDescent="0.25">
      <c r="A131" s="833" t="s">
        <v>891</v>
      </c>
      <c r="B131" s="833" t="s">
        <v>863</v>
      </c>
      <c r="C131" s="833" t="s">
        <v>912</v>
      </c>
      <c r="D131" s="866" t="s">
        <v>913</v>
      </c>
      <c r="E131" s="812" t="s">
        <v>206</v>
      </c>
      <c r="F131" s="867" t="s">
        <v>294</v>
      </c>
      <c r="G131" s="873" t="s">
        <v>914</v>
      </c>
      <c r="H131" s="813" t="s">
        <v>41</v>
      </c>
      <c r="I131" s="813" t="s">
        <v>41</v>
      </c>
      <c r="J131" s="813" t="s">
        <v>42</v>
      </c>
      <c r="K131" s="813" t="s">
        <v>42</v>
      </c>
      <c r="L131" s="813">
        <v>12</v>
      </c>
      <c r="M131" s="830"/>
      <c r="N131" s="813">
        <f t="shared" si="25"/>
        <v>12000</v>
      </c>
      <c r="O131" s="813">
        <v>1000</v>
      </c>
      <c r="P131" s="813">
        <v>1000</v>
      </c>
      <c r="Q131" s="813">
        <v>1000</v>
      </c>
      <c r="R131" s="813">
        <v>1000</v>
      </c>
      <c r="S131" s="813">
        <v>1000</v>
      </c>
      <c r="T131" s="813">
        <v>1000</v>
      </c>
      <c r="U131" s="813">
        <v>1000</v>
      </c>
      <c r="V131" s="813">
        <v>1000</v>
      </c>
      <c r="W131" s="813">
        <v>1000</v>
      </c>
      <c r="X131" s="813">
        <v>1000</v>
      </c>
      <c r="Y131" s="813">
        <v>1000</v>
      </c>
      <c r="Z131" s="813">
        <v>1000</v>
      </c>
      <c r="AA131" s="872"/>
    </row>
    <row r="132" spans="1:27" ht="15" customHeight="1" x14ac:dyDescent="0.25">
      <c r="A132" s="833" t="s">
        <v>894</v>
      </c>
      <c r="B132" s="833" t="s">
        <v>863</v>
      </c>
      <c r="C132" s="833" t="s">
        <v>916</v>
      </c>
      <c r="D132" s="866" t="s">
        <v>917</v>
      </c>
      <c r="E132" s="812" t="s">
        <v>206</v>
      </c>
      <c r="F132" s="867" t="s">
        <v>294</v>
      </c>
      <c r="G132" s="873" t="s">
        <v>918</v>
      </c>
      <c r="H132" s="813" t="s">
        <v>41</v>
      </c>
      <c r="I132" s="813" t="s">
        <v>41</v>
      </c>
      <c r="J132" s="813" t="s">
        <v>42</v>
      </c>
      <c r="K132" s="813" t="s">
        <v>42</v>
      </c>
      <c r="L132" s="813">
        <v>12</v>
      </c>
      <c r="M132" s="813"/>
      <c r="N132" s="813">
        <f t="shared" si="25"/>
        <v>15882.352941176474</v>
      </c>
      <c r="O132" s="813">
        <v>1323.5294117647059</v>
      </c>
      <c r="P132" s="813">
        <v>1323.5294117647059</v>
      </c>
      <c r="Q132" s="813">
        <v>1323.5294117647059</v>
      </c>
      <c r="R132" s="813">
        <v>1323.5294117647059</v>
      </c>
      <c r="S132" s="813">
        <v>1323.5294117647059</v>
      </c>
      <c r="T132" s="813">
        <v>1323.5294117647059</v>
      </c>
      <c r="U132" s="813">
        <v>1323.5294117647059</v>
      </c>
      <c r="V132" s="813">
        <v>1323.5294117647059</v>
      </c>
      <c r="W132" s="813">
        <v>1323.5294117647059</v>
      </c>
      <c r="X132" s="813">
        <v>1323.5294117647059</v>
      </c>
      <c r="Y132" s="813">
        <v>1323.5294117647059</v>
      </c>
      <c r="Z132" s="813">
        <v>1323.5294117647059</v>
      </c>
    </row>
    <row r="133" spans="1:27" ht="15" customHeight="1" x14ac:dyDescent="0.25">
      <c r="A133" s="833" t="s">
        <v>897</v>
      </c>
      <c r="B133" s="833" t="s">
        <v>863</v>
      </c>
      <c r="C133" s="833" t="s">
        <v>1324</v>
      </c>
      <c r="D133" s="866" t="s">
        <v>1325</v>
      </c>
      <c r="E133" s="812" t="s">
        <v>206</v>
      </c>
      <c r="F133" s="867"/>
      <c r="G133" s="873"/>
      <c r="H133" s="813" t="s">
        <v>41</v>
      </c>
      <c r="I133" s="813" t="s">
        <v>41</v>
      </c>
      <c r="J133" s="813" t="s">
        <v>42</v>
      </c>
      <c r="K133" s="813" t="s">
        <v>42</v>
      </c>
      <c r="L133" s="813">
        <v>12</v>
      </c>
      <c r="M133" s="813"/>
      <c r="N133" s="813">
        <f t="shared" si="25"/>
        <v>100000</v>
      </c>
      <c r="O133" s="813">
        <v>0</v>
      </c>
      <c r="P133" s="813">
        <v>0</v>
      </c>
      <c r="Q133" s="813">
        <f>100000/4</f>
        <v>25000</v>
      </c>
      <c r="R133" s="813">
        <v>0</v>
      </c>
      <c r="S133" s="813">
        <v>0</v>
      </c>
      <c r="T133" s="813">
        <f>100000/4</f>
        <v>25000</v>
      </c>
      <c r="U133" s="813">
        <v>0</v>
      </c>
      <c r="V133" s="813">
        <v>0</v>
      </c>
      <c r="W133" s="813">
        <f>100000/4</f>
        <v>25000</v>
      </c>
      <c r="X133" s="813">
        <v>0</v>
      </c>
      <c r="Y133" s="813">
        <v>0</v>
      </c>
      <c r="Z133" s="813">
        <f>100000/4</f>
        <v>25000</v>
      </c>
    </row>
    <row r="134" spans="1:27" ht="15" customHeight="1" x14ac:dyDescent="0.25">
      <c r="A134" s="833" t="s">
        <v>901</v>
      </c>
      <c r="B134" s="833" t="s">
        <v>924</v>
      </c>
      <c r="C134" s="833" t="s">
        <v>924</v>
      </c>
      <c r="D134" s="833" t="s">
        <v>925</v>
      </c>
      <c r="E134" s="812" t="s">
        <v>206</v>
      </c>
      <c r="F134" s="813"/>
      <c r="G134" s="813"/>
      <c r="H134" s="813" t="s">
        <v>41</v>
      </c>
      <c r="I134" s="813" t="s">
        <v>41</v>
      </c>
      <c r="J134" s="813" t="s">
        <v>41</v>
      </c>
      <c r="K134" s="813" t="s">
        <v>41</v>
      </c>
      <c r="L134" s="813">
        <v>12</v>
      </c>
      <c r="M134" s="813"/>
      <c r="N134" s="813">
        <f t="shared" si="25"/>
        <v>60000</v>
      </c>
      <c r="O134" s="813">
        <v>5000</v>
      </c>
      <c r="P134" s="813">
        <v>5000</v>
      </c>
      <c r="Q134" s="813">
        <v>5000</v>
      </c>
      <c r="R134" s="813">
        <v>5000</v>
      </c>
      <c r="S134" s="813">
        <v>5000</v>
      </c>
      <c r="T134" s="813">
        <v>5000</v>
      </c>
      <c r="U134" s="813">
        <v>5000</v>
      </c>
      <c r="V134" s="813">
        <v>5000</v>
      </c>
      <c r="W134" s="813">
        <v>5000</v>
      </c>
      <c r="X134" s="813">
        <v>5000</v>
      </c>
      <c r="Y134" s="813">
        <v>5000</v>
      </c>
      <c r="Z134" s="813">
        <v>5000</v>
      </c>
    </row>
    <row r="135" spans="1:27" ht="15" customHeight="1" x14ac:dyDescent="0.25">
      <c r="A135" s="833" t="s">
        <v>903</v>
      </c>
      <c r="B135" s="833" t="s">
        <v>924</v>
      </c>
      <c r="C135" s="833" t="s">
        <v>927</v>
      </c>
      <c r="D135" s="833" t="s">
        <v>927</v>
      </c>
      <c r="E135" s="812" t="s">
        <v>206</v>
      </c>
      <c r="F135" s="813"/>
      <c r="G135" s="813"/>
      <c r="H135" s="813" t="s">
        <v>41</v>
      </c>
      <c r="I135" s="813" t="s">
        <v>41</v>
      </c>
      <c r="J135" s="813" t="s">
        <v>41</v>
      </c>
      <c r="K135" s="813" t="s">
        <v>41</v>
      </c>
      <c r="L135" s="813">
        <v>12</v>
      </c>
      <c r="M135" s="813"/>
      <c r="N135" s="813">
        <f t="shared" si="25"/>
        <v>20000</v>
      </c>
      <c r="O135" s="813">
        <v>0</v>
      </c>
      <c r="P135" s="813">
        <v>0</v>
      </c>
      <c r="Q135" s="813">
        <v>5000</v>
      </c>
      <c r="R135" s="813">
        <v>0</v>
      </c>
      <c r="S135" s="813">
        <v>0</v>
      </c>
      <c r="T135" s="813">
        <v>5000</v>
      </c>
      <c r="U135" s="813">
        <v>0</v>
      </c>
      <c r="V135" s="813">
        <v>0</v>
      </c>
      <c r="W135" s="813">
        <v>5000</v>
      </c>
      <c r="X135" s="813">
        <v>0</v>
      </c>
      <c r="Y135" s="813">
        <v>0</v>
      </c>
      <c r="Z135" s="813">
        <v>5000</v>
      </c>
    </row>
    <row r="136" spans="1:27" ht="15" customHeight="1" x14ac:dyDescent="0.25">
      <c r="A136" s="833" t="s">
        <v>905</v>
      </c>
      <c r="B136" s="833" t="s">
        <v>924</v>
      </c>
      <c r="C136" s="833" t="s">
        <v>929</v>
      </c>
      <c r="D136" s="866" t="s">
        <v>930</v>
      </c>
      <c r="E136" s="812" t="s">
        <v>206</v>
      </c>
      <c r="F136" s="813"/>
      <c r="G136" s="814"/>
      <c r="H136" s="813" t="s">
        <v>41</v>
      </c>
      <c r="I136" s="813" t="s">
        <v>41</v>
      </c>
      <c r="J136" s="813" t="s">
        <v>41</v>
      </c>
      <c r="K136" s="813" t="s">
        <v>41</v>
      </c>
      <c r="L136" s="813">
        <v>12</v>
      </c>
      <c r="M136" s="813"/>
      <c r="N136" s="813">
        <f t="shared" si="25"/>
        <v>17000</v>
      </c>
      <c r="O136" s="813">
        <v>1000</v>
      </c>
      <c r="P136" s="813">
        <v>1000</v>
      </c>
      <c r="Q136" s="813">
        <v>2000</v>
      </c>
      <c r="R136" s="813">
        <v>1000</v>
      </c>
      <c r="S136" s="813">
        <v>2000</v>
      </c>
      <c r="T136" s="813">
        <v>1000</v>
      </c>
      <c r="U136" s="813">
        <v>2000</v>
      </c>
      <c r="V136" s="813">
        <v>1000</v>
      </c>
      <c r="W136" s="813">
        <v>2000</v>
      </c>
      <c r="X136" s="813">
        <v>1000</v>
      </c>
      <c r="Y136" s="813">
        <v>2000</v>
      </c>
      <c r="Z136" s="813">
        <v>1000</v>
      </c>
    </row>
    <row r="137" spans="1:27" ht="15" customHeight="1" x14ac:dyDescent="0.25">
      <c r="A137" s="833" t="s">
        <v>907</v>
      </c>
      <c r="B137" s="833" t="s">
        <v>924</v>
      </c>
      <c r="C137" s="833" t="s">
        <v>932</v>
      </c>
      <c r="D137" s="866" t="s">
        <v>1328</v>
      </c>
      <c r="E137" s="812" t="s">
        <v>206</v>
      </c>
      <c r="F137" s="813"/>
      <c r="G137" s="814"/>
      <c r="H137" s="813" t="s">
        <v>41</v>
      </c>
      <c r="I137" s="813" t="s">
        <v>41</v>
      </c>
      <c r="J137" s="813" t="s">
        <v>41</v>
      </c>
      <c r="K137" s="813" t="s">
        <v>41</v>
      </c>
      <c r="L137" s="813">
        <v>12</v>
      </c>
      <c r="M137" s="813"/>
      <c r="N137" s="813">
        <f t="shared" si="25"/>
        <v>76038.23529411765</v>
      </c>
      <c r="O137" s="813">
        <f t="shared" ref="O137:Z137" si="26">SUM(O125:O136)*0.1</f>
        <v>5294.8529411764712</v>
      </c>
      <c r="P137" s="813">
        <f t="shared" si="26"/>
        <v>5294.8529411764712</v>
      </c>
      <c r="Q137" s="813">
        <f t="shared" si="26"/>
        <v>8394.8529411764703</v>
      </c>
      <c r="R137" s="813">
        <f t="shared" si="26"/>
        <v>5294.8529411764712</v>
      </c>
      <c r="S137" s="813">
        <f t="shared" si="26"/>
        <v>5394.8529411764712</v>
      </c>
      <c r="T137" s="813">
        <f t="shared" si="26"/>
        <v>8294.8529411764703</v>
      </c>
      <c r="U137" s="813">
        <f t="shared" si="26"/>
        <v>5394.8529411764712</v>
      </c>
      <c r="V137" s="813">
        <f t="shared" si="26"/>
        <v>5294.8529411764712</v>
      </c>
      <c r="W137" s="813">
        <f t="shared" si="26"/>
        <v>8394.8529411764703</v>
      </c>
      <c r="X137" s="813">
        <f t="shared" si="26"/>
        <v>5294.8529411764712</v>
      </c>
      <c r="Y137" s="813">
        <f t="shared" si="26"/>
        <v>5394.8529411764712</v>
      </c>
      <c r="Z137" s="813">
        <f t="shared" si="26"/>
        <v>8294.8529411764703</v>
      </c>
    </row>
    <row r="138" spans="1:27" s="872" customFormat="1" ht="22.5" customHeight="1" x14ac:dyDescent="0.25">
      <c r="A138" s="868"/>
      <c r="B138" s="869"/>
      <c r="C138" s="869"/>
      <c r="D138" s="869"/>
      <c r="E138" s="870"/>
      <c r="F138" s="870"/>
      <c r="G138" s="870"/>
      <c r="H138" s="870"/>
      <c r="I138" s="870"/>
      <c r="J138" s="871" t="s">
        <v>20</v>
      </c>
      <c r="K138" s="870"/>
      <c r="L138" s="813">
        <v>12</v>
      </c>
      <c r="M138" s="830">
        <f t="shared" ref="M138:Z138" si="27">SUM(M125:M137)</f>
        <v>0</v>
      </c>
      <c r="N138" s="830">
        <f t="shared" si="27"/>
        <v>836420.58823529421</v>
      </c>
      <c r="O138" s="830">
        <f t="shared" si="27"/>
        <v>58243.382352941175</v>
      </c>
      <c r="P138" s="830">
        <f t="shared" si="27"/>
        <v>58243.382352941175</v>
      </c>
      <c r="Q138" s="830">
        <f t="shared" si="27"/>
        <v>92343.382352941175</v>
      </c>
      <c r="R138" s="830">
        <f t="shared" si="27"/>
        <v>58243.382352941175</v>
      </c>
      <c r="S138" s="830">
        <f t="shared" si="27"/>
        <v>59343.382352941175</v>
      </c>
      <c r="T138" s="830">
        <f t="shared" si="27"/>
        <v>91243.382352941175</v>
      </c>
      <c r="U138" s="830">
        <f t="shared" si="27"/>
        <v>59343.382352941175</v>
      </c>
      <c r="V138" s="830">
        <f t="shared" si="27"/>
        <v>58243.382352941175</v>
      </c>
      <c r="W138" s="830">
        <f t="shared" si="27"/>
        <v>92343.382352941175</v>
      </c>
      <c r="X138" s="830">
        <f t="shared" si="27"/>
        <v>58243.382352941175</v>
      </c>
      <c r="Y138" s="830">
        <f t="shared" si="27"/>
        <v>59343.382352941175</v>
      </c>
      <c r="Z138" s="830">
        <f t="shared" si="27"/>
        <v>91243.382352941175</v>
      </c>
    </row>
    <row r="139" spans="1:27" ht="18" x14ac:dyDescent="0.25">
      <c r="A139" s="853" t="str">
        <f>CONCATENATE(B20," ",C20)</f>
        <v>Objective 3.02 Legal/Consulting Land Access</v>
      </c>
      <c r="B139" s="853"/>
      <c r="C139" s="854"/>
      <c r="D139" s="854"/>
      <c r="E139" s="855"/>
      <c r="F139" s="855"/>
      <c r="G139" s="855"/>
      <c r="H139" s="855"/>
      <c r="I139" s="855"/>
      <c r="J139" s="855"/>
      <c r="K139" s="855"/>
      <c r="L139" s="855"/>
      <c r="M139" s="855"/>
      <c r="N139" s="855"/>
      <c r="O139" s="855" t="s">
        <v>5</v>
      </c>
      <c r="P139" s="855"/>
      <c r="Q139" s="855"/>
      <c r="R139" s="855"/>
      <c r="S139" s="855"/>
      <c r="T139" s="855"/>
      <c r="U139" s="855"/>
      <c r="V139" s="855"/>
      <c r="W139" s="855"/>
      <c r="X139" s="855"/>
      <c r="Y139" s="855"/>
      <c r="Z139" s="855"/>
    </row>
    <row r="140" spans="1:27" ht="60" x14ac:dyDescent="0.25">
      <c r="A140" s="828" t="s">
        <v>261</v>
      </c>
      <c r="B140" s="828" t="s">
        <v>13</v>
      </c>
      <c r="C140" s="828" t="s">
        <v>14</v>
      </c>
      <c r="D140" s="865" t="s">
        <v>286</v>
      </c>
      <c r="E140" s="830" t="s">
        <v>16</v>
      </c>
      <c r="F140" s="830" t="s">
        <v>295</v>
      </c>
      <c r="G140" s="830" t="s">
        <v>39</v>
      </c>
      <c r="H140" s="830" t="s">
        <v>297</v>
      </c>
      <c r="I140" s="830" t="s">
        <v>298</v>
      </c>
      <c r="J140" s="830" t="s">
        <v>299</v>
      </c>
      <c r="K140" s="830" t="s">
        <v>300</v>
      </c>
      <c r="L140" s="830" t="s">
        <v>17</v>
      </c>
      <c r="M140" s="830" t="s">
        <v>18</v>
      </c>
      <c r="N140" s="830" t="s">
        <v>825</v>
      </c>
      <c r="O140" s="832">
        <v>43101</v>
      </c>
      <c r="P140" s="832">
        <v>43132</v>
      </c>
      <c r="Q140" s="832">
        <v>43160</v>
      </c>
      <c r="R140" s="832">
        <v>43191</v>
      </c>
      <c r="S140" s="832">
        <v>43221</v>
      </c>
      <c r="T140" s="832">
        <v>43252</v>
      </c>
      <c r="U140" s="832">
        <v>43282</v>
      </c>
      <c r="V140" s="832">
        <v>43313</v>
      </c>
      <c r="W140" s="832">
        <v>43344</v>
      </c>
      <c r="X140" s="832">
        <v>43374</v>
      </c>
      <c r="Y140" s="832">
        <v>43405</v>
      </c>
      <c r="Z140" s="832">
        <v>43435</v>
      </c>
    </row>
    <row r="141" spans="1:27" ht="15" customHeight="1" x14ac:dyDescent="0.25">
      <c r="A141" s="833" t="s">
        <v>831</v>
      </c>
      <c r="B141" s="833" t="s">
        <v>863</v>
      </c>
      <c r="C141" s="833" t="s">
        <v>881</v>
      </c>
      <c r="D141" s="866" t="s">
        <v>884</v>
      </c>
      <c r="E141" s="812" t="s">
        <v>206</v>
      </c>
      <c r="F141" s="867" t="s">
        <v>294</v>
      </c>
      <c r="G141" s="873" t="s">
        <v>883</v>
      </c>
      <c r="H141" s="813" t="s">
        <v>41</v>
      </c>
      <c r="I141" s="813" t="s">
        <v>41</v>
      </c>
      <c r="J141" s="813" t="s">
        <v>42</v>
      </c>
      <c r="K141" s="813" t="s">
        <v>42</v>
      </c>
      <c r="L141" s="813">
        <v>12</v>
      </c>
      <c r="M141" s="813"/>
      <c r="N141" s="813">
        <f>SUM(O141:Z141)</f>
        <v>0</v>
      </c>
      <c r="O141" s="813">
        <v>0</v>
      </c>
      <c r="P141" s="813">
        <v>0</v>
      </c>
      <c r="Q141" s="813">
        <v>0</v>
      </c>
      <c r="R141" s="813">
        <v>0</v>
      </c>
      <c r="S141" s="813">
        <v>0</v>
      </c>
      <c r="T141" s="813">
        <v>0</v>
      </c>
      <c r="U141" s="813">
        <v>0</v>
      </c>
      <c r="V141" s="813">
        <v>0</v>
      </c>
      <c r="W141" s="813">
        <v>0</v>
      </c>
      <c r="X141" s="813">
        <v>0</v>
      </c>
      <c r="Y141" s="813">
        <v>0</v>
      </c>
      <c r="Z141" s="813">
        <v>0</v>
      </c>
    </row>
    <row r="142" spans="1:27" ht="15" customHeight="1" x14ac:dyDescent="0.25">
      <c r="A142" s="833" t="s">
        <v>835</v>
      </c>
      <c r="B142" s="833" t="s">
        <v>863</v>
      </c>
      <c r="C142" s="833" t="s">
        <v>887</v>
      </c>
      <c r="D142" s="866" t="s">
        <v>1574</v>
      </c>
      <c r="E142" s="812" t="s">
        <v>206</v>
      </c>
      <c r="F142" s="867" t="s">
        <v>294</v>
      </c>
      <c r="G142" s="873" t="s">
        <v>887</v>
      </c>
      <c r="H142" s="813" t="s">
        <v>41</v>
      </c>
      <c r="I142" s="813" t="s">
        <v>41</v>
      </c>
      <c r="J142" s="813" t="s">
        <v>42</v>
      </c>
      <c r="K142" s="813" t="s">
        <v>42</v>
      </c>
      <c r="L142" s="813">
        <v>12</v>
      </c>
      <c r="M142" s="813"/>
      <c r="N142" s="813">
        <f>SUM(O142:Z142)</f>
        <v>0</v>
      </c>
      <c r="O142" s="813">
        <v>0</v>
      </c>
      <c r="P142" s="813">
        <v>0</v>
      </c>
      <c r="Q142" s="813">
        <v>0</v>
      </c>
      <c r="R142" s="813">
        <v>0</v>
      </c>
      <c r="S142" s="813">
        <v>0</v>
      </c>
      <c r="T142" s="813">
        <v>0</v>
      </c>
      <c r="U142" s="813">
        <v>0</v>
      </c>
      <c r="V142" s="813">
        <v>0</v>
      </c>
      <c r="W142" s="813">
        <v>0</v>
      </c>
      <c r="X142" s="813">
        <v>0</v>
      </c>
      <c r="Y142" s="813">
        <v>0</v>
      </c>
      <c r="Z142" s="813">
        <v>0</v>
      </c>
    </row>
    <row r="143" spans="1:27" ht="15" customHeight="1" x14ac:dyDescent="0.25">
      <c r="A143" s="833" t="s">
        <v>839</v>
      </c>
      <c r="B143" s="833" t="s">
        <v>863</v>
      </c>
      <c r="C143" s="866" t="s">
        <v>895</v>
      </c>
      <c r="D143" s="833" t="s">
        <v>1575</v>
      </c>
      <c r="E143" s="812" t="s">
        <v>206</v>
      </c>
      <c r="F143" s="867" t="s">
        <v>294</v>
      </c>
      <c r="G143" s="874" t="s">
        <v>895</v>
      </c>
      <c r="H143" s="813" t="s">
        <v>41</v>
      </c>
      <c r="I143" s="813" t="s">
        <v>41</v>
      </c>
      <c r="J143" s="813" t="s">
        <v>42</v>
      </c>
      <c r="K143" s="813" t="s">
        <v>42</v>
      </c>
      <c r="L143" s="813">
        <v>12</v>
      </c>
      <c r="M143" s="813"/>
      <c r="N143" s="813">
        <f t="shared" ref="N143:N149" si="28">SUM(O143:Z143)</f>
        <v>0</v>
      </c>
      <c r="O143" s="813">
        <v>0</v>
      </c>
      <c r="P143" s="813">
        <v>0</v>
      </c>
      <c r="Q143" s="813">
        <v>0</v>
      </c>
      <c r="R143" s="813">
        <v>0</v>
      </c>
      <c r="S143" s="813">
        <v>0</v>
      </c>
      <c r="T143" s="813">
        <v>0</v>
      </c>
      <c r="U143" s="813">
        <v>0</v>
      </c>
      <c r="V143" s="813">
        <v>0</v>
      </c>
      <c r="W143" s="813">
        <v>0</v>
      </c>
      <c r="X143" s="813">
        <v>0</v>
      </c>
      <c r="Y143" s="813">
        <v>0</v>
      </c>
      <c r="Z143" s="813">
        <v>0</v>
      </c>
    </row>
    <row r="144" spans="1:27" ht="12.75" customHeight="1" x14ac:dyDescent="0.25">
      <c r="A144" s="833" t="s">
        <v>841</v>
      </c>
      <c r="B144" s="833" t="s">
        <v>863</v>
      </c>
      <c r="C144" s="833" t="s">
        <v>898</v>
      </c>
      <c r="D144" s="866" t="s">
        <v>1600</v>
      </c>
      <c r="E144" s="812" t="s">
        <v>206</v>
      </c>
      <c r="F144" s="867" t="s">
        <v>289</v>
      </c>
      <c r="G144" s="875" t="s">
        <v>900</v>
      </c>
      <c r="H144" s="813" t="s">
        <v>41</v>
      </c>
      <c r="I144" s="813" t="s">
        <v>41</v>
      </c>
      <c r="J144" s="813" t="s">
        <v>42</v>
      </c>
      <c r="K144" s="813" t="s">
        <v>42</v>
      </c>
      <c r="L144" s="813">
        <v>12</v>
      </c>
      <c r="M144" s="813"/>
      <c r="N144" s="813">
        <f t="shared" si="28"/>
        <v>0</v>
      </c>
      <c r="O144" s="813">
        <v>0</v>
      </c>
      <c r="P144" s="813">
        <v>0</v>
      </c>
      <c r="Q144" s="813">
        <v>0</v>
      </c>
      <c r="R144" s="813">
        <v>0</v>
      </c>
      <c r="S144" s="813">
        <v>0</v>
      </c>
      <c r="T144" s="813">
        <v>0</v>
      </c>
      <c r="U144" s="813">
        <v>0</v>
      </c>
      <c r="V144" s="813">
        <v>0</v>
      </c>
      <c r="W144" s="813">
        <v>0</v>
      </c>
      <c r="X144" s="813">
        <v>0</v>
      </c>
      <c r="Y144" s="813">
        <v>0</v>
      </c>
      <c r="Z144" s="813">
        <v>0</v>
      </c>
    </row>
    <row r="145" spans="1:26" ht="15" customHeight="1" x14ac:dyDescent="0.25">
      <c r="A145" s="833" t="s">
        <v>844</v>
      </c>
      <c r="B145" s="833" t="s">
        <v>863</v>
      </c>
      <c r="C145" s="833" t="s">
        <v>898</v>
      </c>
      <c r="D145" s="866" t="s">
        <v>1601</v>
      </c>
      <c r="E145" s="812" t="s">
        <v>206</v>
      </c>
      <c r="F145" s="867" t="s">
        <v>289</v>
      </c>
      <c r="G145" s="875" t="s">
        <v>900</v>
      </c>
      <c r="H145" s="813" t="s">
        <v>41</v>
      </c>
      <c r="I145" s="813" t="s">
        <v>41</v>
      </c>
      <c r="J145" s="813" t="s">
        <v>42</v>
      </c>
      <c r="K145" s="813" t="s">
        <v>42</v>
      </c>
      <c r="L145" s="813">
        <v>12</v>
      </c>
      <c r="M145" s="813"/>
      <c r="N145" s="813">
        <f t="shared" si="28"/>
        <v>0</v>
      </c>
      <c r="O145" s="813">
        <v>0</v>
      </c>
      <c r="P145" s="813">
        <v>0</v>
      </c>
      <c r="Q145" s="813">
        <v>0</v>
      </c>
      <c r="R145" s="813">
        <v>0</v>
      </c>
      <c r="S145" s="813">
        <v>0</v>
      </c>
      <c r="T145" s="813">
        <v>0</v>
      </c>
      <c r="U145" s="813">
        <v>0</v>
      </c>
      <c r="V145" s="813">
        <v>0</v>
      </c>
      <c r="W145" s="813">
        <v>0</v>
      </c>
      <c r="X145" s="813">
        <v>0</v>
      </c>
      <c r="Y145" s="813">
        <v>0</v>
      </c>
      <c r="Z145" s="813">
        <v>0</v>
      </c>
    </row>
    <row r="146" spans="1:26" ht="15" customHeight="1" x14ac:dyDescent="0.25">
      <c r="A146" s="833" t="s">
        <v>848</v>
      </c>
      <c r="B146" s="833" t="s">
        <v>863</v>
      </c>
      <c r="C146" s="833" t="s">
        <v>898</v>
      </c>
      <c r="D146" s="866" t="s">
        <v>1602</v>
      </c>
      <c r="E146" s="812" t="s">
        <v>206</v>
      </c>
      <c r="F146" s="867" t="s">
        <v>289</v>
      </c>
      <c r="G146" s="875" t="s">
        <v>900</v>
      </c>
      <c r="H146" s="813" t="s">
        <v>41</v>
      </c>
      <c r="I146" s="813" t="s">
        <v>41</v>
      </c>
      <c r="J146" s="813" t="s">
        <v>42</v>
      </c>
      <c r="K146" s="813" t="s">
        <v>42</v>
      </c>
      <c r="L146" s="813">
        <v>12</v>
      </c>
      <c r="M146" s="813"/>
      <c r="N146" s="813">
        <f t="shared" si="28"/>
        <v>0</v>
      </c>
      <c r="O146" s="813">
        <v>0</v>
      </c>
      <c r="P146" s="813">
        <v>0</v>
      </c>
      <c r="Q146" s="813">
        <v>0</v>
      </c>
      <c r="R146" s="813">
        <v>0</v>
      </c>
      <c r="S146" s="813">
        <v>0</v>
      </c>
      <c r="T146" s="813">
        <v>0</v>
      </c>
      <c r="U146" s="813">
        <v>0</v>
      </c>
      <c r="V146" s="813">
        <v>0</v>
      </c>
      <c r="W146" s="813">
        <v>0</v>
      </c>
      <c r="X146" s="813">
        <v>0</v>
      </c>
      <c r="Y146" s="813">
        <v>0</v>
      </c>
      <c r="Z146" s="813">
        <v>0</v>
      </c>
    </row>
    <row r="147" spans="1:26" ht="15" customHeight="1" x14ac:dyDescent="0.25">
      <c r="A147" s="833" t="s">
        <v>891</v>
      </c>
      <c r="B147" s="833" t="s">
        <v>863</v>
      </c>
      <c r="C147" s="833" t="s">
        <v>898</v>
      </c>
      <c r="D147" s="866" t="s">
        <v>1603</v>
      </c>
      <c r="E147" s="812" t="s">
        <v>206</v>
      </c>
      <c r="F147" s="867" t="s">
        <v>289</v>
      </c>
      <c r="G147" s="875" t="s">
        <v>900</v>
      </c>
      <c r="H147" s="813" t="s">
        <v>41</v>
      </c>
      <c r="I147" s="813" t="s">
        <v>41</v>
      </c>
      <c r="J147" s="813" t="s">
        <v>42</v>
      </c>
      <c r="K147" s="813" t="s">
        <v>42</v>
      </c>
      <c r="L147" s="813">
        <v>12</v>
      </c>
      <c r="M147" s="813"/>
      <c r="N147" s="813">
        <f t="shared" si="28"/>
        <v>0</v>
      </c>
      <c r="O147" s="813">
        <v>0</v>
      </c>
      <c r="P147" s="813">
        <v>0</v>
      </c>
      <c r="Q147" s="813">
        <v>0</v>
      </c>
      <c r="R147" s="813">
        <v>0</v>
      </c>
      <c r="S147" s="813">
        <v>0</v>
      </c>
      <c r="T147" s="813">
        <v>0</v>
      </c>
      <c r="U147" s="813">
        <v>0</v>
      </c>
      <c r="V147" s="813">
        <v>0</v>
      </c>
      <c r="W147" s="813">
        <v>0</v>
      </c>
      <c r="X147" s="813">
        <v>0</v>
      </c>
      <c r="Y147" s="813">
        <v>0</v>
      </c>
      <c r="Z147" s="813">
        <v>0</v>
      </c>
    </row>
    <row r="148" spans="1:26" ht="15" customHeight="1" x14ac:dyDescent="0.25">
      <c r="A148" s="833" t="s">
        <v>894</v>
      </c>
      <c r="B148" s="833" t="s">
        <v>863</v>
      </c>
      <c r="C148" s="833" t="s">
        <v>1326</v>
      </c>
      <c r="D148" s="866" t="s">
        <v>1327</v>
      </c>
      <c r="E148" s="812" t="s">
        <v>206</v>
      </c>
      <c r="F148" s="867"/>
      <c r="G148" s="873"/>
      <c r="H148" s="813" t="s">
        <v>41</v>
      </c>
      <c r="I148" s="813" t="s">
        <v>41</v>
      </c>
      <c r="J148" s="813" t="s">
        <v>42</v>
      </c>
      <c r="K148" s="813" t="s">
        <v>42</v>
      </c>
      <c r="L148" s="813">
        <v>12</v>
      </c>
      <c r="M148" s="813"/>
      <c r="N148" s="813">
        <f t="shared" si="28"/>
        <v>40000</v>
      </c>
      <c r="O148" s="813">
        <v>0</v>
      </c>
      <c r="P148" s="813">
        <v>0</v>
      </c>
      <c r="Q148" s="813">
        <v>10000</v>
      </c>
      <c r="R148" s="813">
        <v>0</v>
      </c>
      <c r="S148" s="813">
        <v>0</v>
      </c>
      <c r="T148" s="813">
        <v>10000</v>
      </c>
      <c r="U148" s="813">
        <v>0</v>
      </c>
      <c r="V148" s="813">
        <v>0</v>
      </c>
      <c r="W148" s="813">
        <v>10000</v>
      </c>
      <c r="X148" s="813">
        <v>0</v>
      </c>
      <c r="Y148" s="813">
        <v>0</v>
      </c>
      <c r="Z148" s="813">
        <v>10000</v>
      </c>
    </row>
    <row r="149" spans="1:26" ht="15" customHeight="1" x14ac:dyDescent="0.25">
      <c r="A149" s="833" t="s">
        <v>897</v>
      </c>
      <c r="B149" s="833" t="s">
        <v>924</v>
      </c>
      <c r="C149" s="833" t="s">
        <v>932</v>
      </c>
      <c r="D149" s="866" t="s">
        <v>1328</v>
      </c>
      <c r="E149" s="812" t="s">
        <v>206</v>
      </c>
      <c r="F149" s="813"/>
      <c r="G149" s="814"/>
      <c r="H149" s="813" t="s">
        <v>41</v>
      </c>
      <c r="I149" s="813" t="s">
        <v>41</v>
      </c>
      <c r="J149" s="813" t="s">
        <v>41</v>
      </c>
      <c r="K149" s="813" t="s">
        <v>41</v>
      </c>
      <c r="L149" s="813">
        <v>12</v>
      </c>
      <c r="M149" s="813"/>
      <c r="N149" s="813">
        <f t="shared" si="28"/>
        <v>4000</v>
      </c>
      <c r="O149" s="813">
        <f t="shared" ref="O149:Z149" si="29">SUM(O141:O148)*0.1</f>
        <v>0</v>
      </c>
      <c r="P149" s="813">
        <f t="shared" si="29"/>
        <v>0</v>
      </c>
      <c r="Q149" s="813">
        <f t="shared" si="29"/>
        <v>1000</v>
      </c>
      <c r="R149" s="813">
        <f t="shared" si="29"/>
        <v>0</v>
      </c>
      <c r="S149" s="813">
        <f t="shared" si="29"/>
        <v>0</v>
      </c>
      <c r="T149" s="813">
        <f t="shared" si="29"/>
        <v>1000</v>
      </c>
      <c r="U149" s="813">
        <f t="shared" si="29"/>
        <v>0</v>
      </c>
      <c r="V149" s="813">
        <f t="shared" si="29"/>
        <v>0</v>
      </c>
      <c r="W149" s="813">
        <f t="shared" si="29"/>
        <v>1000</v>
      </c>
      <c r="X149" s="813">
        <f t="shared" si="29"/>
        <v>0</v>
      </c>
      <c r="Y149" s="813">
        <f t="shared" si="29"/>
        <v>0</v>
      </c>
      <c r="Z149" s="813">
        <f t="shared" si="29"/>
        <v>1000</v>
      </c>
    </row>
    <row r="150" spans="1:26" s="872" customFormat="1" ht="22.5" customHeight="1" x14ac:dyDescent="0.25">
      <c r="A150" s="868"/>
      <c r="B150" s="869"/>
      <c r="C150" s="869"/>
      <c r="D150" s="869"/>
      <c r="E150" s="870"/>
      <c r="F150" s="870"/>
      <c r="G150" s="870"/>
      <c r="H150" s="870"/>
      <c r="I150" s="870"/>
      <c r="J150" s="871" t="s">
        <v>20</v>
      </c>
      <c r="K150" s="870"/>
      <c r="L150" s="813">
        <v>12</v>
      </c>
      <c r="M150" s="830">
        <f t="shared" ref="M150:Z150" si="30">SUM(M141:M149)</f>
        <v>0</v>
      </c>
      <c r="N150" s="830">
        <f t="shared" si="30"/>
        <v>44000</v>
      </c>
      <c r="O150" s="830">
        <f t="shared" si="30"/>
        <v>0</v>
      </c>
      <c r="P150" s="830">
        <f t="shared" si="30"/>
        <v>0</v>
      </c>
      <c r="Q150" s="830">
        <f t="shared" si="30"/>
        <v>11000</v>
      </c>
      <c r="R150" s="830">
        <f t="shared" si="30"/>
        <v>0</v>
      </c>
      <c r="S150" s="830">
        <f t="shared" si="30"/>
        <v>0</v>
      </c>
      <c r="T150" s="830">
        <f t="shared" si="30"/>
        <v>11000</v>
      </c>
      <c r="U150" s="830">
        <f t="shared" si="30"/>
        <v>0</v>
      </c>
      <c r="V150" s="830">
        <f t="shared" si="30"/>
        <v>0</v>
      </c>
      <c r="W150" s="830">
        <f t="shared" si="30"/>
        <v>11000</v>
      </c>
      <c r="X150" s="830">
        <f t="shared" si="30"/>
        <v>0</v>
      </c>
      <c r="Y150" s="830">
        <f t="shared" si="30"/>
        <v>0</v>
      </c>
      <c r="Z150" s="830">
        <f t="shared" si="30"/>
        <v>11000</v>
      </c>
    </row>
    <row r="151" spans="1:26" ht="18" x14ac:dyDescent="0.25">
      <c r="A151" s="853" t="str">
        <f>CONCATENATE(B21," ",C21)</f>
        <v>Objective 3.1 Easments Firm commitment</v>
      </c>
      <c r="B151" s="853"/>
      <c r="C151" s="854"/>
      <c r="D151" s="854"/>
      <c r="E151" s="855"/>
      <c r="F151" s="855"/>
      <c r="G151" s="855"/>
      <c r="H151" s="855"/>
      <c r="I151" s="855"/>
      <c r="J151" s="855"/>
      <c r="K151" s="855"/>
      <c r="L151" s="855"/>
      <c r="M151" s="855"/>
      <c r="N151" s="855"/>
      <c r="O151" s="855" t="s">
        <v>5</v>
      </c>
      <c r="P151" s="855"/>
      <c r="Q151" s="855"/>
      <c r="R151" s="855"/>
      <c r="S151" s="855"/>
      <c r="T151" s="855"/>
      <c r="U151" s="855"/>
      <c r="V151" s="855"/>
      <c r="W151" s="855"/>
      <c r="X151" s="855"/>
      <c r="Y151" s="855"/>
      <c r="Z151" s="855"/>
    </row>
    <row r="152" spans="1:26" ht="60" x14ac:dyDescent="0.25">
      <c r="A152" s="828" t="s">
        <v>261</v>
      </c>
      <c r="B152" s="828" t="s">
        <v>13</v>
      </c>
      <c r="C152" s="828" t="s">
        <v>14</v>
      </c>
      <c r="D152" s="865" t="s">
        <v>286</v>
      </c>
      <c r="E152" s="830" t="s">
        <v>16</v>
      </c>
      <c r="F152" s="830" t="s">
        <v>295</v>
      </c>
      <c r="G152" s="830" t="s">
        <v>39</v>
      </c>
      <c r="H152" s="830" t="s">
        <v>297</v>
      </c>
      <c r="I152" s="830" t="s">
        <v>298</v>
      </c>
      <c r="J152" s="830" t="s">
        <v>299</v>
      </c>
      <c r="K152" s="830" t="s">
        <v>300</v>
      </c>
      <c r="L152" s="830" t="s">
        <v>17</v>
      </c>
      <c r="M152" s="830" t="s">
        <v>18</v>
      </c>
      <c r="N152" s="830" t="s">
        <v>825</v>
      </c>
      <c r="O152" s="832">
        <v>43101</v>
      </c>
      <c r="P152" s="832">
        <v>43132</v>
      </c>
      <c r="Q152" s="832">
        <v>43160</v>
      </c>
      <c r="R152" s="832">
        <v>43191</v>
      </c>
      <c r="S152" s="832">
        <v>43221</v>
      </c>
      <c r="T152" s="832">
        <v>43252</v>
      </c>
      <c r="U152" s="832">
        <v>43282</v>
      </c>
      <c r="V152" s="832">
        <v>43313</v>
      </c>
      <c r="W152" s="832">
        <v>43344</v>
      </c>
      <c r="X152" s="832">
        <v>43374</v>
      </c>
      <c r="Y152" s="832">
        <v>43405</v>
      </c>
      <c r="Z152" s="832">
        <v>43435</v>
      </c>
    </row>
    <row r="153" spans="1:26" ht="15" customHeight="1" x14ac:dyDescent="0.25">
      <c r="A153" s="833" t="s">
        <v>1329</v>
      </c>
      <c r="B153" s="833" t="s">
        <v>955</v>
      </c>
      <c r="C153" s="833" t="s">
        <v>956</v>
      </c>
      <c r="D153" s="866" t="s">
        <v>957</v>
      </c>
      <c r="E153" s="812" t="s">
        <v>206</v>
      </c>
      <c r="F153" s="813"/>
      <c r="G153" s="814"/>
      <c r="H153" s="813" t="s">
        <v>41</v>
      </c>
      <c r="I153" s="813" t="s">
        <v>41</v>
      </c>
      <c r="J153" s="813" t="s">
        <v>41</v>
      </c>
      <c r="K153" s="813" t="s">
        <v>41</v>
      </c>
      <c r="L153" s="813">
        <v>12</v>
      </c>
      <c r="M153" s="813"/>
      <c r="N153" s="813">
        <f t="shared" ref="N153:N157" si="31">SUM(O153:Z153)</f>
        <v>0</v>
      </c>
      <c r="O153" s="813">
        <v>0</v>
      </c>
      <c r="P153" s="813">
        <v>0</v>
      </c>
      <c r="Q153" s="813">
        <v>0</v>
      </c>
      <c r="R153" s="813">
        <v>0</v>
      </c>
      <c r="S153" s="813">
        <v>0</v>
      </c>
      <c r="T153" s="813">
        <v>0</v>
      </c>
      <c r="U153" s="813">
        <v>0</v>
      </c>
      <c r="V153" s="813">
        <v>0</v>
      </c>
      <c r="W153" s="813">
        <v>0</v>
      </c>
      <c r="X153" s="813">
        <v>0</v>
      </c>
      <c r="Y153" s="813">
        <v>0</v>
      </c>
      <c r="Z153" s="813">
        <v>0</v>
      </c>
    </row>
    <row r="154" spans="1:26" ht="15" customHeight="1" x14ac:dyDescent="0.25">
      <c r="A154" s="833" t="s">
        <v>1330</v>
      </c>
      <c r="B154" s="833" t="s">
        <v>959</v>
      </c>
      <c r="C154" s="833" t="s">
        <v>960</v>
      </c>
      <c r="D154" s="866" t="s">
        <v>961</v>
      </c>
      <c r="E154" s="812" t="s">
        <v>206</v>
      </c>
      <c r="F154" s="813"/>
      <c r="G154" s="814"/>
      <c r="H154" s="813" t="s">
        <v>41</v>
      </c>
      <c r="I154" s="813" t="s">
        <v>41</v>
      </c>
      <c r="J154" s="813" t="s">
        <v>41</v>
      </c>
      <c r="K154" s="813" t="s">
        <v>41</v>
      </c>
      <c r="L154" s="813">
        <v>12</v>
      </c>
      <c r="M154" s="813"/>
      <c r="N154" s="813">
        <v>0</v>
      </c>
      <c r="O154" s="813">
        <v>0</v>
      </c>
      <c r="P154" s="813">
        <v>0</v>
      </c>
      <c r="Q154" s="813">
        <v>0</v>
      </c>
      <c r="R154" s="813">
        <v>0</v>
      </c>
      <c r="S154" s="813">
        <v>0</v>
      </c>
      <c r="T154" s="813">
        <v>0</v>
      </c>
      <c r="U154" s="813">
        <v>0</v>
      </c>
      <c r="V154" s="813">
        <v>0</v>
      </c>
      <c r="W154" s="813">
        <v>0</v>
      </c>
      <c r="X154" s="813">
        <v>0</v>
      </c>
      <c r="Y154" s="813">
        <v>0</v>
      </c>
      <c r="Z154" s="813">
        <v>0</v>
      </c>
    </row>
    <row r="155" spans="1:26" ht="15" customHeight="1" x14ac:dyDescent="0.25">
      <c r="A155" s="833" t="s">
        <v>1331</v>
      </c>
      <c r="B155" s="833" t="s">
        <v>959</v>
      </c>
      <c r="C155" s="833" t="s">
        <v>1514</v>
      </c>
      <c r="D155" s="866" t="s">
        <v>1515</v>
      </c>
      <c r="E155" s="812" t="s">
        <v>206</v>
      </c>
      <c r="F155" s="813"/>
      <c r="G155" s="814"/>
      <c r="H155" s="813" t="s">
        <v>41</v>
      </c>
      <c r="I155" s="813" t="s">
        <v>41</v>
      </c>
      <c r="J155" s="813" t="s">
        <v>41</v>
      </c>
      <c r="K155" s="813" t="s">
        <v>41</v>
      </c>
      <c r="L155" s="813">
        <v>12</v>
      </c>
      <c r="M155" s="813"/>
      <c r="N155" s="813">
        <f t="shared" ref="N155" si="32">SUM(O155:Z155)</f>
        <v>0</v>
      </c>
      <c r="O155" s="813">
        <v>0</v>
      </c>
      <c r="P155" s="813">
        <v>0</v>
      </c>
      <c r="Q155" s="813">
        <v>0</v>
      </c>
      <c r="R155" s="813">
        <v>0</v>
      </c>
      <c r="S155" s="813">
        <v>0</v>
      </c>
      <c r="T155" s="813">
        <v>0</v>
      </c>
      <c r="U155" s="813">
        <v>0</v>
      </c>
      <c r="V155" s="813">
        <v>0</v>
      </c>
      <c r="W155" s="813">
        <v>0</v>
      </c>
      <c r="X155" s="813">
        <v>0</v>
      </c>
      <c r="Y155" s="813">
        <v>0</v>
      </c>
      <c r="Z155" s="813">
        <v>0</v>
      </c>
    </row>
    <row r="156" spans="1:26" ht="15" customHeight="1" x14ac:dyDescent="0.25">
      <c r="A156" s="833" t="s">
        <v>1332</v>
      </c>
      <c r="B156" s="833" t="s">
        <v>959</v>
      </c>
      <c r="C156" s="833" t="s">
        <v>963</v>
      </c>
      <c r="D156" s="866" t="s">
        <v>1576</v>
      </c>
      <c r="E156" s="812" t="s">
        <v>206</v>
      </c>
      <c r="F156" s="867" t="s">
        <v>294</v>
      </c>
      <c r="G156" s="814"/>
      <c r="H156" s="813" t="s">
        <v>41</v>
      </c>
      <c r="I156" s="813" t="s">
        <v>41</v>
      </c>
      <c r="J156" s="813" t="s">
        <v>41</v>
      </c>
      <c r="K156" s="813" t="s">
        <v>41</v>
      </c>
      <c r="L156" s="813">
        <v>12</v>
      </c>
      <c r="M156" s="813"/>
      <c r="N156" s="813">
        <f t="shared" si="31"/>
        <v>0</v>
      </c>
      <c r="O156" s="813">
        <v>0</v>
      </c>
      <c r="P156" s="813">
        <v>0</v>
      </c>
      <c r="Q156" s="813">
        <v>0</v>
      </c>
      <c r="R156" s="813">
        <v>0</v>
      </c>
      <c r="S156" s="813">
        <v>0</v>
      </c>
      <c r="T156" s="813">
        <v>0</v>
      </c>
      <c r="U156" s="813">
        <v>0</v>
      </c>
      <c r="V156" s="813">
        <v>0</v>
      </c>
      <c r="W156" s="813">
        <v>0</v>
      </c>
      <c r="X156" s="813">
        <v>0</v>
      </c>
      <c r="Y156" s="813">
        <v>0</v>
      </c>
      <c r="Z156" s="813">
        <v>0</v>
      </c>
    </row>
    <row r="157" spans="1:26" ht="15" customHeight="1" x14ac:dyDescent="0.25">
      <c r="A157" s="833" t="s">
        <v>1516</v>
      </c>
      <c r="B157" s="833" t="s">
        <v>959</v>
      </c>
      <c r="C157" s="833" t="s">
        <v>966</v>
      </c>
      <c r="D157" s="866" t="s">
        <v>1577</v>
      </c>
      <c r="E157" s="812" t="s">
        <v>206</v>
      </c>
      <c r="F157" s="867" t="s">
        <v>294</v>
      </c>
      <c r="G157" s="814"/>
      <c r="H157" s="813" t="s">
        <v>41</v>
      </c>
      <c r="I157" s="813" t="s">
        <v>41</v>
      </c>
      <c r="J157" s="813" t="s">
        <v>41</v>
      </c>
      <c r="K157" s="813" t="s">
        <v>41</v>
      </c>
      <c r="L157" s="813">
        <v>12</v>
      </c>
      <c r="M157" s="813"/>
      <c r="N157" s="813">
        <f t="shared" si="31"/>
        <v>0</v>
      </c>
      <c r="O157" s="813">
        <v>0</v>
      </c>
      <c r="P157" s="813">
        <v>0</v>
      </c>
      <c r="Q157" s="813">
        <v>0</v>
      </c>
      <c r="R157" s="813">
        <v>0</v>
      </c>
      <c r="S157" s="813">
        <v>0</v>
      </c>
      <c r="T157" s="813">
        <v>0</v>
      </c>
      <c r="U157" s="813">
        <v>0</v>
      </c>
      <c r="V157" s="813">
        <v>0</v>
      </c>
      <c r="W157" s="813">
        <v>0</v>
      </c>
      <c r="X157" s="813">
        <v>0</v>
      </c>
      <c r="Y157" s="813">
        <v>0</v>
      </c>
      <c r="Z157" s="813">
        <v>0</v>
      </c>
    </row>
    <row r="158" spans="1:26" s="872" customFormat="1" ht="22.5" customHeight="1" x14ac:dyDescent="0.25">
      <c r="A158" s="868"/>
      <c r="B158" s="869"/>
      <c r="C158" s="869"/>
      <c r="D158" s="869"/>
      <c r="E158" s="870"/>
      <c r="F158" s="870"/>
      <c r="G158" s="870"/>
      <c r="H158" s="870"/>
      <c r="I158" s="870"/>
      <c r="J158" s="871" t="s">
        <v>20</v>
      </c>
      <c r="K158" s="870"/>
      <c r="L158" s="813">
        <v>12</v>
      </c>
      <c r="M158" s="830">
        <f>SUM(M157:M157)</f>
        <v>0</v>
      </c>
      <c r="N158" s="830">
        <f t="shared" ref="N158:Z158" si="33">SUM(N153:N157)</f>
        <v>0</v>
      </c>
      <c r="O158" s="830">
        <f t="shared" si="33"/>
        <v>0</v>
      </c>
      <c r="P158" s="830">
        <f t="shared" si="33"/>
        <v>0</v>
      </c>
      <c r="Q158" s="830">
        <f t="shared" si="33"/>
        <v>0</v>
      </c>
      <c r="R158" s="830">
        <f t="shared" si="33"/>
        <v>0</v>
      </c>
      <c r="S158" s="830">
        <f t="shared" si="33"/>
        <v>0</v>
      </c>
      <c r="T158" s="830">
        <f t="shared" si="33"/>
        <v>0</v>
      </c>
      <c r="U158" s="830">
        <f t="shared" si="33"/>
        <v>0</v>
      </c>
      <c r="V158" s="830">
        <f t="shared" si="33"/>
        <v>0</v>
      </c>
      <c r="W158" s="830">
        <f t="shared" si="33"/>
        <v>0</v>
      </c>
      <c r="X158" s="830">
        <f t="shared" si="33"/>
        <v>0</v>
      </c>
      <c r="Y158" s="830">
        <f t="shared" si="33"/>
        <v>0</v>
      </c>
      <c r="Z158" s="830">
        <f t="shared" si="33"/>
        <v>0</v>
      </c>
    </row>
    <row r="159" spans="1:26" ht="18" x14ac:dyDescent="0.25">
      <c r="A159" s="853" t="str">
        <f>CONCATENATE(B22," ",C22)</f>
        <v xml:space="preserve">Objective 3.2 NSR Purchases </v>
      </c>
      <c r="B159" s="853"/>
      <c r="C159" s="854"/>
      <c r="D159" s="854"/>
      <c r="E159" s="855"/>
      <c r="F159" s="855"/>
      <c r="G159" s="855"/>
      <c r="H159" s="855"/>
      <c r="I159" s="855"/>
      <c r="J159" s="855"/>
      <c r="K159" s="855"/>
      <c r="L159" s="855"/>
      <c r="M159" s="855"/>
      <c r="N159" s="855"/>
      <c r="O159" s="855" t="s">
        <v>5</v>
      </c>
      <c r="P159" s="855"/>
      <c r="Q159" s="855"/>
      <c r="R159" s="855"/>
      <c r="S159" s="855"/>
      <c r="T159" s="855"/>
      <c r="U159" s="855"/>
      <c r="V159" s="855"/>
      <c r="W159" s="855"/>
      <c r="X159" s="855"/>
      <c r="Y159" s="855"/>
      <c r="Z159" s="855"/>
    </row>
    <row r="160" spans="1:26" ht="60" x14ac:dyDescent="0.25">
      <c r="A160" s="828" t="s">
        <v>261</v>
      </c>
      <c r="B160" s="828" t="s">
        <v>13</v>
      </c>
      <c r="C160" s="828" t="s">
        <v>14</v>
      </c>
      <c r="D160" s="865" t="s">
        <v>286</v>
      </c>
      <c r="E160" s="830" t="s">
        <v>16</v>
      </c>
      <c r="F160" s="830" t="s">
        <v>295</v>
      </c>
      <c r="G160" s="830" t="s">
        <v>39</v>
      </c>
      <c r="H160" s="830" t="s">
        <v>297</v>
      </c>
      <c r="I160" s="830" t="s">
        <v>298</v>
      </c>
      <c r="J160" s="830" t="s">
        <v>299</v>
      </c>
      <c r="K160" s="830" t="s">
        <v>300</v>
      </c>
      <c r="L160" s="830" t="s">
        <v>17</v>
      </c>
      <c r="M160" s="830" t="s">
        <v>18</v>
      </c>
      <c r="N160" s="830" t="s">
        <v>825</v>
      </c>
      <c r="O160" s="832">
        <v>43101</v>
      </c>
      <c r="P160" s="832">
        <v>43132</v>
      </c>
      <c r="Q160" s="832">
        <v>43160</v>
      </c>
      <c r="R160" s="832">
        <v>43191</v>
      </c>
      <c r="S160" s="832">
        <v>43221</v>
      </c>
      <c r="T160" s="832">
        <v>43252</v>
      </c>
      <c r="U160" s="832">
        <v>43282</v>
      </c>
      <c r="V160" s="832">
        <v>43313</v>
      </c>
      <c r="W160" s="832">
        <v>43344</v>
      </c>
      <c r="X160" s="832">
        <v>43374</v>
      </c>
      <c r="Y160" s="832">
        <v>43405</v>
      </c>
      <c r="Z160" s="832">
        <v>43435</v>
      </c>
    </row>
    <row r="161" spans="1:26" ht="14.25" customHeight="1" x14ac:dyDescent="0.25">
      <c r="A161" s="833" t="s">
        <v>1333</v>
      </c>
      <c r="B161" s="833" t="s">
        <v>952</v>
      </c>
      <c r="C161" s="833" t="s">
        <v>953</v>
      </c>
      <c r="D161" s="866" t="s">
        <v>1578</v>
      </c>
      <c r="E161" s="812" t="s">
        <v>206</v>
      </c>
      <c r="F161" s="813"/>
      <c r="G161" s="814"/>
      <c r="H161" s="813" t="s">
        <v>41</v>
      </c>
      <c r="I161" s="813" t="s">
        <v>41</v>
      </c>
      <c r="J161" s="813" t="s">
        <v>41</v>
      </c>
      <c r="K161" s="813" t="s">
        <v>41</v>
      </c>
      <c r="L161" s="813">
        <v>12</v>
      </c>
      <c r="M161" s="813"/>
      <c r="N161" s="813">
        <f t="shared" ref="N161" si="34">SUM(O161:Z161)</f>
        <v>0</v>
      </c>
      <c r="O161" s="813">
        <v>0</v>
      </c>
      <c r="P161" s="813">
        <v>0</v>
      </c>
      <c r="Q161" s="813">
        <v>0</v>
      </c>
      <c r="R161" s="813">
        <v>0</v>
      </c>
      <c r="S161" s="813">
        <v>0</v>
      </c>
      <c r="T161" s="813">
        <v>0</v>
      </c>
      <c r="U161" s="813">
        <v>0</v>
      </c>
      <c r="V161" s="813">
        <v>0</v>
      </c>
      <c r="W161" s="813">
        <v>0</v>
      </c>
      <c r="X161" s="813">
        <v>0</v>
      </c>
      <c r="Y161" s="813">
        <v>0</v>
      </c>
      <c r="Z161" s="813">
        <v>0</v>
      </c>
    </row>
    <row r="162" spans="1:26" s="872" customFormat="1" ht="22.5" customHeight="1" x14ac:dyDescent="0.25">
      <c r="A162" s="868"/>
      <c r="B162" s="869"/>
      <c r="C162" s="869"/>
      <c r="D162" s="869"/>
      <c r="E162" s="870"/>
      <c r="F162" s="870"/>
      <c r="G162" s="870"/>
      <c r="H162" s="870"/>
      <c r="I162" s="870"/>
      <c r="J162" s="871" t="s">
        <v>20</v>
      </c>
      <c r="K162" s="870"/>
      <c r="L162" s="813">
        <v>12</v>
      </c>
      <c r="M162" s="830">
        <f t="shared" ref="M162:Z162" si="35">SUM(M161:M161)</f>
        <v>0</v>
      </c>
      <c r="N162" s="830">
        <f t="shared" si="35"/>
        <v>0</v>
      </c>
      <c r="O162" s="830">
        <f t="shared" si="35"/>
        <v>0</v>
      </c>
      <c r="P162" s="830">
        <f t="shared" si="35"/>
        <v>0</v>
      </c>
      <c r="Q162" s="830">
        <f t="shared" si="35"/>
        <v>0</v>
      </c>
      <c r="R162" s="830">
        <f t="shared" si="35"/>
        <v>0</v>
      </c>
      <c r="S162" s="830">
        <f t="shared" si="35"/>
        <v>0</v>
      </c>
      <c r="T162" s="830">
        <f t="shared" si="35"/>
        <v>0</v>
      </c>
      <c r="U162" s="830">
        <f t="shared" si="35"/>
        <v>0</v>
      </c>
      <c r="V162" s="830">
        <f t="shared" si="35"/>
        <v>0</v>
      </c>
      <c r="W162" s="830">
        <f t="shared" si="35"/>
        <v>0</v>
      </c>
      <c r="X162" s="830">
        <f t="shared" si="35"/>
        <v>0</v>
      </c>
      <c r="Y162" s="830">
        <f t="shared" si="35"/>
        <v>0</v>
      </c>
      <c r="Z162" s="830">
        <f t="shared" si="35"/>
        <v>0</v>
      </c>
    </row>
    <row r="163" spans="1:26" ht="18" x14ac:dyDescent="0.25">
      <c r="A163" s="853" t="str">
        <f>CONCATENATE(B23," ",C23)</f>
        <v xml:space="preserve">Objective 3.3 Mining Rights Purchases </v>
      </c>
      <c r="B163" s="853"/>
      <c r="C163" s="854"/>
      <c r="D163" s="854"/>
      <c r="E163" s="855"/>
      <c r="F163" s="855"/>
      <c r="G163" s="855"/>
      <c r="H163" s="855"/>
      <c r="I163" s="855"/>
      <c r="J163" s="855"/>
      <c r="K163" s="855"/>
      <c r="L163" s="855"/>
      <c r="M163" s="855"/>
      <c r="N163" s="855"/>
      <c r="O163" s="855" t="s">
        <v>5</v>
      </c>
      <c r="P163" s="855"/>
      <c r="Q163" s="855"/>
      <c r="R163" s="855"/>
      <c r="S163" s="855"/>
      <c r="T163" s="855"/>
      <c r="U163" s="855"/>
      <c r="V163" s="855"/>
      <c r="W163" s="855"/>
      <c r="X163" s="855"/>
      <c r="Y163" s="855"/>
      <c r="Z163" s="855"/>
    </row>
    <row r="164" spans="1:26" ht="60" x14ac:dyDescent="0.25">
      <c r="A164" s="828" t="s">
        <v>261</v>
      </c>
      <c r="B164" s="828" t="s">
        <v>13</v>
      </c>
      <c r="C164" s="828" t="s">
        <v>14</v>
      </c>
      <c r="D164" s="865" t="s">
        <v>286</v>
      </c>
      <c r="E164" s="830" t="s">
        <v>16</v>
      </c>
      <c r="F164" s="830" t="s">
        <v>295</v>
      </c>
      <c r="G164" s="830" t="s">
        <v>39</v>
      </c>
      <c r="H164" s="830" t="s">
        <v>297</v>
      </c>
      <c r="I164" s="830" t="s">
        <v>298</v>
      </c>
      <c r="J164" s="830" t="s">
        <v>299</v>
      </c>
      <c r="K164" s="830" t="s">
        <v>300</v>
      </c>
      <c r="L164" s="830" t="s">
        <v>17</v>
      </c>
      <c r="M164" s="830" t="s">
        <v>18</v>
      </c>
      <c r="N164" s="830" t="s">
        <v>825</v>
      </c>
      <c r="O164" s="832">
        <v>43101</v>
      </c>
      <c r="P164" s="832">
        <v>43132</v>
      </c>
      <c r="Q164" s="832">
        <v>43160</v>
      </c>
      <c r="R164" s="832">
        <v>43191</v>
      </c>
      <c r="S164" s="832">
        <v>43221</v>
      </c>
      <c r="T164" s="832">
        <v>43252</v>
      </c>
      <c r="U164" s="832">
        <v>43282</v>
      </c>
      <c r="V164" s="832">
        <v>43313</v>
      </c>
      <c r="W164" s="832">
        <v>43344</v>
      </c>
      <c r="X164" s="832">
        <v>43374</v>
      </c>
      <c r="Y164" s="832">
        <v>43405</v>
      </c>
      <c r="Z164" s="832">
        <v>43435</v>
      </c>
    </row>
    <row r="165" spans="1:26" ht="15" customHeight="1" x14ac:dyDescent="0.25">
      <c r="A165" s="833" t="s">
        <v>1334</v>
      </c>
      <c r="B165" s="833" t="s">
        <v>935</v>
      </c>
      <c r="C165" s="833" t="s">
        <v>936</v>
      </c>
      <c r="D165" s="866" t="s">
        <v>1604</v>
      </c>
      <c r="E165" s="812" t="s">
        <v>206</v>
      </c>
      <c r="F165" s="813"/>
      <c r="G165" s="814"/>
      <c r="H165" s="813" t="s">
        <v>41</v>
      </c>
      <c r="I165" s="813" t="s">
        <v>41</v>
      </c>
      <c r="J165" s="813" t="s">
        <v>41</v>
      </c>
      <c r="K165" s="813" t="s">
        <v>41</v>
      </c>
      <c r="L165" s="813">
        <v>12</v>
      </c>
      <c r="M165" s="813"/>
      <c r="N165" s="813">
        <f t="shared" ref="N165:N171" si="36">SUM(O165:Z165)</f>
        <v>400000</v>
      </c>
      <c r="O165" s="813">
        <v>0</v>
      </c>
      <c r="P165" s="813">
        <v>0</v>
      </c>
      <c r="Q165" s="813">
        <v>0</v>
      </c>
      <c r="R165" s="813">
        <v>0</v>
      </c>
      <c r="S165" s="813">
        <v>0</v>
      </c>
      <c r="T165" s="813">
        <v>0</v>
      </c>
      <c r="U165" s="813">
        <v>0</v>
      </c>
      <c r="V165" s="813">
        <v>0</v>
      </c>
      <c r="W165" s="813">
        <v>0</v>
      </c>
      <c r="X165" s="813">
        <v>0</v>
      </c>
      <c r="Y165" s="813">
        <v>0</v>
      </c>
      <c r="Z165" s="813">
        <v>400000</v>
      </c>
    </row>
    <row r="166" spans="1:26" ht="15" customHeight="1" x14ac:dyDescent="0.25">
      <c r="A166" s="833" t="s">
        <v>1335</v>
      </c>
      <c r="B166" s="833" t="s">
        <v>935</v>
      </c>
      <c r="C166" s="833" t="s">
        <v>939</v>
      </c>
      <c r="D166" s="866" t="s">
        <v>1604</v>
      </c>
      <c r="E166" s="812" t="s">
        <v>206</v>
      </c>
      <c r="F166" s="813"/>
      <c r="G166" s="814"/>
      <c r="H166" s="813" t="s">
        <v>41</v>
      </c>
      <c r="I166" s="813" t="s">
        <v>41</v>
      </c>
      <c r="J166" s="813" t="s">
        <v>41</v>
      </c>
      <c r="K166" s="813" t="s">
        <v>41</v>
      </c>
      <c r="L166" s="813">
        <v>12</v>
      </c>
      <c r="M166" s="813"/>
      <c r="N166" s="813">
        <f t="shared" si="36"/>
        <v>600000</v>
      </c>
      <c r="O166" s="813">
        <v>0</v>
      </c>
      <c r="P166" s="813">
        <v>0</v>
      </c>
      <c r="Q166" s="813">
        <v>0</v>
      </c>
      <c r="R166" s="813">
        <v>0</v>
      </c>
      <c r="S166" s="813">
        <v>0</v>
      </c>
      <c r="T166" s="813">
        <v>0</v>
      </c>
      <c r="U166" s="813">
        <v>0</v>
      </c>
      <c r="V166" s="813">
        <v>0</v>
      </c>
      <c r="W166" s="813">
        <v>0</v>
      </c>
      <c r="X166" s="813">
        <v>0</v>
      </c>
      <c r="Y166" s="813">
        <v>0</v>
      </c>
      <c r="Z166" s="813">
        <v>600000</v>
      </c>
    </row>
    <row r="167" spans="1:26" ht="15" customHeight="1" x14ac:dyDescent="0.25">
      <c r="A167" s="833" t="s">
        <v>1336</v>
      </c>
      <c r="B167" s="833" t="s">
        <v>935</v>
      </c>
      <c r="C167" s="833" t="s">
        <v>1337</v>
      </c>
      <c r="D167" s="866" t="s">
        <v>1604</v>
      </c>
      <c r="E167" s="812" t="s">
        <v>206</v>
      </c>
      <c r="F167" s="813"/>
      <c r="G167" s="814"/>
      <c r="H167" s="813" t="s">
        <v>41</v>
      </c>
      <c r="I167" s="813" t="s">
        <v>41</v>
      </c>
      <c r="J167" s="813" t="s">
        <v>41</v>
      </c>
      <c r="K167" s="813" t="s">
        <v>41</v>
      </c>
      <c r="L167" s="813">
        <v>12</v>
      </c>
      <c r="M167" s="813"/>
      <c r="N167" s="813">
        <f t="shared" si="36"/>
        <v>0</v>
      </c>
      <c r="O167" s="813">
        <v>0</v>
      </c>
      <c r="P167" s="813">
        <v>0</v>
      </c>
      <c r="Q167" s="813">
        <v>0</v>
      </c>
      <c r="R167" s="813">
        <v>0</v>
      </c>
      <c r="S167" s="813">
        <v>0</v>
      </c>
      <c r="T167" s="813">
        <v>0</v>
      </c>
      <c r="U167" s="813">
        <v>0</v>
      </c>
      <c r="V167" s="813">
        <v>0</v>
      </c>
      <c r="W167" s="813">
        <v>0</v>
      </c>
      <c r="X167" s="813">
        <v>0</v>
      </c>
      <c r="Y167" s="813">
        <v>0</v>
      </c>
      <c r="Z167" s="813">
        <v>0</v>
      </c>
    </row>
    <row r="168" spans="1:26" ht="15" customHeight="1" x14ac:dyDescent="0.25">
      <c r="A168" s="833" t="s">
        <v>1338</v>
      </c>
      <c r="B168" s="833" t="s">
        <v>935</v>
      </c>
      <c r="C168" s="833" t="s">
        <v>943</v>
      </c>
      <c r="D168" s="866" t="s">
        <v>944</v>
      </c>
      <c r="E168" s="812" t="s">
        <v>206</v>
      </c>
      <c r="F168" s="813"/>
      <c r="G168" s="814"/>
      <c r="H168" s="813" t="s">
        <v>41</v>
      </c>
      <c r="I168" s="813" t="s">
        <v>41</v>
      </c>
      <c r="J168" s="813" t="s">
        <v>41</v>
      </c>
      <c r="K168" s="813" t="s">
        <v>41</v>
      </c>
      <c r="L168" s="813">
        <v>12</v>
      </c>
      <c r="M168" s="813"/>
      <c r="N168" s="813">
        <f t="shared" si="36"/>
        <v>0</v>
      </c>
      <c r="O168" s="813">
        <v>0</v>
      </c>
      <c r="P168" s="813">
        <v>0</v>
      </c>
      <c r="Q168" s="813">
        <v>0</v>
      </c>
      <c r="R168" s="813">
        <v>0</v>
      </c>
      <c r="S168" s="813">
        <v>0</v>
      </c>
      <c r="T168" s="813">
        <v>0</v>
      </c>
      <c r="U168" s="813">
        <v>0</v>
      </c>
      <c r="V168" s="813">
        <v>0</v>
      </c>
      <c r="W168" s="813">
        <v>0</v>
      </c>
      <c r="X168" s="813">
        <v>0</v>
      </c>
      <c r="Y168" s="813">
        <v>0</v>
      </c>
      <c r="Z168" s="813">
        <v>0</v>
      </c>
    </row>
    <row r="169" spans="1:26" ht="15" customHeight="1" x14ac:dyDescent="0.25">
      <c r="A169" s="833" t="s">
        <v>1339</v>
      </c>
      <c r="B169" s="833" t="s">
        <v>935</v>
      </c>
      <c r="C169" s="833" t="s">
        <v>946</v>
      </c>
      <c r="D169" s="866" t="s">
        <v>1604</v>
      </c>
      <c r="E169" s="812" t="s">
        <v>206</v>
      </c>
      <c r="F169" s="813"/>
      <c r="G169" s="814"/>
      <c r="H169" s="813" t="s">
        <v>41</v>
      </c>
      <c r="I169" s="813" t="s">
        <v>41</v>
      </c>
      <c r="J169" s="813" t="s">
        <v>41</v>
      </c>
      <c r="K169" s="813" t="s">
        <v>41</v>
      </c>
      <c r="L169" s="813">
        <v>12</v>
      </c>
      <c r="M169" s="813"/>
      <c r="N169" s="813">
        <f t="shared" si="36"/>
        <v>44800</v>
      </c>
      <c r="O169" s="813">
        <v>0</v>
      </c>
      <c r="P169" s="813">
        <v>0</v>
      </c>
      <c r="Q169" s="813">
        <v>0</v>
      </c>
      <c r="R169" s="813">
        <v>0</v>
      </c>
      <c r="S169" s="813">
        <v>0</v>
      </c>
      <c r="T169" s="813">
        <v>0</v>
      </c>
      <c r="U169" s="813">
        <v>0</v>
      </c>
      <c r="V169" s="813">
        <v>0</v>
      </c>
      <c r="W169" s="813">
        <v>0</v>
      </c>
      <c r="X169" s="813">
        <v>0</v>
      </c>
      <c r="Y169" s="813">
        <v>0</v>
      </c>
      <c r="Z169" s="813">
        <v>44800</v>
      </c>
    </row>
    <row r="170" spans="1:26" ht="15" customHeight="1" x14ac:dyDescent="0.25">
      <c r="A170" s="833" t="s">
        <v>1340</v>
      </c>
      <c r="B170" s="833" t="s">
        <v>935</v>
      </c>
      <c r="C170" s="833" t="s">
        <v>948</v>
      </c>
      <c r="D170" s="866" t="s">
        <v>1604</v>
      </c>
      <c r="E170" s="812" t="s">
        <v>206</v>
      </c>
      <c r="F170" s="813"/>
      <c r="G170" s="814"/>
      <c r="H170" s="813" t="s">
        <v>41</v>
      </c>
      <c r="I170" s="813" t="s">
        <v>41</v>
      </c>
      <c r="J170" s="813" t="s">
        <v>41</v>
      </c>
      <c r="K170" s="813" t="s">
        <v>41</v>
      </c>
      <c r="L170" s="813">
        <v>12</v>
      </c>
      <c r="M170" s="813"/>
      <c r="N170" s="813">
        <f t="shared" si="36"/>
        <v>70400</v>
      </c>
      <c r="O170" s="813">
        <v>0</v>
      </c>
      <c r="P170" s="813">
        <v>0</v>
      </c>
      <c r="Q170" s="813">
        <v>0</v>
      </c>
      <c r="R170" s="813">
        <v>0</v>
      </c>
      <c r="S170" s="813">
        <v>0</v>
      </c>
      <c r="T170" s="813">
        <v>0</v>
      </c>
      <c r="U170" s="813">
        <v>0</v>
      </c>
      <c r="V170" s="813">
        <v>0</v>
      </c>
      <c r="W170" s="813">
        <v>0</v>
      </c>
      <c r="X170" s="813">
        <v>0</v>
      </c>
      <c r="Y170" s="813">
        <v>0</v>
      </c>
      <c r="Z170" s="813">
        <v>70400</v>
      </c>
    </row>
    <row r="171" spans="1:26" ht="15" customHeight="1" x14ac:dyDescent="0.25">
      <c r="A171" s="833" t="s">
        <v>1341</v>
      </c>
      <c r="B171" s="833" t="s">
        <v>935</v>
      </c>
      <c r="C171" s="833" t="s">
        <v>950</v>
      </c>
      <c r="D171" s="866" t="s">
        <v>1580</v>
      </c>
      <c r="E171" s="812" t="s">
        <v>206</v>
      </c>
      <c r="F171" s="813"/>
      <c r="G171" s="814"/>
      <c r="H171" s="813" t="s">
        <v>41</v>
      </c>
      <c r="I171" s="813" t="s">
        <v>41</v>
      </c>
      <c r="J171" s="813" t="s">
        <v>41</v>
      </c>
      <c r="K171" s="813" t="s">
        <v>41</v>
      </c>
      <c r="L171" s="813">
        <v>12</v>
      </c>
      <c r="M171" s="813"/>
      <c r="N171" s="813">
        <f t="shared" si="36"/>
        <v>0</v>
      </c>
      <c r="O171" s="813">
        <v>0</v>
      </c>
      <c r="P171" s="813">
        <v>0</v>
      </c>
      <c r="Q171" s="813">
        <v>0</v>
      </c>
      <c r="R171" s="813">
        <v>0</v>
      </c>
      <c r="S171" s="813">
        <v>0</v>
      </c>
      <c r="T171" s="813">
        <v>0</v>
      </c>
      <c r="U171" s="813">
        <v>0</v>
      </c>
      <c r="V171" s="813">
        <v>0</v>
      </c>
      <c r="W171" s="813">
        <v>0</v>
      </c>
      <c r="X171" s="813">
        <v>0</v>
      </c>
      <c r="Y171" s="813">
        <v>0</v>
      </c>
      <c r="Z171" s="813">
        <v>0</v>
      </c>
    </row>
    <row r="172" spans="1:26" s="872" customFormat="1" ht="22.5" customHeight="1" x14ac:dyDescent="0.25">
      <c r="A172" s="868"/>
      <c r="B172" s="869"/>
      <c r="C172" s="869"/>
      <c r="D172" s="869"/>
      <c r="E172" s="870"/>
      <c r="F172" s="870"/>
      <c r="G172" s="870"/>
      <c r="H172" s="870"/>
      <c r="I172" s="870"/>
      <c r="J172" s="871" t="s">
        <v>20</v>
      </c>
      <c r="K172" s="870"/>
      <c r="L172" s="813">
        <v>12</v>
      </c>
      <c r="M172" s="830">
        <f t="shared" ref="M172:Z172" si="37">SUM(M165:M171)</f>
        <v>0</v>
      </c>
      <c r="N172" s="830">
        <f t="shared" si="37"/>
        <v>1115200</v>
      </c>
      <c r="O172" s="830">
        <f t="shared" si="37"/>
        <v>0</v>
      </c>
      <c r="P172" s="830">
        <f t="shared" si="37"/>
        <v>0</v>
      </c>
      <c r="Q172" s="830">
        <f t="shared" si="37"/>
        <v>0</v>
      </c>
      <c r="R172" s="830">
        <f t="shared" si="37"/>
        <v>0</v>
      </c>
      <c r="S172" s="830">
        <f t="shared" si="37"/>
        <v>0</v>
      </c>
      <c r="T172" s="830">
        <f t="shared" si="37"/>
        <v>0</v>
      </c>
      <c r="U172" s="830">
        <f t="shared" si="37"/>
        <v>0</v>
      </c>
      <c r="V172" s="830">
        <f t="shared" si="37"/>
        <v>0</v>
      </c>
      <c r="W172" s="830">
        <f t="shared" si="37"/>
        <v>0</v>
      </c>
      <c r="X172" s="830">
        <f t="shared" si="37"/>
        <v>0</v>
      </c>
      <c r="Y172" s="830">
        <f t="shared" si="37"/>
        <v>0</v>
      </c>
      <c r="Z172" s="830">
        <f t="shared" si="37"/>
        <v>1115200</v>
      </c>
    </row>
    <row r="173" spans="1:26" ht="18" x14ac:dyDescent="0.25">
      <c r="A173" s="853" t="str">
        <f>CONCATENATE(B24," ",C24)</f>
        <v>Objective 3.4 Land Access (Ingreso Enero 2018)</v>
      </c>
      <c r="B173" s="853"/>
      <c r="C173" s="854"/>
      <c r="D173" s="854"/>
      <c r="E173" s="855"/>
      <c r="F173" s="855"/>
      <c r="G173" s="855"/>
      <c r="H173" s="855"/>
      <c r="I173" s="855"/>
      <c r="J173" s="855"/>
      <c r="K173" s="855"/>
      <c r="L173" s="855"/>
      <c r="M173" s="855"/>
      <c r="N173" s="855"/>
      <c r="O173" s="855" t="s">
        <v>5</v>
      </c>
      <c r="P173" s="855"/>
      <c r="Q173" s="855"/>
      <c r="R173" s="855"/>
      <c r="S173" s="855"/>
      <c r="T173" s="855"/>
      <c r="U173" s="855"/>
      <c r="V173" s="855"/>
      <c r="W173" s="855"/>
      <c r="X173" s="855"/>
      <c r="Y173" s="855"/>
      <c r="Z173" s="855"/>
    </row>
    <row r="174" spans="1:26" ht="60" x14ac:dyDescent="0.25">
      <c r="A174" s="828" t="s">
        <v>261</v>
      </c>
      <c r="B174" s="828" t="s">
        <v>13</v>
      </c>
      <c r="C174" s="828" t="s">
        <v>14</v>
      </c>
      <c r="D174" s="865" t="s">
        <v>286</v>
      </c>
      <c r="E174" s="830" t="s">
        <v>16</v>
      </c>
      <c r="F174" s="830" t="s">
        <v>295</v>
      </c>
      <c r="G174" s="830" t="s">
        <v>39</v>
      </c>
      <c r="H174" s="830" t="s">
        <v>297</v>
      </c>
      <c r="I174" s="830" t="s">
        <v>298</v>
      </c>
      <c r="J174" s="830" t="s">
        <v>299</v>
      </c>
      <c r="K174" s="830" t="s">
        <v>300</v>
      </c>
      <c r="L174" s="830" t="s">
        <v>17</v>
      </c>
      <c r="M174" s="830" t="s">
        <v>18</v>
      </c>
      <c r="N174" s="830" t="s">
        <v>825</v>
      </c>
      <c r="O174" s="832">
        <v>43101</v>
      </c>
      <c r="P174" s="832">
        <v>43132</v>
      </c>
      <c r="Q174" s="832">
        <v>43160</v>
      </c>
      <c r="R174" s="832">
        <v>43191</v>
      </c>
      <c r="S174" s="832">
        <v>43221</v>
      </c>
      <c r="T174" s="832">
        <v>43252</v>
      </c>
      <c r="U174" s="832">
        <v>43282</v>
      </c>
      <c r="V174" s="832">
        <v>43313</v>
      </c>
      <c r="W174" s="832">
        <v>43344</v>
      </c>
      <c r="X174" s="832">
        <v>43374</v>
      </c>
      <c r="Y174" s="832">
        <v>43405</v>
      </c>
      <c r="Z174" s="832">
        <v>43435</v>
      </c>
    </row>
    <row r="175" spans="1:26" ht="15.75" customHeight="1" x14ac:dyDescent="0.25">
      <c r="A175" s="833" t="s">
        <v>1342</v>
      </c>
      <c r="B175" s="833" t="s">
        <v>959</v>
      </c>
      <c r="C175" s="833" t="s">
        <v>1343</v>
      </c>
      <c r="D175" s="866" t="s">
        <v>1517</v>
      </c>
      <c r="E175" s="812" t="s">
        <v>206</v>
      </c>
      <c r="F175" s="813"/>
      <c r="G175" s="814"/>
      <c r="H175" s="813" t="s">
        <v>41</v>
      </c>
      <c r="I175" s="813" t="s">
        <v>41</v>
      </c>
      <c r="J175" s="813" t="s">
        <v>41</v>
      </c>
      <c r="K175" s="813" t="s">
        <v>41</v>
      </c>
      <c r="L175" s="813">
        <v>12</v>
      </c>
      <c r="M175" s="813"/>
      <c r="N175" s="813">
        <f t="shared" ref="N175:N177" si="38">SUM(O175:Z175)</f>
        <v>0</v>
      </c>
      <c r="O175" s="813">
        <v>0</v>
      </c>
      <c r="P175" s="813">
        <v>0</v>
      </c>
      <c r="Q175" s="813">
        <v>0</v>
      </c>
      <c r="R175" s="813">
        <v>0</v>
      </c>
      <c r="S175" s="813">
        <v>0</v>
      </c>
      <c r="T175" s="813">
        <v>0</v>
      </c>
      <c r="U175" s="813">
        <v>0</v>
      </c>
      <c r="V175" s="813">
        <v>0</v>
      </c>
      <c r="W175" s="813">
        <v>0</v>
      </c>
      <c r="X175" s="813">
        <v>0</v>
      </c>
      <c r="Y175" s="813">
        <v>0</v>
      </c>
      <c r="Z175" s="813">
        <v>0</v>
      </c>
    </row>
    <row r="176" spans="1:26" ht="15.75" customHeight="1" x14ac:dyDescent="0.25">
      <c r="A176" s="833" t="s">
        <v>1344</v>
      </c>
      <c r="B176" s="833" t="s">
        <v>959</v>
      </c>
      <c r="C176" s="833" t="s">
        <v>1581</v>
      </c>
      <c r="D176" s="866" t="s">
        <v>1612</v>
      </c>
      <c r="E176" s="812" t="s">
        <v>206</v>
      </c>
      <c r="F176" s="813"/>
      <c r="G176" s="814"/>
      <c r="H176" s="813" t="s">
        <v>41</v>
      </c>
      <c r="I176" s="813" t="s">
        <v>41</v>
      </c>
      <c r="J176" s="813" t="s">
        <v>41</v>
      </c>
      <c r="K176" s="813" t="s">
        <v>41</v>
      </c>
      <c r="L176" s="813">
        <v>12</v>
      </c>
      <c r="M176" s="813"/>
      <c r="N176" s="813">
        <f t="shared" si="38"/>
        <v>1538695.84</v>
      </c>
      <c r="O176" s="813">
        <v>0</v>
      </c>
      <c r="P176" s="813">
        <v>0</v>
      </c>
      <c r="Q176" s="813">
        <v>0</v>
      </c>
      <c r="R176" s="813">
        <v>0</v>
      </c>
      <c r="S176" s="813">
        <v>0</v>
      </c>
      <c r="T176" s="813">
        <v>1538695.84</v>
      </c>
      <c r="U176" s="813">
        <v>0</v>
      </c>
      <c r="V176" s="813">
        <v>0</v>
      </c>
      <c r="W176" s="813">
        <v>0</v>
      </c>
      <c r="X176" s="813">
        <v>0</v>
      </c>
      <c r="Y176" s="813">
        <v>0</v>
      </c>
      <c r="Z176" s="813">
        <v>0</v>
      </c>
    </row>
    <row r="177" spans="1:26" ht="15.75" customHeight="1" x14ac:dyDescent="0.25">
      <c r="A177" s="833" t="s">
        <v>1345</v>
      </c>
      <c r="B177" s="833" t="s">
        <v>959</v>
      </c>
      <c r="C177" s="833" t="s">
        <v>1346</v>
      </c>
      <c r="D177" s="866" t="s">
        <v>982</v>
      </c>
      <c r="E177" s="812" t="s">
        <v>206</v>
      </c>
      <c r="F177" s="813"/>
      <c r="G177" s="814"/>
      <c r="H177" s="813" t="s">
        <v>41</v>
      </c>
      <c r="I177" s="813" t="s">
        <v>41</v>
      </c>
      <c r="J177" s="813" t="s">
        <v>41</v>
      </c>
      <c r="K177" s="813" t="s">
        <v>41</v>
      </c>
      <c r="L177" s="813">
        <v>12</v>
      </c>
      <c r="M177" s="813"/>
      <c r="N177" s="813">
        <f t="shared" si="38"/>
        <v>307739.16800000001</v>
      </c>
      <c r="O177" s="813">
        <f t="shared" ref="O177:Z177" si="39">+(O175+O176)*0.2</f>
        <v>0</v>
      </c>
      <c r="P177" s="813">
        <f t="shared" si="39"/>
        <v>0</v>
      </c>
      <c r="Q177" s="813">
        <f t="shared" si="39"/>
        <v>0</v>
      </c>
      <c r="R177" s="813">
        <f t="shared" si="39"/>
        <v>0</v>
      </c>
      <c r="S177" s="813">
        <f t="shared" si="39"/>
        <v>0</v>
      </c>
      <c r="T177" s="813">
        <f t="shared" si="39"/>
        <v>307739.16800000001</v>
      </c>
      <c r="U177" s="813">
        <f t="shared" si="39"/>
        <v>0</v>
      </c>
      <c r="V177" s="813">
        <f t="shared" si="39"/>
        <v>0</v>
      </c>
      <c r="W177" s="813">
        <f t="shared" si="39"/>
        <v>0</v>
      </c>
      <c r="X177" s="813">
        <f t="shared" si="39"/>
        <v>0</v>
      </c>
      <c r="Y177" s="813">
        <f t="shared" si="39"/>
        <v>0</v>
      </c>
      <c r="Z177" s="813">
        <f t="shared" si="39"/>
        <v>0</v>
      </c>
    </row>
    <row r="178" spans="1:26" s="872" customFormat="1" ht="22.5" customHeight="1" x14ac:dyDescent="0.25">
      <c r="A178" s="868"/>
      <c r="B178" s="869"/>
      <c r="C178" s="869"/>
      <c r="D178" s="869"/>
      <c r="E178" s="870"/>
      <c r="F178" s="870"/>
      <c r="G178" s="870"/>
      <c r="H178" s="870"/>
      <c r="I178" s="870"/>
      <c r="J178" s="871" t="s">
        <v>20</v>
      </c>
      <c r="K178" s="870"/>
      <c r="L178" s="813">
        <v>12</v>
      </c>
      <c r="M178" s="830">
        <f t="shared" ref="M178:Z178" si="40">SUM(M175:M177)</f>
        <v>0</v>
      </c>
      <c r="N178" s="830">
        <f t="shared" si="40"/>
        <v>1846435.0080000001</v>
      </c>
      <c r="O178" s="830">
        <f t="shared" si="40"/>
        <v>0</v>
      </c>
      <c r="P178" s="830">
        <f t="shared" si="40"/>
        <v>0</v>
      </c>
      <c r="Q178" s="830">
        <f t="shared" si="40"/>
        <v>0</v>
      </c>
      <c r="R178" s="830">
        <f t="shared" si="40"/>
        <v>0</v>
      </c>
      <c r="S178" s="830">
        <f t="shared" si="40"/>
        <v>0</v>
      </c>
      <c r="T178" s="830">
        <f t="shared" si="40"/>
        <v>1846435.0080000001</v>
      </c>
      <c r="U178" s="830">
        <f t="shared" si="40"/>
        <v>0</v>
      </c>
      <c r="V178" s="830">
        <f t="shared" si="40"/>
        <v>0</v>
      </c>
      <c r="W178" s="830">
        <f t="shared" si="40"/>
        <v>0</v>
      </c>
      <c r="X178" s="830">
        <f t="shared" si="40"/>
        <v>0</v>
      </c>
      <c r="Y178" s="830">
        <f t="shared" si="40"/>
        <v>0</v>
      </c>
      <c r="Z178" s="830">
        <f t="shared" si="40"/>
        <v>0</v>
      </c>
    </row>
    <row r="179" spans="1:26" ht="18" x14ac:dyDescent="0.25">
      <c r="A179" s="853" t="str">
        <f>CONCATENATE(B25," ",C25)</f>
        <v>Objective 3.5 Land Access (Ingreso EIA)</v>
      </c>
      <c r="B179" s="853"/>
      <c r="C179" s="854"/>
      <c r="D179" s="854"/>
      <c r="E179" s="855"/>
      <c r="F179" s="855"/>
      <c r="G179" s="855"/>
      <c r="H179" s="855"/>
      <c r="I179" s="855"/>
      <c r="J179" s="855"/>
      <c r="K179" s="855"/>
      <c r="L179" s="855"/>
      <c r="M179" s="855"/>
      <c r="N179" s="855"/>
      <c r="O179" s="855" t="s">
        <v>5</v>
      </c>
      <c r="P179" s="855"/>
      <c r="Q179" s="855"/>
      <c r="R179" s="855"/>
      <c r="S179" s="855"/>
      <c r="T179" s="855"/>
      <c r="U179" s="855"/>
      <c r="V179" s="855"/>
      <c r="W179" s="855"/>
      <c r="X179" s="855"/>
      <c r="Y179" s="855"/>
      <c r="Z179" s="855"/>
    </row>
    <row r="180" spans="1:26" ht="60" x14ac:dyDescent="0.25">
      <c r="A180" s="828" t="s">
        <v>261</v>
      </c>
      <c r="B180" s="828" t="s">
        <v>13</v>
      </c>
      <c r="C180" s="828" t="s">
        <v>14</v>
      </c>
      <c r="D180" s="865" t="s">
        <v>286</v>
      </c>
      <c r="E180" s="830" t="s">
        <v>16</v>
      </c>
      <c r="F180" s="830" t="s">
        <v>295</v>
      </c>
      <c r="G180" s="830" t="s">
        <v>39</v>
      </c>
      <c r="H180" s="830" t="s">
        <v>297</v>
      </c>
      <c r="I180" s="830" t="s">
        <v>298</v>
      </c>
      <c r="J180" s="830" t="s">
        <v>299</v>
      </c>
      <c r="K180" s="830" t="s">
        <v>300</v>
      </c>
      <c r="L180" s="830" t="s">
        <v>17</v>
      </c>
      <c r="M180" s="830" t="s">
        <v>18</v>
      </c>
      <c r="N180" s="830" t="s">
        <v>825</v>
      </c>
      <c r="O180" s="832">
        <v>43101</v>
      </c>
      <c r="P180" s="832">
        <v>43132</v>
      </c>
      <c r="Q180" s="832">
        <v>43160</v>
      </c>
      <c r="R180" s="832">
        <v>43191</v>
      </c>
      <c r="S180" s="832">
        <v>43221</v>
      </c>
      <c r="T180" s="832">
        <v>43252</v>
      </c>
      <c r="U180" s="832">
        <v>43282</v>
      </c>
      <c r="V180" s="832">
        <v>43313</v>
      </c>
      <c r="W180" s="832">
        <v>43344</v>
      </c>
      <c r="X180" s="832">
        <v>43374</v>
      </c>
      <c r="Y180" s="832">
        <v>43405</v>
      </c>
      <c r="Z180" s="832">
        <v>43435</v>
      </c>
    </row>
    <row r="181" spans="1:26" ht="15.75" customHeight="1" x14ac:dyDescent="0.25">
      <c r="A181" s="833" t="s">
        <v>1347</v>
      </c>
      <c r="B181" s="833" t="s">
        <v>959</v>
      </c>
      <c r="C181" s="833" t="s">
        <v>969</v>
      </c>
      <c r="D181" s="866" t="s">
        <v>970</v>
      </c>
      <c r="E181" s="812" t="s">
        <v>206</v>
      </c>
      <c r="F181" s="813"/>
      <c r="G181" s="814"/>
      <c r="H181" s="813" t="s">
        <v>41</v>
      </c>
      <c r="I181" s="813" t="s">
        <v>41</v>
      </c>
      <c r="J181" s="813" t="s">
        <v>41</v>
      </c>
      <c r="K181" s="813" t="s">
        <v>41</v>
      </c>
      <c r="L181" s="813">
        <v>12</v>
      </c>
      <c r="M181" s="813"/>
      <c r="N181" s="813">
        <f t="shared" ref="N181:N194" si="41">SUM(O181:Z181)</f>
        <v>0</v>
      </c>
      <c r="O181" s="813">
        <v>0</v>
      </c>
      <c r="P181" s="813">
        <v>0</v>
      </c>
      <c r="Q181" s="813">
        <v>0</v>
      </c>
      <c r="R181" s="813">
        <v>0</v>
      </c>
      <c r="S181" s="813">
        <v>0</v>
      </c>
      <c r="T181" s="813">
        <v>0</v>
      </c>
      <c r="U181" s="813">
        <v>0</v>
      </c>
      <c r="V181" s="813">
        <v>0</v>
      </c>
      <c r="W181" s="813">
        <v>0</v>
      </c>
      <c r="X181" s="813">
        <v>0</v>
      </c>
      <c r="Y181" s="813">
        <v>0</v>
      </c>
      <c r="Z181" s="813">
        <v>0</v>
      </c>
    </row>
    <row r="182" spans="1:26" ht="15.75" customHeight="1" x14ac:dyDescent="0.25">
      <c r="A182" s="833" t="s">
        <v>1348</v>
      </c>
      <c r="B182" s="833" t="s">
        <v>959</v>
      </c>
      <c r="C182" s="833" t="s">
        <v>972</v>
      </c>
      <c r="D182" s="828" t="s">
        <v>1583</v>
      </c>
      <c r="E182" s="812" t="s">
        <v>206</v>
      </c>
      <c r="F182" s="813"/>
      <c r="G182" s="814"/>
      <c r="H182" s="813" t="s">
        <v>41</v>
      </c>
      <c r="I182" s="813" t="s">
        <v>41</v>
      </c>
      <c r="J182" s="813" t="s">
        <v>41</v>
      </c>
      <c r="K182" s="813" t="s">
        <v>41</v>
      </c>
      <c r="L182" s="813">
        <v>12</v>
      </c>
      <c r="M182" s="813"/>
      <c r="N182" s="813">
        <f t="shared" si="41"/>
        <v>1549857.6</v>
      </c>
      <c r="O182" s="813">
        <v>0</v>
      </c>
      <c r="P182" s="813">
        <v>0</v>
      </c>
      <c r="Q182" s="813">
        <v>0</v>
      </c>
      <c r="R182" s="813">
        <v>0</v>
      </c>
      <c r="S182" s="813">
        <v>0</v>
      </c>
      <c r="T182" s="813">
        <v>1549857.6</v>
      </c>
      <c r="U182" s="813">
        <v>0</v>
      </c>
      <c r="V182" s="813">
        <v>0</v>
      </c>
      <c r="W182" s="813">
        <v>0</v>
      </c>
      <c r="X182" s="813">
        <v>0</v>
      </c>
      <c r="Y182" s="813">
        <v>0</v>
      </c>
      <c r="Z182" s="813">
        <v>0</v>
      </c>
    </row>
    <row r="183" spans="1:26" ht="15.75" customHeight="1" x14ac:dyDescent="0.25">
      <c r="A183" s="833" t="s">
        <v>1348</v>
      </c>
      <c r="B183" s="833" t="s">
        <v>959</v>
      </c>
      <c r="C183" s="833" t="s">
        <v>972</v>
      </c>
      <c r="D183" s="828" t="s">
        <v>1584</v>
      </c>
      <c r="E183" s="812" t="s">
        <v>206</v>
      </c>
      <c r="F183" s="813"/>
      <c r="G183" s="814"/>
      <c r="H183" s="813" t="s">
        <v>41</v>
      </c>
      <c r="I183" s="813" t="s">
        <v>41</v>
      </c>
      <c r="J183" s="813" t="s">
        <v>41</v>
      </c>
      <c r="K183" s="813" t="s">
        <v>41</v>
      </c>
      <c r="L183" s="813">
        <v>12</v>
      </c>
      <c r="M183" s="813"/>
      <c r="N183" s="813">
        <f t="shared" ref="N183:N190" si="42">SUM(O183:Z183)</f>
        <v>733736.5</v>
      </c>
      <c r="O183" s="813">
        <v>0</v>
      </c>
      <c r="P183" s="813">
        <v>0</v>
      </c>
      <c r="Q183" s="813">
        <v>0</v>
      </c>
      <c r="R183" s="813">
        <v>0</v>
      </c>
      <c r="S183" s="813">
        <v>0</v>
      </c>
      <c r="T183" s="813">
        <v>733736.5</v>
      </c>
      <c r="U183" s="813">
        <v>0</v>
      </c>
      <c r="V183" s="813">
        <v>0</v>
      </c>
      <c r="W183" s="813">
        <v>0</v>
      </c>
      <c r="X183" s="813">
        <v>0</v>
      </c>
      <c r="Y183" s="813">
        <v>0</v>
      </c>
      <c r="Z183" s="813">
        <v>0</v>
      </c>
    </row>
    <row r="184" spans="1:26" ht="15.75" customHeight="1" x14ac:dyDescent="0.25">
      <c r="A184" s="833" t="s">
        <v>1348</v>
      </c>
      <c r="B184" s="833" t="s">
        <v>959</v>
      </c>
      <c r="C184" s="833" t="s">
        <v>972</v>
      </c>
      <c r="D184" s="828" t="s">
        <v>1585</v>
      </c>
      <c r="E184" s="812" t="s">
        <v>206</v>
      </c>
      <c r="F184" s="813"/>
      <c r="G184" s="814"/>
      <c r="H184" s="813" t="s">
        <v>41</v>
      </c>
      <c r="I184" s="813" t="s">
        <v>41</v>
      </c>
      <c r="J184" s="813" t="s">
        <v>41</v>
      </c>
      <c r="K184" s="813" t="s">
        <v>41</v>
      </c>
      <c r="L184" s="813">
        <v>12</v>
      </c>
      <c r="M184" s="813"/>
      <c r="N184" s="813">
        <f t="shared" si="42"/>
        <v>25020</v>
      </c>
      <c r="O184" s="813">
        <v>0</v>
      </c>
      <c r="P184" s="813">
        <v>0</v>
      </c>
      <c r="Q184" s="813">
        <v>0</v>
      </c>
      <c r="R184" s="813">
        <v>0</v>
      </c>
      <c r="S184" s="813">
        <v>0</v>
      </c>
      <c r="T184" s="813">
        <v>25020</v>
      </c>
      <c r="U184" s="813">
        <v>0</v>
      </c>
      <c r="V184" s="813">
        <v>0</v>
      </c>
      <c r="W184" s="813">
        <v>0</v>
      </c>
      <c r="X184" s="813">
        <v>0</v>
      </c>
      <c r="Y184" s="813">
        <v>0</v>
      </c>
      <c r="Z184" s="813">
        <v>0</v>
      </c>
    </row>
    <row r="185" spans="1:26" ht="15.75" customHeight="1" x14ac:dyDescent="0.25">
      <c r="A185" s="833" t="s">
        <v>1348</v>
      </c>
      <c r="B185" s="833" t="s">
        <v>959</v>
      </c>
      <c r="C185" s="833" t="s">
        <v>972</v>
      </c>
      <c r="D185" s="828" t="s">
        <v>1586</v>
      </c>
      <c r="E185" s="812" t="s">
        <v>206</v>
      </c>
      <c r="F185" s="813"/>
      <c r="G185" s="814"/>
      <c r="H185" s="813" t="s">
        <v>41</v>
      </c>
      <c r="I185" s="813" t="s">
        <v>41</v>
      </c>
      <c r="J185" s="813" t="s">
        <v>41</v>
      </c>
      <c r="K185" s="813" t="s">
        <v>41</v>
      </c>
      <c r="L185" s="813">
        <v>12</v>
      </c>
      <c r="M185" s="813"/>
      <c r="N185" s="813">
        <f t="shared" si="42"/>
        <v>2270722</v>
      </c>
      <c r="O185" s="813">
        <v>0</v>
      </c>
      <c r="P185" s="813">
        <v>0</v>
      </c>
      <c r="Q185" s="813">
        <v>0</v>
      </c>
      <c r="R185" s="813">
        <v>2270722</v>
      </c>
      <c r="S185" s="813">
        <v>0</v>
      </c>
      <c r="T185" s="813">
        <v>0</v>
      </c>
      <c r="U185" s="813">
        <v>0</v>
      </c>
      <c r="V185" s="813">
        <v>0</v>
      </c>
      <c r="W185" s="813">
        <v>0</v>
      </c>
      <c r="X185" s="813">
        <v>0</v>
      </c>
      <c r="Y185" s="813">
        <v>0</v>
      </c>
      <c r="Z185" s="813">
        <v>0</v>
      </c>
    </row>
    <row r="186" spans="1:26" ht="15.75" customHeight="1" x14ac:dyDescent="0.25">
      <c r="A186" s="833" t="s">
        <v>1348</v>
      </c>
      <c r="B186" s="833" t="s">
        <v>959</v>
      </c>
      <c r="C186" s="833" t="s">
        <v>972</v>
      </c>
      <c r="D186" s="828" t="s">
        <v>1587</v>
      </c>
      <c r="E186" s="812" t="s">
        <v>206</v>
      </c>
      <c r="F186" s="813"/>
      <c r="G186" s="814"/>
      <c r="H186" s="813" t="s">
        <v>41</v>
      </c>
      <c r="I186" s="813" t="s">
        <v>41</v>
      </c>
      <c r="J186" s="813" t="s">
        <v>41</v>
      </c>
      <c r="K186" s="813" t="s">
        <v>41</v>
      </c>
      <c r="L186" s="813">
        <v>12</v>
      </c>
      <c r="M186" s="813"/>
      <c r="N186" s="813">
        <f t="shared" si="42"/>
        <v>940046.4</v>
      </c>
      <c r="O186" s="813">
        <v>0</v>
      </c>
      <c r="P186" s="813">
        <v>0</v>
      </c>
      <c r="Q186" s="813">
        <v>0</v>
      </c>
      <c r="R186" s="813">
        <v>940046.4</v>
      </c>
      <c r="S186" s="813">
        <v>0</v>
      </c>
      <c r="T186" s="813">
        <v>0</v>
      </c>
      <c r="U186" s="813">
        <v>0</v>
      </c>
      <c r="V186" s="813">
        <v>0</v>
      </c>
      <c r="W186" s="813">
        <v>0</v>
      </c>
      <c r="X186" s="813">
        <v>0</v>
      </c>
      <c r="Y186" s="813">
        <v>0</v>
      </c>
      <c r="Z186" s="813">
        <v>0</v>
      </c>
    </row>
    <row r="187" spans="1:26" ht="15.75" customHeight="1" x14ac:dyDescent="0.25">
      <c r="A187" s="833" t="s">
        <v>1348</v>
      </c>
      <c r="B187" s="833" t="s">
        <v>959</v>
      </c>
      <c r="C187" s="833" t="s">
        <v>972</v>
      </c>
      <c r="D187" s="828" t="s">
        <v>1588</v>
      </c>
      <c r="E187" s="812" t="s">
        <v>206</v>
      </c>
      <c r="F187" s="813"/>
      <c r="G187" s="814"/>
      <c r="H187" s="813" t="s">
        <v>41</v>
      </c>
      <c r="I187" s="813" t="s">
        <v>41</v>
      </c>
      <c r="J187" s="813" t="s">
        <v>41</v>
      </c>
      <c r="K187" s="813" t="s">
        <v>41</v>
      </c>
      <c r="L187" s="813">
        <v>12</v>
      </c>
      <c r="M187" s="813"/>
      <c r="N187" s="813">
        <f t="shared" si="42"/>
        <v>4100355</v>
      </c>
      <c r="O187" s="813">
        <v>0</v>
      </c>
      <c r="P187" s="813">
        <v>0</v>
      </c>
      <c r="Q187" s="813">
        <v>0</v>
      </c>
      <c r="R187" s="813">
        <v>4100355</v>
      </c>
      <c r="S187" s="813">
        <v>0</v>
      </c>
      <c r="T187" s="813">
        <v>0</v>
      </c>
      <c r="U187" s="813">
        <v>0</v>
      </c>
      <c r="V187" s="813">
        <v>0</v>
      </c>
      <c r="W187" s="813">
        <v>0</v>
      </c>
      <c r="X187" s="813">
        <v>0</v>
      </c>
      <c r="Y187" s="813">
        <v>0</v>
      </c>
      <c r="Z187" s="813">
        <v>0</v>
      </c>
    </row>
    <row r="188" spans="1:26" ht="15.75" customHeight="1" x14ac:dyDescent="0.25">
      <c r="A188" s="833" t="s">
        <v>1348</v>
      </c>
      <c r="B188" s="833" t="s">
        <v>959</v>
      </c>
      <c r="C188" s="833" t="s">
        <v>972</v>
      </c>
      <c r="D188" s="828" t="s">
        <v>1589</v>
      </c>
      <c r="E188" s="812" t="s">
        <v>206</v>
      </c>
      <c r="F188" s="813"/>
      <c r="G188" s="814"/>
      <c r="H188" s="813" t="s">
        <v>41</v>
      </c>
      <c r="I188" s="813" t="s">
        <v>41</v>
      </c>
      <c r="J188" s="813" t="s">
        <v>41</v>
      </c>
      <c r="K188" s="813" t="s">
        <v>41</v>
      </c>
      <c r="L188" s="813">
        <v>12</v>
      </c>
      <c r="M188" s="813"/>
      <c r="N188" s="813">
        <f t="shared" si="42"/>
        <v>1332752</v>
      </c>
      <c r="O188" s="813">
        <v>0</v>
      </c>
      <c r="P188" s="813">
        <v>0</v>
      </c>
      <c r="Q188" s="813">
        <v>0</v>
      </c>
      <c r="R188" s="813">
        <v>1332752</v>
      </c>
      <c r="S188" s="813">
        <v>0</v>
      </c>
      <c r="T188" s="813">
        <v>0</v>
      </c>
      <c r="U188" s="813">
        <v>0</v>
      </c>
      <c r="V188" s="813">
        <v>0</v>
      </c>
      <c r="W188" s="813">
        <v>0</v>
      </c>
      <c r="X188" s="813">
        <v>0</v>
      </c>
      <c r="Y188" s="813">
        <v>0</v>
      </c>
      <c r="Z188" s="813">
        <v>0</v>
      </c>
    </row>
    <row r="189" spans="1:26" ht="15.75" customHeight="1" x14ac:dyDescent="0.25">
      <c r="A189" s="833" t="s">
        <v>1348</v>
      </c>
      <c r="B189" s="833" t="s">
        <v>959</v>
      </c>
      <c r="C189" s="833" t="s">
        <v>972</v>
      </c>
      <c r="D189" s="828" t="s">
        <v>1590</v>
      </c>
      <c r="E189" s="812" t="s">
        <v>206</v>
      </c>
      <c r="F189" s="813"/>
      <c r="G189" s="814"/>
      <c r="H189" s="813" t="s">
        <v>41</v>
      </c>
      <c r="I189" s="813" t="s">
        <v>41</v>
      </c>
      <c r="J189" s="813" t="s">
        <v>41</v>
      </c>
      <c r="K189" s="813" t="s">
        <v>41</v>
      </c>
      <c r="L189" s="813">
        <v>12</v>
      </c>
      <c r="M189" s="813"/>
      <c r="N189" s="813">
        <f t="shared" si="42"/>
        <v>0</v>
      </c>
      <c r="O189" s="813">
        <v>0</v>
      </c>
      <c r="P189" s="813">
        <v>0</v>
      </c>
      <c r="Q189" s="813">
        <v>0</v>
      </c>
      <c r="R189" s="813">
        <v>0</v>
      </c>
      <c r="S189" s="813">
        <v>0</v>
      </c>
      <c r="T189" s="813">
        <v>0</v>
      </c>
      <c r="U189" s="813">
        <v>0</v>
      </c>
      <c r="V189" s="813">
        <v>0</v>
      </c>
      <c r="W189" s="813">
        <v>0</v>
      </c>
      <c r="X189" s="813">
        <v>0</v>
      </c>
      <c r="Y189" s="813">
        <v>0</v>
      </c>
      <c r="Z189" s="813">
        <v>0</v>
      </c>
    </row>
    <row r="190" spans="1:26" ht="15.75" customHeight="1" x14ac:dyDescent="0.25">
      <c r="A190" s="833" t="s">
        <v>1348</v>
      </c>
      <c r="B190" s="833" t="s">
        <v>959</v>
      </c>
      <c r="C190" s="833" t="s">
        <v>972</v>
      </c>
      <c r="D190" s="828" t="s">
        <v>1591</v>
      </c>
      <c r="E190" s="812" t="s">
        <v>206</v>
      </c>
      <c r="F190" s="813"/>
      <c r="G190" s="814"/>
      <c r="H190" s="813" t="s">
        <v>41</v>
      </c>
      <c r="I190" s="813" t="s">
        <v>41</v>
      </c>
      <c r="J190" s="813" t="s">
        <v>41</v>
      </c>
      <c r="K190" s="813" t="s">
        <v>41</v>
      </c>
      <c r="L190" s="813">
        <v>12</v>
      </c>
      <c r="M190" s="813"/>
      <c r="N190" s="813">
        <f t="shared" si="42"/>
        <v>1591243</v>
      </c>
      <c r="O190" s="813">
        <v>0</v>
      </c>
      <c r="P190" s="813">
        <v>0</v>
      </c>
      <c r="Q190" s="813">
        <v>0</v>
      </c>
      <c r="R190" s="813">
        <v>1591243</v>
      </c>
      <c r="S190" s="813">
        <v>0</v>
      </c>
      <c r="T190" s="813">
        <v>0</v>
      </c>
      <c r="U190" s="813">
        <v>0</v>
      </c>
      <c r="V190" s="813">
        <v>0</v>
      </c>
      <c r="W190" s="813">
        <v>0</v>
      </c>
      <c r="X190" s="813">
        <v>0</v>
      </c>
      <c r="Y190" s="813">
        <v>0</v>
      </c>
      <c r="Z190" s="813">
        <v>0</v>
      </c>
    </row>
    <row r="191" spans="1:26" ht="15.75" customHeight="1" x14ac:dyDescent="0.25">
      <c r="A191" s="833" t="s">
        <v>1348</v>
      </c>
      <c r="B191" s="833" t="s">
        <v>959</v>
      </c>
      <c r="C191" s="833" t="s">
        <v>972</v>
      </c>
      <c r="D191" s="828" t="s">
        <v>1592</v>
      </c>
      <c r="E191" s="812"/>
      <c r="F191" s="813"/>
      <c r="G191" s="814"/>
      <c r="H191" s="813"/>
      <c r="I191" s="813"/>
      <c r="J191" s="813"/>
      <c r="K191" s="813"/>
      <c r="L191" s="813"/>
      <c r="M191" s="813"/>
      <c r="N191" s="813">
        <f t="shared" si="41"/>
        <v>6572</v>
      </c>
      <c r="O191" s="813">
        <v>6572</v>
      </c>
      <c r="P191" s="813">
        <v>0</v>
      </c>
      <c r="Q191" s="813">
        <v>0</v>
      </c>
      <c r="R191" s="813">
        <v>0</v>
      </c>
      <c r="S191" s="813">
        <v>0</v>
      </c>
      <c r="T191" s="813">
        <v>0</v>
      </c>
      <c r="U191" s="813">
        <v>0</v>
      </c>
      <c r="V191" s="813">
        <v>0</v>
      </c>
      <c r="W191" s="813">
        <v>0</v>
      </c>
      <c r="X191" s="813">
        <v>0</v>
      </c>
      <c r="Y191" s="813">
        <v>0</v>
      </c>
      <c r="Z191" s="813">
        <v>0</v>
      </c>
    </row>
    <row r="192" spans="1:26" ht="15.75" customHeight="1" x14ac:dyDescent="0.25">
      <c r="A192" s="833" t="s">
        <v>1348</v>
      </c>
      <c r="B192" s="833" t="s">
        <v>959</v>
      </c>
      <c r="C192" s="833" t="s">
        <v>972</v>
      </c>
      <c r="D192" s="828" t="s">
        <v>1593</v>
      </c>
      <c r="E192" s="812"/>
      <c r="F192" s="813"/>
      <c r="G192" s="814"/>
      <c r="H192" s="813"/>
      <c r="I192" s="813"/>
      <c r="J192" s="813"/>
      <c r="K192" s="813"/>
      <c r="L192" s="813"/>
      <c r="M192" s="813"/>
      <c r="N192" s="813">
        <f t="shared" si="41"/>
        <v>14786</v>
      </c>
      <c r="O192" s="813">
        <v>14786</v>
      </c>
      <c r="P192" s="813">
        <v>0</v>
      </c>
      <c r="Q192" s="813">
        <v>0</v>
      </c>
      <c r="R192" s="813">
        <v>0</v>
      </c>
      <c r="S192" s="813">
        <v>0</v>
      </c>
      <c r="T192" s="813">
        <v>0</v>
      </c>
      <c r="U192" s="813">
        <v>0</v>
      </c>
      <c r="V192" s="813">
        <v>0</v>
      </c>
      <c r="W192" s="813">
        <v>0</v>
      </c>
      <c r="X192" s="813">
        <v>0</v>
      </c>
      <c r="Y192" s="813">
        <v>0</v>
      </c>
      <c r="Z192" s="813">
        <v>0</v>
      </c>
    </row>
    <row r="193" spans="1:26" ht="15.75" customHeight="1" x14ac:dyDescent="0.25">
      <c r="A193" s="833" t="s">
        <v>1348</v>
      </c>
      <c r="B193" s="833" t="s">
        <v>959</v>
      </c>
      <c r="C193" s="833" t="s">
        <v>972</v>
      </c>
      <c r="D193" s="828" t="s">
        <v>1594</v>
      </c>
      <c r="E193" s="812"/>
      <c r="F193" s="813"/>
      <c r="G193" s="814"/>
      <c r="H193" s="813"/>
      <c r="I193" s="813"/>
      <c r="J193" s="813"/>
      <c r="K193" s="813"/>
      <c r="L193" s="813"/>
      <c r="M193" s="813"/>
      <c r="N193" s="813">
        <f t="shared" si="41"/>
        <v>558064</v>
      </c>
      <c r="O193" s="813">
        <v>558064</v>
      </c>
      <c r="P193" s="813">
        <v>0</v>
      </c>
      <c r="Q193" s="813">
        <v>0</v>
      </c>
      <c r="R193" s="813">
        <v>0</v>
      </c>
      <c r="S193" s="813">
        <v>0</v>
      </c>
      <c r="T193" s="813">
        <v>0</v>
      </c>
      <c r="U193" s="813">
        <v>0</v>
      </c>
      <c r="V193" s="813">
        <v>0</v>
      </c>
      <c r="W193" s="813">
        <v>0</v>
      </c>
      <c r="X193" s="813">
        <v>0</v>
      </c>
      <c r="Y193" s="813">
        <v>0</v>
      </c>
      <c r="Z193" s="813">
        <v>0</v>
      </c>
    </row>
    <row r="194" spans="1:26" ht="15.75" customHeight="1" x14ac:dyDescent="0.25">
      <c r="A194" s="833" t="s">
        <v>1348</v>
      </c>
      <c r="B194" s="833" t="s">
        <v>959</v>
      </c>
      <c r="C194" s="833" t="s">
        <v>972</v>
      </c>
      <c r="D194" s="828" t="s">
        <v>1595</v>
      </c>
      <c r="E194" s="812"/>
      <c r="F194" s="813"/>
      <c r="G194" s="814"/>
      <c r="H194" s="813"/>
      <c r="I194" s="813"/>
      <c r="J194" s="813"/>
      <c r="K194" s="813"/>
      <c r="L194" s="813"/>
      <c r="M194" s="813"/>
      <c r="N194" s="813">
        <f t="shared" si="41"/>
        <v>25020</v>
      </c>
      <c r="O194" s="813">
        <v>25020</v>
      </c>
      <c r="P194" s="813">
        <v>0</v>
      </c>
      <c r="Q194" s="813">
        <v>0</v>
      </c>
      <c r="R194" s="813">
        <v>0</v>
      </c>
      <c r="S194" s="813">
        <v>0</v>
      </c>
      <c r="T194" s="813">
        <v>0</v>
      </c>
      <c r="U194" s="813">
        <v>0</v>
      </c>
      <c r="V194" s="813">
        <v>0</v>
      </c>
      <c r="W194" s="813">
        <v>0</v>
      </c>
      <c r="X194" s="813">
        <v>0</v>
      </c>
      <c r="Y194" s="813">
        <v>0</v>
      </c>
      <c r="Z194" s="813">
        <v>0</v>
      </c>
    </row>
    <row r="195" spans="1:26" ht="15.75" customHeight="1" x14ac:dyDescent="0.25">
      <c r="A195" s="833" t="s">
        <v>1347</v>
      </c>
      <c r="B195" s="833" t="s">
        <v>959</v>
      </c>
      <c r="C195" s="833" t="s">
        <v>1519</v>
      </c>
      <c r="D195" s="866" t="s">
        <v>970</v>
      </c>
      <c r="E195" s="812" t="s">
        <v>206</v>
      </c>
      <c r="F195" s="813"/>
      <c r="G195" s="814"/>
      <c r="H195" s="813" t="s">
        <v>41</v>
      </c>
      <c r="I195" s="813" t="s">
        <v>41</v>
      </c>
      <c r="J195" s="813" t="s">
        <v>41</v>
      </c>
      <c r="K195" s="813" t="s">
        <v>41</v>
      </c>
      <c r="L195" s="813">
        <v>12</v>
      </c>
      <c r="M195" s="813"/>
      <c r="N195" s="813">
        <f t="shared" ref="N195:N199" si="43">SUM(O195:Z195)</f>
        <v>0</v>
      </c>
      <c r="O195" s="813">
        <v>0</v>
      </c>
      <c r="P195" s="813">
        <v>0</v>
      </c>
      <c r="Q195" s="813">
        <v>0</v>
      </c>
      <c r="R195" s="813">
        <v>0</v>
      </c>
      <c r="S195" s="813">
        <v>0</v>
      </c>
      <c r="T195" s="813">
        <v>0</v>
      </c>
      <c r="U195" s="813">
        <v>0</v>
      </c>
      <c r="V195" s="813">
        <v>0</v>
      </c>
      <c r="W195" s="813">
        <v>0</v>
      </c>
      <c r="X195" s="813">
        <v>0</v>
      </c>
      <c r="Y195" s="813">
        <v>0</v>
      </c>
      <c r="Z195" s="813">
        <v>0</v>
      </c>
    </row>
    <row r="196" spans="1:26" ht="15.75" customHeight="1" x14ac:dyDescent="0.25">
      <c r="A196" s="833" t="s">
        <v>1348</v>
      </c>
      <c r="B196" s="833" t="s">
        <v>959</v>
      </c>
      <c r="C196" s="833" t="s">
        <v>1520</v>
      </c>
      <c r="D196" s="833" t="s">
        <v>1518</v>
      </c>
      <c r="E196" s="812" t="s">
        <v>206</v>
      </c>
      <c r="F196" s="813"/>
      <c r="G196" s="814"/>
      <c r="H196" s="813" t="s">
        <v>41</v>
      </c>
      <c r="I196" s="813" t="s">
        <v>41</v>
      </c>
      <c r="J196" s="813" t="s">
        <v>41</v>
      </c>
      <c r="K196" s="813" t="s">
        <v>41</v>
      </c>
      <c r="L196" s="813">
        <v>12</v>
      </c>
      <c r="M196" s="813"/>
      <c r="N196" s="813">
        <f t="shared" si="43"/>
        <v>0</v>
      </c>
      <c r="O196" s="813">
        <v>0</v>
      </c>
      <c r="P196" s="813">
        <v>0</v>
      </c>
      <c r="Q196" s="813">
        <v>0</v>
      </c>
      <c r="R196" s="813">
        <v>0</v>
      </c>
      <c r="S196" s="813">
        <v>0</v>
      </c>
      <c r="T196" s="813">
        <v>0</v>
      </c>
      <c r="U196" s="813">
        <v>0</v>
      </c>
      <c r="V196" s="813">
        <v>0</v>
      </c>
      <c r="W196" s="813">
        <v>0</v>
      </c>
      <c r="X196" s="813">
        <v>0</v>
      </c>
      <c r="Y196" s="813">
        <v>0</v>
      </c>
      <c r="Z196" s="813">
        <v>0</v>
      </c>
    </row>
    <row r="197" spans="1:26" ht="15.75" customHeight="1" x14ac:dyDescent="0.25">
      <c r="A197" s="833" t="s">
        <v>1349</v>
      </c>
      <c r="B197" s="833" t="s">
        <v>959</v>
      </c>
      <c r="C197" s="833" t="s">
        <v>975</v>
      </c>
      <c r="D197" s="866" t="s">
        <v>1521</v>
      </c>
      <c r="E197" s="812" t="s">
        <v>206</v>
      </c>
      <c r="F197" s="813"/>
      <c r="G197" s="814"/>
      <c r="H197" s="813" t="s">
        <v>41</v>
      </c>
      <c r="I197" s="813" t="s">
        <v>41</v>
      </c>
      <c r="J197" s="813" t="s">
        <v>41</v>
      </c>
      <c r="K197" s="813" t="s">
        <v>41</v>
      </c>
      <c r="L197" s="813">
        <v>12</v>
      </c>
      <c r="M197" s="813"/>
      <c r="N197" s="813">
        <f t="shared" si="43"/>
        <v>0</v>
      </c>
      <c r="O197" s="813">
        <v>0</v>
      </c>
      <c r="P197" s="813">
        <v>0</v>
      </c>
      <c r="Q197" s="813">
        <v>0</v>
      </c>
      <c r="R197" s="813">
        <v>0</v>
      </c>
      <c r="S197" s="813">
        <v>0</v>
      </c>
      <c r="T197" s="813">
        <v>0</v>
      </c>
      <c r="U197" s="813">
        <v>0</v>
      </c>
      <c r="V197" s="813">
        <v>0</v>
      </c>
      <c r="W197" s="813">
        <v>0</v>
      </c>
      <c r="X197" s="813">
        <v>0</v>
      </c>
      <c r="Y197" s="813">
        <v>0</v>
      </c>
      <c r="Z197" s="813">
        <v>0</v>
      </c>
    </row>
    <row r="198" spans="1:26" ht="15.75" customHeight="1" x14ac:dyDescent="0.25">
      <c r="A198" s="833" t="s">
        <v>1350</v>
      </c>
      <c r="B198" s="833" t="s">
        <v>959</v>
      </c>
      <c r="C198" s="833" t="s">
        <v>977</v>
      </c>
      <c r="D198" s="833" t="s">
        <v>977</v>
      </c>
      <c r="E198" s="812" t="s">
        <v>206</v>
      </c>
      <c r="F198" s="813"/>
      <c r="G198" s="814"/>
      <c r="H198" s="813" t="s">
        <v>41</v>
      </c>
      <c r="I198" s="813" t="s">
        <v>41</v>
      </c>
      <c r="J198" s="813" t="s">
        <v>41</v>
      </c>
      <c r="K198" s="813" t="s">
        <v>41</v>
      </c>
      <c r="L198" s="813">
        <v>12</v>
      </c>
      <c r="M198" s="813"/>
      <c r="N198" s="813">
        <f t="shared" si="43"/>
        <v>0</v>
      </c>
      <c r="O198" s="813" t="s">
        <v>979</v>
      </c>
      <c r="P198" s="813" t="s">
        <v>979</v>
      </c>
      <c r="Q198" s="813" t="s">
        <v>979</v>
      </c>
      <c r="R198" s="813" t="s">
        <v>979</v>
      </c>
      <c r="S198" s="813" t="s">
        <v>979</v>
      </c>
      <c r="T198" s="813" t="s">
        <v>979</v>
      </c>
      <c r="U198" s="813" t="s">
        <v>979</v>
      </c>
      <c r="V198" s="813" t="s">
        <v>979</v>
      </c>
      <c r="W198" s="813" t="s">
        <v>979</v>
      </c>
      <c r="X198" s="813" t="s">
        <v>979</v>
      </c>
      <c r="Y198" s="813" t="s">
        <v>979</v>
      </c>
      <c r="Z198" s="813" t="s">
        <v>979</v>
      </c>
    </row>
    <row r="199" spans="1:26" ht="15.75" customHeight="1" x14ac:dyDescent="0.25">
      <c r="A199" s="833" t="s">
        <v>1351</v>
      </c>
      <c r="B199" s="833" t="s">
        <v>959</v>
      </c>
      <c r="C199" s="833" t="s">
        <v>1352</v>
      </c>
      <c r="D199" s="866" t="s">
        <v>982</v>
      </c>
      <c r="E199" s="812" t="s">
        <v>206</v>
      </c>
      <c r="F199" s="813"/>
      <c r="G199" s="814"/>
      <c r="H199" s="813" t="s">
        <v>41</v>
      </c>
      <c r="I199" s="813" t="s">
        <v>41</v>
      </c>
      <c r="J199" s="813" t="s">
        <v>41</v>
      </c>
      <c r="K199" s="813" t="s">
        <v>41</v>
      </c>
      <c r="L199" s="813">
        <v>12</v>
      </c>
      <c r="M199" s="813"/>
      <c r="N199" s="813">
        <f t="shared" si="43"/>
        <v>2629634.9000000004</v>
      </c>
      <c r="O199" s="813">
        <f>SUM(O181:O198)*0.2</f>
        <v>120888.40000000001</v>
      </c>
      <c r="P199" s="813">
        <f t="shared" ref="P199:Z199" si="44">SUM(P181:P198)*0.2</f>
        <v>0</v>
      </c>
      <c r="Q199" s="813">
        <f t="shared" si="44"/>
        <v>0</v>
      </c>
      <c r="R199" s="813">
        <f t="shared" si="44"/>
        <v>2047023.6800000002</v>
      </c>
      <c r="S199" s="813">
        <f t="shared" si="44"/>
        <v>0</v>
      </c>
      <c r="T199" s="813">
        <f t="shared" si="44"/>
        <v>461722.82000000007</v>
      </c>
      <c r="U199" s="813">
        <f t="shared" si="44"/>
        <v>0</v>
      </c>
      <c r="V199" s="813">
        <f t="shared" si="44"/>
        <v>0</v>
      </c>
      <c r="W199" s="813">
        <f t="shared" si="44"/>
        <v>0</v>
      </c>
      <c r="X199" s="813">
        <f t="shared" si="44"/>
        <v>0</v>
      </c>
      <c r="Y199" s="813">
        <f t="shared" si="44"/>
        <v>0</v>
      </c>
      <c r="Z199" s="813">
        <f t="shared" si="44"/>
        <v>0</v>
      </c>
    </row>
    <row r="200" spans="1:26" s="872" customFormat="1" ht="22.5" customHeight="1" x14ac:dyDescent="0.25">
      <c r="A200" s="868"/>
      <c r="B200" s="869"/>
      <c r="C200" s="869"/>
      <c r="D200" s="869"/>
      <c r="E200" s="870"/>
      <c r="F200" s="870"/>
      <c r="G200" s="870"/>
      <c r="H200" s="870"/>
      <c r="I200" s="870"/>
      <c r="J200" s="871" t="s">
        <v>20</v>
      </c>
      <c r="K200" s="870"/>
      <c r="L200" s="813">
        <v>12</v>
      </c>
      <c r="M200" s="830">
        <f>SUM(M195:M199)</f>
        <v>0</v>
      </c>
      <c r="N200" s="830">
        <f>SUM(N181:N199)</f>
        <v>15777809.4</v>
      </c>
      <c r="O200" s="830">
        <f t="shared" ref="O200:Z200" si="45">SUM(O181:O199)</f>
        <v>725330.4</v>
      </c>
      <c r="P200" s="830">
        <f t="shared" si="45"/>
        <v>0</v>
      </c>
      <c r="Q200" s="830">
        <f t="shared" si="45"/>
        <v>0</v>
      </c>
      <c r="R200" s="830">
        <f t="shared" si="45"/>
        <v>12282142.08</v>
      </c>
      <c r="S200" s="830">
        <f t="shared" si="45"/>
        <v>0</v>
      </c>
      <c r="T200" s="830">
        <f t="shared" si="45"/>
        <v>2770336.92</v>
      </c>
      <c r="U200" s="830">
        <f t="shared" si="45"/>
        <v>0</v>
      </c>
      <c r="V200" s="830">
        <f t="shared" si="45"/>
        <v>0</v>
      </c>
      <c r="W200" s="830">
        <f t="shared" si="45"/>
        <v>0</v>
      </c>
      <c r="X200" s="830">
        <f t="shared" si="45"/>
        <v>0</v>
      </c>
      <c r="Y200" s="830">
        <f t="shared" si="45"/>
        <v>0</v>
      </c>
      <c r="Z200" s="830">
        <f t="shared" si="45"/>
        <v>0</v>
      </c>
    </row>
    <row r="201" spans="1:26" ht="18" x14ac:dyDescent="0.25">
      <c r="A201" s="853" t="str">
        <f>CONCATENATE(B26," ",C26)</f>
        <v xml:space="preserve">Objective 3.6 Otros Predios </v>
      </c>
      <c r="B201" s="853"/>
      <c r="C201" s="854"/>
      <c r="D201" s="854"/>
      <c r="E201" s="855"/>
      <c r="F201" s="855"/>
      <c r="G201" s="855"/>
      <c r="H201" s="855"/>
      <c r="I201" s="855"/>
      <c r="J201" s="855"/>
      <c r="K201" s="855"/>
      <c r="L201" s="855"/>
      <c r="M201" s="855"/>
      <c r="N201" s="855"/>
      <c r="O201" s="855" t="s">
        <v>5</v>
      </c>
      <c r="P201" s="855"/>
      <c r="Q201" s="855"/>
      <c r="R201" s="855"/>
      <c r="S201" s="855"/>
      <c r="T201" s="855"/>
      <c r="U201" s="855"/>
      <c r="V201" s="855"/>
      <c r="W201" s="855"/>
      <c r="X201" s="855"/>
      <c r="Y201" s="855"/>
      <c r="Z201" s="855"/>
    </row>
    <row r="202" spans="1:26" ht="60" x14ac:dyDescent="0.25">
      <c r="A202" s="828" t="s">
        <v>261</v>
      </c>
      <c r="B202" s="828" t="s">
        <v>13</v>
      </c>
      <c r="C202" s="828" t="s">
        <v>14</v>
      </c>
      <c r="D202" s="865" t="s">
        <v>286</v>
      </c>
      <c r="E202" s="830" t="s">
        <v>16</v>
      </c>
      <c r="F202" s="830" t="s">
        <v>295</v>
      </c>
      <c r="G202" s="830" t="s">
        <v>39</v>
      </c>
      <c r="H202" s="830" t="s">
        <v>297</v>
      </c>
      <c r="I202" s="830" t="s">
        <v>298</v>
      </c>
      <c r="J202" s="830" t="s">
        <v>299</v>
      </c>
      <c r="K202" s="830" t="s">
        <v>300</v>
      </c>
      <c r="L202" s="830" t="s">
        <v>17</v>
      </c>
      <c r="M202" s="830" t="s">
        <v>18</v>
      </c>
      <c r="N202" s="830" t="s">
        <v>825</v>
      </c>
      <c r="O202" s="832">
        <v>43101</v>
      </c>
      <c r="P202" s="832">
        <v>43132</v>
      </c>
      <c r="Q202" s="832">
        <v>43160</v>
      </c>
      <c r="R202" s="832">
        <v>43191</v>
      </c>
      <c r="S202" s="832">
        <v>43221</v>
      </c>
      <c r="T202" s="832">
        <v>43252</v>
      </c>
      <c r="U202" s="832">
        <v>43282</v>
      </c>
      <c r="V202" s="832">
        <v>43313</v>
      </c>
      <c r="W202" s="832">
        <v>43344</v>
      </c>
      <c r="X202" s="832">
        <v>43374</v>
      </c>
      <c r="Y202" s="832">
        <v>43405</v>
      </c>
      <c r="Z202" s="832">
        <v>43435</v>
      </c>
    </row>
    <row r="203" spans="1:26" ht="15.75" customHeight="1" x14ac:dyDescent="0.25">
      <c r="A203" s="833" t="s">
        <v>1522</v>
      </c>
      <c r="B203" s="833" t="s">
        <v>1394</v>
      </c>
      <c r="C203" s="833" t="s">
        <v>1395</v>
      </c>
      <c r="D203" s="866" t="s">
        <v>1523</v>
      </c>
      <c r="E203" s="812" t="s">
        <v>206</v>
      </c>
      <c r="F203" s="813"/>
      <c r="G203" s="814"/>
      <c r="H203" s="813" t="s">
        <v>41</v>
      </c>
      <c r="I203" s="813" t="s">
        <v>41</v>
      </c>
      <c r="J203" s="813" t="s">
        <v>41</v>
      </c>
      <c r="K203" s="813" t="s">
        <v>41</v>
      </c>
      <c r="L203" s="813">
        <v>12</v>
      </c>
      <c r="M203" s="813"/>
      <c r="N203" s="813">
        <f t="shared" ref="N203:N204" si="46">SUM(O203:Z203)</f>
        <v>100000</v>
      </c>
      <c r="O203" s="813">
        <v>0</v>
      </c>
      <c r="P203" s="813">
        <v>20000</v>
      </c>
      <c r="Q203" s="813">
        <v>0</v>
      </c>
      <c r="R203" s="813">
        <v>20000</v>
      </c>
      <c r="S203" s="813">
        <v>0</v>
      </c>
      <c r="T203" s="813">
        <v>0</v>
      </c>
      <c r="U203" s="813">
        <v>20000</v>
      </c>
      <c r="V203" s="813">
        <v>0</v>
      </c>
      <c r="W203" s="813">
        <v>0</v>
      </c>
      <c r="X203" s="813">
        <v>20000</v>
      </c>
      <c r="Y203" s="813">
        <v>0</v>
      </c>
      <c r="Z203" s="813">
        <v>20000</v>
      </c>
    </row>
    <row r="204" spans="1:26" ht="15.75" customHeight="1" x14ac:dyDescent="0.25">
      <c r="A204" s="833" t="s">
        <v>1524</v>
      </c>
      <c r="B204" s="833" t="s">
        <v>1394</v>
      </c>
      <c r="C204" s="833" t="s">
        <v>1525</v>
      </c>
      <c r="D204" s="866" t="s">
        <v>1526</v>
      </c>
      <c r="E204" s="812" t="s">
        <v>206</v>
      </c>
      <c r="F204" s="813"/>
      <c r="G204" s="814"/>
      <c r="H204" s="813" t="s">
        <v>41</v>
      </c>
      <c r="I204" s="813" t="s">
        <v>41</v>
      </c>
      <c r="J204" s="813" t="s">
        <v>41</v>
      </c>
      <c r="K204" s="813" t="s">
        <v>41</v>
      </c>
      <c r="L204" s="813">
        <v>12</v>
      </c>
      <c r="M204" s="813"/>
      <c r="N204" s="813">
        <f t="shared" si="46"/>
        <v>0</v>
      </c>
      <c r="O204" s="813">
        <v>0</v>
      </c>
      <c r="P204" s="813">
        <v>0</v>
      </c>
      <c r="Q204" s="813">
        <v>0</v>
      </c>
      <c r="R204" s="813">
        <v>0</v>
      </c>
      <c r="S204" s="813">
        <v>0</v>
      </c>
      <c r="T204" s="813">
        <v>0</v>
      </c>
      <c r="U204" s="813">
        <v>0</v>
      </c>
      <c r="V204" s="813">
        <v>0</v>
      </c>
      <c r="W204" s="813">
        <v>0</v>
      </c>
      <c r="X204" s="813">
        <v>0</v>
      </c>
      <c r="Y204" s="813">
        <v>0</v>
      </c>
      <c r="Z204" s="813">
        <v>0</v>
      </c>
    </row>
    <row r="205" spans="1:26" ht="15.75" customHeight="1" x14ac:dyDescent="0.25">
      <c r="A205" s="833" t="s">
        <v>1527</v>
      </c>
      <c r="B205" s="833" t="s">
        <v>1394</v>
      </c>
      <c r="C205" s="833" t="s">
        <v>1511</v>
      </c>
      <c r="D205" s="866" t="s">
        <v>1528</v>
      </c>
      <c r="E205" s="812" t="s">
        <v>206</v>
      </c>
      <c r="F205" s="813"/>
      <c r="G205" s="814"/>
      <c r="H205" s="813" t="s">
        <v>41</v>
      </c>
      <c r="I205" s="813" t="s">
        <v>41</v>
      </c>
      <c r="J205" s="813" t="s">
        <v>41</v>
      </c>
      <c r="K205" s="813" t="s">
        <v>41</v>
      </c>
      <c r="L205" s="813">
        <v>12</v>
      </c>
      <c r="M205" s="813"/>
      <c r="N205" s="813">
        <f t="shared" ref="N205:N208" si="47">SUM(O205:Z205)</f>
        <v>0</v>
      </c>
      <c r="O205" s="813">
        <v>0</v>
      </c>
      <c r="P205" s="813">
        <v>0</v>
      </c>
      <c r="Q205" s="813">
        <v>0</v>
      </c>
      <c r="R205" s="813">
        <v>0</v>
      </c>
      <c r="S205" s="813">
        <v>0</v>
      </c>
      <c r="T205" s="813">
        <v>0</v>
      </c>
      <c r="U205" s="813">
        <v>0</v>
      </c>
      <c r="V205" s="813">
        <v>0</v>
      </c>
      <c r="W205" s="813">
        <v>0</v>
      </c>
      <c r="X205" s="813">
        <v>0</v>
      </c>
      <c r="Y205" s="813">
        <v>0</v>
      </c>
      <c r="Z205" s="813">
        <v>0</v>
      </c>
    </row>
    <row r="206" spans="1:26" ht="15.75" customHeight="1" x14ac:dyDescent="0.25">
      <c r="A206" s="833" t="s">
        <v>1529</v>
      </c>
      <c r="B206" s="833" t="s">
        <v>1530</v>
      </c>
      <c r="C206" s="833" t="s">
        <v>1530</v>
      </c>
      <c r="D206" s="866" t="s">
        <v>1596</v>
      </c>
      <c r="E206" s="812" t="s">
        <v>206</v>
      </c>
      <c r="F206" s="813"/>
      <c r="G206" s="814"/>
      <c r="H206" s="813" t="s">
        <v>41</v>
      </c>
      <c r="I206" s="813" t="s">
        <v>41</v>
      </c>
      <c r="J206" s="813" t="s">
        <v>41</v>
      </c>
      <c r="K206" s="813" t="s">
        <v>41</v>
      </c>
      <c r="L206" s="813">
        <v>12</v>
      </c>
      <c r="M206" s="813"/>
      <c r="N206" s="813">
        <f t="shared" si="47"/>
        <v>4998443.4000000004</v>
      </c>
      <c r="O206" s="813">
        <v>0</v>
      </c>
      <c r="P206" s="813">
        <v>0</v>
      </c>
      <c r="Q206" s="813">
        <v>0</v>
      </c>
      <c r="R206" s="813">
        <v>4998443.4000000004</v>
      </c>
      <c r="S206" s="813">
        <v>0</v>
      </c>
      <c r="T206" s="813">
        <v>0</v>
      </c>
      <c r="U206" s="813">
        <v>0</v>
      </c>
      <c r="V206" s="813">
        <v>0</v>
      </c>
      <c r="W206" s="813">
        <v>0</v>
      </c>
      <c r="X206" s="813">
        <v>0</v>
      </c>
      <c r="Y206" s="813">
        <v>0</v>
      </c>
      <c r="Z206" s="813">
        <v>0</v>
      </c>
    </row>
    <row r="207" spans="1:26" ht="33.75" customHeight="1" x14ac:dyDescent="0.25">
      <c r="A207" s="833" t="s">
        <v>1532</v>
      </c>
      <c r="B207" s="833" t="s">
        <v>1533</v>
      </c>
      <c r="C207" s="833" t="s">
        <v>1534</v>
      </c>
      <c r="D207" s="866" t="s">
        <v>1535</v>
      </c>
      <c r="E207" s="812" t="s">
        <v>206</v>
      </c>
      <c r="F207" s="813"/>
      <c r="G207" s="814"/>
      <c r="H207" s="813" t="s">
        <v>41</v>
      </c>
      <c r="I207" s="813" t="s">
        <v>41</v>
      </c>
      <c r="J207" s="813" t="s">
        <v>41</v>
      </c>
      <c r="K207" s="813" t="s">
        <v>41</v>
      </c>
      <c r="L207" s="813">
        <v>12</v>
      </c>
      <c r="M207" s="813"/>
      <c r="N207" s="813">
        <f t="shared" si="47"/>
        <v>2000000</v>
      </c>
      <c r="O207" s="813">
        <v>2000000</v>
      </c>
      <c r="P207" s="813">
        <v>0</v>
      </c>
      <c r="Q207" s="813">
        <v>0</v>
      </c>
      <c r="R207" s="813">
        <v>0</v>
      </c>
      <c r="S207" s="813">
        <v>0</v>
      </c>
      <c r="T207" s="813">
        <v>0</v>
      </c>
      <c r="U207" s="813">
        <v>0</v>
      </c>
      <c r="V207" s="813">
        <v>0</v>
      </c>
      <c r="W207" s="813">
        <v>0</v>
      </c>
      <c r="X207" s="813">
        <v>0</v>
      </c>
      <c r="Y207" s="813">
        <v>0</v>
      </c>
      <c r="Z207" s="813">
        <v>0</v>
      </c>
    </row>
    <row r="208" spans="1:26" ht="15.75" customHeight="1" x14ac:dyDescent="0.25">
      <c r="A208" s="833" t="s">
        <v>1536</v>
      </c>
      <c r="B208" s="833" t="s">
        <v>1537</v>
      </c>
      <c r="C208" s="833" t="s">
        <v>1538</v>
      </c>
      <c r="D208" s="866" t="s">
        <v>982</v>
      </c>
      <c r="E208" s="812" t="s">
        <v>206</v>
      </c>
      <c r="F208" s="813"/>
      <c r="G208" s="814"/>
      <c r="H208" s="813" t="s">
        <v>41</v>
      </c>
      <c r="I208" s="813" t="s">
        <v>41</v>
      </c>
      <c r="J208" s="813" t="s">
        <v>41</v>
      </c>
      <c r="K208" s="813" t="s">
        <v>41</v>
      </c>
      <c r="L208" s="813">
        <v>12</v>
      </c>
      <c r="M208" s="813"/>
      <c r="N208" s="813">
        <f t="shared" si="47"/>
        <v>1419688.6800000002</v>
      </c>
      <c r="O208" s="813">
        <f t="shared" ref="O208:Z208" si="48">SUM(O203:O207)*0.2</f>
        <v>400000</v>
      </c>
      <c r="P208" s="813">
        <f t="shared" si="48"/>
        <v>4000</v>
      </c>
      <c r="Q208" s="813">
        <f t="shared" si="48"/>
        <v>0</v>
      </c>
      <c r="R208" s="813">
        <f t="shared" si="48"/>
        <v>1003688.6800000002</v>
      </c>
      <c r="S208" s="813">
        <f t="shared" si="48"/>
        <v>0</v>
      </c>
      <c r="T208" s="813">
        <f t="shared" si="48"/>
        <v>0</v>
      </c>
      <c r="U208" s="813">
        <f t="shared" si="48"/>
        <v>4000</v>
      </c>
      <c r="V208" s="813">
        <f t="shared" si="48"/>
        <v>0</v>
      </c>
      <c r="W208" s="813">
        <f t="shared" si="48"/>
        <v>0</v>
      </c>
      <c r="X208" s="813">
        <f t="shared" si="48"/>
        <v>4000</v>
      </c>
      <c r="Y208" s="813">
        <f t="shared" si="48"/>
        <v>0</v>
      </c>
      <c r="Z208" s="813">
        <f t="shared" si="48"/>
        <v>4000</v>
      </c>
    </row>
    <row r="209" spans="1:26" s="872" customFormat="1" ht="22.5" customHeight="1" x14ac:dyDescent="0.25">
      <c r="A209" s="868"/>
      <c r="B209" s="869"/>
      <c r="C209" s="869"/>
      <c r="D209" s="869"/>
      <c r="E209" s="870"/>
      <c r="F209" s="870"/>
      <c r="G209" s="870"/>
      <c r="H209" s="870"/>
      <c r="I209" s="870"/>
      <c r="J209" s="871" t="s">
        <v>20</v>
      </c>
      <c r="K209" s="870"/>
      <c r="L209" s="813">
        <v>12</v>
      </c>
      <c r="M209" s="830">
        <f t="shared" ref="M209:Z209" si="49">SUM(M203:M208)</f>
        <v>0</v>
      </c>
      <c r="N209" s="830">
        <f t="shared" si="49"/>
        <v>8518132.0800000001</v>
      </c>
      <c r="O209" s="830">
        <f t="shared" si="49"/>
        <v>2400000</v>
      </c>
      <c r="P209" s="830">
        <f t="shared" si="49"/>
        <v>24000</v>
      </c>
      <c r="Q209" s="830">
        <f t="shared" si="49"/>
        <v>0</v>
      </c>
      <c r="R209" s="830">
        <f t="shared" si="49"/>
        <v>6022132.0800000001</v>
      </c>
      <c r="S209" s="830">
        <f t="shared" si="49"/>
        <v>0</v>
      </c>
      <c r="T209" s="830">
        <f t="shared" si="49"/>
        <v>0</v>
      </c>
      <c r="U209" s="830">
        <f t="shared" si="49"/>
        <v>24000</v>
      </c>
      <c r="V209" s="830">
        <f t="shared" si="49"/>
        <v>0</v>
      </c>
      <c r="W209" s="830">
        <f t="shared" si="49"/>
        <v>0</v>
      </c>
      <c r="X209" s="830">
        <f t="shared" si="49"/>
        <v>24000</v>
      </c>
      <c r="Y209" s="830">
        <f t="shared" si="49"/>
        <v>0</v>
      </c>
      <c r="Z209" s="830">
        <f t="shared" si="49"/>
        <v>24000</v>
      </c>
    </row>
    <row r="210" spans="1:26" ht="18" x14ac:dyDescent="0.25">
      <c r="A210" s="853" t="str">
        <f>CONCATENATE(B27," ",C27)</f>
        <v>Objective 4 Agua Construcción</v>
      </c>
      <c r="B210" s="853"/>
      <c r="C210" s="854"/>
      <c r="D210" s="854"/>
      <c r="E210" s="855"/>
      <c r="F210" s="855"/>
      <c r="G210" s="855"/>
      <c r="H210" s="855"/>
      <c r="I210" s="855"/>
      <c r="J210" s="855"/>
      <c r="K210" s="855"/>
      <c r="L210" s="855"/>
      <c r="M210" s="855"/>
      <c r="N210" s="855"/>
      <c r="O210" s="855" t="s">
        <v>5</v>
      </c>
      <c r="P210" s="855"/>
      <c r="Q210" s="855"/>
      <c r="R210" s="855"/>
      <c r="S210" s="855"/>
      <c r="T210" s="855"/>
      <c r="U210" s="855"/>
      <c r="V210" s="855"/>
      <c r="W210" s="855"/>
      <c r="X210" s="855"/>
      <c r="Y210" s="855"/>
      <c r="Z210" s="855"/>
    </row>
    <row r="211" spans="1:26" ht="60" x14ac:dyDescent="0.25">
      <c r="A211" s="828" t="s">
        <v>261</v>
      </c>
      <c r="B211" s="828" t="s">
        <v>13</v>
      </c>
      <c r="C211" s="828" t="s">
        <v>14</v>
      </c>
      <c r="D211" s="865" t="s">
        <v>286</v>
      </c>
      <c r="E211" s="830" t="s">
        <v>16</v>
      </c>
      <c r="F211" s="830" t="s">
        <v>295</v>
      </c>
      <c r="G211" s="830" t="s">
        <v>39</v>
      </c>
      <c r="H211" s="830" t="s">
        <v>297</v>
      </c>
      <c r="I211" s="830" t="s">
        <v>298</v>
      </c>
      <c r="J211" s="830" t="s">
        <v>299</v>
      </c>
      <c r="K211" s="830" t="s">
        <v>300</v>
      </c>
      <c r="L211" s="830" t="s">
        <v>17</v>
      </c>
      <c r="M211" s="830" t="s">
        <v>18</v>
      </c>
      <c r="N211" s="830" t="s">
        <v>825</v>
      </c>
      <c r="O211" s="832">
        <v>43101</v>
      </c>
      <c r="P211" s="832">
        <v>43132</v>
      </c>
      <c r="Q211" s="832">
        <v>43160</v>
      </c>
      <c r="R211" s="832">
        <v>43191</v>
      </c>
      <c r="S211" s="832">
        <v>43221</v>
      </c>
      <c r="T211" s="832">
        <v>43252</v>
      </c>
      <c r="U211" s="832">
        <v>43282</v>
      </c>
      <c r="V211" s="832">
        <v>43313</v>
      </c>
      <c r="W211" s="832">
        <v>43344</v>
      </c>
      <c r="X211" s="832">
        <v>43374</v>
      </c>
      <c r="Y211" s="832">
        <v>43405</v>
      </c>
      <c r="Z211" s="832">
        <v>43435</v>
      </c>
    </row>
    <row r="212" spans="1:26" ht="15.75" customHeight="1" x14ac:dyDescent="0.25">
      <c r="A212" s="833" t="s">
        <v>983</v>
      </c>
      <c r="B212" s="833" t="s">
        <v>1495</v>
      </c>
      <c r="C212" s="833" t="s">
        <v>1539</v>
      </c>
      <c r="D212" s="866" t="s">
        <v>1540</v>
      </c>
      <c r="E212" s="812" t="s">
        <v>206</v>
      </c>
      <c r="F212" s="813"/>
      <c r="G212" s="814"/>
      <c r="H212" s="813" t="s">
        <v>41</v>
      </c>
      <c r="I212" s="813" t="s">
        <v>41</v>
      </c>
      <c r="J212" s="813" t="s">
        <v>41</v>
      </c>
      <c r="K212" s="813" t="s">
        <v>41</v>
      </c>
      <c r="L212" s="813">
        <v>12</v>
      </c>
      <c r="M212" s="813"/>
      <c r="N212" s="813">
        <f t="shared" ref="N212:N215" si="50">SUM(O212:Z212)</f>
        <v>0</v>
      </c>
      <c r="O212" s="813">
        <v>0</v>
      </c>
      <c r="P212" s="813">
        <v>0</v>
      </c>
      <c r="Q212" s="813">
        <v>0</v>
      </c>
      <c r="R212" s="813">
        <v>0</v>
      </c>
      <c r="S212" s="813">
        <v>0</v>
      </c>
      <c r="T212" s="813">
        <v>0</v>
      </c>
      <c r="U212" s="813">
        <v>0</v>
      </c>
      <c r="V212" s="813">
        <v>0</v>
      </c>
      <c r="W212" s="813">
        <v>0</v>
      </c>
      <c r="X212" s="813">
        <v>0</v>
      </c>
      <c r="Y212" s="813">
        <v>0</v>
      </c>
      <c r="Z212" s="813">
        <v>0</v>
      </c>
    </row>
    <row r="213" spans="1:26" ht="15.75" customHeight="1" x14ac:dyDescent="0.25">
      <c r="A213" s="833" t="s">
        <v>1313</v>
      </c>
      <c r="B213" s="833" t="s">
        <v>1495</v>
      </c>
      <c r="C213" s="833" t="s">
        <v>1539</v>
      </c>
      <c r="D213" s="866" t="s">
        <v>1598</v>
      </c>
      <c r="E213" s="812" t="s">
        <v>206</v>
      </c>
      <c r="F213" s="813"/>
      <c r="G213" s="814"/>
      <c r="H213" s="813" t="s">
        <v>41</v>
      </c>
      <c r="I213" s="813" t="s">
        <v>41</v>
      </c>
      <c r="J213" s="813" t="s">
        <v>41</v>
      </c>
      <c r="K213" s="813" t="s">
        <v>41</v>
      </c>
      <c r="L213" s="813">
        <v>12</v>
      </c>
      <c r="M213" s="813"/>
      <c r="N213" s="813">
        <f t="shared" si="50"/>
        <v>2391660.5666669393</v>
      </c>
      <c r="O213" s="813">
        <v>140926.71762964738</v>
      </c>
      <c r="P213" s="813">
        <v>140926.71762964738</v>
      </c>
      <c r="Q213" s="813">
        <v>140926.71762964738</v>
      </c>
      <c r="R213" s="813">
        <v>188981.99392116413</v>
      </c>
      <c r="S213" s="813">
        <v>188981.99392116413</v>
      </c>
      <c r="T213" s="813">
        <v>188981.99392116413</v>
      </c>
      <c r="U213" s="813">
        <v>216934.29123854841</v>
      </c>
      <c r="V213" s="813">
        <v>216934.29123854841</v>
      </c>
      <c r="W213" s="813">
        <v>216934.29123854841</v>
      </c>
      <c r="X213" s="813">
        <v>250377.18609961984</v>
      </c>
      <c r="Y213" s="813">
        <v>250377.18609961984</v>
      </c>
      <c r="Z213" s="813">
        <v>250377.18609961984</v>
      </c>
    </row>
    <row r="214" spans="1:26" ht="15.75" customHeight="1" x14ac:dyDescent="0.25">
      <c r="A214" s="833" t="s">
        <v>1314</v>
      </c>
      <c r="B214" s="833" t="s">
        <v>1542</v>
      </c>
      <c r="C214" s="833" t="s">
        <v>1543</v>
      </c>
      <c r="D214" s="866" t="s">
        <v>1544</v>
      </c>
      <c r="E214" s="812" t="s">
        <v>206</v>
      </c>
      <c r="F214" s="813"/>
      <c r="G214" s="814"/>
      <c r="H214" s="813" t="s">
        <v>41</v>
      </c>
      <c r="I214" s="813" t="s">
        <v>41</v>
      </c>
      <c r="J214" s="813" t="s">
        <v>41</v>
      </c>
      <c r="K214" s="813" t="s">
        <v>41</v>
      </c>
      <c r="L214" s="813">
        <v>12</v>
      </c>
      <c r="M214" s="813"/>
      <c r="N214" s="813">
        <f t="shared" si="50"/>
        <v>0</v>
      </c>
      <c r="O214" s="813">
        <f>SUM(O212:O212)</f>
        <v>0</v>
      </c>
      <c r="P214" s="813">
        <v>0</v>
      </c>
      <c r="Q214" s="813">
        <v>0</v>
      </c>
      <c r="R214" s="813">
        <v>0</v>
      </c>
      <c r="S214" s="813">
        <v>0</v>
      </c>
      <c r="T214" s="813">
        <v>0</v>
      </c>
      <c r="U214" s="813">
        <v>0</v>
      </c>
      <c r="V214" s="813">
        <v>0</v>
      </c>
      <c r="W214" s="813">
        <v>0</v>
      </c>
      <c r="X214" s="813">
        <v>0</v>
      </c>
      <c r="Y214" s="813">
        <v>0</v>
      </c>
      <c r="Z214" s="813">
        <v>0</v>
      </c>
    </row>
    <row r="215" spans="1:26" ht="15.75" customHeight="1" x14ac:dyDescent="0.25">
      <c r="A215" s="833" t="s">
        <v>1315</v>
      </c>
      <c r="B215" s="833" t="s">
        <v>1537</v>
      </c>
      <c r="C215" s="833" t="s">
        <v>1538</v>
      </c>
      <c r="D215" s="866" t="s">
        <v>982</v>
      </c>
      <c r="E215" s="812" t="s">
        <v>206</v>
      </c>
      <c r="F215" s="813"/>
      <c r="G215" s="814"/>
      <c r="H215" s="813" t="s">
        <v>41</v>
      </c>
      <c r="I215" s="813" t="s">
        <v>41</v>
      </c>
      <c r="J215" s="813" t="s">
        <v>41</v>
      </c>
      <c r="K215" s="813" t="s">
        <v>41</v>
      </c>
      <c r="L215" s="813">
        <v>12</v>
      </c>
      <c r="M215" s="813"/>
      <c r="N215" s="813">
        <f t="shared" si="50"/>
        <v>478332.11333338788</v>
      </c>
      <c r="O215" s="813">
        <f t="shared" ref="O215:Z215" si="51">SUM(O212:O214)*0.2</f>
        <v>28185.343525929478</v>
      </c>
      <c r="P215" s="813">
        <f t="shared" si="51"/>
        <v>28185.343525929478</v>
      </c>
      <c r="Q215" s="813">
        <f t="shared" si="51"/>
        <v>28185.343525929478</v>
      </c>
      <c r="R215" s="813">
        <f t="shared" si="51"/>
        <v>37796.398784232828</v>
      </c>
      <c r="S215" s="813">
        <f t="shared" si="51"/>
        <v>37796.398784232828</v>
      </c>
      <c r="T215" s="813">
        <f t="shared" si="51"/>
        <v>37796.398784232828</v>
      </c>
      <c r="U215" s="813">
        <f t="shared" si="51"/>
        <v>43386.858247709686</v>
      </c>
      <c r="V215" s="813">
        <f t="shared" si="51"/>
        <v>43386.858247709686</v>
      </c>
      <c r="W215" s="813">
        <f t="shared" si="51"/>
        <v>43386.858247709686</v>
      </c>
      <c r="X215" s="813">
        <f t="shared" si="51"/>
        <v>50075.437219923973</v>
      </c>
      <c r="Y215" s="813">
        <f t="shared" si="51"/>
        <v>50075.437219923973</v>
      </c>
      <c r="Z215" s="813">
        <f t="shared" si="51"/>
        <v>50075.437219923973</v>
      </c>
    </row>
    <row r="216" spans="1:26" s="872" customFormat="1" ht="22.5" customHeight="1" x14ac:dyDescent="0.25">
      <c r="A216" s="868"/>
      <c r="B216" s="869"/>
      <c r="C216" s="869"/>
      <c r="D216" s="869"/>
      <c r="E216" s="870"/>
      <c r="F216" s="870"/>
      <c r="G216" s="870"/>
      <c r="H216" s="870"/>
      <c r="I216" s="870"/>
      <c r="J216" s="871" t="s">
        <v>20</v>
      </c>
      <c r="K216" s="870"/>
      <c r="L216" s="813">
        <v>12</v>
      </c>
      <c r="M216" s="830">
        <f t="shared" ref="M216:Z216" si="52">SUM(M212:M215)</f>
        <v>0</v>
      </c>
      <c r="N216" s="830">
        <f t="shared" si="52"/>
        <v>2869992.6800003271</v>
      </c>
      <c r="O216" s="830">
        <f t="shared" si="52"/>
        <v>169112.06115557684</v>
      </c>
      <c r="P216" s="830">
        <f t="shared" si="52"/>
        <v>169112.06115557684</v>
      </c>
      <c r="Q216" s="830">
        <f t="shared" si="52"/>
        <v>169112.06115557684</v>
      </c>
      <c r="R216" s="830">
        <f t="shared" si="52"/>
        <v>226778.39270539695</v>
      </c>
      <c r="S216" s="830">
        <f t="shared" si="52"/>
        <v>226778.39270539695</v>
      </c>
      <c r="T216" s="830">
        <f t="shared" si="52"/>
        <v>226778.39270539695</v>
      </c>
      <c r="U216" s="830">
        <f t="shared" si="52"/>
        <v>260321.1494862581</v>
      </c>
      <c r="V216" s="830">
        <f t="shared" si="52"/>
        <v>260321.1494862581</v>
      </c>
      <c r="W216" s="830">
        <f t="shared" si="52"/>
        <v>260321.1494862581</v>
      </c>
      <c r="X216" s="830">
        <f t="shared" si="52"/>
        <v>300452.62331954378</v>
      </c>
      <c r="Y216" s="830">
        <f t="shared" si="52"/>
        <v>300452.62331954378</v>
      </c>
      <c r="Z216" s="830">
        <f t="shared" si="52"/>
        <v>300452.62331954378</v>
      </c>
    </row>
    <row r="217" spans="1:26" ht="18" outlineLevel="1" x14ac:dyDescent="0.25">
      <c r="A217" s="853" t="str">
        <f>CONCATENATE(B28," ",C28)</f>
        <v>Objective 5 Permits Licences</v>
      </c>
      <c r="B217" s="853"/>
      <c r="C217" s="854"/>
      <c r="D217" s="854"/>
      <c r="E217" s="855"/>
      <c r="F217" s="855"/>
      <c r="G217" s="855"/>
      <c r="H217" s="855"/>
      <c r="I217" s="855"/>
      <c r="J217" s="855"/>
      <c r="K217" s="855"/>
      <c r="L217" s="855"/>
      <c r="M217" s="855"/>
      <c r="N217" s="855"/>
      <c r="O217" s="855" t="s">
        <v>5</v>
      </c>
      <c r="P217" s="855"/>
      <c r="Q217" s="855"/>
      <c r="R217" s="855"/>
      <c r="S217" s="855"/>
      <c r="T217" s="855"/>
      <c r="U217" s="855"/>
      <c r="V217" s="855"/>
      <c r="W217" s="855"/>
      <c r="X217" s="855"/>
      <c r="Y217" s="855"/>
      <c r="Z217" s="855"/>
    </row>
    <row r="218" spans="1:26" ht="41.45" customHeight="1" outlineLevel="1" x14ac:dyDescent="0.25">
      <c r="A218" s="828" t="s">
        <v>261</v>
      </c>
      <c r="B218" s="828" t="s">
        <v>13</v>
      </c>
      <c r="C218" s="828" t="s">
        <v>14</v>
      </c>
      <c r="D218" s="865" t="s">
        <v>286</v>
      </c>
      <c r="E218" s="830" t="s">
        <v>16</v>
      </c>
      <c r="F218" s="830" t="s">
        <v>295</v>
      </c>
      <c r="G218" s="830" t="s">
        <v>39</v>
      </c>
      <c r="H218" s="830" t="s">
        <v>297</v>
      </c>
      <c r="I218" s="830" t="s">
        <v>298</v>
      </c>
      <c r="J218" s="830" t="s">
        <v>299</v>
      </c>
      <c r="K218" s="830" t="s">
        <v>300</v>
      </c>
      <c r="L218" s="830" t="s">
        <v>17</v>
      </c>
      <c r="M218" s="830" t="s">
        <v>18</v>
      </c>
      <c r="N218" s="830" t="s">
        <v>825</v>
      </c>
      <c r="O218" s="832">
        <v>43101</v>
      </c>
      <c r="P218" s="832">
        <v>43132</v>
      </c>
      <c r="Q218" s="832">
        <v>43160</v>
      </c>
      <c r="R218" s="832">
        <v>43191</v>
      </c>
      <c r="S218" s="832">
        <v>43221</v>
      </c>
      <c r="T218" s="832">
        <v>43252</v>
      </c>
      <c r="U218" s="832">
        <v>43282</v>
      </c>
      <c r="V218" s="832">
        <v>43313</v>
      </c>
      <c r="W218" s="832">
        <v>43344</v>
      </c>
      <c r="X218" s="832">
        <v>43374</v>
      </c>
      <c r="Y218" s="832">
        <v>43405</v>
      </c>
      <c r="Z218" s="832">
        <v>43435</v>
      </c>
    </row>
    <row r="219" spans="1:26" ht="15" customHeight="1" outlineLevel="1" x14ac:dyDescent="0.25">
      <c r="A219" s="833" t="s">
        <v>1498</v>
      </c>
      <c r="B219" s="833" t="s">
        <v>984</v>
      </c>
      <c r="C219" s="833" t="s">
        <v>1353</v>
      </c>
      <c r="D219" s="866" t="s">
        <v>986</v>
      </c>
      <c r="E219" s="812" t="s">
        <v>209</v>
      </c>
      <c r="F219" s="813"/>
      <c r="G219" s="813"/>
      <c r="H219" s="813" t="s">
        <v>41</v>
      </c>
      <c r="I219" s="813" t="s">
        <v>41</v>
      </c>
      <c r="J219" s="813" t="s">
        <v>41</v>
      </c>
      <c r="K219" s="813" t="s">
        <v>41</v>
      </c>
      <c r="L219" s="813">
        <v>12</v>
      </c>
      <c r="M219" s="813"/>
      <c r="N219" s="813">
        <f t="shared" ref="N219" si="53">SUM(O219:Z219)</f>
        <v>40000</v>
      </c>
      <c r="O219" s="813">
        <v>0</v>
      </c>
      <c r="P219" s="813">
        <v>0</v>
      </c>
      <c r="Q219" s="813">
        <v>0</v>
      </c>
      <c r="R219" s="813">
        <v>10000</v>
      </c>
      <c r="S219" s="813">
        <v>0</v>
      </c>
      <c r="T219" s="813">
        <v>10000</v>
      </c>
      <c r="U219" s="813">
        <v>0</v>
      </c>
      <c r="V219" s="813">
        <v>0</v>
      </c>
      <c r="W219" s="813">
        <v>10000</v>
      </c>
      <c r="X219" s="813">
        <v>0</v>
      </c>
      <c r="Y219" s="813">
        <v>10000</v>
      </c>
      <c r="Z219" s="813">
        <v>0</v>
      </c>
    </row>
    <row r="220" spans="1:26" s="872" customFormat="1" ht="22.5" customHeight="1" x14ac:dyDescent="0.25">
      <c r="A220" s="868"/>
      <c r="B220" s="869"/>
      <c r="C220" s="869"/>
      <c r="D220" s="869"/>
      <c r="E220" s="870"/>
      <c r="F220" s="870"/>
      <c r="G220" s="870"/>
      <c r="H220" s="870"/>
      <c r="I220" s="870"/>
      <c r="J220" s="871" t="s">
        <v>20</v>
      </c>
      <c r="K220" s="870"/>
      <c r="L220" s="813">
        <v>12</v>
      </c>
      <c r="M220" s="830">
        <f>SUM(M143:M219)</f>
        <v>0</v>
      </c>
      <c r="N220" s="830">
        <f t="shared" ref="N220:Z220" si="54">SUM(N219:N219)</f>
        <v>40000</v>
      </c>
      <c r="O220" s="830">
        <f t="shared" si="54"/>
        <v>0</v>
      </c>
      <c r="P220" s="830">
        <f t="shared" si="54"/>
        <v>0</v>
      </c>
      <c r="Q220" s="830">
        <f t="shared" si="54"/>
        <v>0</v>
      </c>
      <c r="R220" s="830">
        <f t="shared" si="54"/>
        <v>10000</v>
      </c>
      <c r="S220" s="830">
        <f t="shared" si="54"/>
        <v>0</v>
      </c>
      <c r="T220" s="830">
        <f t="shared" si="54"/>
        <v>10000</v>
      </c>
      <c r="U220" s="830">
        <f t="shared" si="54"/>
        <v>0</v>
      </c>
      <c r="V220" s="830">
        <f t="shared" si="54"/>
        <v>0</v>
      </c>
      <c r="W220" s="830">
        <f t="shared" si="54"/>
        <v>10000</v>
      </c>
      <c r="X220" s="830">
        <f t="shared" si="54"/>
        <v>0</v>
      </c>
      <c r="Y220" s="830">
        <f t="shared" si="54"/>
        <v>10000</v>
      </c>
      <c r="Z220" s="830">
        <f t="shared" si="54"/>
        <v>0</v>
      </c>
    </row>
    <row r="221" spans="1:26" ht="18" hidden="1" outlineLevel="1" x14ac:dyDescent="0.25">
      <c r="A221" s="853" t="e">
        <f>CONCATENATE(#REF!," ",#REF!)</f>
        <v>#REF!</v>
      </c>
      <c r="B221" s="853"/>
      <c r="C221" s="854"/>
      <c r="D221" s="854"/>
      <c r="E221" s="855"/>
      <c r="F221" s="855"/>
      <c r="G221" s="855"/>
      <c r="H221" s="855"/>
      <c r="I221" s="855"/>
      <c r="J221" s="855"/>
      <c r="K221" s="855"/>
      <c r="L221" s="855"/>
      <c r="M221" s="855"/>
      <c r="N221" s="855"/>
      <c r="O221" s="855" t="s">
        <v>5</v>
      </c>
      <c r="P221" s="855"/>
      <c r="Q221" s="855"/>
      <c r="R221" s="855"/>
      <c r="S221" s="855"/>
      <c r="T221" s="855"/>
      <c r="U221" s="855"/>
      <c r="V221" s="855"/>
      <c r="W221" s="855"/>
      <c r="X221" s="855"/>
      <c r="Y221" s="855"/>
      <c r="Z221" s="855"/>
    </row>
    <row r="222" spans="1:26" ht="41.45" hidden="1" customHeight="1" outlineLevel="1" x14ac:dyDescent="0.25">
      <c r="A222" s="828" t="s">
        <v>261</v>
      </c>
      <c r="B222" s="828" t="s">
        <v>13</v>
      </c>
      <c r="C222" s="828" t="s">
        <v>14</v>
      </c>
      <c r="D222" s="865" t="s">
        <v>286</v>
      </c>
      <c r="E222" s="830" t="s">
        <v>16</v>
      </c>
      <c r="F222" s="830" t="s">
        <v>295</v>
      </c>
      <c r="G222" s="830" t="s">
        <v>39</v>
      </c>
      <c r="H222" s="830" t="s">
        <v>297</v>
      </c>
      <c r="I222" s="830" t="s">
        <v>298</v>
      </c>
      <c r="J222" s="830" t="s">
        <v>299</v>
      </c>
      <c r="K222" s="830" t="s">
        <v>300</v>
      </c>
      <c r="L222" s="830" t="s">
        <v>17</v>
      </c>
      <c r="M222" s="830" t="s">
        <v>18</v>
      </c>
      <c r="N222" s="830" t="s">
        <v>19</v>
      </c>
      <c r="O222" s="832">
        <v>43101</v>
      </c>
      <c r="P222" s="832">
        <v>43132</v>
      </c>
      <c r="Q222" s="832">
        <v>43160</v>
      </c>
      <c r="R222" s="832">
        <v>43191</v>
      </c>
      <c r="S222" s="832">
        <v>43221</v>
      </c>
      <c r="T222" s="832">
        <v>43252</v>
      </c>
      <c r="U222" s="832">
        <v>43282</v>
      </c>
      <c r="V222" s="832">
        <v>43313</v>
      </c>
      <c r="W222" s="832">
        <v>43344</v>
      </c>
      <c r="X222" s="832">
        <v>43374</v>
      </c>
      <c r="Y222" s="832">
        <v>43405</v>
      </c>
      <c r="Z222" s="832">
        <v>43435</v>
      </c>
    </row>
    <row r="223" spans="1:26" ht="15" hidden="1" customHeight="1" outlineLevel="1" x14ac:dyDescent="0.25">
      <c r="A223" s="833" t="s">
        <v>265</v>
      </c>
      <c r="B223" s="833"/>
      <c r="C223" s="833"/>
      <c r="D223" s="866"/>
      <c r="E223" s="813"/>
      <c r="F223" s="813"/>
      <c r="G223" s="813"/>
      <c r="H223" s="813"/>
      <c r="I223" s="813"/>
      <c r="J223" s="813"/>
      <c r="K223" s="813"/>
      <c r="L223" s="813"/>
      <c r="M223" s="813"/>
      <c r="N223" s="813">
        <f t="shared" ref="N223:N226" si="55">SUM(O223:Z223)</f>
        <v>0</v>
      </c>
      <c r="O223" s="813"/>
      <c r="P223" s="813"/>
      <c r="Q223" s="813"/>
      <c r="R223" s="813"/>
      <c r="S223" s="813"/>
      <c r="T223" s="813"/>
      <c r="U223" s="813"/>
      <c r="V223" s="813"/>
      <c r="W223" s="813"/>
      <c r="X223" s="813"/>
      <c r="Y223" s="813"/>
      <c r="Z223" s="813"/>
    </row>
    <row r="224" spans="1:26" ht="15" hidden="1" customHeight="1" outlineLevel="1" x14ac:dyDescent="0.25">
      <c r="A224" s="833" t="s">
        <v>266</v>
      </c>
      <c r="B224" s="833"/>
      <c r="C224" s="833"/>
      <c r="D224" s="866"/>
      <c r="E224" s="813"/>
      <c r="F224" s="813"/>
      <c r="G224" s="813"/>
      <c r="H224" s="813"/>
      <c r="I224" s="813"/>
      <c r="J224" s="813"/>
      <c r="K224" s="813"/>
      <c r="L224" s="813"/>
      <c r="M224" s="813"/>
      <c r="N224" s="813">
        <f t="shared" si="55"/>
        <v>0</v>
      </c>
      <c r="O224" s="813"/>
      <c r="P224" s="813"/>
      <c r="Q224" s="813"/>
      <c r="R224" s="813"/>
      <c r="S224" s="813"/>
      <c r="T224" s="813"/>
      <c r="U224" s="813"/>
      <c r="V224" s="813"/>
      <c r="W224" s="813"/>
      <c r="X224" s="813"/>
      <c r="Y224" s="813"/>
      <c r="Z224" s="813"/>
    </row>
    <row r="225" spans="1:27" ht="15" hidden="1" customHeight="1" outlineLevel="1" x14ac:dyDescent="0.25">
      <c r="A225" s="833" t="s">
        <v>283</v>
      </c>
      <c r="B225" s="833"/>
      <c r="C225" s="833"/>
      <c r="D225" s="866"/>
      <c r="E225" s="813"/>
      <c r="F225" s="813"/>
      <c r="G225" s="813"/>
      <c r="H225" s="813"/>
      <c r="I225" s="813"/>
      <c r="J225" s="813"/>
      <c r="K225" s="813"/>
      <c r="L225" s="813"/>
      <c r="M225" s="813"/>
      <c r="N225" s="813">
        <f t="shared" si="55"/>
        <v>0</v>
      </c>
      <c r="O225" s="813"/>
      <c r="P225" s="813"/>
      <c r="Q225" s="813"/>
      <c r="R225" s="813"/>
      <c r="S225" s="813"/>
      <c r="T225" s="813"/>
      <c r="U225" s="813"/>
      <c r="V225" s="813"/>
      <c r="W225" s="813"/>
      <c r="X225" s="813"/>
      <c r="Y225" s="813"/>
      <c r="Z225" s="813"/>
    </row>
    <row r="226" spans="1:27" ht="15" hidden="1" customHeight="1" outlineLevel="1" x14ac:dyDescent="0.25">
      <c r="A226" s="833" t="s">
        <v>284</v>
      </c>
      <c r="B226" s="833"/>
      <c r="C226" s="833"/>
      <c r="D226" s="866"/>
      <c r="E226" s="813"/>
      <c r="F226" s="813"/>
      <c r="G226" s="813"/>
      <c r="H226" s="813"/>
      <c r="I226" s="813"/>
      <c r="J226" s="813"/>
      <c r="K226" s="813"/>
      <c r="L226" s="813"/>
      <c r="M226" s="813"/>
      <c r="N226" s="813">
        <f t="shared" si="55"/>
        <v>0</v>
      </c>
      <c r="O226" s="813"/>
      <c r="P226" s="813"/>
      <c r="Q226" s="813"/>
      <c r="R226" s="813"/>
      <c r="S226" s="813"/>
      <c r="T226" s="813"/>
      <c r="U226" s="813"/>
      <c r="V226" s="813"/>
      <c r="W226" s="813"/>
      <c r="X226" s="813"/>
      <c r="Y226" s="813"/>
      <c r="Z226" s="813"/>
    </row>
    <row r="227" spans="1:27" ht="21" hidden="1" customHeight="1" outlineLevel="1" x14ac:dyDescent="0.25">
      <c r="A227" s="833" t="s">
        <v>285</v>
      </c>
      <c r="B227" s="833"/>
      <c r="C227" s="833"/>
      <c r="D227" s="866"/>
      <c r="E227" s="813"/>
      <c r="F227" s="813"/>
      <c r="G227" s="876"/>
      <c r="H227" s="813"/>
      <c r="I227" s="813"/>
      <c r="J227" s="813"/>
      <c r="K227" s="877" t="s">
        <v>20</v>
      </c>
      <c r="L227" s="830">
        <f>SUM(L222:L226)</f>
        <v>0</v>
      </c>
      <c r="M227" s="830">
        <f>SUM(M222:M226)</f>
        <v>0</v>
      </c>
      <c r="N227" s="813">
        <f>SUM(N223:N226)</f>
        <v>0</v>
      </c>
      <c r="O227" s="813">
        <f t="shared" ref="O227:Z227" si="56">SUM(O223:O226)</f>
        <v>0</v>
      </c>
      <c r="P227" s="813">
        <f t="shared" si="56"/>
        <v>0</v>
      </c>
      <c r="Q227" s="813">
        <f t="shared" si="56"/>
        <v>0</v>
      </c>
      <c r="R227" s="813">
        <f t="shared" si="56"/>
        <v>0</v>
      </c>
      <c r="S227" s="813">
        <f t="shared" si="56"/>
        <v>0</v>
      </c>
      <c r="T227" s="813">
        <f t="shared" si="56"/>
        <v>0</v>
      </c>
      <c r="U227" s="813">
        <f t="shared" si="56"/>
        <v>0</v>
      </c>
      <c r="V227" s="813">
        <f t="shared" si="56"/>
        <v>0</v>
      </c>
      <c r="W227" s="813">
        <f t="shared" si="56"/>
        <v>0</v>
      </c>
      <c r="X227" s="813">
        <f t="shared" si="56"/>
        <v>0</v>
      </c>
      <c r="Y227" s="813">
        <f t="shared" si="56"/>
        <v>0</v>
      </c>
      <c r="Z227" s="813">
        <f t="shared" si="56"/>
        <v>0</v>
      </c>
      <c r="AA227" s="872"/>
    </row>
    <row r="228" spans="1:27" ht="18" hidden="1" outlineLevel="1" x14ac:dyDescent="0.25">
      <c r="A228" s="853" t="e">
        <f>CONCATENATE(#REF!," ",#REF!)</f>
        <v>#REF!</v>
      </c>
      <c r="B228" s="853"/>
      <c r="C228" s="854"/>
      <c r="D228" s="854"/>
      <c r="E228" s="855"/>
      <c r="F228" s="855"/>
      <c r="G228" s="855"/>
      <c r="H228" s="855"/>
      <c r="I228" s="855"/>
      <c r="J228" s="855"/>
      <c r="K228" s="855"/>
      <c r="L228" s="855"/>
      <c r="M228" s="855"/>
      <c r="N228" s="855"/>
      <c r="O228" s="855" t="s">
        <v>5</v>
      </c>
      <c r="P228" s="855"/>
      <c r="Q228" s="855"/>
      <c r="R228" s="855"/>
      <c r="S228" s="855"/>
      <c r="T228" s="855"/>
      <c r="U228" s="855"/>
      <c r="V228" s="855"/>
      <c r="W228" s="855"/>
      <c r="X228" s="855"/>
      <c r="Y228" s="855"/>
      <c r="Z228" s="855"/>
    </row>
    <row r="229" spans="1:27" ht="41.45" hidden="1" customHeight="1" outlineLevel="1" x14ac:dyDescent="0.25">
      <c r="A229" s="828" t="s">
        <v>261</v>
      </c>
      <c r="B229" s="828" t="s">
        <v>13</v>
      </c>
      <c r="C229" s="828" t="s">
        <v>14</v>
      </c>
      <c r="D229" s="865" t="s">
        <v>286</v>
      </c>
      <c r="E229" s="830" t="s">
        <v>16</v>
      </c>
      <c r="F229" s="830" t="s">
        <v>295</v>
      </c>
      <c r="G229" s="830" t="s">
        <v>39</v>
      </c>
      <c r="H229" s="830" t="s">
        <v>297</v>
      </c>
      <c r="I229" s="830" t="s">
        <v>298</v>
      </c>
      <c r="J229" s="830" t="s">
        <v>299</v>
      </c>
      <c r="K229" s="830" t="s">
        <v>300</v>
      </c>
      <c r="L229" s="830" t="s">
        <v>17</v>
      </c>
      <c r="M229" s="830" t="s">
        <v>18</v>
      </c>
      <c r="N229" s="830" t="s">
        <v>19</v>
      </c>
      <c r="O229" s="832">
        <v>43101</v>
      </c>
      <c r="P229" s="832">
        <v>43132</v>
      </c>
      <c r="Q229" s="832">
        <v>43160</v>
      </c>
      <c r="R229" s="832">
        <v>43191</v>
      </c>
      <c r="S229" s="832">
        <v>43221</v>
      </c>
      <c r="T229" s="832">
        <v>43252</v>
      </c>
      <c r="U229" s="832">
        <v>43282</v>
      </c>
      <c r="V229" s="832">
        <v>43313</v>
      </c>
      <c r="W229" s="832">
        <v>43344</v>
      </c>
      <c r="X229" s="832">
        <v>43374</v>
      </c>
      <c r="Y229" s="832">
        <v>43405</v>
      </c>
      <c r="Z229" s="832">
        <v>43435</v>
      </c>
    </row>
    <row r="230" spans="1:27" ht="15" hidden="1" customHeight="1" outlineLevel="1" x14ac:dyDescent="0.25">
      <c r="A230" s="833" t="s">
        <v>265</v>
      </c>
      <c r="B230" s="833"/>
      <c r="C230" s="833"/>
      <c r="D230" s="866"/>
      <c r="E230" s="813"/>
      <c r="F230" s="813"/>
      <c r="G230" s="813"/>
      <c r="H230" s="813"/>
      <c r="I230" s="813"/>
      <c r="J230" s="813"/>
      <c r="K230" s="813"/>
      <c r="L230" s="813"/>
      <c r="M230" s="813"/>
      <c r="N230" s="813">
        <f t="shared" ref="N230:N233" si="57">SUM(O230:Z230)</f>
        <v>0</v>
      </c>
      <c r="O230" s="813"/>
      <c r="P230" s="813"/>
      <c r="Q230" s="813"/>
      <c r="R230" s="813"/>
      <c r="S230" s="813"/>
      <c r="T230" s="813"/>
      <c r="U230" s="813"/>
      <c r="V230" s="813"/>
      <c r="W230" s="813"/>
      <c r="X230" s="813"/>
      <c r="Y230" s="813"/>
      <c r="Z230" s="813"/>
    </row>
    <row r="231" spans="1:27" ht="15" hidden="1" customHeight="1" outlineLevel="1" x14ac:dyDescent="0.25">
      <c r="A231" s="833" t="s">
        <v>266</v>
      </c>
      <c r="B231" s="833"/>
      <c r="C231" s="833"/>
      <c r="D231" s="866"/>
      <c r="E231" s="813"/>
      <c r="F231" s="813"/>
      <c r="G231" s="813"/>
      <c r="H231" s="813"/>
      <c r="I231" s="813"/>
      <c r="J231" s="813"/>
      <c r="K231" s="813"/>
      <c r="L231" s="813"/>
      <c r="M231" s="813"/>
      <c r="N231" s="813">
        <f t="shared" si="57"/>
        <v>0</v>
      </c>
      <c r="O231" s="813"/>
      <c r="P231" s="813"/>
      <c r="Q231" s="813"/>
      <c r="R231" s="813"/>
      <c r="S231" s="813"/>
      <c r="T231" s="813"/>
      <c r="U231" s="813"/>
      <c r="V231" s="813"/>
      <c r="W231" s="813"/>
      <c r="X231" s="813"/>
      <c r="Y231" s="813"/>
      <c r="Z231" s="813"/>
    </row>
    <row r="232" spans="1:27" ht="15" hidden="1" customHeight="1" outlineLevel="1" x14ac:dyDescent="0.25">
      <c r="A232" s="833" t="s">
        <v>283</v>
      </c>
      <c r="B232" s="833"/>
      <c r="C232" s="833"/>
      <c r="D232" s="866"/>
      <c r="E232" s="813"/>
      <c r="F232" s="813"/>
      <c r="G232" s="813"/>
      <c r="H232" s="813"/>
      <c r="I232" s="813"/>
      <c r="J232" s="813"/>
      <c r="K232" s="813"/>
      <c r="L232" s="813"/>
      <c r="M232" s="813"/>
      <c r="N232" s="813">
        <f t="shared" si="57"/>
        <v>0</v>
      </c>
      <c r="O232" s="813"/>
      <c r="P232" s="813"/>
      <c r="Q232" s="813"/>
      <c r="R232" s="813"/>
      <c r="S232" s="813"/>
      <c r="T232" s="813"/>
      <c r="U232" s="813"/>
      <c r="V232" s="813"/>
      <c r="W232" s="813"/>
      <c r="X232" s="813"/>
      <c r="Y232" s="813"/>
      <c r="Z232" s="813"/>
    </row>
    <row r="233" spans="1:27" ht="15" hidden="1" customHeight="1" outlineLevel="1" x14ac:dyDescent="0.25">
      <c r="A233" s="833" t="s">
        <v>284</v>
      </c>
      <c r="B233" s="833"/>
      <c r="C233" s="833"/>
      <c r="D233" s="866"/>
      <c r="E233" s="813"/>
      <c r="F233" s="813"/>
      <c r="G233" s="813"/>
      <c r="H233" s="813"/>
      <c r="I233" s="813"/>
      <c r="J233" s="813"/>
      <c r="K233" s="813"/>
      <c r="L233" s="813"/>
      <c r="M233" s="813"/>
      <c r="N233" s="813">
        <f t="shared" si="57"/>
        <v>0</v>
      </c>
      <c r="O233" s="813"/>
      <c r="P233" s="813"/>
      <c r="Q233" s="813"/>
      <c r="R233" s="813"/>
      <c r="S233" s="813"/>
      <c r="T233" s="813"/>
      <c r="U233" s="813"/>
      <c r="V233" s="813"/>
      <c r="W233" s="813"/>
      <c r="X233" s="813"/>
      <c r="Y233" s="813"/>
      <c r="Z233" s="813"/>
    </row>
    <row r="234" spans="1:27" ht="21" hidden="1" customHeight="1" outlineLevel="1" x14ac:dyDescent="0.25">
      <c r="A234" s="833" t="s">
        <v>285</v>
      </c>
      <c r="B234" s="833"/>
      <c r="C234" s="833"/>
      <c r="D234" s="866"/>
      <c r="E234" s="813"/>
      <c r="F234" s="813"/>
      <c r="G234" s="876"/>
      <c r="H234" s="813"/>
      <c r="I234" s="813"/>
      <c r="J234" s="813"/>
      <c r="K234" s="877" t="s">
        <v>20</v>
      </c>
      <c r="L234" s="830">
        <f>SUM(L229:L233)</f>
        <v>0</v>
      </c>
      <c r="M234" s="830">
        <f>SUM(M229:M233)</f>
        <v>0</v>
      </c>
      <c r="N234" s="813">
        <f>SUM(N230:N233)</f>
        <v>0</v>
      </c>
      <c r="O234" s="813">
        <f t="shared" ref="O234:Z234" si="58">SUM(O230:O233)</f>
        <v>0</v>
      </c>
      <c r="P234" s="813">
        <f t="shared" si="58"/>
        <v>0</v>
      </c>
      <c r="Q234" s="813">
        <f t="shared" si="58"/>
        <v>0</v>
      </c>
      <c r="R234" s="813">
        <f t="shared" si="58"/>
        <v>0</v>
      </c>
      <c r="S234" s="813">
        <f t="shared" si="58"/>
        <v>0</v>
      </c>
      <c r="T234" s="813">
        <f t="shared" si="58"/>
        <v>0</v>
      </c>
      <c r="U234" s="813">
        <f t="shared" si="58"/>
        <v>0</v>
      </c>
      <c r="V234" s="813">
        <f t="shared" si="58"/>
        <v>0</v>
      </c>
      <c r="W234" s="813">
        <f t="shared" si="58"/>
        <v>0</v>
      </c>
      <c r="X234" s="813">
        <f t="shared" si="58"/>
        <v>0</v>
      </c>
      <c r="Y234" s="813">
        <f t="shared" si="58"/>
        <v>0</v>
      </c>
      <c r="Z234" s="813">
        <f t="shared" si="58"/>
        <v>0</v>
      </c>
      <c r="AA234" s="872"/>
    </row>
    <row r="235" spans="1:27" ht="18" hidden="1" outlineLevel="1" x14ac:dyDescent="0.25">
      <c r="A235" s="853" t="e">
        <f>CONCATENATE(#REF!," ",#REF!)</f>
        <v>#REF!</v>
      </c>
      <c r="B235" s="853"/>
      <c r="C235" s="854"/>
      <c r="D235" s="854"/>
      <c r="E235" s="855"/>
      <c r="F235" s="855"/>
      <c r="G235" s="855"/>
      <c r="H235" s="855"/>
      <c r="I235" s="855"/>
      <c r="J235" s="855"/>
      <c r="K235" s="855"/>
      <c r="L235" s="855"/>
      <c r="M235" s="855"/>
      <c r="N235" s="855"/>
      <c r="O235" s="855" t="s">
        <v>5</v>
      </c>
      <c r="P235" s="855"/>
      <c r="Q235" s="855"/>
      <c r="R235" s="855"/>
      <c r="S235" s="855"/>
      <c r="T235" s="855"/>
      <c r="U235" s="855"/>
      <c r="V235" s="855"/>
      <c r="W235" s="855"/>
      <c r="X235" s="855"/>
      <c r="Y235" s="855"/>
      <c r="Z235" s="855"/>
    </row>
    <row r="236" spans="1:27" ht="41.45" hidden="1" customHeight="1" outlineLevel="1" x14ac:dyDescent="0.25">
      <c r="A236" s="828" t="s">
        <v>261</v>
      </c>
      <c r="B236" s="828" t="s">
        <v>13</v>
      </c>
      <c r="C236" s="828" t="s">
        <v>14</v>
      </c>
      <c r="D236" s="865" t="s">
        <v>286</v>
      </c>
      <c r="E236" s="830" t="s">
        <v>16</v>
      </c>
      <c r="F236" s="830" t="s">
        <v>295</v>
      </c>
      <c r="G236" s="830" t="s">
        <v>39</v>
      </c>
      <c r="H236" s="830" t="s">
        <v>297</v>
      </c>
      <c r="I236" s="830" t="s">
        <v>298</v>
      </c>
      <c r="J236" s="830" t="s">
        <v>299</v>
      </c>
      <c r="K236" s="830" t="s">
        <v>300</v>
      </c>
      <c r="L236" s="830" t="s">
        <v>17</v>
      </c>
      <c r="M236" s="830" t="s">
        <v>18</v>
      </c>
      <c r="N236" s="830" t="s">
        <v>19</v>
      </c>
      <c r="O236" s="832">
        <v>43101</v>
      </c>
      <c r="P236" s="832">
        <v>43132</v>
      </c>
      <c r="Q236" s="832">
        <v>43160</v>
      </c>
      <c r="R236" s="832">
        <v>43191</v>
      </c>
      <c r="S236" s="832">
        <v>43221</v>
      </c>
      <c r="T236" s="832">
        <v>43252</v>
      </c>
      <c r="U236" s="832">
        <v>43282</v>
      </c>
      <c r="V236" s="832">
        <v>43313</v>
      </c>
      <c r="W236" s="832">
        <v>43344</v>
      </c>
      <c r="X236" s="832">
        <v>43374</v>
      </c>
      <c r="Y236" s="832">
        <v>43405</v>
      </c>
      <c r="Z236" s="832">
        <v>43435</v>
      </c>
    </row>
    <row r="237" spans="1:27" ht="15" hidden="1" customHeight="1" outlineLevel="1" x14ac:dyDescent="0.25">
      <c r="A237" s="833" t="s">
        <v>265</v>
      </c>
      <c r="B237" s="833"/>
      <c r="C237" s="833"/>
      <c r="D237" s="866"/>
      <c r="E237" s="813"/>
      <c r="F237" s="813"/>
      <c r="G237" s="813"/>
      <c r="H237" s="813"/>
      <c r="I237" s="813"/>
      <c r="J237" s="813"/>
      <c r="K237" s="813"/>
      <c r="L237" s="813"/>
      <c r="M237" s="813"/>
      <c r="N237" s="813">
        <f t="shared" ref="N237:N240" si="59">SUM(O237:Z237)</f>
        <v>0</v>
      </c>
      <c r="O237" s="813"/>
      <c r="P237" s="813"/>
      <c r="Q237" s="813"/>
      <c r="R237" s="813"/>
      <c r="S237" s="813"/>
      <c r="T237" s="813"/>
      <c r="U237" s="813"/>
      <c r="V237" s="813"/>
      <c r="W237" s="813"/>
      <c r="X237" s="813"/>
      <c r="Y237" s="813"/>
      <c r="Z237" s="813"/>
    </row>
    <row r="238" spans="1:27" ht="15" hidden="1" customHeight="1" outlineLevel="1" x14ac:dyDescent="0.25">
      <c r="A238" s="833" t="s">
        <v>266</v>
      </c>
      <c r="B238" s="833"/>
      <c r="C238" s="833"/>
      <c r="D238" s="866"/>
      <c r="E238" s="813"/>
      <c r="F238" s="813"/>
      <c r="G238" s="813"/>
      <c r="H238" s="813"/>
      <c r="I238" s="813"/>
      <c r="J238" s="813"/>
      <c r="K238" s="813"/>
      <c r="L238" s="813"/>
      <c r="M238" s="813"/>
      <c r="N238" s="813">
        <f t="shared" si="59"/>
        <v>0</v>
      </c>
      <c r="O238" s="813"/>
      <c r="P238" s="813"/>
      <c r="Q238" s="813"/>
      <c r="R238" s="813"/>
      <c r="S238" s="813"/>
      <c r="T238" s="813"/>
      <c r="U238" s="813"/>
      <c r="V238" s="813"/>
      <c r="W238" s="813"/>
      <c r="X238" s="813"/>
      <c r="Y238" s="813"/>
      <c r="Z238" s="813"/>
    </row>
    <row r="239" spans="1:27" ht="15" hidden="1" customHeight="1" outlineLevel="1" x14ac:dyDescent="0.25">
      <c r="A239" s="833" t="s">
        <v>283</v>
      </c>
      <c r="B239" s="833"/>
      <c r="C239" s="833"/>
      <c r="D239" s="866"/>
      <c r="E239" s="813"/>
      <c r="F239" s="813"/>
      <c r="G239" s="813"/>
      <c r="H239" s="813"/>
      <c r="I239" s="813"/>
      <c r="J239" s="813"/>
      <c r="K239" s="813"/>
      <c r="L239" s="813"/>
      <c r="M239" s="813"/>
      <c r="N239" s="813">
        <f t="shared" si="59"/>
        <v>0</v>
      </c>
      <c r="O239" s="813"/>
      <c r="P239" s="813"/>
      <c r="Q239" s="813"/>
      <c r="R239" s="813"/>
      <c r="S239" s="813"/>
      <c r="T239" s="813"/>
      <c r="U239" s="813"/>
      <c r="V239" s="813"/>
      <c r="W239" s="813"/>
      <c r="X239" s="813"/>
      <c r="Y239" s="813"/>
      <c r="Z239" s="813"/>
    </row>
    <row r="240" spans="1:27" ht="15" hidden="1" customHeight="1" outlineLevel="1" x14ac:dyDescent="0.25">
      <c r="A240" s="833" t="s">
        <v>284</v>
      </c>
      <c r="B240" s="833"/>
      <c r="C240" s="833"/>
      <c r="D240" s="866"/>
      <c r="E240" s="813"/>
      <c r="F240" s="813"/>
      <c r="G240" s="813"/>
      <c r="H240" s="813"/>
      <c r="I240" s="813"/>
      <c r="J240" s="813"/>
      <c r="K240" s="813"/>
      <c r="L240" s="813"/>
      <c r="M240" s="813"/>
      <c r="N240" s="813">
        <f t="shared" si="59"/>
        <v>0</v>
      </c>
      <c r="O240" s="813"/>
      <c r="P240" s="813"/>
      <c r="Q240" s="813"/>
      <c r="R240" s="813"/>
      <c r="S240" s="813"/>
      <c r="T240" s="813"/>
      <c r="U240" s="813"/>
      <c r="V240" s="813"/>
      <c r="W240" s="813"/>
      <c r="X240" s="813"/>
      <c r="Y240" s="813"/>
      <c r="Z240" s="813"/>
    </row>
    <row r="241" spans="1:27" ht="21" hidden="1" customHeight="1" outlineLevel="1" x14ac:dyDescent="0.25">
      <c r="A241" s="833" t="s">
        <v>285</v>
      </c>
      <c r="B241" s="833"/>
      <c r="C241" s="833"/>
      <c r="D241" s="866"/>
      <c r="E241" s="813"/>
      <c r="F241" s="813"/>
      <c r="G241" s="876"/>
      <c r="H241" s="813"/>
      <c r="I241" s="813"/>
      <c r="J241" s="813"/>
      <c r="K241" s="877" t="s">
        <v>20</v>
      </c>
      <c r="L241" s="830">
        <f>SUM(L236:L240)</f>
        <v>0</v>
      </c>
      <c r="M241" s="830">
        <f>SUM(M236:M240)</f>
        <v>0</v>
      </c>
      <c r="N241" s="813">
        <f>SUM(N237:N240)</f>
        <v>0</v>
      </c>
      <c r="O241" s="813">
        <f t="shared" ref="O241:Z241" si="60">SUM(O237:O240)</f>
        <v>0</v>
      </c>
      <c r="P241" s="813">
        <f t="shared" si="60"/>
        <v>0</v>
      </c>
      <c r="Q241" s="813">
        <f t="shared" si="60"/>
        <v>0</v>
      </c>
      <c r="R241" s="813">
        <f t="shared" si="60"/>
        <v>0</v>
      </c>
      <c r="S241" s="813">
        <f t="shared" si="60"/>
        <v>0</v>
      </c>
      <c r="T241" s="813">
        <f t="shared" si="60"/>
        <v>0</v>
      </c>
      <c r="U241" s="813">
        <f t="shared" si="60"/>
        <v>0</v>
      </c>
      <c r="V241" s="813">
        <f t="shared" si="60"/>
        <v>0</v>
      </c>
      <c r="W241" s="813">
        <f t="shared" si="60"/>
        <v>0</v>
      </c>
      <c r="X241" s="813">
        <f t="shared" si="60"/>
        <v>0</v>
      </c>
      <c r="Y241" s="813">
        <f t="shared" si="60"/>
        <v>0</v>
      </c>
      <c r="Z241" s="813">
        <f t="shared" si="60"/>
        <v>0</v>
      </c>
      <c r="AA241" s="872"/>
    </row>
    <row r="242" spans="1:27" ht="18" hidden="1" outlineLevel="1" x14ac:dyDescent="0.25">
      <c r="A242" s="853" t="e">
        <f>CONCATENATE(#REF!," ",#REF!)</f>
        <v>#REF!</v>
      </c>
      <c r="B242" s="853"/>
      <c r="C242" s="854"/>
      <c r="D242" s="854"/>
      <c r="E242" s="855"/>
      <c r="F242" s="855"/>
      <c r="G242" s="855"/>
      <c r="H242" s="855"/>
      <c r="I242" s="855"/>
      <c r="J242" s="855"/>
      <c r="K242" s="855"/>
      <c r="L242" s="855"/>
      <c r="M242" s="855"/>
      <c r="N242" s="855"/>
      <c r="O242" s="855" t="s">
        <v>5</v>
      </c>
      <c r="P242" s="855"/>
      <c r="Q242" s="855"/>
      <c r="R242" s="855"/>
      <c r="S242" s="855"/>
      <c r="T242" s="855"/>
      <c r="U242" s="855"/>
      <c r="V242" s="855"/>
      <c r="W242" s="855"/>
      <c r="X242" s="855"/>
      <c r="Y242" s="855"/>
      <c r="Z242" s="855"/>
    </row>
    <row r="243" spans="1:27" ht="41.45" hidden="1" customHeight="1" outlineLevel="1" x14ac:dyDescent="0.25">
      <c r="A243" s="828" t="s">
        <v>261</v>
      </c>
      <c r="B243" s="828" t="s">
        <v>13</v>
      </c>
      <c r="C243" s="828" t="s">
        <v>14</v>
      </c>
      <c r="D243" s="865" t="s">
        <v>286</v>
      </c>
      <c r="E243" s="830" t="s">
        <v>16</v>
      </c>
      <c r="F243" s="830" t="s">
        <v>295</v>
      </c>
      <c r="G243" s="830" t="s">
        <v>39</v>
      </c>
      <c r="H243" s="830" t="s">
        <v>297</v>
      </c>
      <c r="I243" s="830" t="s">
        <v>298</v>
      </c>
      <c r="J243" s="830" t="s">
        <v>299</v>
      </c>
      <c r="K243" s="830" t="s">
        <v>300</v>
      </c>
      <c r="L243" s="830" t="s">
        <v>17</v>
      </c>
      <c r="M243" s="830" t="s">
        <v>18</v>
      </c>
      <c r="N243" s="830" t="s">
        <v>19</v>
      </c>
      <c r="O243" s="832">
        <v>43101</v>
      </c>
      <c r="P243" s="832">
        <v>43132</v>
      </c>
      <c r="Q243" s="832">
        <v>43160</v>
      </c>
      <c r="R243" s="832">
        <v>43191</v>
      </c>
      <c r="S243" s="832">
        <v>43221</v>
      </c>
      <c r="T243" s="832">
        <v>43252</v>
      </c>
      <c r="U243" s="832">
        <v>43282</v>
      </c>
      <c r="V243" s="832">
        <v>43313</v>
      </c>
      <c r="W243" s="832">
        <v>43344</v>
      </c>
      <c r="X243" s="832">
        <v>43374</v>
      </c>
      <c r="Y243" s="832">
        <v>43405</v>
      </c>
      <c r="Z243" s="832">
        <v>43435</v>
      </c>
    </row>
    <row r="244" spans="1:27" ht="15" hidden="1" customHeight="1" outlineLevel="1" x14ac:dyDescent="0.25">
      <c r="A244" s="833" t="s">
        <v>265</v>
      </c>
      <c r="B244" s="833"/>
      <c r="C244" s="833"/>
      <c r="D244" s="866"/>
      <c r="E244" s="813"/>
      <c r="F244" s="813"/>
      <c r="G244" s="813"/>
      <c r="H244" s="813"/>
      <c r="I244" s="813"/>
      <c r="J244" s="813"/>
      <c r="K244" s="813"/>
      <c r="L244" s="813"/>
      <c r="M244" s="813"/>
      <c r="N244" s="813">
        <f t="shared" ref="N244:N247" si="61">SUM(O244:Z244)</f>
        <v>0</v>
      </c>
      <c r="O244" s="813"/>
      <c r="P244" s="813"/>
      <c r="Q244" s="813"/>
      <c r="R244" s="813"/>
      <c r="S244" s="813"/>
      <c r="T244" s="813"/>
      <c r="U244" s="813"/>
      <c r="V244" s="813"/>
      <c r="W244" s="813"/>
      <c r="X244" s="813"/>
      <c r="Y244" s="813"/>
      <c r="Z244" s="813"/>
    </row>
    <row r="245" spans="1:27" ht="15" hidden="1" customHeight="1" outlineLevel="1" x14ac:dyDescent="0.25">
      <c r="A245" s="833" t="s">
        <v>266</v>
      </c>
      <c r="B245" s="833"/>
      <c r="C245" s="833"/>
      <c r="D245" s="866"/>
      <c r="E245" s="813"/>
      <c r="F245" s="813"/>
      <c r="G245" s="813"/>
      <c r="H245" s="813"/>
      <c r="I245" s="813"/>
      <c r="J245" s="813"/>
      <c r="K245" s="813"/>
      <c r="L245" s="813"/>
      <c r="M245" s="813"/>
      <c r="N245" s="813">
        <f t="shared" si="61"/>
        <v>0</v>
      </c>
      <c r="O245" s="813"/>
      <c r="P245" s="813"/>
      <c r="Q245" s="813"/>
      <c r="R245" s="813"/>
      <c r="S245" s="813"/>
      <c r="T245" s="813"/>
      <c r="U245" s="813"/>
      <c r="V245" s="813"/>
      <c r="W245" s="813"/>
      <c r="X245" s="813"/>
      <c r="Y245" s="813"/>
      <c r="Z245" s="813"/>
    </row>
    <row r="246" spans="1:27" ht="15" hidden="1" customHeight="1" outlineLevel="1" x14ac:dyDescent="0.25">
      <c r="A246" s="833" t="s">
        <v>283</v>
      </c>
      <c r="B246" s="833"/>
      <c r="C246" s="833"/>
      <c r="D246" s="866"/>
      <c r="E246" s="813"/>
      <c r="F246" s="813"/>
      <c r="G246" s="813"/>
      <c r="H246" s="813"/>
      <c r="I246" s="813"/>
      <c r="J246" s="813"/>
      <c r="K246" s="813"/>
      <c r="L246" s="813"/>
      <c r="M246" s="813"/>
      <c r="N246" s="813">
        <f t="shared" si="61"/>
        <v>0</v>
      </c>
      <c r="O246" s="813"/>
      <c r="P246" s="813"/>
      <c r="Q246" s="813"/>
      <c r="R246" s="813"/>
      <c r="S246" s="813"/>
      <c r="T246" s="813"/>
      <c r="U246" s="813"/>
      <c r="V246" s="813"/>
      <c r="W246" s="813"/>
      <c r="X246" s="813"/>
      <c r="Y246" s="813"/>
      <c r="Z246" s="813"/>
    </row>
    <row r="247" spans="1:27" ht="15" hidden="1" customHeight="1" outlineLevel="1" x14ac:dyDescent="0.25">
      <c r="A247" s="833" t="s">
        <v>284</v>
      </c>
      <c r="B247" s="833"/>
      <c r="C247" s="833"/>
      <c r="D247" s="866"/>
      <c r="E247" s="813"/>
      <c r="F247" s="813"/>
      <c r="G247" s="813"/>
      <c r="H247" s="813"/>
      <c r="I247" s="813"/>
      <c r="J247" s="813"/>
      <c r="K247" s="813"/>
      <c r="L247" s="813"/>
      <c r="M247" s="813"/>
      <c r="N247" s="813">
        <f t="shared" si="61"/>
        <v>0</v>
      </c>
      <c r="O247" s="813"/>
      <c r="P247" s="813"/>
      <c r="Q247" s="813"/>
      <c r="R247" s="813"/>
      <c r="S247" s="813"/>
      <c r="T247" s="813"/>
      <c r="U247" s="813"/>
      <c r="V247" s="813"/>
      <c r="W247" s="813"/>
      <c r="X247" s="813"/>
      <c r="Y247" s="813"/>
      <c r="Z247" s="813"/>
    </row>
    <row r="248" spans="1:27" ht="21" hidden="1" customHeight="1" outlineLevel="1" x14ac:dyDescent="0.25">
      <c r="A248" s="833" t="s">
        <v>285</v>
      </c>
      <c r="B248" s="833"/>
      <c r="C248" s="833"/>
      <c r="D248" s="866"/>
      <c r="E248" s="813"/>
      <c r="F248" s="813"/>
      <c r="G248" s="876"/>
      <c r="H248" s="813"/>
      <c r="I248" s="813"/>
      <c r="J248" s="813"/>
      <c r="K248" s="877" t="s">
        <v>20</v>
      </c>
      <c r="L248" s="830">
        <f>SUM(L243:L247)</f>
        <v>0</v>
      </c>
      <c r="M248" s="830">
        <f>SUM(M243:M247)</f>
        <v>0</v>
      </c>
      <c r="N248" s="813">
        <f>SUM(N244:N247)</f>
        <v>0</v>
      </c>
      <c r="O248" s="813">
        <f t="shared" ref="O248:Z248" si="62">SUM(O244:O247)</f>
        <v>0</v>
      </c>
      <c r="P248" s="813">
        <f t="shared" si="62"/>
        <v>0</v>
      </c>
      <c r="Q248" s="813">
        <f t="shared" si="62"/>
        <v>0</v>
      </c>
      <c r="R248" s="813">
        <f t="shared" si="62"/>
        <v>0</v>
      </c>
      <c r="S248" s="813">
        <f t="shared" si="62"/>
        <v>0</v>
      </c>
      <c r="T248" s="813">
        <f t="shared" si="62"/>
        <v>0</v>
      </c>
      <c r="U248" s="813">
        <f t="shared" si="62"/>
        <v>0</v>
      </c>
      <c r="V248" s="813">
        <f t="shared" si="62"/>
        <v>0</v>
      </c>
      <c r="W248" s="813">
        <f t="shared" si="62"/>
        <v>0</v>
      </c>
      <c r="X248" s="813">
        <f t="shared" si="62"/>
        <v>0</v>
      </c>
      <c r="Y248" s="813">
        <f t="shared" si="62"/>
        <v>0</v>
      </c>
      <c r="Z248" s="813">
        <f t="shared" si="62"/>
        <v>0</v>
      </c>
      <c r="AA248" s="872"/>
    </row>
    <row r="249" spans="1:27" ht="18" hidden="1" outlineLevel="1" x14ac:dyDescent="0.25">
      <c r="A249" s="853" t="str">
        <f>CONCATENATE(B28," ",C28)</f>
        <v>Objective 5 Permits Licences</v>
      </c>
      <c r="B249" s="853"/>
      <c r="C249" s="854"/>
      <c r="D249" s="854"/>
      <c r="E249" s="855"/>
      <c r="F249" s="855"/>
      <c r="G249" s="855"/>
      <c r="H249" s="855"/>
      <c r="I249" s="855"/>
      <c r="J249" s="855"/>
      <c r="K249" s="855"/>
      <c r="L249" s="855"/>
      <c r="M249" s="855"/>
      <c r="N249" s="855"/>
      <c r="O249" s="855" t="s">
        <v>5</v>
      </c>
      <c r="P249" s="855"/>
      <c r="Q249" s="855"/>
      <c r="R249" s="855"/>
      <c r="S249" s="855"/>
      <c r="T249" s="855"/>
      <c r="U249" s="855"/>
      <c r="V249" s="855"/>
      <c r="W249" s="855"/>
      <c r="X249" s="855"/>
      <c r="Y249" s="855"/>
      <c r="Z249" s="855"/>
    </row>
    <row r="250" spans="1:27" ht="41.45" hidden="1" customHeight="1" outlineLevel="1" x14ac:dyDescent="0.25">
      <c r="A250" s="828" t="s">
        <v>261</v>
      </c>
      <c r="B250" s="828" t="s">
        <v>13</v>
      </c>
      <c r="C250" s="828" t="s">
        <v>14</v>
      </c>
      <c r="D250" s="865" t="s">
        <v>286</v>
      </c>
      <c r="E250" s="830" t="s">
        <v>16</v>
      </c>
      <c r="F250" s="830" t="s">
        <v>295</v>
      </c>
      <c r="G250" s="830" t="s">
        <v>39</v>
      </c>
      <c r="H250" s="830" t="s">
        <v>297</v>
      </c>
      <c r="I250" s="830" t="s">
        <v>298</v>
      </c>
      <c r="J250" s="830" t="s">
        <v>299</v>
      </c>
      <c r="K250" s="830" t="s">
        <v>300</v>
      </c>
      <c r="L250" s="830" t="s">
        <v>17</v>
      </c>
      <c r="M250" s="830" t="s">
        <v>18</v>
      </c>
      <c r="N250" s="830" t="s">
        <v>19</v>
      </c>
      <c r="O250" s="832">
        <v>43101</v>
      </c>
      <c r="P250" s="832">
        <v>43132</v>
      </c>
      <c r="Q250" s="832">
        <v>43160</v>
      </c>
      <c r="R250" s="832">
        <v>43191</v>
      </c>
      <c r="S250" s="832">
        <v>43221</v>
      </c>
      <c r="T250" s="832">
        <v>43252</v>
      </c>
      <c r="U250" s="832">
        <v>43282</v>
      </c>
      <c r="V250" s="832">
        <v>43313</v>
      </c>
      <c r="W250" s="832">
        <v>43344</v>
      </c>
      <c r="X250" s="832">
        <v>43374</v>
      </c>
      <c r="Y250" s="832">
        <v>43405</v>
      </c>
      <c r="Z250" s="832">
        <v>43435</v>
      </c>
    </row>
    <row r="251" spans="1:27" ht="15" hidden="1" customHeight="1" outlineLevel="1" x14ac:dyDescent="0.25">
      <c r="A251" s="833" t="s">
        <v>265</v>
      </c>
      <c r="B251" s="833"/>
      <c r="C251" s="833"/>
      <c r="D251" s="866"/>
      <c r="E251" s="813"/>
      <c r="F251" s="813"/>
      <c r="G251" s="813"/>
      <c r="H251" s="813"/>
      <c r="I251" s="813"/>
      <c r="J251" s="813"/>
      <c r="K251" s="813"/>
      <c r="L251" s="813"/>
      <c r="M251" s="813"/>
      <c r="N251" s="813">
        <f t="shared" ref="N251:N254" si="63">SUM(O251:Z251)</f>
        <v>0</v>
      </c>
      <c r="O251" s="813"/>
      <c r="P251" s="813"/>
      <c r="Q251" s="813"/>
      <c r="R251" s="813"/>
      <c r="S251" s="813"/>
      <c r="T251" s="813"/>
      <c r="U251" s="813"/>
      <c r="V251" s="813"/>
      <c r="W251" s="813"/>
      <c r="X251" s="813"/>
      <c r="Y251" s="813"/>
      <c r="Z251" s="813"/>
    </row>
    <row r="252" spans="1:27" ht="15" hidden="1" customHeight="1" outlineLevel="1" x14ac:dyDescent="0.25">
      <c r="A252" s="833" t="s">
        <v>266</v>
      </c>
      <c r="B252" s="833"/>
      <c r="C252" s="833"/>
      <c r="D252" s="866"/>
      <c r="E252" s="813"/>
      <c r="F252" s="813"/>
      <c r="G252" s="813"/>
      <c r="H252" s="813"/>
      <c r="I252" s="813"/>
      <c r="J252" s="813"/>
      <c r="K252" s="813"/>
      <c r="L252" s="813"/>
      <c r="M252" s="813"/>
      <c r="N252" s="813">
        <f t="shared" si="63"/>
        <v>0</v>
      </c>
      <c r="O252" s="813"/>
      <c r="P252" s="813"/>
      <c r="Q252" s="813"/>
      <c r="R252" s="813"/>
      <c r="S252" s="813"/>
      <c r="T252" s="813"/>
      <c r="U252" s="813"/>
      <c r="V252" s="813"/>
      <c r="W252" s="813"/>
      <c r="X252" s="813"/>
      <c r="Y252" s="813"/>
      <c r="Z252" s="813"/>
    </row>
    <row r="253" spans="1:27" ht="15" hidden="1" customHeight="1" outlineLevel="1" x14ac:dyDescent="0.25">
      <c r="A253" s="833" t="s">
        <v>283</v>
      </c>
      <c r="B253" s="833"/>
      <c r="C253" s="833"/>
      <c r="D253" s="866"/>
      <c r="E253" s="813"/>
      <c r="F253" s="813"/>
      <c r="G253" s="813"/>
      <c r="H253" s="813"/>
      <c r="I253" s="813"/>
      <c r="J253" s="813"/>
      <c r="K253" s="813"/>
      <c r="L253" s="813"/>
      <c r="M253" s="813"/>
      <c r="N253" s="813">
        <f t="shared" si="63"/>
        <v>0</v>
      </c>
      <c r="O253" s="813"/>
      <c r="P253" s="813"/>
      <c r="Q253" s="813"/>
      <c r="R253" s="813"/>
      <c r="S253" s="813"/>
      <c r="T253" s="813"/>
      <c r="U253" s="813"/>
      <c r="V253" s="813"/>
      <c r="W253" s="813"/>
      <c r="X253" s="813"/>
      <c r="Y253" s="813"/>
      <c r="Z253" s="813"/>
    </row>
    <row r="254" spans="1:27" ht="15" hidden="1" customHeight="1" outlineLevel="1" x14ac:dyDescent="0.25">
      <c r="A254" s="833" t="s">
        <v>284</v>
      </c>
      <c r="B254" s="833"/>
      <c r="C254" s="833"/>
      <c r="D254" s="866"/>
      <c r="E254" s="813"/>
      <c r="F254" s="813"/>
      <c r="G254" s="813"/>
      <c r="H254" s="813"/>
      <c r="I254" s="813"/>
      <c r="J254" s="813"/>
      <c r="K254" s="813"/>
      <c r="L254" s="813"/>
      <c r="M254" s="813"/>
      <c r="N254" s="813">
        <f t="shared" si="63"/>
        <v>0</v>
      </c>
      <c r="O254" s="813"/>
      <c r="P254" s="813"/>
      <c r="Q254" s="813"/>
      <c r="R254" s="813"/>
      <c r="S254" s="813"/>
      <c r="T254" s="813"/>
      <c r="U254" s="813"/>
      <c r="V254" s="813"/>
      <c r="W254" s="813"/>
      <c r="X254" s="813"/>
      <c r="Y254" s="813"/>
      <c r="Z254" s="813"/>
    </row>
    <row r="255" spans="1:27" ht="21" hidden="1" customHeight="1" outlineLevel="1" x14ac:dyDescent="0.25">
      <c r="A255" s="833" t="s">
        <v>285</v>
      </c>
      <c r="B255" s="833"/>
      <c r="C255" s="833"/>
      <c r="D255" s="866"/>
      <c r="E255" s="813"/>
      <c r="F255" s="813"/>
      <c r="G255" s="876"/>
      <c r="H255" s="813"/>
      <c r="I255" s="813"/>
      <c r="J255" s="813"/>
      <c r="K255" s="877" t="s">
        <v>20</v>
      </c>
      <c r="L255" s="830">
        <f>SUM(L250:L254)</f>
        <v>0</v>
      </c>
      <c r="M255" s="830">
        <f>SUM(M250:M254)</f>
        <v>0</v>
      </c>
      <c r="N255" s="813">
        <f>SUM(N251:N254)</f>
        <v>0</v>
      </c>
      <c r="O255" s="813">
        <f t="shared" ref="O255:Z255" si="64">SUM(O251:O254)</f>
        <v>0</v>
      </c>
      <c r="P255" s="813">
        <f t="shared" si="64"/>
        <v>0</v>
      </c>
      <c r="Q255" s="813">
        <f t="shared" si="64"/>
        <v>0</v>
      </c>
      <c r="R255" s="813">
        <f t="shared" si="64"/>
        <v>0</v>
      </c>
      <c r="S255" s="813">
        <f t="shared" si="64"/>
        <v>0</v>
      </c>
      <c r="T255" s="813">
        <f t="shared" si="64"/>
        <v>0</v>
      </c>
      <c r="U255" s="813">
        <f t="shared" si="64"/>
        <v>0</v>
      </c>
      <c r="V255" s="813">
        <f t="shared" si="64"/>
        <v>0</v>
      </c>
      <c r="W255" s="813">
        <f t="shared" si="64"/>
        <v>0</v>
      </c>
      <c r="X255" s="813">
        <f t="shared" si="64"/>
        <v>0</v>
      </c>
      <c r="Y255" s="813">
        <f t="shared" si="64"/>
        <v>0</v>
      </c>
      <c r="Z255" s="813">
        <f t="shared" si="64"/>
        <v>0</v>
      </c>
      <c r="AA255" s="872"/>
    </row>
    <row r="256" spans="1:27" ht="18" hidden="1" outlineLevel="1" x14ac:dyDescent="0.25">
      <c r="A256" s="853" t="str">
        <f>CONCATENATE(B29," ",C29)</f>
        <v xml:space="preserve"> </v>
      </c>
      <c r="B256" s="853"/>
      <c r="C256" s="854"/>
      <c r="D256" s="854"/>
      <c r="E256" s="855"/>
      <c r="F256" s="855"/>
      <c r="G256" s="855"/>
      <c r="H256" s="855"/>
      <c r="I256" s="855"/>
      <c r="J256" s="855"/>
      <c r="K256" s="855"/>
      <c r="L256" s="855"/>
      <c r="M256" s="855"/>
      <c r="N256" s="855"/>
      <c r="O256" s="855" t="s">
        <v>5</v>
      </c>
      <c r="P256" s="855"/>
      <c r="Q256" s="855"/>
      <c r="R256" s="855"/>
      <c r="S256" s="855"/>
      <c r="T256" s="855"/>
      <c r="U256" s="855"/>
      <c r="V256" s="855"/>
      <c r="W256" s="855"/>
      <c r="X256" s="855"/>
      <c r="Y256" s="855"/>
      <c r="Z256" s="855"/>
    </row>
    <row r="257" spans="1:26" ht="6.75" hidden="1" customHeight="1" collapsed="1" x14ac:dyDescent="0.25"/>
    <row r="258" spans="1:26" ht="18" x14ac:dyDescent="0.25">
      <c r="A258" s="825" t="s">
        <v>324</v>
      </c>
      <c r="B258" s="825"/>
      <c r="C258" s="826"/>
      <c r="D258" s="826"/>
      <c r="E258" s="824"/>
      <c r="F258" s="824"/>
      <c r="G258" s="824"/>
      <c r="H258" s="827"/>
      <c r="I258" s="827"/>
      <c r="J258" s="824"/>
      <c r="K258" s="824"/>
      <c r="L258" s="824"/>
      <c r="M258" s="824"/>
      <c r="N258" s="824"/>
      <c r="O258" s="824" t="s">
        <v>5</v>
      </c>
      <c r="P258" s="824"/>
      <c r="Q258" s="824"/>
      <c r="R258" s="824"/>
      <c r="S258" s="824"/>
      <c r="T258" s="824"/>
      <c r="U258" s="824"/>
      <c r="V258" s="824"/>
      <c r="W258" s="824"/>
      <c r="X258" s="824"/>
      <c r="Y258" s="824"/>
      <c r="Z258" s="824"/>
    </row>
    <row r="259" spans="1:26" ht="15.75" hidden="1" outlineLevel="1" x14ac:dyDescent="0.25">
      <c r="A259" s="828" t="s">
        <v>261</v>
      </c>
      <c r="B259" s="828" t="s">
        <v>13</v>
      </c>
      <c r="C259" s="828" t="s">
        <v>14</v>
      </c>
      <c r="D259" s="829" t="s">
        <v>15</v>
      </c>
      <c r="E259" s="878"/>
      <c r="F259" s="878"/>
      <c r="G259" s="878"/>
      <c r="H259" s="878"/>
      <c r="I259" s="878"/>
      <c r="J259" s="831"/>
      <c r="K259" s="843"/>
      <c r="L259" s="830" t="s">
        <v>52</v>
      </c>
      <c r="M259" s="830" t="s">
        <v>53</v>
      </c>
      <c r="N259" s="830" t="s">
        <v>54</v>
      </c>
      <c r="O259" s="832">
        <v>43101</v>
      </c>
      <c r="P259" s="832">
        <v>43132</v>
      </c>
      <c r="Q259" s="832">
        <v>43160</v>
      </c>
      <c r="R259" s="832">
        <v>43191</v>
      </c>
      <c r="S259" s="832">
        <v>43221</v>
      </c>
      <c r="T259" s="832">
        <v>43252</v>
      </c>
      <c r="U259" s="832">
        <v>43282</v>
      </c>
      <c r="V259" s="832">
        <v>43313</v>
      </c>
      <c r="W259" s="832">
        <v>43344</v>
      </c>
      <c r="X259" s="832">
        <v>43374</v>
      </c>
      <c r="Y259" s="832">
        <v>43405</v>
      </c>
      <c r="Z259" s="832">
        <v>43435</v>
      </c>
    </row>
    <row r="260" spans="1:26" ht="15" hidden="1" outlineLevel="1" x14ac:dyDescent="0.25">
      <c r="A260" s="833" t="str">
        <f>+A17</f>
        <v>3.1</v>
      </c>
      <c r="B260" s="833" t="s">
        <v>27</v>
      </c>
      <c r="C260" s="833" t="str">
        <f>C17</f>
        <v>RE Mine Property</v>
      </c>
      <c r="D260" s="857" t="str">
        <f>D17</f>
        <v xml:space="preserve">Tramitación, Mantención y Resguardo de la Propiedad Minera Relincho </v>
      </c>
      <c r="E260" s="878"/>
      <c r="F260" s="878"/>
      <c r="G260" s="878"/>
      <c r="H260" s="878"/>
      <c r="I260" s="878"/>
      <c r="J260" s="831"/>
      <c r="K260" s="843" t="s">
        <v>5</v>
      </c>
      <c r="L260" s="813" t="s">
        <v>48</v>
      </c>
      <c r="M260" s="813" t="s">
        <v>55</v>
      </c>
      <c r="N260" s="813">
        <v>6</v>
      </c>
      <c r="O260" s="879">
        <f t="shared" ref="O260:Z261" si="65">+O17/SUM($O17:$Z17)</f>
        <v>2.7466268534286454E-2</v>
      </c>
      <c r="P260" s="879">
        <f t="shared" si="65"/>
        <v>3.1175098657609198E-2</v>
      </c>
      <c r="Q260" s="879">
        <f t="shared" si="65"/>
        <v>0.60625653372087807</v>
      </c>
      <c r="R260" s="879">
        <f t="shared" si="65"/>
        <v>4.9685840564726851E-2</v>
      </c>
      <c r="S260" s="879">
        <f t="shared" si="65"/>
        <v>2.8035514021787507E-2</v>
      </c>
      <c r="T260" s="879">
        <f t="shared" si="65"/>
        <v>4.976044253744779E-2</v>
      </c>
      <c r="U260" s="879">
        <f t="shared" si="65"/>
        <v>5.0649642448326627E-2</v>
      </c>
      <c r="V260" s="879">
        <f t="shared" si="65"/>
        <v>1.5112691554617886E-2</v>
      </c>
      <c r="W260" s="879">
        <f t="shared" si="65"/>
        <v>6.2560009571426364E-2</v>
      </c>
      <c r="X260" s="879">
        <f t="shared" si="65"/>
        <v>2.3860352064010916E-2</v>
      </c>
      <c r="Y260" s="879">
        <f t="shared" si="65"/>
        <v>3.5912277588764294E-2</v>
      </c>
      <c r="Z260" s="879">
        <f t="shared" si="65"/>
        <v>1.952532873611806E-2</v>
      </c>
    </row>
    <row r="261" spans="1:26" ht="15" hidden="1" outlineLevel="1" x14ac:dyDescent="0.25">
      <c r="A261" s="833" t="str">
        <f>+A18</f>
        <v>3.2</v>
      </c>
      <c r="B261" s="833" t="s">
        <v>29</v>
      </c>
      <c r="C261" s="833" t="str">
        <f>C18</f>
        <v>EM Mine Property</v>
      </c>
      <c r="D261" s="857" t="str">
        <f>D18</f>
        <v>Tramitación, Mantención y Resguardo de la Propiedad Minera El Morro</v>
      </c>
      <c r="E261" s="878"/>
      <c r="F261" s="878"/>
      <c r="G261" s="878"/>
      <c r="H261" s="878"/>
      <c r="I261" s="878"/>
      <c r="J261" s="831"/>
      <c r="K261" s="843" t="s">
        <v>5</v>
      </c>
      <c r="L261" s="813" t="s">
        <v>48</v>
      </c>
      <c r="M261" s="813" t="s">
        <v>55</v>
      </c>
      <c r="N261" s="813">
        <v>6</v>
      </c>
      <c r="O261" s="879">
        <f t="shared" si="65"/>
        <v>2.0677940641152018E-3</v>
      </c>
      <c r="P261" s="879">
        <f t="shared" si="65"/>
        <v>3.8398536942850676E-3</v>
      </c>
      <c r="Q261" s="879">
        <f t="shared" si="65"/>
        <v>0.79381491415535699</v>
      </c>
      <c r="R261" s="879">
        <f t="shared" si="65"/>
        <v>3.173323471903982E-2</v>
      </c>
      <c r="S261" s="879">
        <f t="shared" si="65"/>
        <v>2.216178624709322E-2</v>
      </c>
      <c r="T261" s="879">
        <f t="shared" si="65"/>
        <v>1.8824683298689195E-3</v>
      </c>
      <c r="U261" s="879">
        <f t="shared" si="65"/>
        <v>7.2905624628779669E-2</v>
      </c>
      <c r="V261" s="879">
        <f t="shared" si="65"/>
        <v>3.9526314492262385E-3</v>
      </c>
      <c r="W261" s="879">
        <f t="shared" si="65"/>
        <v>1.8824683298689195E-3</v>
      </c>
      <c r="X261" s="879">
        <f t="shared" si="65"/>
        <v>2.3875881309921047E-3</v>
      </c>
      <c r="Y261" s="879">
        <f t="shared" si="65"/>
        <v>6.148916792150496E-2</v>
      </c>
      <c r="Z261" s="879">
        <f t="shared" si="65"/>
        <v>1.8824683298689195E-3</v>
      </c>
    </row>
    <row r="262" spans="1:26" ht="15" hidden="1" outlineLevel="1" x14ac:dyDescent="0.25">
      <c r="A262" s="833" t="str">
        <f>+A20</f>
        <v>3.3</v>
      </c>
      <c r="B262" s="833" t="s">
        <v>30</v>
      </c>
      <c r="C262" s="833" t="str">
        <f>C20</f>
        <v>Legal/Consulting Land Access</v>
      </c>
      <c r="D262" s="857" t="str">
        <f>D20</f>
        <v xml:space="preserve">Costo Consultores y gastos varios área legal Land Access </v>
      </c>
      <c r="E262" s="878"/>
      <c r="F262" s="878"/>
      <c r="G262" s="878"/>
      <c r="H262" s="878"/>
      <c r="I262" s="878"/>
      <c r="J262" s="831"/>
      <c r="K262" s="843" t="s">
        <v>5</v>
      </c>
      <c r="L262" s="813"/>
      <c r="M262" s="813"/>
      <c r="N262" s="813"/>
      <c r="O262" s="879">
        <f t="shared" ref="O262:Z262" si="66">+O20/SUM($O20:$Z20)</f>
        <v>0</v>
      </c>
      <c r="P262" s="879">
        <f t="shared" si="66"/>
        <v>0</v>
      </c>
      <c r="Q262" s="879">
        <f t="shared" si="66"/>
        <v>0.25</v>
      </c>
      <c r="R262" s="879">
        <f t="shared" si="66"/>
        <v>0</v>
      </c>
      <c r="S262" s="879">
        <f t="shared" si="66"/>
        <v>0</v>
      </c>
      <c r="T262" s="879">
        <f t="shared" si="66"/>
        <v>0.25</v>
      </c>
      <c r="U262" s="879">
        <f t="shared" si="66"/>
        <v>0</v>
      </c>
      <c r="V262" s="879">
        <f t="shared" si="66"/>
        <v>0</v>
      </c>
      <c r="W262" s="879">
        <f t="shared" si="66"/>
        <v>0.25</v>
      </c>
      <c r="X262" s="879">
        <f t="shared" si="66"/>
        <v>0</v>
      </c>
      <c r="Y262" s="879">
        <f t="shared" si="66"/>
        <v>0</v>
      </c>
      <c r="Z262" s="879">
        <f t="shared" si="66"/>
        <v>0.25</v>
      </c>
    </row>
    <row r="263" spans="1:26" ht="15" hidden="1" outlineLevel="1" x14ac:dyDescent="0.25">
      <c r="A263" s="833" t="str">
        <f>+A25</f>
        <v>3.3.5</v>
      </c>
      <c r="B263" s="833" t="s">
        <v>31</v>
      </c>
      <c r="C263" s="833" t="str">
        <f>C25</f>
        <v>Land Access (Ingreso EIA)</v>
      </c>
      <c r="D263" s="866" t="str">
        <f>D25</f>
        <v xml:space="preserve">Tramitación e indemnizacion Servidumbres </v>
      </c>
      <c r="E263" s="878"/>
      <c r="F263" s="878"/>
      <c r="G263" s="878"/>
      <c r="H263" s="878"/>
      <c r="I263" s="878"/>
      <c r="J263" s="831"/>
      <c r="K263" s="843" t="s">
        <v>5</v>
      </c>
      <c r="L263" s="813"/>
      <c r="M263" s="813"/>
      <c r="N263" s="813"/>
      <c r="O263" s="879">
        <f t="shared" ref="O263:Z263" si="67">+O25/SUM($O25:$Z25)</f>
        <v>4.5971552933070668E-2</v>
      </c>
      <c r="P263" s="879">
        <f t="shared" si="67"/>
        <v>0</v>
      </c>
      <c r="Q263" s="879">
        <f t="shared" si="67"/>
        <v>0</v>
      </c>
      <c r="R263" s="879">
        <f t="shared" si="67"/>
        <v>0.77844406461140292</v>
      </c>
      <c r="S263" s="879">
        <f t="shared" si="67"/>
        <v>0</v>
      </c>
      <c r="T263" s="879">
        <f t="shared" si="67"/>
        <v>0.17558438245552643</v>
      </c>
      <c r="U263" s="879">
        <f t="shared" si="67"/>
        <v>0</v>
      </c>
      <c r="V263" s="879">
        <f t="shared" si="67"/>
        <v>0</v>
      </c>
      <c r="W263" s="879">
        <f t="shared" si="67"/>
        <v>0</v>
      </c>
      <c r="X263" s="879">
        <f t="shared" si="67"/>
        <v>0</v>
      </c>
      <c r="Y263" s="879">
        <f t="shared" si="67"/>
        <v>0</v>
      </c>
      <c r="Z263" s="879">
        <f t="shared" si="67"/>
        <v>0</v>
      </c>
    </row>
    <row r="264" spans="1:26" ht="15" hidden="1" outlineLevel="1" x14ac:dyDescent="0.25">
      <c r="A264" s="833" t="e">
        <f>+#REF!</f>
        <v>#REF!</v>
      </c>
      <c r="B264" s="833" t="s">
        <v>32</v>
      </c>
      <c r="C264" s="833" t="e">
        <f>#REF!</f>
        <v>#REF!</v>
      </c>
      <c r="D264" s="866" t="e">
        <f>#REF!</f>
        <v>#REF!</v>
      </c>
      <c r="E264" s="878"/>
      <c r="F264" s="878"/>
      <c r="G264" s="878"/>
      <c r="H264" s="878"/>
      <c r="I264" s="878"/>
      <c r="J264" s="831"/>
      <c r="K264" s="843"/>
      <c r="L264" s="813"/>
      <c r="M264" s="813"/>
      <c r="N264" s="813"/>
      <c r="O264" s="879" t="e">
        <f>+#REF!/SUM(#REF!)</f>
        <v>#REF!</v>
      </c>
      <c r="P264" s="879" t="e">
        <f>+#REF!/SUM(#REF!)</f>
        <v>#REF!</v>
      </c>
      <c r="Q264" s="879" t="e">
        <f>+#REF!/SUM(#REF!)</f>
        <v>#REF!</v>
      </c>
      <c r="R264" s="879" t="e">
        <f>+#REF!/SUM(#REF!)</f>
        <v>#REF!</v>
      </c>
      <c r="S264" s="879" t="e">
        <f>+#REF!/SUM(#REF!)</f>
        <v>#REF!</v>
      </c>
      <c r="T264" s="879" t="e">
        <f>+#REF!/SUM(#REF!)</f>
        <v>#REF!</v>
      </c>
      <c r="U264" s="879" t="e">
        <f>+#REF!/SUM(#REF!)</f>
        <v>#REF!</v>
      </c>
      <c r="V264" s="879" t="e">
        <f>+#REF!/SUM(#REF!)</f>
        <v>#REF!</v>
      </c>
      <c r="W264" s="879" t="e">
        <f>+#REF!/SUM(#REF!)</f>
        <v>#REF!</v>
      </c>
      <c r="X264" s="879" t="e">
        <f>+#REF!/SUM(#REF!)</f>
        <v>#REF!</v>
      </c>
      <c r="Y264" s="879" t="e">
        <f>+#REF!/SUM(#REF!)</f>
        <v>#REF!</v>
      </c>
      <c r="Z264" s="879" t="e">
        <f>+#REF!/SUM(#REF!)</f>
        <v>#REF!</v>
      </c>
    </row>
    <row r="265" spans="1:26" ht="15" hidden="1" outlineLevel="1" x14ac:dyDescent="0.25">
      <c r="A265" s="833" t="e">
        <f>+#REF!</f>
        <v>#REF!</v>
      </c>
      <c r="B265" s="833" t="s">
        <v>256</v>
      </c>
      <c r="C265" s="833" t="e">
        <f>#REF!</f>
        <v>#REF!</v>
      </c>
      <c r="D265" s="866" t="e">
        <f>#REF!</f>
        <v>#REF!</v>
      </c>
      <c r="E265" s="878"/>
      <c r="F265" s="878"/>
      <c r="G265" s="878"/>
      <c r="H265" s="878"/>
      <c r="I265" s="878"/>
      <c r="J265" s="831"/>
      <c r="K265" s="843"/>
      <c r="L265" s="813"/>
      <c r="M265" s="813"/>
      <c r="N265" s="813"/>
      <c r="O265" s="879" t="e">
        <f>+#REF!/SUM(#REF!)</f>
        <v>#REF!</v>
      </c>
      <c r="P265" s="879" t="e">
        <f>+#REF!/SUM(#REF!)</f>
        <v>#REF!</v>
      </c>
      <c r="Q265" s="879" t="e">
        <f>+#REF!/SUM(#REF!)</f>
        <v>#REF!</v>
      </c>
      <c r="R265" s="879" t="e">
        <f>+#REF!/SUM(#REF!)</f>
        <v>#REF!</v>
      </c>
      <c r="S265" s="879" t="e">
        <f>+#REF!/SUM(#REF!)</f>
        <v>#REF!</v>
      </c>
      <c r="T265" s="879" t="e">
        <f>+#REF!/SUM(#REF!)</f>
        <v>#REF!</v>
      </c>
      <c r="U265" s="879" t="e">
        <f>+#REF!/SUM(#REF!)</f>
        <v>#REF!</v>
      </c>
      <c r="V265" s="879" t="e">
        <f>+#REF!/SUM(#REF!)</f>
        <v>#REF!</v>
      </c>
      <c r="W265" s="879" t="e">
        <f>+#REF!/SUM(#REF!)</f>
        <v>#REF!</v>
      </c>
      <c r="X265" s="879" t="e">
        <f>+#REF!/SUM(#REF!)</f>
        <v>#REF!</v>
      </c>
      <c r="Y265" s="879" t="e">
        <f>+#REF!/SUM(#REF!)</f>
        <v>#REF!</v>
      </c>
      <c r="Z265" s="879" t="e">
        <f>+#REF!/SUM(#REF!)</f>
        <v>#REF!</v>
      </c>
    </row>
    <row r="266" spans="1:26" ht="15" hidden="1" outlineLevel="1" x14ac:dyDescent="0.25">
      <c r="A266" s="833" t="e">
        <f>+#REF!</f>
        <v>#REF!</v>
      </c>
      <c r="B266" s="833" t="s">
        <v>257</v>
      </c>
      <c r="C266" s="833" t="e">
        <f>#REF!</f>
        <v>#REF!</v>
      </c>
      <c r="D266" s="866" t="e">
        <f>#REF!</f>
        <v>#REF!</v>
      </c>
      <c r="E266" s="878"/>
      <c r="F266" s="878"/>
      <c r="G266" s="878"/>
      <c r="H266" s="878"/>
      <c r="I266" s="878"/>
      <c r="J266" s="831"/>
      <c r="K266" s="843"/>
      <c r="L266" s="813"/>
      <c r="M266" s="813"/>
      <c r="N266" s="813"/>
      <c r="O266" s="879" t="e">
        <f>+#REF!/SUM(#REF!)</f>
        <v>#REF!</v>
      </c>
      <c r="P266" s="879" t="e">
        <f>+#REF!/SUM(#REF!)</f>
        <v>#REF!</v>
      </c>
      <c r="Q266" s="879" t="e">
        <f>+#REF!/SUM(#REF!)</f>
        <v>#REF!</v>
      </c>
      <c r="R266" s="879" t="e">
        <f>+#REF!/SUM(#REF!)</f>
        <v>#REF!</v>
      </c>
      <c r="S266" s="879" t="e">
        <f>+#REF!/SUM(#REF!)</f>
        <v>#REF!</v>
      </c>
      <c r="T266" s="879" t="e">
        <f>+#REF!/SUM(#REF!)</f>
        <v>#REF!</v>
      </c>
      <c r="U266" s="879" t="e">
        <f>+#REF!/SUM(#REF!)</f>
        <v>#REF!</v>
      </c>
      <c r="V266" s="879" t="e">
        <f>+#REF!/SUM(#REF!)</f>
        <v>#REF!</v>
      </c>
      <c r="W266" s="879" t="e">
        <f>+#REF!/SUM(#REF!)</f>
        <v>#REF!</v>
      </c>
      <c r="X266" s="879" t="e">
        <f>+#REF!/SUM(#REF!)</f>
        <v>#REF!</v>
      </c>
      <c r="Y266" s="879" t="e">
        <f>+#REF!/SUM(#REF!)</f>
        <v>#REF!</v>
      </c>
      <c r="Z266" s="879" t="e">
        <f>+#REF!/SUM(#REF!)</f>
        <v>#REF!</v>
      </c>
    </row>
    <row r="267" spans="1:26" ht="15" hidden="1" outlineLevel="1" x14ac:dyDescent="0.25">
      <c r="A267" s="833" t="e">
        <f>+#REF!</f>
        <v>#REF!</v>
      </c>
      <c r="B267" s="833" t="s">
        <v>258</v>
      </c>
      <c r="C267" s="833" t="e">
        <f>#REF!</f>
        <v>#REF!</v>
      </c>
      <c r="D267" s="866" t="e">
        <f>#REF!</f>
        <v>#REF!</v>
      </c>
      <c r="E267" s="878"/>
      <c r="F267" s="878"/>
      <c r="G267" s="878"/>
      <c r="H267" s="878"/>
      <c r="I267" s="878"/>
      <c r="J267" s="831"/>
      <c r="K267" s="843"/>
      <c r="L267" s="813"/>
      <c r="M267" s="813"/>
      <c r="N267" s="813"/>
      <c r="O267" s="879" t="e">
        <f>+#REF!/SUM(#REF!)</f>
        <v>#REF!</v>
      </c>
      <c r="P267" s="879" t="e">
        <f>+#REF!/SUM(#REF!)</f>
        <v>#REF!</v>
      </c>
      <c r="Q267" s="879" t="e">
        <f>+#REF!/SUM(#REF!)</f>
        <v>#REF!</v>
      </c>
      <c r="R267" s="879" t="e">
        <f>+#REF!/SUM(#REF!)</f>
        <v>#REF!</v>
      </c>
      <c r="S267" s="879" t="e">
        <f>+#REF!/SUM(#REF!)</f>
        <v>#REF!</v>
      </c>
      <c r="T267" s="879" t="e">
        <f>+#REF!/SUM(#REF!)</f>
        <v>#REF!</v>
      </c>
      <c r="U267" s="879" t="e">
        <f>+#REF!/SUM(#REF!)</f>
        <v>#REF!</v>
      </c>
      <c r="V267" s="879" t="e">
        <f>+#REF!/SUM(#REF!)</f>
        <v>#REF!</v>
      </c>
      <c r="W267" s="879" t="e">
        <f>+#REF!/SUM(#REF!)</f>
        <v>#REF!</v>
      </c>
      <c r="X267" s="879" t="e">
        <f>+#REF!/SUM(#REF!)</f>
        <v>#REF!</v>
      </c>
      <c r="Y267" s="879" t="e">
        <f>+#REF!/SUM(#REF!)</f>
        <v>#REF!</v>
      </c>
      <c r="Z267" s="879" t="e">
        <f>+#REF!/SUM(#REF!)</f>
        <v>#REF!</v>
      </c>
    </row>
    <row r="268" spans="1:26" ht="15" hidden="1" outlineLevel="1" x14ac:dyDescent="0.25">
      <c r="A268" s="833" t="str">
        <f>+A28</f>
        <v>3.5</v>
      </c>
      <c r="B268" s="833" t="s">
        <v>259</v>
      </c>
      <c r="C268" s="833" t="str">
        <f>C28</f>
        <v>Permits Licences</v>
      </c>
      <c r="D268" s="866" t="str">
        <f>D28</f>
        <v>Pago de Contribuciones predios superficiales de propiedad del proyecto</v>
      </c>
      <c r="E268" s="878"/>
      <c r="F268" s="878"/>
      <c r="G268" s="878"/>
      <c r="H268" s="878"/>
      <c r="I268" s="878"/>
      <c r="J268" s="831"/>
      <c r="K268" s="843"/>
      <c r="L268" s="813"/>
      <c r="M268" s="813"/>
      <c r="N268" s="813"/>
      <c r="O268" s="879">
        <f t="shared" ref="O268:Z270" si="68">+O28/SUM($O28:$Z28)</f>
        <v>0</v>
      </c>
      <c r="P268" s="879">
        <f t="shared" si="68"/>
        <v>0</v>
      </c>
      <c r="Q268" s="879">
        <f t="shared" si="68"/>
        <v>0</v>
      </c>
      <c r="R268" s="879">
        <f t="shared" si="68"/>
        <v>0.25</v>
      </c>
      <c r="S268" s="879">
        <f t="shared" si="68"/>
        <v>0</v>
      </c>
      <c r="T268" s="879">
        <f t="shared" si="68"/>
        <v>0.25</v>
      </c>
      <c r="U268" s="879">
        <f t="shared" si="68"/>
        <v>0</v>
      </c>
      <c r="V268" s="879">
        <f t="shared" si="68"/>
        <v>0</v>
      </c>
      <c r="W268" s="879">
        <f t="shared" si="68"/>
        <v>0.25</v>
      </c>
      <c r="X268" s="879">
        <f t="shared" si="68"/>
        <v>0</v>
      </c>
      <c r="Y268" s="879">
        <f t="shared" si="68"/>
        <v>0.25</v>
      </c>
      <c r="Z268" s="879">
        <f t="shared" si="68"/>
        <v>0</v>
      </c>
    </row>
    <row r="269" spans="1:26" ht="15" hidden="1" outlineLevel="1" x14ac:dyDescent="0.25">
      <c r="A269" s="833">
        <f>+A29</f>
        <v>0</v>
      </c>
      <c r="B269" s="833" t="s">
        <v>260</v>
      </c>
      <c r="C269" s="833">
        <f>C29</f>
        <v>0</v>
      </c>
      <c r="D269" s="866">
        <f>D29</f>
        <v>0</v>
      </c>
      <c r="E269" s="878"/>
      <c r="F269" s="878"/>
      <c r="G269" s="878"/>
      <c r="H269" s="878"/>
      <c r="I269" s="878"/>
      <c r="J269" s="831"/>
      <c r="K269" s="843" t="s">
        <v>5</v>
      </c>
      <c r="L269" s="813"/>
      <c r="M269" s="813"/>
      <c r="N269" s="813"/>
      <c r="O269" s="879" t="e">
        <f t="shared" si="68"/>
        <v>#VALUE!</v>
      </c>
      <c r="P269" s="879" t="e">
        <f t="shared" si="68"/>
        <v>#DIV/0!</v>
      </c>
      <c r="Q269" s="879" t="e">
        <f t="shared" si="68"/>
        <v>#DIV/0!</v>
      </c>
      <c r="R269" s="879" t="e">
        <f t="shared" si="68"/>
        <v>#DIV/0!</v>
      </c>
      <c r="S269" s="879" t="e">
        <f t="shared" si="68"/>
        <v>#DIV/0!</v>
      </c>
      <c r="T269" s="879" t="e">
        <f t="shared" si="68"/>
        <v>#DIV/0!</v>
      </c>
      <c r="U269" s="879" t="e">
        <f t="shared" si="68"/>
        <v>#DIV/0!</v>
      </c>
      <c r="V269" s="879" t="e">
        <f t="shared" si="68"/>
        <v>#DIV/0!</v>
      </c>
      <c r="W269" s="879" t="e">
        <f t="shared" si="68"/>
        <v>#DIV/0!</v>
      </c>
      <c r="X269" s="879" t="e">
        <f t="shared" si="68"/>
        <v>#DIV/0!</v>
      </c>
      <c r="Y269" s="879" t="e">
        <f t="shared" si="68"/>
        <v>#DIV/0!</v>
      </c>
      <c r="Z269" s="879" t="e">
        <f t="shared" si="68"/>
        <v>#DIV/0!</v>
      </c>
    </row>
    <row r="270" spans="1:26" s="872" customFormat="1" ht="22.5" hidden="1" customHeight="1" outlineLevel="1" x14ac:dyDescent="0.25">
      <c r="A270" s="868"/>
      <c r="B270" s="869"/>
      <c r="C270" s="869"/>
      <c r="D270" s="869"/>
      <c r="E270" s="870"/>
      <c r="F270" s="870"/>
      <c r="G270" s="870"/>
      <c r="H270" s="870"/>
      <c r="I270" s="870"/>
      <c r="J270" s="871" t="s">
        <v>20</v>
      </c>
      <c r="K270" s="877"/>
      <c r="L270" s="830" t="s">
        <v>48</v>
      </c>
      <c r="M270" s="830" t="s">
        <v>55</v>
      </c>
      <c r="N270" s="880">
        <f>SUM(N260:N269)</f>
        <v>12</v>
      </c>
      <c r="O270" s="879">
        <f t="shared" si="68"/>
        <v>0.1030215663896005</v>
      </c>
      <c r="P270" s="879">
        <f t="shared" si="68"/>
        <v>8.5333680458098519E-3</v>
      </c>
      <c r="Q270" s="879">
        <f t="shared" si="68"/>
        <v>4.5573027495541221E-2</v>
      </c>
      <c r="R270" s="879">
        <f t="shared" si="68"/>
        <v>0.56961096428070135</v>
      </c>
      <c r="S270" s="879">
        <f t="shared" si="68"/>
        <v>1.0039389759198906E-2</v>
      </c>
      <c r="T270" s="879">
        <f t="shared" si="68"/>
        <v>0.15247035778813334</v>
      </c>
      <c r="U270" s="879">
        <f t="shared" si="68"/>
        <v>1.3786200934715607E-2</v>
      </c>
      <c r="V270" s="879">
        <f t="shared" si="68"/>
        <v>1.0198415489052556E-2</v>
      </c>
      <c r="W270" s="879">
        <f t="shared" si="68"/>
        <v>1.29694051742693E-2</v>
      </c>
      <c r="X270" s="879">
        <f t="shared" si="68"/>
        <v>1.2322458115263278E-2</v>
      </c>
      <c r="Y270" s="879">
        <f t="shared" si="68"/>
        <v>1.3901969013724301E-2</v>
      </c>
      <c r="Z270" s="879">
        <f t="shared" si="68"/>
        <v>4.7572877513989816E-2</v>
      </c>
    </row>
    <row r="271" spans="1:26" collapsed="1" x14ac:dyDescent="0.25"/>
    <row r="272" spans="1:26" x14ac:dyDescent="0.25">
      <c r="B272" s="815" t="s">
        <v>21</v>
      </c>
      <c r="C272" s="816">
        <v>43831</v>
      </c>
      <c r="N272" s="850"/>
      <c r="P272" s="850"/>
    </row>
    <row r="273" spans="1:26" x14ac:dyDescent="0.25">
      <c r="B273" s="815" t="s">
        <v>23</v>
      </c>
      <c r="C273" s="816">
        <v>42917</v>
      </c>
      <c r="N273" s="850"/>
      <c r="O273" s="850"/>
      <c r="P273" s="850"/>
      <c r="Q273" s="850"/>
      <c r="R273" s="850"/>
      <c r="S273" s="850"/>
      <c r="T273" s="850"/>
      <c r="U273" s="850"/>
      <c r="V273" s="850"/>
      <c r="W273" s="850"/>
      <c r="X273" s="850"/>
      <c r="Y273" s="850"/>
      <c r="Z273" s="850"/>
    </row>
    <row r="274" spans="1:26" x14ac:dyDescent="0.25">
      <c r="N274" s="850"/>
      <c r="O274" s="850"/>
      <c r="P274" s="850"/>
      <c r="Q274" s="850"/>
      <c r="R274" s="850"/>
      <c r="S274" s="850"/>
      <c r="T274" s="850"/>
      <c r="U274" s="850"/>
      <c r="V274" s="850"/>
      <c r="W274" s="850"/>
      <c r="X274" s="850"/>
      <c r="Y274" s="850"/>
      <c r="Z274" s="850"/>
    </row>
    <row r="275" spans="1:26" ht="18" x14ac:dyDescent="0.25">
      <c r="A275" s="881" t="s">
        <v>262</v>
      </c>
      <c r="N275" s="850"/>
      <c r="O275" s="850"/>
      <c r="P275" s="850"/>
      <c r="Q275" s="850"/>
      <c r="R275" s="850"/>
      <c r="S275" s="850"/>
      <c r="T275" s="850"/>
      <c r="U275" s="850"/>
      <c r="V275" s="850"/>
      <c r="W275" s="850"/>
      <c r="X275" s="850"/>
      <c r="Y275" s="850"/>
      <c r="Z275" s="850"/>
    </row>
    <row r="276" spans="1:26" ht="18" x14ac:dyDescent="0.25">
      <c r="A276" s="882" t="s">
        <v>1606</v>
      </c>
      <c r="B276" s="883"/>
    </row>
    <row r="277" spans="1:26" ht="18" x14ac:dyDescent="0.25">
      <c r="A277" s="882" t="s">
        <v>323</v>
      </c>
      <c r="B277" s="883"/>
      <c r="N277" s="850"/>
    </row>
    <row r="279" spans="1:26" ht="36" x14ac:dyDescent="0.25">
      <c r="A279" s="884" t="s">
        <v>1607</v>
      </c>
      <c r="B279" s="885" t="s">
        <v>288</v>
      </c>
      <c r="C279" s="885" t="s">
        <v>320</v>
      </c>
    </row>
    <row r="280" spans="1:26" ht="36" x14ac:dyDescent="0.25">
      <c r="A280" s="884" t="s">
        <v>310</v>
      </c>
      <c r="B280" s="885" t="s">
        <v>289</v>
      </c>
      <c r="C280" s="885" t="s">
        <v>321</v>
      </c>
    </row>
    <row r="281" spans="1:26" ht="54" x14ac:dyDescent="0.25">
      <c r="A281" s="884" t="s">
        <v>311</v>
      </c>
      <c r="B281" s="885" t="s">
        <v>290</v>
      </c>
      <c r="C281" s="885" t="s">
        <v>319</v>
      </c>
    </row>
    <row r="282" spans="1:26" ht="54" x14ac:dyDescent="0.25">
      <c r="A282" s="884" t="s">
        <v>312</v>
      </c>
      <c r="B282" s="885" t="s">
        <v>291</v>
      </c>
      <c r="C282" s="885" t="s">
        <v>322</v>
      </c>
    </row>
    <row r="283" spans="1:26" ht="54" x14ac:dyDescent="0.25">
      <c r="A283" s="884" t="s">
        <v>313</v>
      </c>
      <c r="B283" s="885" t="s">
        <v>292</v>
      </c>
      <c r="C283" s="885" t="s">
        <v>327</v>
      </c>
    </row>
    <row r="284" spans="1:26" ht="36" x14ac:dyDescent="0.25">
      <c r="A284" s="884" t="s">
        <v>314</v>
      </c>
      <c r="B284" s="885" t="s">
        <v>293</v>
      </c>
      <c r="C284" s="885" t="s">
        <v>317</v>
      </c>
    </row>
    <row r="285" spans="1:26" ht="54" x14ac:dyDescent="0.25">
      <c r="A285" s="884" t="s">
        <v>315</v>
      </c>
      <c r="B285" s="885" t="s">
        <v>296</v>
      </c>
      <c r="C285" s="885" t="s">
        <v>318</v>
      </c>
    </row>
    <row r="287" spans="1:26" ht="72" x14ac:dyDescent="0.25">
      <c r="A287" s="881" t="s">
        <v>301</v>
      </c>
      <c r="B287" s="883" t="s">
        <v>1608</v>
      </c>
    </row>
    <row r="289" spans="1:2" ht="54" x14ac:dyDescent="0.25">
      <c r="A289" s="881" t="s">
        <v>303</v>
      </c>
      <c r="B289" s="883" t="s">
        <v>1609</v>
      </c>
    </row>
    <row r="290" spans="1:2" ht="18" x14ac:dyDescent="0.25">
      <c r="A290" s="883"/>
    </row>
    <row r="291" spans="1:2" ht="72" x14ac:dyDescent="0.25">
      <c r="A291" s="881" t="s">
        <v>304</v>
      </c>
      <c r="B291" s="817" t="s">
        <v>1610</v>
      </c>
    </row>
    <row r="292" spans="1:2" ht="18" x14ac:dyDescent="0.25">
      <c r="A292" s="883"/>
    </row>
    <row r="293" spans="1:2" ht="54" x14ac:dyDescent="0.25">
      <c r="A293" s="883" t="s">
        <v>308</v>
      </c>
      <c r="B293" s="883" t="s">
        <v>1611</v>
      </c>
    </row>
  </sheetData>
  <mergeCells count="52">
    <mergeCell ref="E42:K42"/>
    <mergeCell ref="E35:K35"/>
    <mergeCell ref="E36:K36"/>
    <mergeCell ref="E38:K38"/>
    <mergeCell ref="E39:K39"/>
    <mergeCell ref="E41:K41"/>
    <mergeCell ref="E59:K59"/>
    <mergeCell ref="E44:K44"/>
    <mergeCell ref="E45:K45"/>
    <mergeCell ref="E46:K46"/>
    <mergeCell ref="E48:K48"/>
    <mergeCell ref="E50:K50"/>
    <mergeCell ref="E52:K52"/>
    <mergeCell ref="E54:K54"/>
    <mergeCell ref="E55:K55"/>
    <mergeCell ref="E56:K56"/>
    <mergeCell ref="E57:K57"/>
    <mergeCell ref="E58:K58"/>
    <mergeCell ref="E80:K80"/>
    <mergeCell ref="E61:K61"/>
    <mergeCell ref="E66:K66"/>
    <mergeCell ref="E67:K67"/>
    <mergeCell ref="E70:K70"/>
    <mergeCell ref="E72:K72"/>
    <mergeCell ref="E73:K73"/>
    <mergeCell ref="E74:K74"/>
    <mergeCell ref="E75:K75"/>
    <mergeCell ref="E76:K76"/>
    <mergeCell ref="E78:K78"/>
    <mergeCell ref="E79:K79"/>
    <mergeCell ref="E94:K94"/>
    <mergeCell ref="E81:K81"/>
    <mergeCell ref="E82:K82"/>
    <mergeCell ref="E84:K84"/>
    <mergeCell ref="E85:K85"/>
    <mergeCell ref="E86:K86"/>
    <mergeCell ref="E87:K87"/>
    <mergeCell ref="E88:K88"/>
    <mergeCell ref="E90:K90"/>
    <mergeCell ref="E91:K91"/>
    <mergeCell ref="E92:K92"/>
    <mergeCell ref="E93:K93"/>
    <mergeCell ref="E103:K103"/>
    <mergeCell ref="E104:K104"/>
    <mergeCell ref="E105:K105"/>
    <mergeCell ref="E106:K106"/>
    <mergeCell ref="E96:K96"/>
    <mergeCell ref="E97:K97"/>
    <mergeCell ref="E98:K98"/>
    <mergeCell ref="E99:K99"/>
    <mergeCell ref="E100:K100"/>
    <mergeCell ref="E102:K102"/>
  </mergeCells>
  <dataValidations count="5">
    <dataValidation type="list" allowBlank="1" showInputMessage="1" showErrorMessage="1" sqref="F251:F255 F244:F248 F237:F241 F230:F234 F223:F227 F165:F171 F161 F175:F177 F149 F203:F208 F212:F215 F134:F137 F181:F199 F153:F155">
      <formula1>$A$3:$A$9</formula1>
    </dataValidation>
    <dataValidation type="list" allowBlank="1" showInputMessage="1" showErrorMessage="1" sqref="M260:M270 L260:L269 H244:K247 H237:K240 H230:K233 H223:K226 H251:K254 H227:I227 H234:J234 H241:J241 H248:J248 H255:J255">
      <formula1>$C$3:$C$15</formula1>
    </dataValidation>
    <dataValidation type="list" allowBlank="1" showInputMessage="1" showErrorMessage="1" sqref="L30">
      <formula1>$D$4:$D$15</formula1>
    </dataValidation>
    <dataValidation type="list" allowBlank="1" showInputMessage="1" showErrorMessage="1" sqref="L270 J227">
      <formula1>$C$3:$C$14</formula1>
    </dataValidation>
    <dataValidation type="list" allowBlank="1" showInputMessage="1" showErrorMessage="1" sqref="L102:L106 L70 L72:L76 L78:L82 L84:L88 L90:L94 L96:L100 L48 L50 L52 L54 L38:L39">
      <formula1>$G$2:$G$8</formula1>
    </dataValidation>
  </dataValidations>
  <printOptions horizontalCentered="1"/>
  <pageMargins left="0.31496062992125984" right="0.31496062992125984" top="1.1811023622047245" bottom="1.1811023622047245" header="0.31496062992125984" footer="0.31496062992125984"/>
  <pageSetup paperSize="17" scale="69"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3">
        <x14:dataValidation type="list" allowBlank="1" showInputMessage="1" showErrorMessage="1">
          <x14:formula1>
            <xm:f>'C:\NuevaUnion\00_AREA LEGAL\COSTOS  AREA LEGAL\Preparacion Presupuesto 2018_jul2017\[Budget Legal 2019_29nov2017mejorado.xlsx]CCs &amp; Accounts'!#REF!</xm:f>
          </x14:formula1>
          <xm:sqref>E182:E194</xm:sqref>
        </x14:dataValidation>
        <x14:dataValidation type="list" allowBlank="1" showInputMessage="1" showErrorMessage="1">
          <x14:formula1>
            <xm:f>'C:\NuevaUnion\00_AREA LEGAL\COSTOS  AREA LEGAL\Preparacion Presupuesto 2018_jul2017\[Budget Legal 2019_29nov2017mejorado.xlsx]Lists'!#REF!</xm:f>
          </x14:formula1>
          <xm:sqref>H182:M194</xm:sqref>
        </x14:dataValidation>
        <x14:dataValidation type="list" allowBlank="1" showInputMessage="1" showErrorMessage="1">
          <x14:formula1>
            <xm:f>'C:\NuevaUnion\00_AREA LEGAL\COSTOS  AREA LEGAL\Preparacion Presupuesto 2018_jul2017\[Budget Legal 2018_29nov2017.xlsx]CCs &amp; Accounts'!#REF!</xm:f>
          </x14:formula1>
          <xm:sqref>E19:E20</xm:sqref>
        </x14:dataValidation>
        <x14:dataValidation type="list" allowBlank="1" showInputMessage="1" showErrorMessage="1">
          <x14:formula1>
            <xm:f>'C:\NuevaUnion\00_AREA LEGAL\COSTOS  AREA LEGAL\Preparacion Presupuesto 2018_jul2017\[Budget Legal 2018_29nov2017.xlsx]Lists'!#REF!</xm:f>
          </x14:formula1>
          <xm:sqref>L19:L20</xm:sqref>
        </x14:dataValidation>
        <x14:dataValidation type="list" allowBlank="1" showInputMessage="1" showErrorMessage="1">
          <x14:formula1>
            <xm:f>'C:\NuevaUnion\00_AREA LEGAL\COSTOS  AREA LEGAL\Preparacion Presupuesto 2018_jul2017\[Budget Legal 2019_25sep2017.xlsx]Lists'!#REF!</xm:f>
          </x14:formula1>
          <xm:sqref>L35:L36 L44:L45 L47 L56:L67 L41</xm:sqref>
        </x14:dataValidation>
        <x14:dataValidation type="list" allowBlank="1" showInputMessage="1" showErrorMessage="1">
          <x14:formula1>
            <xm:f>'C:\NuevaUnion\00_AREA LEGAL\COSTOS  AREA LEGAL\Preparacion Presupuesto 2018_jul2017\[Budget Legal 2018_01sep2017.xlsx]Lists'!#REF!</xm:f>
          </x14:formula1>
          <xm:sqref>H204:M205 H214:M214</xm:sqref>
        </x14:dataValidation>
        <x14:dataValidation type="list" allowBlank="1" showInputMessage="1" showErrorMessage="1">
          <x14:formula1>
            <xm:f>'C:\NuevaUnion\00_AREA LEGAL\COSTOS  AREA LEGAL\Preparacion Presupuesto 2018_jul2017\[Budget Legal 2018_01sep2017.xlsx]CCs &amp; Accounts'!#REF!</xm:f>
          </x14:formula1>
          <xm:sqref>E204:E205 E214</xm:sqref>
        </x14:dataValidation>
        <x14:dataValidation type="list" allowBlank="1" showInputMessage="1" showErrorMessage="1">
          <x14:formula1>
            <xm:f>'C:\Users\gineva.alcota\AppData\Local\Microsoft\Windows\INetCache\Content.Outlook\YCN3EFJG\[Budget Legal 2020_29nov2017_mejorado.xlsx]Lists'!#REF!</xm:f>
          </x14:formula1>
          <xm:sqref>L251:M254 L219:M219 L223:M226 L230:M233 L237:M240 L244:M247 L111:L114 L220 M165:M171 M161 L161:L162 L165:L172 L175:L178 M175:M177 L212:M213 M141:M149 M208 L203:M203 L206:M207 L208:L209 M215 L215:L216 L118:L122 L17:L18 L21:L28 M125:M130 L125:L138 M132:M137 L141:L150 L181:M181 L195:L200 M195:M199 M153:M157 L153:L158</xm:sqref>
        </x14:dataValidation>
        <x14:dataValidation type="list" allowBlank="1" showInputMessage="1" showErrorMessage="1">
          <x14:formula1>
            <xm:f>'C:\Users\gineva.alcota\AppData\Local\Microsoft\Windows\INetCache\Content.Outlook\YCN3EFJG\[Budget Legal 2020_29nov2017_mejorado.xlsx]Lists'!#REF!</xm:f>
          </x14:formula1>
          <xm:sqref>F118:F121 F111:F114 F219 F156:F157 F125:F133 F141:F148</xm:sqref>
        </x14:dataValidation>
        <x14:dataValidation type="list" allowBlank="1" showInputMessage="1" showErrorMessage="1">
          <x14:formula1>
            <xm:f>'C:\Users\gineva.alcota\AppData\Local\Microsoft\Windows\INetCache\Content.Outlook\YCN3EFJG\[Budget Legal 2020_29nov2017_mejorado.xlsx]Lists'!#REF!</xm:f>
          </x14:formula1>
          <xm:sqref>H219:K219 H111:K114 H118:K121 M118:M121 H165:K171 H161:K161 H175:K177 H141:K149 H203:K203 H206:K208 H215:K215 H212:K213 H125:K137 H181:K181 H195:K199 H153:K157</xm:sqref>
        </x14:dataValidation>
        <x14:dataValidation type="list" allowBlank="1" showInputMessage="1" showErrorMessage="1">
          <x14:formula1>
            <xm:f>'C:\Users\gineva.alcota\AppData\Local\Microsoft\Windows\INetCache\Content.Outlook\YCN3EFJG\[Budget Legal 2020_29nov2017_mejorado.xlsx]Lists'!#REF!</xm:f>
          </x14:formula1>
          <xm:sqref>N260:N269</xm:sqref>
        </x14:dataValidation>
        <x14:dataValidation type="list" allowBlank="1" showInputMessage="1" showErrorMessage="1">
          <x14:formula1>
            <xm:f>'C:\Users\gineva.alcota\AppData\Local\Microsoft\Windows\INetCache\Content.Outlook\YCN3EFJG\[Budget Legal 2020_29nov2017_mejorado.xlsx]Lists'!#REF!</xm:f>
          </x14:formula1>
          <xm:sqref>B8</xm:sqref>
        </x14:dataValidation>
        <x14:dataValidation type="list" allowBlank="1" showInputMessage="1" showErrorMessage="1">
          <x14:formula1>
            <xm:f>'C:\Users\gineva.alcota\AppData\Local\Microsoft\Windows\INetCache\Content.Outlook\YCN3EFJG\[Budget Legal 2020_29nov2017_mejorado.xlsx]CCs &amp; Accounts'!#REF!</xm:f>
          </x14:formula1>
          <xm:sqref>E111:E114 E223:E227 E230:E234 E237:E241 E244:E248 E251:E255 E118:E121 E219 E165:E171 E161 E175:E177 E141:E149 E203 E206:E208 E212:E213 E215 E17:E18 E21:E29 E125:E137 E181 E195:E199 E153:E157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pageSetUpPr fitToPage="1"/>
  </sheetPr>
  <dimension ref="A1:AA214"/>
  <sheetViews>
    <sheetView showGridLines="0" topLeftCell="A122" zoomScale="80" zoomScaleNormal="80" zoomScalePageLayoutView="60" workbookViewId="0">
      <selection activeCell="A151" sqref="A151"/>
    </sheetView>
  </sheetViews>
  <sheetFormatPr baseColWidth="10" defaultColWidth="11.42578125" defaultRowHeight="14.25" outlineLevelRow="1" outlineLevelCol="1" x14ac:dyDescent="0.25"/>
  <cols>
    <col min="1" max="1" width="18.140625" style="9" customWidth="1"/>
    <col min="2" max="2" width="32" style="9" customWidth="1"/>
    <col min="3" max="3" width="43.7109375" style="9" customWidth="1"/>
    <col min="4" max="4" width="79.42578125" style="9" customWidth="1"/>
    <col min="5" max="5" width="17.5703125" style="9" customWidth="1"/>
    <col min="6" max="6" width="23" style="9" customWidth="1"/>
    <col min="7" max="8" width="17.5703125" style="9" customWidth="1"/>
    <col min="9" max="10" width="11.5703125" style="9" customWidth="1"/>
    <col min="11" max="11" width="17.5703125" style="9" customWidth="1"/>
    <col min="12" max="13" width="17.7109375" style="9"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215</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VLOOKUP(B8,Lists!E1:I41,3,FALSE)</f>
        <v>684 SERA</v>
      </c>
      <c r="C10" s="84"/>
      <c r="D10" s="77" t="str">
        <f>VLOOKUP(B8,Lists!E1:I41,2,FALSE)</f>
        <v>Petri Sopera</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43328</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27.75" customHeight="1" x14ac:dyDescent="0.25">
      <c r="A17" s="152" t="s">
        <v>154</v>
      </c>
      <c r="B17" s="93" t="s">
        <v>1006</v>
      </c>
      <c r="C17" s="93" t="s">
        <v>1007</v>
      </c>
      <c r="D17" s="10" t="s">
        <v>1008</v>
      </c>
      <c r="E17" s="11" t="s">
        <v>214</v>
      </c>
      <c r="F17" s="48"/>
      <c r="G17" s="48"/>
      <c r="H17" s="48"/>
      <c r="I17" s="48"/>
      <c r="J17" s="48"/>
      <c r="K17" s="48"/>
      <c r="L17" s="11"/>
      <c r="M17" s="53">
        <f>+M103</f>
        <v>0</v>
      </c>
      <c r="N17" s="11">
        <f>SUM(O17:Z17)</f>
        <v>157265</v>
      </c>
      <c r="O17" s="52">
        <f t="shared" ref="O17:Z17" si="0">+O103</f>
        <v>50620</v>
      </c>
      <c r="P17" s="52">
        <f t="shared" si="0"/>
        <v>50620</v>
      </c>
      <c r="Q17" s="52">
        <f t="shared" si="0"/>
        <v>56025</v>
      </c>
      <c r="R17" s="52">
        <f t="shared" si="0"/>
        <v>0</v>
      </c>
      <c r="S17" s="52">
        <f t="shared" si="0"/>
        <v>0</v>
      </c>
      <c r="T17" s="52">
        <f t="shared" si="0"/>
        <v>0</v>
      </c>
      <c r="U17" s="52">
        <f t="shared" si="0"/>
        <v>0</v>
      </c>
      <c r="V17" s="52">
        <f t="shared" si="0"/>
        <v>0</v>
      </c>
      <c r="W17" s="52">
        <f t="shared" si="0"/>
        <v>0</v>
      </c>
      <c r="X17" s="52">
        <f t="shared" si="0"/>
        <v>0</v>
      </c>
      <c r="Y17" s="52">
        <f t="shared" si="0"/>
        <v>0</v>
      </c>
      <c r="Z17" s="52">
        <f t="shared" si="0"/>
        <v>0</v>
      </c>
    </row>
    <row r="18" spans="1:26" ht="29.25" customHeight="1" x14ac:dyDescent="0.25">
      <c r="A18" s="152" t="s">
        <v>157</v>
      </c>
      <c r="B18" s="93" t="s">
        <v>1009</v>
      </c>
      <c r="C18" s="93" t="s">
        <v>1010</v>
      </c>
      <c r="D18" s="10" t="s">
        <v>1008</v>
      </c>
      <c r="E18" s="11" t="s">
        <v>214</v>
      </c>
      <c r="F18" s="48"/>
      <c r="G18" s="48"/>
      <c r="H18" s="48"/>
      <c r="I18" s="48"/>
      <c r="J18" s="48"/>
      <c r="K18" s="48"/>
      <c r="L18" s="11"/>
      <c r="M18" s="53">
        <f>+M118</f>
        <v>0</v>
      </c>
      <c r="N18" s="11">
        <f t="shared" ref="N18" si="1">SUM(O18:Z18)</f>
        <v>310991</v>
      </c>
      <c r="O18" s="52">
        <f t="shared" ref="O18:Z18" si="2">+O118</f>
        <v>0</v>
      </c>
      <c r="P18" s="52">
        <f t="shared" si="2"/>
        <v>0</v>
      </c>
      <c r="Q18" s="52">
        <f t="shared" si="2"/>
        <v>0</v>
      </c>
      <c r="R18" s="52">
        <f t="shared" si="2"/>
        <v>50931</v>
      </c>
      <c r="S18" s="52">
        <f t="shared" si="2"/>
        <v>50931</v>
      </c>
      <c r="T18" s="52">
        <f t="shared" si="2"/>
        <v>50931</v>
      </c>
      <c r="U18" s="52">
        <f t="shared" si="2"/>
        <v>50931</v>
      </c>
      <c r="V18" s="52">
        <f t="shared" si="2"/>
        <v>50931</v>
      </c>
      <c r="W18" s="52">
        <f t="shared" si="2"/>
        <v>56336</v>
      </c>
      <c r="X18" s="52">
        <f t="shared" si="2"/>
        <v>0</v>
      </c>
      <c r="Y18" s="52">
        <f t="shared" si="2"/>
        <v>0</v>
      </c>
      <c r="Z18" s="52">
        <f t="shared" si="2"/>
        <v>0</v>
      </c>
    </row>
    <row r="19" spans="1:26" ht="30" x14ac:dyDescent="0.25">
      <c r="A19" s="152" t="s">
        <v>158</v>
      </c>
      <c r="B19" s="93" t="s">
        <v>1011</v>
      </c>
      <c r="C19" s="93" t="s">
        <v>1012</v>
      </c>
      <c r="D19" s="10" t="s">
        <v>1008</v>
      </c>
      <c r="E19" s="11" t="s">
        <v>214</v>
      </c>
      <c r="F19" s="48"/>
      <c r="G19" s="48"/>
      <c r="H19" s="48"/>
      <c r="I19" s="48"/>
      <c r="J19" s="48"/>
      <c r="K19" s="48"/>
      <c r="L19" s="11"/>
      <c r="M19" s="53">
        <f>+M134</f>
        <v>0</v>
      </c>
      <c r="N19" s="11">
        <f t="shared" ref="N19:Z19" si="3">+N134</f>
        <v>152793</v>
      </c>
      <c r="O19" s="52">
        <f t="shared" si="3"/>
        <v>0</v>
      </c>
      <c r="P19" s="52">
        <f t="shared" si="3"/>
        <v>0</v>
      </c>
      <c r="Q19" s="52">
        <f t="shared" si="3"/>
        <v>0</v>
      </c>
      <c r="R19" s="52">
        <f t="shared" si="3"/>
        <v>0</v>
      </c>
      <c r="S19" s="52">
        <f t="shared" si="3"/>
        <v>0</v>
      </c>
      <c r="T19" s="52">
        <f t="shared" si="3"/>
        <v>0</v>
      </c>
      <c r="U19" s="52">
        <f t="shared" si="3"/>
        <v>0</v>
      </c>
      <c r="V19" s="52">
        <f t="shared" si="3"/>
        <v>0</v>
      </c>
      <c r="W19" s="52">
        <f t="shared" si="3"/>
        <v>0</v>
      </c>
      <c r="X19" s="52">
        <f t="shared" si="3"/>
        <v>50931</v>
      </c>
      <c r="Y19" s="52">
        <f t="shared" si="3"/>
        <v>50931</v>
      </c>
      <c r="Z19" s="52">
        <f t="shared" si="3"/>
        <v>50931</v>
      </c>
    </row>
    <row r="20" spans="1:26" ht="27.75" customHeight="1" x14ac:dyDescent="0.25">
      <c r="A20" s="152" t="s">
        <v>159</v>
      </c>
      <c r="B20" s="93" t="s">
        <v>1013</v>
      </c>
      <c r="C20" s="93" t="s">
        <v>1013</v>
      </c>
      <c r="D20" s="10" t="s">
        <v>1014</v>
      </c>
      <c r="E20" s="11" t="s">
        <v>214</v>
      </c>
      <c r="F20" s="48"/>
      <c r="G20" s="48"/>
      <c r="H20" s="48"/>
      <c r="I20" s="48"/>
      <c r="J20" s="48"/>
      <c r="K20" s="48"/>
      <c r="L20" s="11"/>
      <c r="M20" s="11">
        <f>+M135</f>
        <v>0</v>
      </c>
      <c r="N20" s="52">
        <f>N141</f>
        <v>36996</v>
      </c>
      <c r="O20" s="52">
        <f>O141</f>
        <v>6833</v>
      </c>
      <c r="P20" s="52">
        <f t="shared" ref="P20:Z20" si="4">P141</f>
        <v>6833</v>
      </c>
      <c r="Q20" s="52">
        <f t="shared" si="4"/>
        <v>6833</v>
      </c>
      <c r="R20" s="52">
        <f t="shared" si="4"/>
        <v>1833</v>
      </c>
      <c r="S20" s="52">
        <f t="shared" si="4"/>
        <v>1833</v>
      </c>
      <c r="T20" s="52">
        <f t="shared" si="4"/>
        <v>1833</v>
      </c>
      <c r="U20" s="52">
        <f t="shared" si="4"/>
        <v>1833</v>
      </c>
      <c r="V20" s="52">
        <f t="shared" si="4"/>
        <v>1833</v>
      </c>
      <c r="W20" s="52">
        <f t="shared" si="4"/>
        <v>1833</v>
      </c>
      <c r="X20" s="52">
        <f t="shared" si="4"/>
        <v>1833</v>
      </c>
      <c r="Y20" s="52">
        <f t="shared" si="4"/>
        <v>1833</v>
      </c>
      <c r="Z20" s="52">
        <f t="shared" si="4"/>
        <v>1833</v>
      </c>
    </row>
    <row r="21" spans="1:26" ht="15" customHeight="1" x14ac:dyDescent="0.25">
      <c r="A21" s="152" t="s">
        <v>160</v>
      </c>
      <c r="B21" s="93" t="s">
        <v>1149</v>
      </c>
      <c r="C21" s="93" t="s">
        <v>1149</v>
      </c>
      <c r="D21" s="10" t="s">
        <v>1149</v>
      </c>
      <c r="E21" s="11" t="s">
        <v>214</v>
      </c>
      <c r="F21" s="48"/>
      <c r="G21" s="48"/>
      <c r="H21" s="48"/>
      <c r="I21" s="48"/>
      <c r="J21" s="48"/>
      <c r="K21" s="48"/>
      <c r="L21" s="11"/>
      <c r="M21" s="48"/>
      <c r="N21" s="52">
        <f>+N148</f>
        <v>99999.999999999985</v>
      </c>
      <c r="O21" s="52">
        <f>+O148</f>
        <v>8333.3333333333339</v>
      </c>
      <c r="P21" s="52">
        <f t="shared" ref="P21:Z21" si="5">+P148</f>
        <v>8333.3333333333339</v>
      </c>
      <c r="Q21" s="52">
        <f t="shared" si="5"/>
        <v>8333.3333333333339</v>
      </c>
      <c r="R21" s="52">
        <f t="shared" si="5"/>
        <v>8333.3333333333339</v>
      </c>
      <c r="S21" s="52">
        <f t="shared" si="5"/>
        <v>8333.3333333333339</v>
      </c>
      <c r="T21" s="52">
        <f t="shared" si="5"/>
        <v>8333.3333333333339</v>
      </c>
      <c r="U21" s="52">
        <f t="shared" si="5"/>
        <v>8333.3333333333339</v>
      </c>
      <c r="V21" s="52">
        <f t="shared" si="5"/>
        <v>8333.3333333333339</v>
      </c>
      <c r="W21" s="52">
        <f t="shared" si="5"/>
        <v>8333.3333333333339</v>
      </c>
      <c r="X21" s="52">
        <f t="shared" si="5"/>
        <v>8333.3333333333339</v>
      </c>
      <c r="Y21" s="52">
        <f t="shared" si="5"/>
        <v>8333.3333333333339</v>
      </c>
      <c r="Z21" s="52">
        <f t="shared" si="5"/>
        <v>8333.3333333333339</v>
      </c>
    </row>
    <row r="22" spans="1:26" ht="15" hidden="1" x14ac:dyDescent="0.25">
      <c r="A22" s="93"/>
      <c r="B22" s="93"/>
      <c r="C22" s="93"/>
      <c r="D22" s="10"/>
      <c r="E22" s="11"/>
      <c r="F22" s="48"/>
      <c r="G22" s="48"/>
      <c r="H22" s="48"/>
      <c r="I22" s="48"/>
      <c r="J22" s="48"/>
      <c r="K22" s="48"/>
      <c r="L22" s="11"/>
      <c r="M22" s="48"/>
      <c r="N22" s="52"/>
      <c r="O22" s="52" t="str">
        <f t="shared" ref="O22" si="6">+O149</f>
        <v xml:space="preserve"> </v>
      </c>
      <c r="P22" s="12"/>
      <c r="Q22" s="12"/>
      <c r="R22" s="12"/>
      <c r="S22" s="12"/>
      <c r="T22" s="12"/>
      <c r="U22" s="12"/>
      <c r="V22" s="12"/>
      <c r="W22" s="12"/>
      <c r="X22" s="12"/>
      <c r="Y22" s="12"/>
      <c r="Z22" s="12"/>
    </row>
    <row r="23" spans="1:26" ht="15" hidden="1" x14ac:dyDescent="0.25">
      <c r="A23" s="93"/>
      <c r="B23" s="93"/>
      <c r="C23" s="93"/>
      <c r="D23" s="10"/>
      <c r="E23" s="11"/>
      <c r="F23" s="48"/>
      <c r="G23" s="48"/>
      <c r="H23" s="48"/>
      <c r="I23" s="48"/>
      <c r="J23" s="48"/>
      <c r="K23" s="48"/>
      <c r="L23" s="11"/>
      <c r="M23" s="48"/>
      <c r="N23" s="52"/>
      <c r="O23" s="52"/>
      <c r="P23" s="12"/>
      <c r="Q23" s="12"/>
      <c r="R23" s="12"/>
      <c r="S23" s="12"/>
      <c r="T23" s="12"/>
      <c r="U23" s="12"/>
      <c r="V23" s="12"/>
      <c r="W23" s="12"/>
      <c r="X23" s="12"/>
      <c r="Y23" s="12"/>
      <c r="Z23" s="12"/>
    </row>
    <row r="24" spans="1:26" ht="15" hidden="1" x14ac:dyDescent="0.25">
      <c r="A24" s="93"/>
      <c r="B24" s="93"/>
      <c r="C24" s="93"/>
      <c r="D24" s="10"/>
      <c r="E24" s="11"/>
      <c r="F24" s="48"/>
      <c r="G24" s="48"/>
      <c r="H24" s="48"/>
      <c r="I24" s="48"/>
      <c r="J24" s="48"/>
      <c r="K24" s="48"/>
      <c r="L24" s="11"/>
      <c r="M24" s="48"/>
      <c r="N24" s="52"/>
      <c r="O24" s="52"/>
      <c r="P24" s="12"/>
      <c r="Q24" s="12"/>
      <c r="R24" s="12"/>
      <c r="S24" s="12"/>
      <c r="T24" s="12"/>
      <c r="U24" s="12"/>
      <c r="V24" s="12"/>
      <c r="W24" s="12"/>
      <c r="X24" s="12"/>
      <c r="Y24" s="12"/>
      <c r="Z24" s="12"/>
    </row>
    <row r="25" spans="1:26" ht="15" hidden="1" x14ac:dyDescent="0.25">
      <c r="A25" s="93"/>
      <c r="B25" s="93"/>
      <c r="C25" s="93"/>
      <c r="D25" s="10"/>
      <c r="E25" s="11"/>
      <c r="F25" s="48"/>
      <c r="G25" s="48"/>
      <c r="H25" s="48"/>
      <c r="I25" s="48"/>
      <c r="J25" s="48"/>
      <c r="K25" s="48"/>
      <c r="L25" s="11"/>
      <c r="M25" s="48"/>
      <c r="N25" s="52"/>
      <c r="O25" s="52"/>
      <c r="P25" s="12"/>
      <c r="Q25" s="12"/>
      <c r="R25" s="12"/>
      <c r="S25" s="12"/>
      <c r="T25" s="12"/>
      <c r="U25" s="12"/>
      <c r="V25" s="12"/>
      <c r="W25" s="12"/>
      <c r="X25" s="12"/>
      <c r="Y25" s="12"/>
      <c r="Z25" s="12"/>
    </row>
    <row r="26" spans="1:26" ht="15" hidden="1" x14ac:dyDescent="0.25">
      <c r="A26" s="93"/>
      <c r="B26" s="93"/>
      <c r="C26" s="93"/>
      <c r="D26" s="10"/>
      <c r="E26" s="11"/>
      <c r="F26" s="48"/>
      <c r="G26" s="48"/>
      <c r="H26" s="48"/>
      <c r="I26" s="48"/>
      <c r="J26" s="48"/>
      <c r="K26" s="48"/>
      <c r="L26" s="11"/>
      <c r="M26" s="48"/>
      <c r="N26" s="52"/>
      <c r="O26" s="52"/>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0</v>
      </c>
      <c r="N27" s="32">
        <f>SUM(N17:N26)</f>
        <v>758045</v>
      </c>
      <c r="O27" s="32">
        <f>SUM(O17:O26)</f>
        <v>65786.333333333328</v>
      </c>
      <c r="P27" s="32">
        <f t="shared" ref="P27:Z27" si="7">SUM(P17:P26)</f>
        <v>65786.333333333328</v>
      </c>
      <c r="Q27" s="32">
        <f t="shared" si="7"/>
        <v>71191.333333333328</v>
      </c>
      <c r="R27" s="32">
        <f t="shared" si="7"/>
        <v>61097.333333333336</v>
      </c>
      <c r="S27" s="32">
        <f t="shared" si="7"/>
        <v>61097.333333333336</v>
      </c>
      <c r="T27" s="32">
        <f t="shared" si="7"/>
        <v>61097.333333333336</v>
      </c>
      <c r="U27" s="32">
        <f t="shared" si="7"/>
        <v>61097.333333333336</v>
      </c>
      <c r="V27" s="32">
        <f t="shared" si="7"/>
        <v>61097.333333333336</v>
      </c>
      <c r="W27" s="32">
        <f t="shared" si="7"/>
        <v>66502.333333333328</v>
      </c>
      <c r="X27" s="32">
        <f t="shared" si="7"/>
        <v>61097.333333333336</v>
      </c>
      <c r="Y27" s="32">
        <f t="shared" si="7"/>
        <v>61097.333333333336</v>
      </c>
      <c r="Z27" s="32">
        <f t="shared" si="7"/>
        <v>61097.333333333336</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 xml:space="preserve">Phase II B Finish Phase II B Resettlement </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x14ac:dyDescent="0.25">
      <c r="A32" s="152" t="s">
        <v>250</v>
      </c>
      <c r="B32" s="7" t="s">
        <v>34</v>
      </c>
      <c r="C32" s="7" t="s">
        <v>1015</v>
      </c>
      <c r="D32" s="10" t="s">
        <v>1016</v>
      </c>
      <c r="E32" s="1001"/>
      <c r="F32" s="1001"/>
      <c r="G32" s="1001"/>
      <c r="H32" s="1001"/>
      <c r="I32" s="1001"/>
      <c r="J32" s="1001"/>
      <c r="K32" s="1002"/>
      <c r="L32" s="11" t="s">
        <v>113</v>
      </c>
      <c r="M32" s="48"/>
      <c r="N32" s="12"/>
      <c r="O32" s="12" t="s">
        <v>5</v>
      </c>
      <c r="P32" s="12"/>
      <c r="Q32" s="12"/>
      <c r="R32" s="12"/>
      <c r="S32" s="12"/>
      <c r="T32" s="12"/>
      <c r="U32" s="12"/>
      <c r="V32" s="12"/>
      <c r="W32" s="12"/>
      <c r="X32" s="12"/>
      <c r="Y32" s="12"/>
      <c r="Z32" s="12"/>
    </row>
    <row r="33" spans="1:26" ht="15" x14ac:dyDescent="0.25">
      <c r="A33" s="152" t="s">
        <v>263</v>
      </c>
      <c r="B33" s="7" t="s">
        <v>36</v>
      </c>
      <c r="C33" s="7" t="s">
        <v>103</v>
      </c>
      <c r="D33" s="1017" t="s">
        <v>1017</v>
      </c>
      <c r="E33" s="1001"/>
      <c r="F33" s="1001"/>
      <c r="G33" s="1001"/>
      <c r="H33" s="1001"/>
      <c r="I33" s="1001"/>
      <c r="J33" s="1001"/>
      <c r="K33" s="1002"/>
      <c r="L33" s="11" t="s">
        <v>113</v>
      </c>
      <c r="M33" s="48"/>
      <c r="N33" s="12"/>
      <c r="O33" s="12" t="s">
        <v>5</v>
      </c>
      <c r="P33" s="12"/>
      <c r="Q33" s="12"/>
      <c r="R33" s="12"/>
      <c r="S33" s="12"/>
      <c r="T33" s="12"/>
      <c r="U33" s="12"/>
      <c r="V33" s="12"/>
      <c r="W33" s="12"/>
      <c r="X33" s="12"/>
      <c r="Y33" s="12"/>
      <c r="Z33" s="12"/>
    </row>
    <row r="34" spans="1:26" ht="15" x14ac:dyDescent="0.25">
      <c r="A34" s="152"/>
      <c r="B34" s="7" t="s">
        <v>698</v>
      </c>
      <c r="C34" s="7" t="s">
        <v>1018</v>
      </c>
      <c r="D34" s="10" t="s">
        <v>1019</v>
      </c>
      <c r="E34" s="1001" t="s">
        <v>5</v>
      </c>
      <c r="F34" s="1001" t="s">
        <v>5</v>
      </c>
      <c r="G34" s="1001" t="s">
        <v>5</v>
      </c>
      <c r="H34" s="1001"/>
      <c r="I34" s="1001"/>
      <c r="J34" s="1001"/>
      <c r="K34" s="1002" t="s">
        <v>5</v>
      </c>
      <c r="L34" s="11" t="s">
        <v>99</v>
      </c>
      <c r="M34" s="48"/>
      <c r="N34" s="12"/>
      <c r="O34" s="12" t="s">
        <v>5</v>
      </c>
      <c r="P34" s="12"/>
      <c r="Q34" s="12"/>
      <c r="R34" s="12"/>
      <c r="S34" s="12"/>
      <c r="T34" s="12"/>
      <c r="U34" s="12"/>
      <c r="V34" s="12"/>
      <c r="W34" s="12"/>
      <c r="X34" s="12"/>
      <c r="Y34" s="12"/>
      <c r="Z34" s="12"/>
    </row>
    <row r="35" spans="1:26" ht="15" x14ac:dyDescent="0.25">
      <c r="A35" s="152"/>
      <c r="B35" s="7" t="s">
        <v>709</v>
      </c>
      <c r="C35" s="7" t="s">
        <v>1020</v>
      </c>
      <c r="D35" s="10" t="s">
        <v>1021</v>
      </c>
      <c r="E35" s="1001" t="s">
        <v>5</v>
      </c>
      <c r="F35" s="1001" t="s">
        <v>5</v>
      </c>
      <c r="G35" s="1001" t="s">
        <v>5</v>
      </c>
      <c r="H35" s="1001"/>
      <c r="I35" s="1001"/>
      <c r="J35" s="1001"/>
      <c r="K35" s="1002" t="s">
        <v>5</v>
      </c>
      <c r="L35" s="11" t="s">
        <v>148</v>
      </c>
      <c r="M35" s="48"/>
      <c r="N35" s="12"/>
      <c r="O35" s="12" t="s">
        <v>5</v>
      </c>
      <c r="P35" s="12"/>
      <c r="Q35" s="12"/>
      <c r="R35" s="12"/>
      <c r="S35" s="12"/>
      <c r="T35" s="12"/>
      <c r="U35" s="12"/>
      <c r="V35" s="12"/>
      <c r="W35" s="12"/>
      <c r="X35" s="12"/>
      <c r="Y35" s="12"/>
      <c r="Z35" s="12"/>
    </row>
    <row r="36" spans="1:26" ht="15" x14ac:dyDescent="0.25">
      <c r="A36" s="152"/>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8" x14ac:dyDescent="0.25">
      <c r="A37" s="163" t="str">
        <f>CONCATENATE(B18," ",C18)</f>
        <v>Phase II C Post agreements stage</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x14ac:dyDescent="0.25">
      <c r="A38" s="152" t="s">
        <v>264</v>
      </c>
      <c r="B38" s="7" t="s">
        <v>34</v>
      </c>
      <c r="C38" s="7" t="s">
        <v>1015</v>
      </c>
      <c r="D38" s="10" t="s">
        <v>1016</v>
      </c>
      <c r="E38" s="1001"/>
      <c r="F38" s="1001"/>
      <c r="G38" s="1001"/>
      <c r="H38" s="1001"/>
      <c r="I38" s="1001"/>
      <c r="J38" s="1001"/>
      <c r="K38" s="1002"/>
      <c r="L38" s="11" t="s">
        <v>113</v>
      </c>
      <c r="M38" s="48"/>
      <c r="N38" s="12"/>
      <c r="O38" s="12" t="s">
        <v>5</v>
      </c>
      <c r="P38" s="12"/>
      <c r="Q38" s="12"/>
      <c r="R38" s="12"/>
      <c r="S38" s="12"/>
      <c r="T38" s="12"/>
      <c r="U38" s="12"/>
      <c r="V38" s="12"/>
      <c r="W38" s="12"/>
      <c r="X38" s="12"/>
      <c r="Y38" s="12"/>
      <c r="Z38" s="12"/>
    </row>
    <row r="39" spans="1:26" ht="15" x14ac:dyDescent="0.25">
      <c r="A39" s="152" t="s">
        <v>253</v>
      </c>
      <c r="B39" s="7" t="s">
        <v>36</v>
      </c>
      <c r="C39" s="7" t="s">
        <v>103</v>
      </c>
      <c r="D39" s="1017" t="s">
        <v>1022</v>
      </c>
      <c r="E39" s="1001"/>
      <c r="F39" s="1001"/>
      <c r="G39" s="1001"/>
      <c r="H39" s="1001"/>
      <c r="I39" s="1001"/>
      <c r="J39" s="1001"/>
      <c r="K39" s="1002"/>
      <c r="L39" s="11" t="s">
        <v>113</v>
      </c>
      <c r="M39" s="48"/>
      <c r="N39" s="12"/>
      <c r="O39" s="12" t="s">
        <v>5</v>
      </c>
      <c r="P39" s="12"/>
      <c r="Q39" s="12"/>
      <c r="R39" s="12"/>
      <c r="S39" s="12"/>
      <c r="T39" s="12"/>
      <c r="U39" s="12"/>
      <c r="V39" s="12"/>
      <c r="W39" s="12"/>
      <c r="X39" s="12"/>
      <c r="Y39" s="12"/>
      <c r="Z39" s="12"/>
    </row>
    <row r="40" spans="1:26" ht="15" x14ac:dyDescent="0.25">
      <c r="A40" s="152"/>
      <c r="B40" s="7" t="s">
        <v>698</v>
      </c>
      <c r="C40" s="7" t="s">
        <v>1018</v>
      </c>
      <c r="D40" s="10" t="s">
        <v>1019</v>
      </c>
      <c r="E40" s="1001" t="s">
        <v>5</v>
      </c>
      <c r="F40" s="1001" t="s">
        <v>5</v>
      </c>
      <c r="G40" s="1001" t="s">
        <v>5</v>
      </c>
      <c r="H40" s="1001"/>
      <c r="I40" s="1001"/>
      <c r="J40" s="1001"/>
      <c r="K40" s="1002" t="s">
        <v>5</v>
      </c>
      <c r="L40" s="11" t="s">
        <v>99</v>
      </c>
      <c r="M40" s="48"/>
      <c r="N40" s="12"/>
      <c r="O40" s="12" t="s">
        <v>5</v>
      </c>
      <c r="P40" s="12"/>
      <c r="Q40" s="12"/>
      <c r="R40" s="12"/>
      <c r="S40" s="12"/>
      <c r="T40" s="12"/>
      <c r="U40" s="12"/>
      <c r="V40" s="12"/>
      <c r="W40" s="12"/>
      <c r="X40" s="12"/>
      <c r="Y40" s="12"/>
      <c r="Z40" s="12"/>
    </row>
    <row r="41" spans="1:26" ht="15" x14ac:dyDescent="0.25">
      <c r="A41" s="152"/>
      <c r="B41" s="7" t="s">
        <v>709</v>
      </c>
      <c r="C41" s="7" t="s">
        <v>1020</v>
      </c>
      <c r="D41" s="10" t="s">
        <v>1021</v>
      </c>
      <c r="E41" s="1001" t="s">
        <v>5</v>
      </c>
      <c r="F41" s="1001" t="s">
        <v>5</v>
      </c>
      <c r="G41" s="1001" t="s">
        <v>5</v>
      </c>
      <c r="H41" s="1001"/>
      <c r="I41" s="1001"/>
      <c r="J41" s="1001"/>
      <c r="K41" s="1002" t="s">
        <v>5</v>
      </c>
      <c r="L41" s="11" t="s">
        <v>148</v>
      </c>
      <c r="M41" s="48"/>
      <c r="N41" s="12"/>
      <c r="O41" s="12" t="s">
        <v>5</v>
      </c>
      <c r="P41" s="12"/>
      <c r="Q41" s="12"/>
      <c r="R41" s="12"/>
      <c r="S41" s="12"/>
      <c r="T41" s="12"/>
      <c r="U41" s="12"/>
      <c r="V41" s="12"/>
      <c r="W41" s="12"/>
      <c r="X41" s="12"/>
      <c r="Y41" s="12"/>
      <c r="Z41" s="12"/>
    </row>
    <row r="42" spans="1:26" ht="15" x14ac:dyDescent="0.25">
      <c r="A42" s="152"/>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x14ac:dyDescent="0.25">
      <c r="A43" s="163" t="str">
        <f>CONCATENATE(B19," ",C19)</f>
        <v>Phase III Phase III consultants during ESIA tramiting period</v>
      </c>
      <c r="B43" s="30"/>
      <c r="C43" s="31"/>
      <c r="D43" s="31"/>
      <c r="E43" s="29"/>
      <c r="F43" s="29"/>
      <c r="G43" s="29"/>
      <c r="H43" s="29"/>
      <c r="I43" s="29"/>
      <c r="J43" s="29"/>
      <c r="K43" s="29"/>
      <c r="L43" s="29"/>
      <c r="M43" s="29"/>
      <c r="N43" s="29"/>
      <c r="O43" s="29" t="s">
        <v>5</v>
      </c>
      <c r="P43" s="29"/>
      <c r="Q43" s="29"/>
      <c r="R43" s="29"/>
      <c r="S43" s="29"/>
      <c r="T43" s="29"/>
      <c r="U43" s="29"/>
      <c r="V43" s="29"/>
      <c r="W43" s="29"/>
      <c r="X43" s="29"/>
      <c r="Y43" s="29"/>
      <c r="Z43" s="29"/>
    </row>
    <row r="44" spans="1:26" ht="15" x14ac:dyDescent="0.25">
      <c r="A44" s="152" t="s">
        <v>265</v>
      </c>
      <c r="B44" s="7" t="s">
        <v>34</v>
      </c>
      <c r="C44" s="7" t="s">
        <v>1015</v>
      </c>
      <c r="D44" s="10" t="s">
        <v>1016</v>
      </c>
      <c r="E44" s="1001"/>
      <c r="F44" s="1001"/>
      <c r="G44" s="1001"/>
      <c r="H44" s="1001"/>
      <c r="I44" s="1001"/>
      <c r="J44" s="1001"/>
      <c r="K44" s="1002"/>
      <c r="L44" s="11" t="s">
        <v>113</v>
      </c>
      <c r="M44" s="48"/>
      <c r="N44" s="12"/>
      <c r="O44" s="12" t="s">
        <v>5</v>
      </c>
      <c r="P44" s="12"/>
      <c r="Q44" s="12"/>
      <c r="R44" s="12"/>
      <c r="S44" s="12"/>
      <c r="T44" s="12"/>
      <c r="U44" s="12"/>
      <c r="V44" s="12"/>
      <c r="W44" s="12"/>
      <c r="X44" s="12"/>
      <c r="Y44" s="12"/>
      <c r="Z44" s="12"/>
    </row>
    <row r="45" spans="1:26" ht="15" x14ac:dyDescent="0.25">
      <c r="A45" s="152" t="s">
        <v>266</v>
      </c>
      <c r="B45" s="7" t="s">
        <v>36</v>
      </c>
      <c r="C45" s="7" t="s">
        <v>103</v>
      </c>
      <c r="D45" s="1017" t="s">
        <v>1022</v>
      </c>
      <c r="E45" s="1001"/>
      <c r="F45" s="1001"/>
      <c r="G45" s="1001"/>
      <c r="H45" s="1001"/>
      <c r="I45" s="1001"/>
      <c r="J45" s="1001"/>
      <c r="K45" s="1002"/>
      <c r="L45" s="11" t="s">
        <v>113</v>
      </c>
      <c r="M45" s="48"/>
      <c r="N45" s="12"/>
      <c r="O45" s="12" t="s">
        <v>5</v>
      </c>
      <c r="P45" s="12"/>
      <c r="Q45" s="12"/>
      <c r="R45" s="12"/>
      <c r="S45" s="12"/>
      <c r="T45" s="12"/>
      <c r="U45" s="12"/>
      <c r="V45" s="12"/>
      <c r="W45" s="12"/>
      <c r="X45" s="12"/>
      <c r="Y45" s="12"/>
      <c r="Z45" s="12"/>
    </row>
    <row r="46" spans="1:26" ht="15" x14ac:dyDescent="0.25">
      <c r="A46" s="152"/>
      <c r="B46" s="7" t="s">
        <v>698</v>
      </c>
      <c r="C46" s="7" t="s">
        <v>1018</v>
      </c>
      <c r="D46" s="10" t="s">
        <v>1019</v>
      </c>
      <c r="E46" s="1001" t="s">
        <v>5</v>
      </c>
      <c r="F46" s="1001" t="s">
        <v>5</v>
      </c>
      <c r="G46" s="1001" t="s">
        <v>5</v>
      </c>
      <c r="H46" s="1001"/>
      <c r="I46" s="1001"/>
      <c r="J46" s="1001"/>
      <c r="K46" s="1002" t="s">
        <v>5</v>
      </c>
      <c r="L46" s="11" t="s">
        <v>99</v>
      </c>
      <c r="M46" s="48"/>
      <c r="N46" s="12"/>
      <c r="O46" s="12" t="s">
        <v>5</v>
      </c>
      <c r="P46" s="12"/>
      <c r="Q46" s="12"/>
      <c r="R46" s="12"/>
      <c r="S46" s="12"/>
      <c r="T46" s="12"/>
      <c r="U46" s="12"/>
      <c r="V46" s="12"/>
      <c r="W46" s="12"/>
      <c r="X46" s="12"/>
      <c r="Y46" s="12"/>
      <c r="Z46" s="12"/>
    </row>
    <row r="47" spans="1:26" ht="15" x14ac:dyDescent="0.25">
      <c r="A47" s="152"/>
      <c r="B47" s="7" t="s">
        <v>709</v>
      </c>
      <c r="C47" s="7" t="s">
        <v>1020</v>
      </c>
      <c r="D47" s="10" t="s">
        <v>1021</v>
      </c>
      <c r="E47" s="1001" t="s">
        <v>5</v>
      </c>
      <c r="F47" s="1001" t="s">
        <v>5</v>
      </c>
      <c r="G47" s="1001" t="s">
        <v>5</v>
      </c>
      <c r="H47" s="1001"/>
      <c r="I47" s="1001"/>
      <c r="J47" s="1001"/>
      <c r="K47" s="1002" t="s">
        <v>5</v>
      </c>
      <c r="L47" s="11" t="s">
        <v>148</v>
      </c>
      <c r="M47" s="48"/>
      <c r="N47" s="12"/>
      <c r="O47" s="12" t="s">
        <v>5</v>
      </c>
      <c r="P47" s="12"/>
      <c r="Q47" s="12"/>
      <c r="R47" s="12"/>
      <c r="S47" s="12"/>
      <c r="T47" s="12"/>
      <c r="U47" s="12"/>
      <c r="V47" s="12"/>
      <c r="W47" s="12"/>
      <c r="X47" s="12"/>
      <c r="Y47" s="12"/>
      <c r="Z47" s="12"/>
    </row>
    <row r="48" spans="1:26" ht="15" x14ac:dyDescent="0.25">
      <c r="A48" s="152"/>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outlineLevel="1" x14ac:dyDescent="0.25">
      <c r="A49" s="163" t="str">
        <f>CONCATENATE(B20," ",C20)</f>
        <v>Administrative expenses Administrative expenses</v>
      </c>
      <c r="B49" s="30"/>
      <c r="C49" s="31"/>
      <c r="D49" s="31"/>
      <c r="E49" s="29"/>
      <c r="F49" s="29"/>
      <c r="G49" s="29"/>
      <c r="H49" s="29"/>
      <c r="I49" s="29"/>
      <c r="J49" s="29"/>
      <c r="K49" s="29"/>
      <c r="L49" s="29"/>
      <c r="M49" s="29"/>
      <c r="N49" s="29"/>
      <c r="O49" s="29" t="s">
        <v>5</v>
      </c>
      <c r="P49" s="29"/>
      <c r="Q49" s="29"/>
      <c r="R49" s="29"/>
      <c r="S49" s="29"/>
      <c r="T49" s="29"/>
      <c r="U49" s="29"/>
      <c r="V49" s="29"/>
      <c r="W49" s="29"/>
      <c r="X49" s="29"/>
      <c r="Y49" s="29"/>
      <c r="Z49" s="29"/>
    </row>
    <row r="50" spans="1:26" ht="27.75" customHeight="1" outlineLevel="1" x14ac:dyDescent="0.25">
      <c r="A50" s="152" t="s">
        <v>267</v>
      </c>
      <c r="B50" s="7" t="s">
        <v>712</v>
      </c>
      <c r="C50" s="7" t="s">
        <v>1023</v>
      </c>
      <c r="D50" s="10" t="s">
        <v>1024</v>
      </c>
      <c r="E50" s="1001" t="s">
        <v>5</v>
      </c>
      <c r="F50" s="1001" t="s">
        <v>5</v>
      </c>
      <c r="G50" s="1001" t="s">
        <v>5</v>
      </c>
      <c r="H50" s="1001"/>
      <c r="I50" s="1001"/>
      <c r="J50" s="1001"/>
      <c r="K50" s="1002" t="s">
        <v>5</v>
      </c>
      <c r="L50" s="11" t="s">
        <v>66</v>
      </c>
      <c r="M50" s="48"/>
      <c r="N50" s="12"/>
      <c r="O50" s="12" t="s">
        <v>5</v>
      </c>
      <c r="P50" s="12"/>
      <c r="Q50" s="12"/>
      <c r="R50" s="12"/>
      <c r="S50" s="12"/>
      <c r="T50" s="12"/>
      <c r="U50" s="12"/>
      <c r="V50" s="12"/>
      <c r="W50" s="12"/>
      <c r="X50" s="12"/>
      <c r="Y50" s="12"/>
      <c r="Z50" s="12"/>
    </row>
    <row r="51" spans="1:26" ht="15"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t="str">
        <f>CONCATENATE(B21," ",C21)</f>
        <v>Community development program Community development program</v>
      </c>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t="s">
        <v>269</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t="s">
        <v>270</v>
      </c>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t="str">
        <f>CONCATENATE(B22," ",C22)</f>
        <v xml:space="preserve"> </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t="s">
        <v>271</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t="s">
        <v>272</v>
      </c>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t="str">
        <f>CONCATENATE(B23," ",C23)</f>
        <v xml:space="preserve"> </v>
      </c>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t="s">
        <v>273</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t="s">
        <v>274</v>
      </c>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t="str">
        <f>CONCATENATE(B24," ",C24)</f>
        <v xml:space="preserve"> </v>
      </c>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t="s">
        <v>275</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t="s">
        <v>276</v>
      </c>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t="str">
        <f>CONCATENATE(B25," ",C25)</f>
        <v xml:space="preserve"> </v>
      </c>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t="s">
        <v>277</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t="s">
        <v>278</v>
      </c>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t="str">
        <f>CONCATENATE(B26," ",C26)</f>
        <v xml:space="preserve"> </v>
      </c>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t="s">
        <v>279</v>
      </c>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t="s">
        <v>280</v>
      </c>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 xml:space="preserve">Phase II B Finish Phase II B Resettlement </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60"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27.6" customHeight="1" x14ac:dyDescent="0.25">
      <c r="A95" s="152"/>
      <c r="B95" s="93" t="s">
        <v>1025</v>
      </c>
      <c r="C95" s="93" t="s">
        <v>1026</v>
      </c>
      <c r="D95" s="140" t="s">
        <v>1027</v>
      </c>
      <c r="E95" s="11" t="s">
        <v>214</v>
      </c>
      <c r="F95" s="11" t="s">
        <v>293</v>
      </c>
      <c r="G95" s="11" t="s">
        <v>1025</v>
      </c>
      <c r="H95" s="136" t="s">
        <v>41</v>
      </c>
      <c r="I95" s="136" t="s">
        <v>41</v>
      </c>
      <c r="J95" s="136" t="s">
        <v>41</v>
      </c>
      <c r="K95" s="136" t="s">
        <v>42</v>
      </c>
      <c r="L95" s="11">
        <v>3</v>
      </c>
      <c r="M95" s="11"/>
      <c r="N95" s="137">
        <f t="shared" ref="N95:N102" si="8">SUM(O95:Z95)</f>
        <v>93540</v>
      </c>
      <c r="O95" s="11">
        <v>31180</v>
      </c>
      <c r="P95" s="11">
        <v>31180</v>
      </c>
      <c r="Q95" s="11">
        <v>31180</v>
      </c>
      <c r="R95" s="11"/>
      <c r="S95" s="11"/>
      <c r="T95" s="11"/>
      <c r="U95" s="11"/>
      <c r="V95" s="11"/>
      <c r="W95" s="11"/>
      <c r="X95" s="11"/>
      <c r="Y95" s="11"/>
      <c r="Z95" s="11"/>
    </row>
    <row r="96" spans="1:26" ht="17.45" customHeight="1" x14ac:dyDescent="0.25">
      <c r="A96" s="152"/>
      <c r="B96" s="93" t="s">
        <v>1028</v>
      </c>
      <c r="C96" s="93" t="s">
        <v>1026</v>
      </c>
      <c r="D96" s="140" t="s">
        <v>1029</v>
      </c>
      <c r="E96" s="11" t="s">
        <v>214</v>
      </c>
      <c r="F96" s="11" t="s">
        <v>293</v>
      </c>
      <c r="G96" s="11" t="s">
        <v>1028</v>
      </c>
      <c r="H96" s="136" t="s">
        <v>41</v>
      </c>
      <c r="I96" s="136" t="s">
        <v>41</v>
      </c>
      <c r="J96" s="136" t="s">
        <v>41</v>
      </c>
      <c r="K96" s="136" t="s">
        <v>42</v>
      </c>
      <c r="L96" s="11">
        <v>3</v>
      </c>
      <c r="M96" s="11"/>
      <c r="N96" s="137">
        <f t="shared" si="8"/>
        <v>46600</v>
      </c>
      <c r="O96" s="11">
        <v>14800</v>
      </c>
      <c r="P96" s="11">
        <v>14800</v>
      </c>
      <c r="Q96" s="11">
        <v>17000</v>
      </c>
      <c r="R96" s="11"/>
      <c r="S96" s="11"/>
      <c r="T96" s="11"/>
      <c r="U96" s="11"/>
      <c r="V96" s="11"/>
      <c r="W96" s="11"/>
      <c r="X96" s="11"/>
      <c r="Y96" s="11"/>
      <c r="Z96" s="11"/>
    </row>
    <row r="97" spans="1:26" ht="19.899999999999999" customHeight="1" x14ac:dyDescent="0.25">
      <c r="A97" s="152"/>
      <c r="B97" s="93" t="s">
        <v>1028</v>
      </c>
      <c r="C97" s="93" t="s">
        <v>1026</v>
      </c>
      <c r="D97" s="140" t="s">
        <v>1030</v>
      </c>
      <c r="E97" s="11" t="s">
        <v>214</v>
      </c>
      <c r="F97" s="11" t="s">
        <v>293</v>
      </c>
      <c r="G97" s="11" t="s">
        <v>1028</v>
      </c>
      <c r="H97" s="136" t="s">
        <v>41</v>
      </c>
      <c r="I97" s="136" t="s">
        <v>41</v>
      </c>
      <c r="J97" s="136" t="s">
        <v>41</v>
      </c>
      <c r="K97" s="136" t="s">
        <v>42</v>
      </c>
      <c r="L97" s="11">
        <v>3</v>
      </c>
      <c r="M97" s="11"/>
      <c r="N97" s="137">
        <f t="shared" si="8"/>
        <v>17125</v>
      </c>
      <c r="O97" s="11">
        <v>4640</v>
      </c>
      <c r="P97" s="11">
        <v>4640</v>
      </c>
      <c r="Q97" s="11">
        <v>7845</v>
      </c>
      <c r="R97" s="11"/>
      <c r="S97" s="11"/>
      <c r="T97" s="11"/>
      <c r="U97" s="11"/>
      <c r="V97" s="11"/>
      <c r="W97" s="11"/>
      <c r="X97" s="11"/>
      <c r="Y97" s="11"/>
      <c r="Z97" s="11"/>
    </row>
    <row r="98" spans="1:26" ht="15" x14ac:dyDescent="0.25">
      <c r="A98" s="152"/>
      <c r="B98" s="93"/>
      <c r="C98" s="93"/>
      <c r="D98" s="140"/>
      <c r="E98" s="11"/>
      <c r="F98" s="11"/>
      <c r="G98" s="11"/>
      <c r="H98" s="11"/>
      <c r="I98" s="11"/>
      <c r="J98" s="11"/>
      <c r="K98" s="11"/>
      <c r="L98" s="11"/>
      <c r="M98" s="11"/>
      <c r="N98" s="137"/>
      <c r="O98" s="11"/>
      <c r="P98" s="11"/>
      <c r="Q98" s="11"/>
      <c r="R98" s="11"/>
      <c r="S98" s="11"/>
      <c r="T98" s="11"/>
      <c r="U98" s="11"/>
      <c r="V98" s="11"/>
      <c r="W98" s="11"/>
      <c r="X98" s="11"/>
      <c r="Y98" s="11"/>
      <c r="Z98" s="11"/>
    </row>
    <row r="99" spans="1:26" ht="15" hidden="1" x14ac:dyDescent="0.25">
      <c r="A99" s="152"/>
      <c r="B99" s="93"/>
      <c r="C99" s="93"/>
      <c r="D99" s="140"/>
      <c r="E99" s="11"/>
      <c r="F99" s="11"/>
      <c r="G99" s="11"/>
      <c r="H99" s="11"/>
      <c r="I99" s="11"/>
      <c r="J99" s="11"/>
      <c r="K99" s="11"/>
      <c r="L99" s="11"/>
      <c r="M99" s="11"/>
      <c r="N99" s="11">
        <f t="shared" si="8"/>
        <v>0</v>
      </c>
      <c r="O99" s="11"/>
      <c r="P99" s="11"/>
      <c r="Q99" s="11"/>
      <c r="R99" s="11"/>
      <c r="S99" s="11"/>
      <c r="T99" s="11"/>
      <c r="U99" s="11"/>
      <c r="V99" s="11"/>
      <c r="W99" s="11"/>
      <c r="X99" s="11"/>
      <c r="Y99" s="11"/>
      <c r="Z99" s="11"/>
    </row>
    <row r="100" spans="1:26" ht="15" hidden="1" x14ac:dyDescent="0.25">
      <c r="A100" s="152"/>
      <c r="B100" s="93"/>
      <c r="C100" s="93"/>
      <c r="D100" s="140"/>
      <c r="E100" s="11"/>
      <c r="F100" s="11"/>
      <c r="G100" s="11"/>
      <c r="H100" s="11"/>
      <c r="I100" s="11"/>
      <c r="J100" s="11"/>
      <c r="K100" s="11"/>
      <c r="L100" s="11"/>
      <c r="M100" s="11"/>
      <c r="N100" s="11">
        <f t="shared" si="8"/>
        <v>0</v>
      </c>
      <c r="O100" s="11"/>
      <c r="P100" s="11"/>
      <c r="Q100" s="11"/>
      <c r="R100" s="11"/>
      <c r="S100" s="11"/>
      <c r="T100" s="11"/>
      <c r="U100" s="11"/>
      <c r="V100" s="11"/>
      <c r="W100" s="11"/>
      <c r="X100" s="11"/>
      <c r="Y100" s="11"/>
      <c r="Z100" s="11"/>
    </row>
    <row r="101" spans="1:26" ht="15" x14ac:dyDescent="0.25">
      <c r="A101" s="152"/>
      <c r="B101" s="93"/>
      <c r="C101" s="93"/>
      <c r="D101" s="140"/>
      <c r="E101" s="11"/>
      <c r="F101" s="11"/>
      <c r="G101" s="11"/>
      <c r="H101" s="11"/>
      <c r="I101" s="11"/>
      <c r="J101" s="11"/>
      <c r="K101" s="11"/>
      <c r="L101" s="11"/>
      <c r="M101" s="11"/>
      <c r="N101" s="11">
        <f t="shared" si="8"/>
        <v>0</v>
      </c>
      <c r="O101" s="11"/>
      <c r="P101" s="11"/>
      <c r="Q101" s="11"/>
      <c r="R101" s="11"/>
      <c r="S101" s="11"/>
      <c r="T101" s="11"/>
      <c r="U101" s="11"/>
      <c r="V101" s="11"/>
      <c r="W101" s="11"/>
      <c r="X101" s="11"/>
      <c r="Y101" s="11"/>
      <c r="Z101" s="11"/>
    </row>
    <row r="102" spans="1:26" ht="15" x14ac:dyDescent="0.25">
      <c r="A102" s="152"/>
      <c r="B102" s="93"/>
      <c r="C102" s="93"/>
      <c r="D102" s="140"/>
      <c r="E102" s="11"/>
      <c r="F102" s="11"/>
      <c r="G102" s="11"/>
      <c r="H102" s="11"/>
      <c r="I102" s="11"/>
      <c r="J102" s="11"/>
      <c r="K102" s="11"/>
      <c r="L102" s="11"/>
      <c r="M102" s="11"/>
      <c r="N102" s="11">
        <f t="shared" si="8"/>
        <v>0</v>
      </c>
      <c r="O102" s="11"/>
      <c r="P102" s="11"/>
      <c r="Q102" s="11"/>
      <c r="R102" s="11"/>
      <c r="S102" s="11"/>
      <c r="T102" s="11"/>
      <c r="U102" s="11"/>
      <c r="V102" s="11"/>
      <c r="W102" s="11"/>
      <c r="X102" s="11"/>
      <c r="Y102" s="11"/>
      <c r="Z102" s="11"/>
    </row>
    <row r="103" spans="1:26" s="35" customFormat="1" ht="22.5" customHeight="1" x14ac:dyDescent="0.25">
      <c r="A103" s="164"/>
      <c r="B103" s="34"/>
      <c r="C103" s="34"/>
      <c r="D103" s="34"/>
      <c r="E103" s="50"/>
      <c r="F103" s="50"/>
      <c r="G103" s="50"/>
      <c r="H103" s="50"/>
      <c r="I103" s="50"/>
      <c r="J103" s="51" t="s">
        <v>20</v>
      </c>
      <c r="K103" s="50"/>
      <c r="L103" s="32">
        <f t="shared" ref="L103:Z103" si="9">SUM(L95:L102)</f>
        <v>9</v>
      </c>
      <c r="M103" s="32">
        <f t="shared" si="9"/>
        <v>0</v>
      </c>
      <c r="N103" s="32">
        <f t="shared" si="9"/>
        <v>157265</v>
      </c>
      <c r="O103" s="32">
        <f t="shared" si="9"/>
        <v>50620</v>
      </c>
      <c r="P103" s="32">
        <f t="shared" si="9"/>
        <v>50620</v>
      </c>
      <c r="Q103" s="32">
        <f t="shared" si="9"/>
        <v>56025</v>
      </c>
      <c r="R103" s="32">
        <f t="shared" si="9"/>
        <v>0</v>
      </c>
      <c r="S103" s="32">
        <f t="shared" si="9"/>
        <v>0</v>
      </c>
      <c r="T103" s="32">
        <f t="shared" si="9"/>
        <v>0</v>
      </c>
      <c r="U103" s="32">
        <f t="shared" si="9"/>
        <v>0</v>
      </c>
      <c r="V103" s="32">
        <f t="shared" si="9"/>
        <v>0</v>
      </c>
      <c r="W103" s="32">
        <f t="shared" si="9"/>
        <v>0</v>
      </c>
      <c r="X103" s="32">
        <f t="shared" si="9"/>
        <v>0</v>
      </c>
      <c r="Y103" s="32">
        <f t="shared" si="9"/>
        <v>0</v>
      </c>
      <c r="Z103" s="32">
        <f t="shared" si="9"/>
        <v>0</v>
      </c>
    </row>
    <row r="104" spans="1:26" ht="18" x14ac:dyDescent="0.25">
      <c r="A104" s="163" t="str">
        <f>CONCATENATE(B18," ",C18)</f>
        <v>Phase II C Post agreements stage</v>
      </c>
      <c r="B104" s="30"/>
      <c r="C104" s="31"/>
      <c r="D104" s="31"/>
      <c r="E104" s="29"/>
      <c r="F104" s="29"/>
      <c r="G104" s="29"/>
      <c r="H104" s="29"/>
      <c r="I104" s="29"/>
      <c r="J104" s="29"/>
      <c r="K104" s="29"/>
      <c r="L104" s="29"/>
      <c r="M104" s="29"/>
      <c r="N104" s="29"/>
      <c r="O104" s="29" t="s">
        <v>5</v>
      </c>
      <c r="P104" s="29"/>
      <c r="Q104" s="29"/>
      <c r="R104" s="29"/>
      <c r="S104" s="29"/>
      <c r="T104" s="29"/>
      <c r="U104" s="29"/>
      <c r="V104" s="29"/>
      <c r="W104" s="29"/>
      <c r="X104" s="29"/>
      <c r="Y104" s="29"/>
      <c r="Z104" s="29"/>
    </row>
    <row r="105" spans="1:26" ht="60" x14ac:dyDescent="0.25">
      <c r="A105" s="165" t="s">
        <v>261</v>
      </c>
      <c r="B105" s="92" t="s">
        <v>13</v>
      </c>
      <c r="C105" s="92" t="s">
        <v>14</v>
      </c>
      <c r="D105" s="133" t="s">
        <v>286</v>
      </c>
      <c r="E105" s="32" t="s">
        <v>16</v>
      </c>
      <c r="F105" s="32" t="s">
        <v>295</v>
      </c>
      <c r="G105" s="32" t="s">
        <v>39</v>
      </c>
      <c r="H105" s="32" t="s">
        <v>297</v>
      </c>
      <c r="I105" s="32" t="s">
        <v>298</v>
      </c>
      <c r="J105" s="32" t="s">
        <v>299</v>
      </c>
      <c r="K105" s="32" t="s">
        <v>300</v>
      </c>
      <c r="L105" s="32" t="s">
        <v>17</v>
      </c>
      <c r="M105" s="32" t="s">
        <v>18</v>
      </c>
      <c r="N105" s="32" t="s">
        <v>19</v>
      </c>
      <c r="O105" s="66">
        <v>43101</v>
      </c>
      <c r="P105" s="66">
        <v>43132</v>
      </c>
      <c r="Q105" s="66">
        <v>43160</v>
      </c>
      <c r="R105" s="66">
        <v>43191</v>
      </c>
      <c r="S105" s="66">
        <v>43221</v>
      </c>
      <c r="T105" s="66">
        <v>43252</v>
      </c>
      <c r="U105" s="66">
        <v>43282</v>
      </c>
      <c r="V105" s="66">
        <v>43313</v>
      </c>
      <c r="W105" s="66">
        <v>43344</v>
      </c>
      <c r="X105" s="66">
        <v>43374</v>
      </c>
      <c r="Y105" s="66">
        <v>43405</v>
      </c>
      <c r="Z105" s="66">
        <v>43435</v>
      </c>
    </row>
    <row r="106" spans="1:26" ht="22.9" customHeight="1" x14ac:dyDescent="0.25">
      <c r="A106" s="152"/>
      <c r="B106" s="93" t="s">
        <v>1025</v>
      </c>
      <c r="C106" s="93" t="s">
        <v>1031</v>
      </c>
      <c r="D106" s="140" t="s">
        <v>1032</v>
      </c>
      <c r="E106" s="11" t="s">
        <v>214</v>
      </c>
      <c r="F106" s="11" t="s">
        <v>293</v>
      </c>
      <c r="G106" s="11" t="s">
        <v>1025</v>
      </c>
      <c r="H106" s="136" t="s">
        <v>41</v>
      </c>
      <c r="I106" s="136" t="s">
        <v>41</v>
      </c>
      <c r="J106" s="136" t="s">
        <v>41</v>
      </c>
      <c r="K106" s="136" t="s">
        <v>45</v>
      </c>
      <c r="L106" s="11">
        <v>6</v>
      </c>
      <c r="M106" s="11"/>
      <c r="N106" s="137">
        <f>SUM(O106:Z106)</f>
        <v>188946</v>
      </c>
      <c r="O106" s="11"/>
      <c r="P106" s="11"/>
      <c r="Q106" s="11"/>
      <c r="R106" s="11">
        <v>31491</v>
      </c>
      <c r="S106" s="11">
        <v>31491</v>
      </c>
      <c r="T106" s="11">
        <v>31491</v>
      </c>
      <c r="U106" s="11">
        <v>31491</v>
      </c>
      <c r="V106" s="11">
        <v>31491</v>
      </c>
      <c r="W106" s="11">
        <v>31491</v>
      </c>
      <c r="X106" s="11"/>
      <c r="Y106" s="11"/>
      <c r="Z106" s="11"/>
    </row>
    <row r="107" spans="1:26" ht="21.6" customHeight="1" x14ac:dyDescent="0.25">
      <c r="A107" s="152"/>
      <c r="B107" s="93" t="s">
        <v>1028</v>
      </c>
      <c r="C107" s="93" t="s">
        <v>1031</v>
      </c>
      <c r="D107" s="140" t="s">
        <v>1032</v>
      </c>
      <c r="E107" s="11" t="s">
        <v>214</v>
      </c>
      <c r="F107" s="11" t="s">
        <v>293</v>
      </c>
      <c r="G107" s="11" t="s">
        <v>1028</v>
      </c>
      <c r="H107" s="136" t="s">
        <v>41</v>
      </c>
      <c r="I107" s="136" t="s">
        <v>41</v>
      </c>
      <c r="J107" s="136" t="s">
        <v>41</v>
      </c>
      <c r="K107" s="136" t="s">
        <v>45</v>
      </c>
      <c r="L107" s="11">
        <v>6</v>
      </c>
      <c r="M107" s="11"/>
      <c r="N107" s="137">
        <f>SUM(O107:Z107)</f>
        <v>91000</v>
      </c>
      <c r="O107" s="11"/>
      <c r="P107" s="11"/>
      <c r="Q107" s="11"/>
      <c r="R107" s="11">
        <v>14800</v>
      </c>
      <c r="S107" s="11">
        <v>14800</v>
      </c>
      <c r="T107" s="11">
        <v>14800</v>
      </c>
      <c r="U107" s="11">
        <v>14800</v>
      </c>
      <c r="V107" s="11">
        <v>14800</v>
      </c>
      <c r="W107" s="11">
        <v>17000</v>
      </c>
      <c r="X107" s="11"/>
      <c r="Y107" s="11"/>
      <c r="Z107" s="11"/>
    </row>
    <row r="108" spans="1:26" ht="21.6" customHeight="1" x14ac:dyDescent="0.25">
      <c r="A108" s="152"/>
      <c r="B108" s="93" t="s">
        <v>1028</v>
      </c>
      <c r="C108" s="93" t="s">
        <v>1031</v>
      </c>
      <c r="D108" s="140" t="s">
        <v>1033</v>
      </c>
      <c r="E108" s="11" t="s">
        <v>214</v>
      </c>
      <c r="F108" s="11" t="s">
        <v>293</v>
      </c>
      <c r="G108" s="11" t="s">
        <v>1028</v>
      </c>
      <c r="H108" s="136" t="s">
        <v>41</v>
      </c>
      <c r="I108" s="136" t="s">
        <v>41</v>
      </c>
      <c r="J108" s="136" t="s">
        <v>41</v>
      </c>
      <c r="K108" s="136" t="s">
        <v>45</v>
      </c>
      <c r="L108" s="11">
        <v>6</v>
      </c>
      <c r="M108" s="11"/>
      <c r="N108" s="137">
        <f>SUM(O108:Z108)</f>
        <v>31045</v>
      </c>
      <c r="O108" s="11"/>
      <c r="P108" s="11"/>
      <c r="Q108" s="11"/>
      <c r="R108" s="11">
        <v>4640</v>
      </c>
      <c r="S108" s="11">
        <v>4640</v>
      </c>
      <c r="T108" s="11">
        <v>4640</v>
      </c>
      <c r="U108" s="11">
        <v>4640</v>
      </c>
      <c r="V108" s="11">
        <v>4640</v>
      </c>
      <c r="W108" s="11">
        <v>7845</v>
      </c>
      <c r="X108" s="11"/>
      <c r="Y108" s="11"/>
      <c r="Z108" s="11"/>
    </row>
    <row r="109" spans="1:26" ht="15" x14ac:dyDescent="0.25">
      <c r="A109" s="152"/>
      <c r="B109" s="93"/>
      <c r="C109" s="93"/>
      <c r="D109" s="140"/>
      <c r="E109" s="11"/>
      <c r="F109" s="11"/>
      <c r="G109" s="140"/>
      <c r="H109" s="11"/>
      <c r="I109" s="11"/>
      <c r="J109" s="11"/>
      <c r="K109" s="11"/>
      <c r="L109" s="11"/>
      <c r="M109" s="11"/>
      <c r="N109" s="137"/>
      <c r="O109" s="11"/>
      <c r="P109" s="11"/>
      <c r="Q109" s="11"/>
      <c r="R109" s="11"/>
      <c r="S109" s="11"/>
      <c r="T109" s="11"/>
      <c r="U109" s="11"/>
      <c r="V109" s="11"/>
      <c r="W109" s="11"/>
      <c r="X109" s="11"/>
      <c r="Y109" s="11"/>
      <c r="Z109" s="11"/>
    </row>
    <row r="110" spans="1:26" ht="15" hidden="1" x14ac:dyDescent="0.25">
      <c r="A110" s="152"/>
      <c r="B110" s="93"/>
      <c r="C110" s="93"/>
      <c r="D110" s="140"/>
      <c r="E110" s="11"/>
      <c r="F110" s="11"/>
      <c r="G110" s="140"/>
      <c r="H110" s="11"/>
      <c r="I110" s="11"/>
      <c r="J110" s="11"/>
      <c r="K110" s="11"/>
      <c r="L110" s="11"/>
      <c r="M110" s="11"/>
      <c r="N110" s="137">
        <f t="shared" ref="N110:N116" si="10">SUM(O110:Z110)</f>
        <v>0</v>
      </c>
      <c r="O110" s="11"/>
      <c r="P110" s="11"/>
      <c r="Q110" s="11"/>
      <c r="R110" s="11"/>
      <c r="S110" s="11"/>
      <c r="T110" s="11"/>
      <c r="U110" s="11"/>
      <c r="V110" s="11"/>
      <c r="W110" s="11"/>
      <c r="X110" s="11"/>
      <c r="Y110" s="11"/>
      <c r="Z110" s="11"/>
    </row>
    <row r="111" spans="1:26" ht="15" hidden="1" x14ac:dyDescent="0.25">
      <c r="A111" s="152"/>
      <c r="B111" s="93"/>
      <c r="C111" s="93"/>
      <c r="D111" s="140"/>
      <c r="E111" s="11"/>
      <c r="F111" s="11"/>
      <c r="G111" s="11"/>
      <c r="H111" s="11"/>
      <c r="I111" s="11"/>
      <c r="J111" s="11"/>
      <c r="K111" s="11"/>
      <c r="L111" s="11"/>
      <c r="M111" s="11"/>
      <c r="N111" s="137">
        <f t="shared" si="10"/>
        <v>0</v>
      </c>
      <c r="O111" s="11"/>
      <c r="P111" s="11"/>
      <c r="Q111" s="11"/>
      <c r="R111" s="11"/>
      <c r="S111" s="11"/>
      <c r="T111" s="11"/>
      <c r="U111" s="11"/>
      <c r="V111" s="11"/>
      <c r="W111" s="11"/>
      <c r="X111" s="11"/>
      <c r="Y111" s="11"/>
      <c r="Z111" s="11"/>
    </row>
    <row r="112" spans="1:26" ht="15" hidden="1" x14ac:dyDescent="0.25">
      <c r="A112" s="152"/>
      <c r="B112" s="93"/>
      <c r="C112" s="93"/>
      <c r="D112" s="140"/>
      <c r="E112" s="11"/>
      <c r="F112" s="11"/>
      <c r="G112" s="11"/>
      <c r="H112" s="11"/>
      <c r="I112" s="11"/>
      <c r="J112" s="11"/>
      <c r="K112" s="11"/>
      <c r="L112" s="11"/>
      <c r="M112" s="11"/>
      <c r="N112" s="137">
        <f>SUM(O112:Z112)</f>
        <v>0</v>
      </c>
      <c r="O112" s="11"/>
      <c r="P112" s="11"/>
      <c r="Q112" s="11"/>
      <c r="R112" s="11"/>
      <c r="S112" s="11"/>
      <c r="T112" s="11"/>
      <c r="U112" s="11"/>
      <c r="V112" s="11"/>
      <c r="W112" s="11"/>
      <c r="X112" s="11"/>
      <c r="Y112" s="11"/>
      <c r="Z112" s="11"/>
    </row>
    <row r="113" spans="1:26" ht="15" hidden="1" x14ac:dyDescent="0.25">
      <c r="A113" s="152"/>
      <c r="B113" s="93"/>
      <c r="C113" s="93"/>
      <c r="D113" s="140"/>
      <c r="E113" s="11"/>
      <c r="F113" s="11"/>
      <c r="G113" s="11"/>
      <c r="H113" s="11"/>
      <c r="I113" s="11"/>
      <c r="J113" s="11"/>
      <c r="K113" s="11"/>
      <c r="L113" s="11"/>
      <c r="M113" s="11"/>
      <c r="N113" s="137">
        <f t="shared" si="10"/>
        <v>0</v>
      </c>
      <c r="O113" s="11"/>
      <c r="P113" s="11"/>
      <c r="Q113" s="11"/>
      <c r="R113" s="11"/>
      <c r="S113" s="11"/>
      <c r="T113" s="11"/>
      <c r="U113" s="11"/>
      <c r="V113" s="11"/>
      <c r="W113" s="11"/>
      <c r="X113" s="11"/>
      <c r="Y113" s="11"/>
      <c r="Z113" s="11"/>
    </row>
    <row r="114" spans="1:26" ht="15" hidden="1" x14ac:dyDescent="0.25">
      <c r="A114" s="152"/>
      <c r="B114" s="93"/>
      <c r="C114" s="93"/>
      <c r="D114" s="140"/>
      <c r="E114" s="11"/>
      <c r="F114" s="11"/>
      <c r="G114" s="11"/>
      <c r="H114" s="11"/>
      <c r="I114" s="11"/>
      <c r="J114" s="11"/>
      <c r="K114" s="11"/>
      <c r="L114" s="11"/>
      <c r="M114" s="11"/>
      <c r="N114" s="137">
        <f t="shared" si="10"/>
        <v>0</v>
      </c>
      <c r="O114" s="11"/>
      <c r="P114" s="11"/>
      <c r="Q114" s="11"/>
      <c r="R114" s="11"/>
      <c r="S114" s="11"/>
      <c r="T114" s="11"/>
      <c r="U114" s="11"/>
      <c r="V114" s="11"/>
      <c r="W114" s="11"/>
      <c r="X114" s="11"/>
      <c r="Y114" s="11"/>
      <c r="Z114" s="11"/>
    </row>
    <row r="115" spans="1:26" ht="15" hidden="1" x14ac:dyDescent="0.25">
      <c r="A115" s="152"/>
      <c r="B115" s="93"/>
      <c r="C115" s="93"/>
      <c r="D115" s="140"/>
      <c r="E115" s="11"/>
      <c r="F115" s="11"/>
      <c r="G115" s="11"/>
      <c r="H115" s="11"/>
      <c r="I115" s="11"/>
      <c r="J115" s="11"/>
      <c r="K115" s="11"/>
      <c r="L115" s="11"/>
      <c r="M115" s="11"/>
      <c r="N115" s="137">
        <f t="shared" si="10"/>
        <v>0</v>
      </c>
      <c r="O115" s="11"/>
      <c r="P115" s="11"/>
      <c r="Q115" s="11"/>
      <c r="R115" s="11"/>
      <c r="S115" s="11"/>
      <c r="T115" s="11"/>
      <c r="U115" s="11"/>
      <c r="V115" s="11"/>
      <c r="W115" s="11"/>
      <c r="X115" s="11"/>
      <c r="Y115" s="11"/>
      <c r="Z115" s="11"/>
    </row>
    <row r="116" spans="1:26" ht="15" x14ac:dyDescent="0.25">
      <c r="A116" s="152"/>
      <c r="B116" s="93"/>
      <c r="C116" s="93"/>
      <c r="D116" s="140"/>
      <c r="E116" s="11"/>
      <c r="F116" s="11"/>
      <c r="G116" s="11"/>
      <c r="H116" s="11"/>
      <c r="I116" s="11"/>
      <c r="J116" s="11"/>
      <c r="K116" s="11"/>
      <c r="L116" s="11"/>
      <c r="M116" s="11"/>
      <c r="N116" s="137">
        <f t="shared" si="10"/>
        <v>0</v>
      </c>
      <c r="O116" s="11"/>
      <c r="P116" s="11"/>
      <c r="Q116" s="11"/>
      <c r="R116" s="11"/>
      <c r="S116" s="11"/>
      <c r="T116" s="11"/>
      <c r="U116" s="11"/>
      <c r="V116" s="11"/>
      <c r="W116" s="11"/>
      <c r="X116" s="11"/>
      <c r="Y116" s="11"/>
      <c r="Z116" s="11"/>
    </row>
    <row r="117" spans="1:26" ht="27.6" hidden="1" customHeight="1" x14ac:dyDescent="0.25">
      <c r="A117" s="152"/>
      <c r="B117" s="93"/>
      <c r="C117" s="93"/>
      <c r="D117" s="140"/>
      <c r="E117" s="11"/>
      <c r="F117" s="11"/>
      <c r="G117" s="11"/>
      <c r="H117" s="11"/>
      <c r="I117" s="11"/>
      <c r="J117" s="11"/>
      <c r="K117" s="11"/>
      <c r="L117" s="11"/>
      <c r="M117" s="11"/>
      <c r="N117" s="139"/>
      <c r="O117" s="11"/>
      <c r="P117" s="11"/>
      <c r="Q117" s="11"/>
      <c r="R117" s="11"/>
      <c r="S117" s="11"/>
      <c r="T117" s="11"/>
      <c r="U117" s="11"/>
      <c r="V117" s="11"/>
      <c r="W117" s="11"/>
      <c r="X117" s="11"/>
      <c r="Y117" s="11"/>
      <c r="Z117" s="11"/>
    </row>
    <row r="118" spans="1:26" s="35" customFormat="1" ht="22.5" customHeight="1" x14ac:dyDescent="0.25">
      <c r="A118" s="164"/>
      <c r="B118" s="34"/>
      <c r="C118" s="34"/>
      <c r="D118" s="34"/>
      <c r="E118" s="50"/>
      <c r="F118" s="50"/>
      <c r="G118" s="50"/>
      <c r="H118" s="50"/>
      <c r="I118" s="50"/>
      <c r="J118" s="51" t="s">
        <v>20</v>
      </c>
      <c r="K118" s="50"/>
      <c r="L118" s="32">
        <f>SUM(L117:L117)</f>
        <v>0</v>
      </c>
      <c r="M118" s="32">
        <f>SUM(M117:M117)</f>
        <v>0</v>
      </c>
      <c r="N118" s="32">
        <f>SUM(N106:N117)</f>
        <v>310991</v>
      </c>
      <c r="O118" s="32">
        <f>SUM(O106:O117)</f>
        <v>0</v>
      </c>
      <c r="P118" s="32">
        <f t="shared" ref="P118:Z118" si="11">SUM(P106:P117)</f>
        <v>0</v>
      </c>
      <c r="Q118" s="32">
        <f t="shared" si="11"/>
        <v>0</v>
      </c>
      <c r="R118" s="32">
        <f t="shared" si="11"/>
        <v>50931</v>
      </c>
      <c r="S118" s="32">
        <f t="shared" si="11"/>
        <v>50931</v>
      </c>
      <c r="T118" s="32">
        <f t="shared" si="11"/>
        <v>50931</v>
      </c>
      <c r="U118" s="32">
        <f t="shared" si="11"/>
        <v>50931</v>
      </c>
      <c r="V118" s="32">
        <f t="shared" si="11"/>
        <v>50931</v>
      </c>
      <c r="W118" s="32">
        <f t="shared" si="11"/>
        <v>56336</v>
      </c>
      <c r="X118" s="32">
        <f t="shared" si="11"/>
        <v>0</v>
      </c>
      <c r="Y118" s="32">
        <f t="shared" si="11"/>
        <v>0</v>
      </c>
      <c r="Z118" s="32">
        <f t="shared" si="11"/>
        <v>0</v>
      </c>
    </row>
    <row r="119" spans="1:26" ht="18" x14ac:dyDescent="0.25">
      <c r="A119" s="163" t="str">
        <f>CONCATENATE(B19," ",C19)</f>
        <v>Phase III Phase III consultants during ESIA tramiting period</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6" ht="60" x14ac:dyDescent="0.25">
      <c r="A120" s="165"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6" ht="19.899999999999999" customHeight="1" x14ac:dyDescent="0.25">
      <c r="A121" s="152"/>
      <c r="B121" s="93" t="s">
        <v>1025</v>
      </c>
      <c r="C121" s="93" t="s">
        <v>1011</v>
      </c>
      <c r="D121" s="140" t="s">
        <v>1027</v>
      </c>
      <c r="E121" s="11" t="s">
        <v>214</v>
      </c>
      <c r="F121" s="11" t="s">
        <v>293</v>
      </c>
      <c r="G121" s="11" t="s">
        <v>1025</v>
      </c>
      <c r="H121" s="136" t="s">
        <v>41</v>
      </c>
      <c r="I121" s="136" t="s">
        <v>41</v>
      </c>
      <c r="J121" s="136" t="s">
        <v>41</v>
      </c>
      <c r="K121" s="136" t="s">
        <v>207</v>
      </c>
      <c r="L121" s="11">
        <v>3</v>
      </c>
      <c r="M121" s="11"/>
      <c r="N121" s="137">
        <f t="shared" ref="N121:N131" si="12">SUM(O121:Z121)</f>
        <v>94473</v>
      </c>
      <c r="O121" s="11"/>
      <c r="P121" s="11"/>
      <c r="Q121" s="11"/>
      <c r="R121" s="11"/>
      <c r="S121" s="11"/>
      <c r="T121" s="11"/>
      <c r="U121" s="11"/>
      <c r="V121" s="11"/>
      <c r="W121" s="11"/>
      <c r="X121" s="11">
        <v>31491</v>
      </c>
      <c r="Y121" s="11">
        <v>31491</v>
      </c>
      <c r="Z121" s="11">
        <v>31491</v>
      </c>
    </row>
    <row r="122" spans="1:26" ht="17.45" customHeight="1" x14ac:dyDescent="0.25">
      <c r="A122" s="152"/>
      <c r="B122" s="93" t="s">
        <v>1028</v>
      </c>
      <c r="C122" s="93" t="s">
        <v>1011</v>
      </c>
      <c r="D122" s="140" t="s">
        <v>1027</v>
      </c>
      <c r="E122" s="11" t="s">
        <v>214</v>
      </c>
      <c r="F122" s="11" t="s">
        <v>293</v>
      </c>
      <c r="G122" s="11" t="s">
        <v>1028</v>
      </c>
      <c r="H122" s="136" t="s">
        <v>41</v>
      </c>
      <c r="I122" s="136" t="s">
        <v>41</v>
      </c>
      <c r="J122" s="136" t="s">
        <v>41</v>
      </c>
      <c r="K122" s="136" t="s">
        <v>207</v>
      </c>
      <c r="L122" s="11">
        <v>3</v>
      </c>
      <c r="M122" s="11"/>
      <c r="N122" s="137">
        <f t="shared" si="12"/>
        <v>44400</v>
      </c>
      <c r="O122" s="11"/>
      <c r="P122" s="11"/>
      <c r="Q122" s="11"/>
      <c r="R122" s="11"/>
      <c r="S122" s="11"/>
      <c r="T122" s="11"/>
      <c r="U122" s="11"/>
      <c r="V122" s="11"/>
      <c r="W122" s="11"/>
      <c r="X122" s="11">
        <v>14800</v>
      </c>
      <c r="Y122" s="11">
        <v>14800</v>
      </c>
      <c r="Z122" s="11">
        <v>14800</v>
      </c>
    </row>
    <row r="123" spans="1:26" ht="22.9" customHeight="1" x14ac:dyDescent="0.25">
      <c r="A123" s="152"/>
      <c r="B123" s="93" t="s">
        <v>1028</v>
      </c>
      <c r="C123" s="93" t="s">
        <v>1011</v>
      </c>
      <c r="D123" s="140" t="s">
        <v>1030</v>
      </c>
      <c r="E123" s="11" t="s">
        <v>214</v>
      </c>
      <c r="F123" s="11" t="s">
        <v>293</v>
      </c>
      <c r="G123" s="11" t="s">
        <v>1028</v>
      </c>
      <c r="H123" s="136" t="s">
        <v>41</v>
      </c>
      <c r="I123" s="136" t="s">
        <v>41</v>
      </c>
      <c r="J123" s="136" t="s">
        <v>41</v>
      </c>
      <c r="K123" s="136" t="s">
        <v>207</v>
      </c>
      <c r="L123" s="11">
        <v>3</v>
      </c>
      <c r="M123" s="11"/>
      <c r="N123" s="137">
        <f t="shared" si="12"/>
        <v>13920</v>
      </c>
      <c r="O123" s="11"/>
      <c r="P123" s="11"/>
      <c r="Q123" s="11"/>
      <c r="R123" s="11"/>
      <c r="S123" s="11"/>
      <c r="T123" s="11"/>
      <c r="U123" s="11"/>
      <c r="V123" s="11"/>
      <c r="W123" s="11"/>
      <c r="X123" s="11">
        <v>4640</v>
      </c>
      <c r="Y123" s="11">
        <v>4640</v>
      </c>
      <c r="Z123" s="11">
        <v>4640</v>
      </c>
    </row>
    <row r="124" spans="1:26" ht="15" x14ac:dyDescent="0.25">
      <c r="A124" s="152"/>
      <c r="B124" s="93"/>
      <c r="C124" s="93"/>
      <c r="D124" s="140"/>
      <c r="E124" s="11"/>
      <c r="F124" s="11"/>
      <c r="G124" s="11"/>
      <c r="H124" s="11"/>
      <c r="I124" s="11"/>
      <c r="J124" s="11"/>
      <c r="K124" s="11"/>
      <c r="L124" s="11"/>
      <c r="M124" s="11"/>
      <c r="N124" s="137">
        <f t="shared" si="12"/>
        <v>0</v>
      </c>
      <c r="O124" s="11"/>
      <c r="P124" s="11"/>
      <c r="Q124" s="11"/>
      <c r="R124" s="11"/>
      <c r="S124" s="11"/>
      <c r="T124" s="11"/>
      <c r="U124" s="11"/>
      <c r="V124" s="11"/>
      <c r="W124" s="11"/>
      <c r="X124" s="11"/>
      <c r="Y124" s="11"/>
      <c r="Z124" s="11"/>
    </row>
    <row r="125" spans="1:26" ht="15" hidden="1" x14ac:dyDescent="0.25">
      <c r="A125" s="152"/>
      <c r="B125" s="93"/>
      <c r="C125" s="93"/>
      <c r="D125" s="140"/>
      <c r="E125" s="11"/>
      <c r="F125" s="11"/>
      <c r="G125" s="53"/>
      <c r="H125" s="11"/>
      <c r="I125" s="11"/>
      <c r="J125" s="11"/>
      <c r="K125" s="11"/>
      <c r="L125" s="11"/>
      <c r="M125" s="11"/>
      <c r="N125" s="137">
        <f t="shared" si="12"/>
        <v>0</v>
      </c>
      <c r="O125" s="11"/>
      <c r="P125" s="11"/>
      <c r="Q125" s="11"/>
      <c r="R125" s="11"/>
      <c r="S125" s="11"/>
      <c r="T125" s="11"/>
      <c r="U125" s="11"/>
      <c r="V125" s="11"/>
      <c r="W125" s="11"/>
      <c r="X125" s="11"/>
      <c r="Y125" s="11"/>
      <c r="Z125" s="11"/>
    </row>
    <row r="126" spans="1:26" ht="15" hidden="1" x14ac:dyDescent="0.25">
      <c r="A126" s="152"/>
      <c r="B126" s="93"/>
      <c r="C126" s="93"/>
      <c r="D126" s="140"/>
      <c r="E126" s="11"/>
      <c r="F126" s="11"/>
      <c r="G126" s="53"/>
      <c r="H126" s="11"/>
      <c r="I126" s="11"/>
      <c r="J126" s="11"/>
      <c r="K126" s="11"/>
      <c r="L126" s="11"/>
      <c r="M126" s="11"/>
      <c r="N126" s="137">
        <f t="shared" si="12"/>
        <v>0</v>
      </c>
      <c r="O126" s="11"/>
      <c r="P126" s="11"/>
      <c r="Q126" s="11"/>
      <c r="R126" s="11"/>
      <c r="S126" s="11"/>
      <c r="T126" s="11"/>
      <c r="U126" s="11"/>
      <c r="V126" s="11"/>
      <c r="W126" s="11"/>
      <c r="X126" s="11"/>
      <c r="Y126" s="11"/>
      <c r="Z126" s="11"/>
    </row>
    <row r="127" spans="1:26" ht="15" hidden="1" x14ac:dyDescent="0.25">
      <c r="A127" s="152"/>
      <c r="B127" s="93"/>
      <c r="C127" s="93"/>
      <c r="D127" s="140"/>
      <c r="E127" s="11"/>
      <c r="F127" s="11"/>
      <c r="G127" s="53"/>
      <c r="H127" s="11"/>
      <c r="I127" s="11"/>
      <c r="J127" s="11"/>
      <c r="K127" s="11"/>
      <c r="L127" s="11"/>
      <c r="M127" s="11"/>
      <c r="N127" s="137">
        <f t="shared" si="12"/>
        <v>0</v>
      </c>
      <c r="O127" s="11"/>
      <c r="P127" s="11"/>
      <c r="Q127" s="11"/>
      <c r="R127" s="11"/>
      <c r="S127" s="11"/>
      <c r="T127" s="11"/>
      <c r="U127" s="11"/>
      <c r="V127" s="11"/>
      <c r="W127" s="11"/>
      <c r="X127" s="11"/>
      <c r="Y127" s="11"/>
      <c r="Z127" s="11"/>
    </row>
    <row r="128" spans="1:26" ht="19.149999999999999" hidden="1" customHeight="1" x14ac:dyDescent="0.25">
      <c r="A128" s="152"/>
      <c r="B128" s="93"/>
      <c r="C128" s="93"/>
      <c r="D128" s="140"/>
      <c r="E128" s="11"/>
      <c r="F128" s="11"/>
      <c r="G128" s="53"/>
      <c r="H128" s="11"/>
      <c r="I128" s="11"/>
      <c r="J128" s="11"/>
      <c r="K128" s="11"/>
      <c r="L128" s="11"/>
      <c r="M128" s="11"/>
      <c r="N128" s="137">
        <f t="shared" si="12"/>
        <v>0</v>
      </c>
      <c r="O128" s="11"/>
      <c r="P128" s="11"/>
      <c r="Q128" s="11"/>
      <c r="R128" s="11"/>
      <c r="S128" s="11"/>
      <c r="T128" s="11"/>
      <c r="U128" s="11"/>
      <c r="V128" s="11"/>
      <c r="W128" s="11"/>
      <c r="X128" s="11"/>
      <c r="Y128" s="11"/>
      <c r="Z128" s="11"/>
    </row>
    <row r="129" spans="1:27" ht="15" hidden="1" x14ac:dyDescent="0.25">
      <c r="A129" s="152"/>
      <c r="B129" s="93"/>
      <c r="C129" s="93"/>
      <c r="D129" s="140"/>
      <c r="E129" s="11"/>
      <c r="F129" s="11"/>
      <c r="G129" s="53"/>
      <c r="H129" s="11"/>
      <c r="I129" s="11"/>
      <c r="J129" s="11"/>
      <c r="K129" s="11"/>
      <c r="L129" s="11"/>
      <c r="M129" s="11"/>
      <c r="N129" s="137">
        <f t="shared" si="12"/>
        <v>0</v>
      </c>
      <c r="O129" s="11"/>
      <c r="P129" s="11"/>
      <c r="Q129" s="11"/>
      <c r="R129" s="11"/>
      <c r="S129" s="11"/>
      <c r="T129" s="11"/>
      <c r="U129" s="11"/>
      <c r="V129" s="11"/>
      <c r="W129" s="11"/>
      <c r="X129" s="11"/>
      <c r="Y129" s="11"/>
      <c r="Z129" s="11"/>
    </row>
    <row r="130" spans="1:27" ht="15" hidden="1" x14ac:dyDescent="0.25">
      <c r="A130" s="152"/>
      <c r="B130" s="93"/>
      <c r="C130" s="93"/>
      <c r="D130" s="140"/>
      <c r="E130" s="11"/>
      <c r="F130" s="11"/>
      <c r="G130" s="53"/>
      <c r="H130" s="11"/>
      <c r="I130" s="11"/>
      <c r="J130" s="11"/>
      <c r="K130" s="11"/>
      <c r="L130" s="11"/>
      <c r="M130" s="11"/>
      <c r="N130" s="137">
        <f t="shared" si="12"/>
        <v>0</v>
      </c>
      <c r="O130" s="11"/>
      <c r="P130" s="11"/>
      <c r="Q130" s="11"/>
      <c r="R130" s="11"/>
      <c r="S130" s="11"/>
      <c r="T130" s="11"/>
      <c r="U130" s="11"/>
      <c r="V130" s="11"/>
      <c r="W130" s="11"/>
      <c r="X130" s="11"/>
      <c r="Y130" s="11"/>
      <c r="Z130" s="11"/>
    </row>
    <row r="131" spans="1:27" ht="15" hidden="1" x14ac:dyDescent="0.25">
      <c r="A131" s="152"/>
      <c r="B131" s="93"/>
      <c r="C131" s="93"/>
      <c r="D131" s="140"/>
      <c r="E131" s="11"/>
      <c r="F131" s="11"/>
      <c r="G131" s="53"/>
      <c r="H131" s="11"/>
      <c r="I131" s="11"/>
      <c r="J131" s="11"/>
      <c r="K131" s="11"/>
      <c r="L131" s="11"/>
      <c r="M131" s="11"/>
      <c r="N131" s="137">
        <f t="shared" si="12"/>
        <v>0</v>
      </c>
      <c r="O131" s="11"/>
      <c r="P131" s="11"/>
      <c r="Q131" s="11"/>
      <c r="R131" s="11"/>
      <c r="S131" s="11"/>
      <c r="T131" s="11"/>
      <c r="U131" s="11"/>
      <c r="V131" s="11"/>
      <c r="W131" s="11"/>
      <c r="X131" s="11"/>
      <c r="Y131" s="11"/>
      <c r="Z131" s="11"/>
    </row>
    <row r="132" spans="1:27" ht="15" hidden="1" x14ac:dyDescent="0.25">
      <c r="A132" s="152"/>
      <c r="B132" s="93"/>
      <c r="C132" s="93"/>
      <c r="D132" s="140"/>
      <c r="E132" s="11"/>
      <c r="F132" s="11"/>
      <c r="G132" s="53"/>
      <c r="H132" s="11"/>
      <c r="I132" s="11"/>
      <c r="J132" s="11"/>
      <c r="K132" s="11"/>
      <c r="L132" s="11"/>
      <c r="M132" s="11"/>
      <c r="N132" s="11"/>
      <c r="O132" s="11"/>
      <c r="P132" s="11"/>
      <c r="Q132" s="11"/>
      <c r="R132" s="11"/>
      <c r="S132" s="11"/>
      <c r="T132" s="11"/>
      <c r="U132" s="11"/>
      <c r="V132" s="11"/>
      <c r="W132" s="11"/>
      <c r="X132" s="11"/>
      <c r="Y132" s="11"/>
      <c r="Z132" s="11"/>
    </row>
    <row r="133" spans="1:27" ht="15" x14ac:dyDescent="0.25">
      <c r="A133" s="152"/>
      <c r="B133" s="93"/>
      <c r="C133" s="93"/>
      <c r="D133" s="140"/>
      <c r="E133" s="11"/>
      <c r="F133" s="11"/>
      <c r="G133" s="53"/>
      <c r="H133" s="11"/>
      <c r="I133" s="11"/>
      <c r="J133" s="11"/>
      <c r="K133" s="11"/>
      <c r="L133" s="11"/>
      <c r="M133" s="11"/>
      <c r="N133" s="11"/>
      <c r="O133" s="11"/>
      <c r="P133" s="11"/>
      <c r="Q133" s="11"/>
      <c r="R133" s="11"/>
      <c r="S133" s="11"/>
      <c r="T133" s="11"/>
      <c r="U133" s="11"/>
      <c r="V133" s="11"/>
      <c r="W133" s="11"/>
      <c r="X133" s="11"/>
      <c r="Y133" s="11"/>
      <c r="Z133" s="11"/>
    </row>
    <row r="134" spans="1:27" ht="20.25" x14ac:dyDescent="0.25">
      <c r="A134" s="152"/>
      <c r="B134" s="93"/>
      <c r="C134" s="93"/>
      <c r="D134" s="140"/>
      <c r="E134" s="11"/>
      <c r="F134" s="11"/>
      <c r="G134" s="45"/>
      <c r="H134" s="11"/>
      <c r="I134" s="11"/>
      <c r="J134" s="11"/>
      <c r="K134" s="68" t="s">
        <v>20</v>
      </c>
      <c r="L134" s="32">
        <f>SUM(L120:L124)</f>
        <v>9</v>
      </c>
      <c r="M134" s="32">
        <f>SUM(M120:M124)</f>
        <v>0</v>
      </c>
      <c r="N134" s="11">
        <f>SUM(N121:N133)</f>
        <v>152793</v>
      </c>
      <c r="O134" s="137">
        <f>SUM(O121:O133)</f>
        <v>0</v>
      </c>
      <c r="P134" s="137">
        <f>SUM(P121:P133)</f>
        <v>0</v>
      </c>
      <c r="Q134" s="137">
        <f t="shared" ref="Q134:Z134" si="13">SUM(Q121:Q133)</f>
        <v>0</v>
      </c>
      <c r="R134" s="137">
        <f t="shared" si="13"/>
        <v>0</v>
      </c>
      <c r="S134" s="137">
        <f t="shared" si="13"/>
        <v>0</v>
      </c>
      <c r="T134" s="137">
        <f t="shared" si="13"/>
        <v>0</v>
      </c>
      <c r="U134" s="137">
        <f t="shared" si="13"/>
        <v>0</v>
      </c>
      <c r="V134" s="137">
        <f t="shared" si="13"/>
        <v>0</v>
      </c>
      <c r="W134" s="137">
        <f t="shared" si="13"/>
        <v>0</v>
      </c>
      <c r="X134" s="137">
        <f t="shared" si="13"/>
        <v>50931</v>
      </c>
      <c r="Y134" s="137">
        <f t="shared" si="13"/>
        <v>50931</v>
      </c>
      <c r="Z134" s="137">
        <f t="shared" si="13"/>
        <v>50931</v>
      </c>
      <c r="AA134" s="35"/>
    </row>
    <row r="135" spans="1:27" ht="18" outlineLevel="1" x14ac:dyDescent="0.25">
      <c r="A135" s="163" t="str">
        <f>CONCATENATE(B20," ",C20)</f>
        <v>Administrative expenses Administrative expenses</v>
      </c>
      <c r="B135" s="30"/>
      <c r="C135" s="31"/>
      <c r="D135" s="31"/>
      <c r="E135" s="29"/>
      <c r="F135" s="29"/>
      <c r="G135" s="29"/>
      <c r="H135" s="29"/>
      <c r="I135" s="29"/>
      <c r="J135" s="29"/>
      <c r="K135" s="29"/>
      <c r="L135" s="29"/>
      <c r="M135" s="29"/>
      <c r="N135" s="29"/>
      <c r="O135" s="29" t="s">
        <v>5</v>
      </c>
      <c r="P135" s="29"/>
      <c r="Q135" s="29"/>
      <c r="R135" s="29"/>
      <c r="S135" s="29"/>
      <c r="T135" s="29"/>
      <c r="U135" s="29"/>
      <c r="V135" s="29"/>
      <c r="W135" s="29"/>
      <c r="X135" s="29"/>
      <c r="Y135" s="29"/>
      <c r="Z135" s="29"/>
    </row>
    <row r="136" spans="1:27" ht="41.45" customHeight="1" outlineLevel="1" x14ac:dyDescent="0.25">
      <c r="A136" s="165" t="s">
        <v>261</v>
      </c>
      <c r="B136" s="92" t="s">
        <v>13</v>
      </c>
      <c r="C136" s="92" t="s">
        <v>14</v>
      </c>
      <c r="D136" s="133" t="s">
        <v>286</v>
      </c>
      <c r="E136" s="32" t="s">
        <v>16</v>
      </c>
      <c r="F136" s="32" t="s">
        <v>295</v>
      </c>
      <c r="G136" s="32" t="s">
        <v>39</v>
      </c>
      <c r="H136" s="32" t="s">
        <v>297</v>
      </c>
      <c r="I136" s="32" t="s">
        <v>298</v>
      </c>
      <c r="J136" s="32" t="s">
        <v>299</v>
      </c>
      <c r="K136" s="32" t="s">
        <v>300</v>
      </c>
      <c r="L136" s="32" t="s">
        <v>17</v>
      </c>
      <c r="M136" s="32" t="s">
        <v>18</v>
      </c>
      <c r="N136" s="32" t="s">
        <v>19</v>
      </c>
      <c r="O136" s="66">
        <v>43101</v>
      </c>
      <c r="P136" s="66">
        <v>43132</v>
      </c>
      <c r="Q136" s="66">
        <v>43160</v>
      </c>
      <c r="R136" s="66">
        <v>43191</v>
      </c>
      <c r="S136" s="66">
        <v>43221</v>
      </c>
      <c r="T136" s="66">
        <v>43252</v>
      </c>
      <c r="U136" s="66">
        <v>43282</v>
      </c>
      <c r="V136" s="66">
        <v>43313</v>
      </c>
      <c r="W136" s="66">
        <v>43344</v>
      </c>
      <c r="X136" s="66">
        <v>43374</v>
      </c>
      <c r="Y136" s="66">
        <v>43405</v>
      </c>
      <c r="Z136" s="66">
        <v>43435</v>
      </c>
    </row>
    <row r="137" spans="1:27" ht="23.45" customHeight="1" outlineLevel="1" x14ac:dyDescent="0.25">
      <c r="A137" s="152" t="s">
        <v>1935</v>
      </c>
      <c r="B137" s="93" t="s">
        <v>1013</v>
      </c>
      <c r="C137" s="93" t="s">
        <v>1034</v>
      </c>
      <c r="D137" s="140" t="s">
        <v>1035</v>
      </c>
      <c r="E137" s="11" t="s">
        <v>214</v>
      </c>
      <c r="F137" s="11" t="s">
        <v>293</v>
      </c>
      <c r="G137" s="11"/>
      <c r="H137" s="11"/>
      <c r="I137" s="11"/>
      <c r="J137" s="11"/>
      <c r="K137" s="11"/>
      <c r="L137" s="11"/>
      <c r="M137" s="11"/>
      <c r="N137" s="11">
        <f t="shared" ref="N137:N140" si="14">SUM(O137:Z137)</f>
        <v>36996</v>
      </c>
      <c r="O137" s="11">
        <v>6833</v>
      </c>
      <c r="P137" s="11">
        <v>6833</v>
      </c>
      <c r="Q137" s="11">
        <v>6833</v>
      </c>
      <c r="R137" s="11">
        <v>1833</v>
      </c>
      <c r="S137" s="11">
        <v>1833</v>
      </c>
      <c r="T137" s="11">
        <v>1833</v>
      </c>
      <c r="U137" s="11">
        <v>1833</v>
      </c>
      <c r="V137" s="11">
        <v>1833</v>
      </c>
      <c r="W137" s="11">
        <v>1833</v>
      </c>
      <c r="X137" s="11">
        <v>1833</v>
      </c>
      <c r="Y137" s="11">
        <v>1833</v>
      </c>
      <c r="Z137" s="11">
        <v>1833</v>
      </c>
    </row>
    <row r="138" spans="1:27" ht="15" hidden="1" customHeight="1" outlineLevel="1" x14ac:dyDescent="0.25">
      <c r="A138" s="152" t="s">
        <v>266</v>
      </c>
      <c r="B138" s="93"/>
      <c r="C138" s="93"/>
      <c r="D138" s="140"/>
      <c r="E138" s="11"/>
      <c r="F138" s="11"/>
      <c r="G138" s="11"/>
      <c r="H138" s="11"/>
      <c r="I138" s="11"/>
      <c r="J138" s="11"/>
      <c r="K138" s="11"/>
      <c r="L138" s="11"/>
      <c r="M138" s="11"/>
      <c r="N138" s="11">
        <f t="shared" si="14"/>
        <v>0</v>
      </c>
      <c r="O138" s="11"/>
      <c r="P138" s="11"/>
      <c r="Q138" s="11"/>
      <c r="R138" s="11"/>
      <c r="S138" s="11"/>
      <c r="T138" s="11"/>
      <c r="U138" s="11"/>
      <c r="V138" s="11"/>
      <c r="W138" s="11"/>
      <c r="X138" s="11"/>
      <c r="Y138" s="11"/>
      <c r="Z138" s="11"/>
    </row>
    <row r="139" spans="1:27" ht="15" hidden="1" customHeight="1" outlineLevel="1" x14ac:dyDescent="0.25">
      <c r="A139" s="152" t="s">
        <v>283</v>
      </c>
      <c r="B139" s="93"/>
      <c r="C139" s="93"/>
      <c r="D139" s="140"/>
      <c r="E139" s="11"/>
      <c r="F139" s="11"/>
      <c r="G139" s="11"/>
      <c r="H139" s="11"/>
      <c r="I139" s="11"/>
      <c r="J139" s="11"/>
      <c r="K139" s="11"/>
      <c r="L139" s="11"/>
      <c r="M139" s="11"/>
      <c r="N139" s="11">
        <f t="shared" si="14"/>
        <v>0</v>
      </c>
      <c r="O139" s="11"/>
      <c r="P139" s="11"/>
      <c r="Q139" s="11"/>
      <c r="R139" s="11"/>
      <c r="S139" s="11"/>
      <c r="T139" s="11"/>
      <c r="U139" s="11"/>
      <c r="V139" s="11"/>
      <c r="W139" s="11"/>
      <c r="X139" s="11"/>
      <c r="Y139" s="11"/>
      <c r="Z139" s="11"/>
    </row>
    <row r="140" spans="1:27" ht="15" hidden="1" customHeight="1" outlineLevel="1" x14ac:dyDescent="0.25">
      <c r="A140" s="152" t="s">
        <v>284</v>
      </c>
      <c r="B140" s="93"/>
      <c r="C140" s="93"/>
      <c r="D140" s="140"/>
      <c r="E140" s="11"/>
      <c r="F140" s="11"/>
      <c r="G140" s="11"/>
      <c r="H140" s="11"/>
      <c r="I140" s="11"/>
      <c r="J140" s="11"/>
      <c r="K140" s="11"/>
      <c r="L140" s="11"/>
      <c r="M140" s="11"/>
      <c r="N140" s="11">
        <f t="shared" si="14"/>
        <v>0</v>
      </c>
      <c r="O140" s="11"/>
      <c r="P140" s="11"/>
      <c r="Q140" s="11"/>
      <c r="R140" s="11"/>
      <c r="S140" s="11"/>
      <c r="T140" s="11"/>
      <c r="U140" s="11"/>
      <c r="V140" s="11"/>
      <c r="W140" s="11"/>
      <c r="X140" s="11"/>
      <c r="Y140" s="11"/>
      <c r="Z140" s="11"/>
    </row>
    <row r="141" spans="1:27" ht="21" customHeight="1" outlineLevel="1" x14ac:dyDescent="0.25">
      <c r="A141" s="152"/>
      <c r="B141" s="93"/>
      <c r="C141" s="93"/>
      <c r="D141" s="140"/>
      <c r="E141" s="11"/>
      <c r="F141" s="11"/>
      <c r="G141" s="45"/>
      <c r="H141" s="11"/>
      <c r="I141" s="11"/>
      <c r="J141" s="11"/>
      <c r="K141" s="68" t="s">
        <v>20</v>
      </c>
      <c r="L141" s="32">
        <f>SUM(L136:L140)</f>
        <v>0</v>
      </c>
      <c r="M141" s="32">
        <f>SUM(M136:M140)</f>
        <v>0</v>
      </c>
      <c r="N141" s="11">
        <f>SUM(N137:N140)</f>
        <v>36996</v>
      </c>
      <c r="O141" s="11">
        <f t="shared" ref="O141:Z141" si="15">SUM(O137:O140)</f>
        <v>6833</v>
      </c>
      <c r="P141" s="11">
        <f t="shared" si="15"/>
        <v>6833</v>
      </c>
      <c r="Q141" s="11">
        <f t="shared" si="15"/>
        <v>6833</v>
      </c>
      <c r="R141" s="11">
        <f t="shared" si="15"/>
        <v>1833</v>
      </c>
      <c r="S141" s="11">
        <f t="shared" si="15"/>
        <v>1833</v>
      </c>
      <c r="T141" s="11">
        <f t="shared" si="15"/>
        <v>1833</v>
      </c>
      <c r="U141" s="11">
        <f t="shared" si="15"/>
        <v>1833</v>
      </c>
      <c r="V141" s="11">
        <f t="shared" si="15"/>
        <v>1833</v>
      </c>
      <c r="W141" s="11">
        <f t="shared" si="15"/>
        <v>1833</v>
      </c>
      <c r="X141" s="11">
        <f t="shared" si="15"/>
        <v>1833</v>
      </c>
      <c r="Y141" s="11">
        <f t="shared" si="15"/>
        <v>1833</v>
      </c>
      <c r="Z141" s="11">
        <f t="shared" si="15"/>
        <v>1833</v>
      </c>
      <c r="AA141" s="35"/>
    </row>
    <row r="142" spans="1:27" ht="18" outlineLevel="1" x14ac:dyDescent="0.25">
      <c r="A142" s="30" t="str">
        <f>CONCATENATE(B21," ",C21)</f>
        <v>Community development program Community development program</v>
      </c>
      <c r="B142" s="30"/>
      <c r="C142" s="31"/>
      <c r="D142" s="31"/>
      <c r="E142" s="29"/>
      <c r="F142" s="29"/>
      <c r="G142" s="29"/>
      <c r="H142" s="29"/>
      <c r="I142" s="29"/>
      <c r="J142" s="29"/>
      <c r="K142" s="29"/>
      <c r="L142" s="29"/>
      <c r="M142" s="29"/>
      <c r="N142" s="29"/>
      <c r="O142" s="29" t="s">
        <v>5</v>
      </c>
      <c r="P142" s="29"/>
      <c r="Q142" s="29"/>
      <c r="R142" s="29"/>
      <c r="S142" s="29"/>
      <c r="T142" s="29"/>
      <c r="U142" s="29"/>
      <c r="V142" s="29"/>
      <c r="W142" s="29"/>
      <c r="X142" s="29"/>
      <c r="Y142" s="29"/>
      <c r="Z142" s="29"/>
    </row>
    <row r="143" spans="1:27" ht="41.45" customHeight="1" outlineLevel="1" x14ac:dyDescent="0.25">
      <c r="A143" s="92" t="s">
        <v>261</v>
      </c>
      <c r="B143" s="92" t="s">
        <v>13</v>
      </c>
      <c r="C143" s="92" t="s">
        <v>14</v>
      </c>
      <c r="D143" s="133" t="s">
        <v>286</v>
      </c>
      <c r="E143" s="32" t="s">
        <v>16</v>
      </c>
      <c r="F143" s="32" t="s">
        <v>295</v>
      </c>
      <c r="G143" s="32" t="s">
        <v>39</v>
      </c>
      <c r="H143" s="32" t="s">
        <v>297</v>
      </c>
      <c r="I143" s="32" t="s">
        <v>298</v>
      </c>
      <c r="J143" s="32" t="s">
        <v>299</v>
      </c>
      <c r="K143" s="32" t="s">
        <v>300</v>
      </c>
      <c r="L143" s="32" t="s">
        <v>17</v>
      </c>
      <c r="M143" s="32" t="s">
        <v>18</v>
      </c>
      <c r="N143" s="32" t="s">
        <v>19</v>
      </c>
      <c r="O143" s="66">
        <v>43101</v>
      </c>
      <c r="P143" s="66">
        <v>43132</v>
      </c>
      <c r="Q143" s="66">
        <v>43160</v>
      </c>
      <c r="R143" s="66">
        <v>43191</v>
      </c>
      <c r="S143" s="66">
        <v>43221</v>
      </c>
      <c r="T143" s="66">
        <v>43252</v>
      </c>
      <c r="U143" s="66">
        <v>43282</v>
      </c>
      <c r="V143" s="66">
        <v>43313</v>
      </c>
      <c r="W143" s="66">
        <v>43344</v>
      </c>
      <c r="X143" s="66">
        <v>43374</v>
      </c>
      <c r="Y143" s="66">
        <v>43405</v>
      </c>
      <c r="Z143" s="66">
        <v>43435</v>
      </c>
    </row>
    <row r="144" spans="1:27" ht="15" customHeight="1" outlineLevel="1" x14ac:dyDescent="0.25">
      <c r="A144" s="152" t="s">
        <v>1936</v>
      </c>
      <c r="B144" s="93"/>
      <c r="C144" s="93" t="s">
        <v>1149</v>
      </c>
      <c r="D144" s="140"/>
      <c r="E144" s="11" t="s">
        <v>214</v>
      </c>
      <c r="F144" s="11" t="s">
        <v>288</v>
      </c>
      <c r="G144" s="11"/>
      <c r="H144" s="136" t="s">
        <v>41</v>
      </c>
      <c r="I144" s="136" t="s">
        <v>41</v>
      </c>
      <c r="J144" s="136" t="s">
        <v>41</v>
      </c>
      <c r="K144" s="136"/>
      <c r="L144" s="11">
        <v>12</v>
      </c>
      <c r="M144" s="11"/>
      <c r="N144" s="11">
        <f t="shared" ref="N144:N147" si="16">SUM(O144:Z144)</f>
        <v>99999.999999999985</v>
      </c>
      <c r="O144" s="11">
        <f>100000/12</f>
        <v>8333.3333333333339</v>
      </c>
      <c r="P144" s="11">
        <f t="shared" ref="P144:Z144" si="17">100000/12</f>
        <v>8333.3333333333339</v>
      </c>
      <c r="Q144" s="11">
        <f t="shared" si="17"/>
        <v>8333.3333333333339</v>
      </c>
      <c r="R144" s="11">
        <f t="shared" si="17"/>
        <v>8333.3333333333339</v>
      </c>
      <c r="S144" s="11">
        <f t="shared" si="17"/>
        <v>8333.3333333333339</v>
      </c>
      <c r="T144" s="11">
        <f t="shared" si="17"/>
        <v>8333.3333333333339</v>
      </c>
      <c r="U144" s="11">
        <f t="shared" si="17"/>
        <v>8333.3333333333339</v>
      </c>
      <c r="V144" s="11">
        <f t="shared" si="17"/>
        <v>8333.3333333333339</v>
      </c>
      <c r="W144" s="11">
        <f t="shared" si="17"/>
        <v>8333.3333333333339</v>
      </c>
      <c r="X144" s="11">
        <f t="shared" si="17"/>
        <v>8333.3333333333339</v>
      </c>
      <c r="Y144" s="11">
        <f t="shared" si="17"/>
        <v>8333.3333333333339</v>
      </c>
      <c r="Z144" s="11">
        <f t="shared" si="17"/>
        <v>8333.3333333333339</v>
      </c>
    </row>
    <row r="145" spans="1:27" ht="15" hidden="1" customHeight="1" outlineLevel="1" x14ac:dyDescent="0.25">
      <c r="A145" s="93"/>
      <c r="B145" s="93"/>
      <c r="C145" s="93"/>
      <c r="D145" s="140"/>
      <c r="E145" s="11"/>
      <c r="F145" s="11"/>
      <c r="G145" s="11"/>
      <c r="H145" s="11"/>
      <c r="I145" s="11"/>
      <c r="J145" s="11"/>
      <c r="K145" s="11"/>
      <c r="L145" s="11"/>
      <c r="M145" s="11"/>
      <c r="N145" s="11">
        <f t="shared" si="16"/>
        <v>0</v>
      </c>
      <c r="O145" s="11"/>
      <c r="P145" s="11"/>
      <c r="Q145" s="11"/>
      <c r="R145" s="11"/>
      <c r="S145" s="11"/>
      <c r="T145" s="11"/>
      <c r="U145" s="11"/>
      <c r="V145" s="11"/>
      <c r="W145" s="11"/>
      <c r="X145" s="11"/>
      <c r="Y145" s="11"/>
      <c r="Z145" s="11"/>
    </row>
    <row r="146" spans="1:27" ht="15" hidden="1" customHeight="1" outlineLevel="1" x14ac:dyDescent="0.25">
      <c r="A146" s="93"/>
      <c r="B146" s="93"/>
      <c r="C146" s="93"/>
      <c r="D146" s="140"/>
      <c r="E146" s="11"/>
      <c r="F146" s="11"/>
      <c r="G146" s="11"/>
      <c r="H146" s="11"/>
      <c r="I146" s="11"/>
      <c r="J146" s="11"/>
      <c r="K146" s="11"/>
      <c r="L146" s="11"/>
      <c r="M146" s="11"/>
      <c r="N146" s="11">
        <f t="shared" si="16"/>
        <v>0</v>
      </c>
      <c r="O146" s="11"/>
      <c r="P146" s="11"/>
      <c r="Q146" s="11"/>
      <c r="R146" s="11"/>
      <c r="S146" s="11"/>
      <c r="T146" s="11"/>
      <c r="U146" s="11"/>
      <c r="V146" s="11"/>
      <c r="W146" s="11"/>
      <c r="X146" s="11"/>
      <c r="Y146" s="11"/>
      <c r="Z146" s="11"/>
    </row>
    <row r="147" spans="1:27" ht="15" hidden="1" customHeight="1" outlineLevel="1" x14ac:dyDescent="0.25">
      <c r="A147" s="93"/>
      <c r="B147" s="93"/>
      <c r="C147" s="93"/>
      <c r="D147" s="140"/>
      <c r="E147" s="11"/>
      <c r="F147" s="11"/>
      <c r="G147" s="11"/>
      <c r="H147" s="11"/>
      <c r="I147" s="11"/>
      <c r="J147" s="11"/>
      <c r="K147" s="11"/>
      <c r="L147" s="11"/>
      <c r="M147" s="11"/>
      <c r="N147" s="11">
        <f t="shared" si="16"/>
        <v>0</v>
      </c>
      <c r="O147" s="11"/>
      <c r="P147" s="11"/>
      <c r="Q147" s="11"/>
      <c r="R147" s="11"/>
      <c r="S147" s="11"/>
      <c r="T147" s="11"/>
      <c r="U147" s="11"/>
      <c r="V147" s="11"/>
      <c r="W147" s="11"/>
      <c r="X147" s="11"/>
      <c r="Y147" s="11"/>
      <c r="Z147" s="11"/>
    </row>
    <row r="148" spans="1:27" ht="21" customHeight="1" outlineLevel="1" x14ac:dyDescent="0.25">
      <c r="A148" s="93"/>
      <c r="B148" s="93"/>
      <c r="C148" s="93"/>
      <c r="D148" s="140"/>
      <c r="E148" s="11"/>
      <c r="F148" s="11"/>
      <c r="G148" s="45"/>
      <c r="H148" s="11"/>
      <c r="I148" s="11"/>
      <c r="J148" s="11"/>
      <c r="K148" s="68" t="s">
        <v>20</v>
      </c>
      <c r="L148" s="32">
        <f>SUM(L143:L147)</f>
        <v>12</v>
      </c>
      <c r="M148" s="32">
        <f>SUM(M143:M147)</f>
        <v>0</v>
      </c>
      <c r="N148" s="11">
        <f>SUM(N144:N147)</f>
        <v>99999.999999999985</v>
      </c>
      <c r="O148" s="11">
        <f t="shared" ref="O148:Z148" si="18">SUM(O144:O147)</f>
        <v>8333.3333333333339</v>
      </c>
      <c r="P148" s="11">
        <f t="shared" si="18"/>
        <v>8333.3333333333339</v>
      </c>
      <c r="Q148" s="11">
        <f t="shared" si="18"/>
        <v>8333.3333333333339</v>
      </c>
      <c r="R148" s="11">
        <f t="shared" si="18"/>
        <v>8333.3333333333339</v>
      </c>
      <c r="S148" s="11">
        <f t="shared" si="18"/>
        <v>8333.3333333333339</v>
      </c>
      <c r="T148" s="11">
        <f t="shared" si="18"/>
        <v>8333.3333333333339</v>
      </c>
      <c r="U148" s="11">
        <f t="shared" si="18"/>
        <v>8333.3333333333339</v>
      </c>
      <c r="V148" s="11">
        <f t="shared" si="18"/>
        <v>8333.3333333333339</v>
      </c>
      <c r="W148" s="11">
        <f t="shared" si="18"/>
        <v>8333.3333333333339</v>
      </c>
      <c r="X148" s="11">
        <f t="shared" si="18"/>
        <v>8333.3333333333339</v>
      </c>
      <c r="Y148" s="11">
        <f t="shared" si="18"/>
        <v>8333.3333333333339</v>
      </c>
      <c r="Z148" s="11">
        <f t="shared" si="18"/>
        <v>8333.3333333333339</v>
      </c>
      <c r="AA148" s="35"/>
    </row>
    <row r="149" spans="1:27" ht="18" outlineLevel="1" x14ac:dyDescent="0.25">
      <c r="A149" s="30" t="str">
        <f>CONCATENATE(B22," ",C22)</f>
        <v xml:space="preserve"> </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45" customHeight="1" outlineLevel="1" x14ac:dyDescent="0.25">
      <c r="A150" s="944" t="s">
        <v>261</v>
      </c>
      <c r="B150" s="944" t="s">
        <v>13</v>
      </c>
      <c r="C150" s="944" t="s">
        <v>14</v>
      </c>
      <c r="D150" s="945" t="s">
        <v>286</v>
      </c>
      <c r="E150" s="946" t="s">
        <v>16</v>
      </c>
      <c r="F150" s="946" t="s">
        <v>295</v>
      </c>
      <c r="G150" s="946" t="s">
        <v>39</v>
      </c>
      <c r="H150" s="946" t="s">
        <v>297</v>
      </c>
      <c r="I150" s="946" t="s">
        <v>298</v>
      </c>
      <c r="J150" s="946" t="s">
        <v>299</v>
      </c>
      <c r="K150" s="946" t="s">
        <v>300</v>
      </c>
      <c r="L150" s="946" t="s">
        <v>17</v>
      </c>
      <c r="M150" s="946" t="s">
        <v>18</v>
      </c>
      <c r="N150" s="946" t="s">
        <v>19</v>
      </c>
      <c r="O150" s="947">
        <v>43101</v>
      </c>
      <c r="P150" s="947">
        <v>43132</v>
      </c>
      <c r="Q150" s="947">
        <v>43160</v>
      </c>
      <c r="R150" s="947">
        <v>43191</v>
      </c>
      <c r="S150" s="947">
        <v>43221</v>
      </c>
      <c r="T150" s="947">
        <v>43252</v>
      </c>
      <c r="U150" s="947">
        <v>43282</v>
      </c>
      <c r="V150" s="947">
        <v>43313</v>
      </c>
      <c r="W150" s="947">
        <v>43344</v>
      </c>
      <c r="X150" s="947">
        <v>43374</v>
      </c>
      <c r="Y150" s="947">
        <v>43405</v>
      </c>
      <c r="Z150" s="947">
        <v>43435</v>
      </c>
    </row>
    <row r="151" spans="1:27" ht="15" customHeight="1" outlineLevel="1" x14ac:dyDescent="0.25">
      <c r="A151" s="167" t="s">
        <v>1924</v>
      </c>
      <c r="B151" s="167" t="s">
        <v>1025</v>
      </c>
      <c r="C151" s="167" t="s">
        <v>1926</v>
      </c>
      <c r="D151" s="166" t="s">
        <v>1027</v>
      </c>
      <c r="E151" s="139" t="s">
        <v>214</v>
      </c>
      <c r="F151" s="139" t="s">
        <v>293</v>
      </c>
      <c r="G151" s="139" t="s">
        <v>1025</v>
      </c>
      <c r="H151" s="139" t="s">
        <v>41</v>
      </c>
      <c r="I151" s="139" t="s">
        <v>41</v>
      </c>
      <c r="J151" s="139" t="s">
        <v>41</v>
      </c>
      <c r="K151" s="139" t="s">
        <v>42</v>
      </c>
      <c r="L151" s="139">
        <v>12</v>
      </c>
      <c r="M151" s="139"/>
      <c r="N151" s="139">
        <f t="shared" ref="N151:N153" si="19">SUM(O151:Z151)</f>
        <v>376959</v>
      </c>
      <c r="O151" s="139">
        <f>O95+O106+O121</f>
        <v>31180</v>
      </c>
      <c r="P151" s="139">
        <f t="shared" ref="P151:Z151" si="20">P95+P106+P121</f>
        <v>31180</v>
      </c>
      <c r="Q151" s="139">
        <f t="shared" si="20"/>
        <v>31180</v>
      </c>
      <c r="R151" s="139">
        <f t="shared" si="20"/>
        <v>31491</v>
      </c>
      <c r="S151" s="139">
        <f t="shared" si="20"/>
        <v>31491</v>
      </c>
      <c r="T151" s="139">
        <f t="shared" si="20"/>
        <v>31491</v>
      </c>
      <c r="U151" s="139">
        <f t="shared" si="20"/>
        <v>31491</v>
      </c>
      <c r="V151" s="139">
        <f t="shared" si="20"/>
        <v>31491</v>
      </c>
      <c r="W151" s="139">
        <f t="shared" si="20"/>
        <v>31491</v>
      </c>
      <c r="X151" s="139">
        <f t="shared" si="20"/>
        <v>31491</v>
      </c>
      <c r="Y151" s="139">
        <f t="shared" si="20"/>
        <v>31491</v>
      </c>
      <c r="Z151" s="139">
        <f t="shared" si="20"/>
        <v>31491</v>
      </c>
    </row>
    <row r="152" spans="1:27" ht="15" customHeight="1" outlineLevel="1" x14ac:dyDescent="0.25">
      <c r="A152" s="167" t="s">
        <v>1930</v>
      </c>
      <c r="B152" s="167" t="s">
        <v>1028</v>
      </c>
      <c r="C152" s="167" t="s">
        <v>1932</v>
      </c>
      <c r="D152" s="166" t="s">
        <v>1029</v>
      </c>
      <c r="E152" s="139" t="s">
        <v>214</v>
      </c>
      <c r="F152" s="139" t="s">
        <v>293</v>
      </c>
      <c r="G152" s="139" t="s">
        <v>1028</v>
      </c>
      <c r="H152" s="139" t="s">
        <v>41</v>
      </c>
      <c r="I152" s="139" t="s">
        <v>41</v>
      </c>
      <c r="J152" s="139" t="s">
        <v>41</v>
      </c>
      <c r="K152" s="139" t="s">
        <v>42</v>
      </c>
      <c r="L152" s="139">
        <v>12</v>
      </c>
      <c r="M152" s="139"/>
      <c r="N152" s="139">
        <f t="shared" si="19"/>
        <v>182000</v>
      </c>
      <c r="O152" s="139">
        <f t="shared" ref="O152:Z153" si="21">O96+O107+O122</f>
        <v>14800</v>
      </c>
      <c r="P152" s="139">
        <f t="shared" si="21"/>
        <v>14800</v>
      </c>
      <c r="Q152" s="139">
        <f t="shared" si="21"/>
        <v>17000</v>
      </c>
      <c r="R152" s="139">
        <f t="shared" si="21"/>
        <v>14800</v>
      </c>
      <c r="S152" s="139">
        <f t="shared" si="21"/>
        <v>14800</v>
      </c>
      <c r="T152" s="139">
        <f t="shared" si="21"/>
        <v>14800</v>
      </c>
      <c r="U152" s="139">
        <f t="shared" si="21"/>
        <v>14800</v>
      </c>
      <c r="V152" s="139">
        <f t="shared" si="21"/>
        <v>14800</v>
      </c>
      <c r="W152" s="139">
        <f t="shared" si="21"/>
        <v>17000</v>
      </c>
      <c r="X152" s="139">
        <f t="shared" si="21"/>
        <v>14800</v>
      </c>
      <c r="Y152" s="139">
        <f t="shared" si="21"/>
        <v>14800</v>
      </c>
      <c r="Z152" s="139">
        <f t="shared" si="21"/>
        <v>14800</v>
      </c>
    </row>
    <row r="153" spans="1:27" ht="15" customHeight="1" outlineLevel="1" x14ac:dyDescent="0.25">
      <c r="A153" s="167" t="s">
        <v>1933</v>
      </c>
      <c r="B153" s="167" t="s">
        <v>1028</v>
      </c>
      <c r="C153" s="167" t="s">
        <v>1934</v>
      </c>
      <c r="D153" s="166" t="s">
        <v>1030</v>
      </c>
      <c r="E153" s="139" t="s">
        <v>214</v>
      </c>
      <c r="F153" s="139" t="s">
        <v>293</v>
      </c>
      <c r="G153" s="139" t="s">
        <v>1028</v>
      </c>
      <c r="H153" s="139" t="s">
        <v>41</v>
      </c>
      <c r="I153" s="139" t="s">
        <v>41</v>
      </c>
      <c r="J153" s="139" t="s">
        <v>41</v>
      </c>
      <c r="K153" s="139" t="s">
        <v>42</v>
      </c>
      <c r="L153" s="139">
        <v>12</v>
      </c>
      <c r="M153" s="139"/>
      <c r="N153" s="139">
        <f t="shared" si="19"/>
        <v>62090</v>
      </c>
      <c r="O153" s="139">
        <f t="shared" si="21"/>
        <v>4640</v>
      </c>
      <c r="P153" s="139">
        <f t="shared" si="21"/>
        <v>4640</v>
      </c>
      <c r="Q153" s="139">
        <f t="shared" si="21"/>
        <v>7845</v>
      </c>
      <c r="R153" s="139">
        <f t="shared" si="21"/>
        <v>4640</v>
      </c>
      <c r="S153" s="139">
        <f t="shared" si="21"/>
        <v>4640</v>
      </c>
      <c r="T153" s="139">
        <f t="shared" si="21"/>
        <v>4640</v>
      </c>
      <c r="U153" s="139">
        <f t="shared" si="21"/>
        <v>4640</v>
      </c>
      <c r="V153" s="139">
        <f t="shared" si="21"/>
        <v>4640</v>
      </c>
      <c r="W153" s="139">
        <f t="shared" si="21"/>
        <v>7845</v>
      </c>
      <c r="X153" s="139">
        <f t="shared" si="21"/>
        <v>4640</v>
      </c>
      <c r="Y153" s="139">
        <f t="shared" si="21"/>
        <v>4640</v>
      </c>
      <c r="Z153" s="139">
        <f t="shared" si="21"/>
        <v>4640</v>
      </c>
    </row>
    <row r="154" spans="1:27" ht="15" customHeight="1" outlineLevel="1" x14ac:dyDescent="0.25">
      <c r="A154" s="93"/>
      <c r="B154" s="93"/>
      <c r="C154" s="93"/>
      <c r="D154" s="140"/>
      <c r="E154" s="11"/>
      <c r="F154" s="11"/>
      <c r="G154" s="11"/>
      <c r="H154" s="11"/>
      <c r="I154" s="11"/>
      <c r="J154" s="11"/>
      <c r="K154" s="11"/>
      <c r="L154" s="11"/>
      <c r="M154" s="11"/>
      <c r="N154" s="11">
        <f t="shared" ref="N154" si="22">SUM(O154:Z154)</f>
        <v>0</v>
      </c>
      <c r="O154" s="11"/>
      <c r="P154" s="11"/>
      <c r="Q154" s="11"/>
      <c r="R154" s="11"/>
      <c r="S154" s="11"/>
      <c r="T154" s="11"/>
      <c r="U154" s="11"/>
      <c r="V154" s="11"/>
      <c r="W154" s="11"/>
      <c r="X154" s="11"/>
      <c r="Y154" s="11"/>
      <c r="Z154" s="11"/>
    </row>
    <row r="155" spans="1:27" ht="21" customHeight="1" outlineLevel="1" x14ac:dyDescent="0.25">
      <c r="A155" s="93"/>
      <c r="B155" s="93"/>
      <c r="C155" s="93"/>
      <c r="D155" s="140"/>
      <c r="E155" s="11"/>
      <c r="F155" s="11"/>
      <c r="G155" s="45"/>
      <c r="H155" s="11"/>
      <c r="I155" s="11"/>
      <c r="J155" s="11"/>
      <c r="K155" s="68" t="s">
        <v>20</v>
      </c>
      <c r="L155" s="32">
        <f>SUM(L150:L154)</f>
        <v>36</v>
      </c>
      <c r="M155" s="32">
        <f>SUM(M150:M154)</f>
        <v>0</v>
      </c>
      <c r="N155" s="11">
        <f>SUM(N151:N154)</f>
        <v>621049</v>
      </c>
      <c r="O155" s="11">
        <f t="shared" ref="O155:Z155" si="23">SUM(O151:O154)</f>
        <v>50620</v>
      </c>
      <c r="P155" s="11">
        <f t="shared" si="23"/>
        <v>50620</v>
      </c>
      <c r="Q155" s="11">
        <f t="shared" si="23"/>
        <v>56025</v>
      </c>
      <c r="R155" s="11">
        <f t="shared" si="23"/>
        <v>50931</v>
      </c>
      <c r="S155" s="11">
        <f t="shared" si="23"/>
        <v>50931</v>
      </c>
      <c r="T155" s="11">
        <f t="shared" si="23"/>
        <v>50931</v>
      </c>
      <c r="U155" s="11">
        <f t="shared" si="23"/>
        <v>50931</v>
      </c>
      <c r="V155" s="11">
        <f t="shared" si="23"/>
        <v>50931</v>
      </c>
      <c r="W155" s="11">
        <f t="shared" si="23"/>
        <v>56336</v>
      </c>
      <c r="X155" s="11">
        <f t="shared" si="23"/>
        <v>50931</v>
      </c>
      <c r="Y155" s="11">
        <f t="shared" si="23"/>
        <v>50931</v>
      </c>
      <c r="Z155" s="11">
        <f t="shared" si="23"/>
        <v>50931</v>
      </c>
      <c r="AA155" s="35"/>
    </row>
    <row r="156" spans="1:27" ht="18" outlineLevel="1" x14ac:dyDescent="0.25">
      <c r="A156" s="30" t="str">
        <f>CONCATENATE(B23," ",C23)</f>
        <v xml:space="preserve"> </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15" customHeight="1" outlineLevel="1" x14ac:dyDescent="0.25">
      <c r="A158" s="93"/>
      <c r="B158" s="93"/>
      <c r="C158" s="93"/>
      <c r="D158" s="140"/>
      <c r="E158" s="11"/>
      <c r="F158" s="11"/>
      <c r="G158" s="11"/>
      <c r="H158" s="11"/>
      <c r="I158" s="11"/>
      <c r="J158" s="11"/>
      <c r="K158" s="11"/>
      <c r="L158" s="11"/>
      <c r="M158" s="11"/>
      <c r="N158" s="11">
        <f t="shared" ref="N158:N161" si="24">SUM(O158:Z158)</f>
        <v>0</v>
      </c>
      <c r="O158" s="11"/>
      <c r="P158" s="11"/>
      <c r="Q158" s="11"/>
      <c r="R158" s="11"/>
      <c r="S158" s="11"/>
      <c r="T158" s="11"/>
      <c r="U158" s="11"/>
      <c r="V158" s="11"/>
      <c r="W158" s="11"/>
      <c r="X158" s="11"/>
      <c r="Y158" s="11"/>
      <c r="Z158" s="11"/>
    </row>
    <row r="159" spans="1:27" ht="15" customHeight="1" outlineLevel="1" x14ac:dyDescent="0.25">
      <c r="A159" s="93"/>
      <c r="B159" s="93"/>
      <c r="C159" s="93"/>
      <c r="D159" s="140"/>
      <c r="E159" s="11"/>
      <c r="F159" s="11"/>
      <c r="G159" s="11"/>
      <c r="H159" s="11"/>
      <c r="I159" s="11"/>
      <c r="J159" s="11"/>
      <c r="K159" s="11"/>
      <c r="L159" s="11"/>
      <c r="M159" s="11"/>
      <c r="N159" s="11">
        <f t="shared" si="24"/>
        <v>0</v>
      </c>
      <c r="O159" s="11"/>
      <c r="P159" s="11"/>
      <c r="Q159" s="11"/>
      <c r="R159" s="11"/>
      <c r="S159" s="11"/>
      <c r="T159" s="11"/>
      <c r="U159" s="11"/>
      <c r="V159" s="11"/>
      <c r="W159" s="11"/>
      <c r="X159" s="11"/>
      <c r="Y159" s="11"/>
      <c r="Z159" s="11"/>
    </row>
    <row r="160" spans="1:27" ht="15" customHeight="1" outlineLevel="1" x14ac:dyDescent="0.25">
      <c r="A160" s="93"/>
      <c r="B160" s="93"/>
      <c r="C160" s="93"/>
      <c r="D160" s="140"/>
      <c r="E160" s="11"/>
      <c r="F160" s="11"/>
      <c r="G160" s="11"/>
      <c r="H160" s="11"/>
      <c r="I160" s="11"/>
      <c r="J160" s="11"/>
      <c r="K160" s="11"/>
      <c r="L160" s="11"/>
      <c r="M160" s="11"/>
      <c r="N160" s="11">
        <f t="shared" si="24"/>
        <v>0</v>
      </c>
      <c r="O160" s="11"/>
      <c r="P160" s="11"/>
      <c r="Q160" s="11"/>
      <c r="R160" s="11"/>
      <c r="S160" s="11"/>
      <c r="T160" s="11"/>
      <c r="U160" s="11"/>
      <c r="V160" s="11"/>
      <c r="W160" s="11"/>
      <c r="X160" s="11"/>
      <c r="Y160" s="11"/>
      <c r="Z160" s="11"/>
    </row>
    <row r="161" spans="1:27" ht="15" customHeight="1" outlineLevel="1" x14ac:dyDescent="0.25">
      <c r="A161" s="93"/>
      <c r="B161" s="93"/>
      <c r="C161" s="93"/>
      <c r="D161" s="140"/>
      <c r="E161" s="11"/>
      <c r="F161" s="11"/>
      <c r="G161" s="11"/>
      <c r="H161" s="11"/>
      <c r="I161" s="11"/>
      <c r="J161" s="11"/>
      <c r="K161" s="11"/>
      <c r="L161" s="11"/>
      <c r="M161" s="11"/>
      <c r="N161" s="11">
        <f t="shared" si="24"/>
        <v>0</v>
      </c>
      <c r="O161" s="11"/>
      <c r="P161" s="11"/>
      <c r="Q161" s="11"/>
      <c r="R161" s="11"/>
      <c r="S161" s="11"/>
      <c r="T161" s="11"/>
      <c r="U161" s="11"/>
      <c r="V161" s="11"/>
      <c r="W161" s="11"/>
      <c r="X161" s="11"/>
      <c r="Y161" s="11"/>
      <c r="Z161" s="11"/>
    </row>
    <row r="162" spans="1:27" ht="21" customHeight="1" outlineLevel="1" x14ac:dyDescent="0.25">
      <c r="A162" s="93"/>
      <c r="B162" s="93"/>
      <c r="C162" s="93"/>
      <c r="D162" s="140"/>
      <c r="E162" s="11"/>
      <c r="F162" s="11"/>
      <c r="G162" s="45"/>
      <c r="H162" s="11"/>
      <c r="I162" s="11"/>
      <c r="J162" s="11"/>
      <c r="K162" s="68" t="s">
        <v>20</v>
      </c>
      <c r="L162" s="32">
        <f>SUM(L157:L161)</f>
        <v>0</v>
      </c>
      <c r="M162" s="32">
        <f>SUM(M157:M161)</f>
        <v>0</v>
      </c>
      <c r="N162" s="11">
        <f>SUM(N158:N161)</f>
        <v>0</v>
      </c>
      <c r="O162" s="11">
        <f t="shared" ref="O162:Z162" si="25">SUM(O158:O161)</f>
        <v>0</v>
      </c>
      <c r="P162" s="11">
        <f t="shared" si="25"/>
        <v>0</v>
      </c>
      <c r="Q162" s="11">
        <f t="shared" si="25"/>
        <v>0</v>
      </c>
      <c r="R162" s="11">
        <f t="shared" si="25"/>
        <v>0</v>
      </c>
      <c r="S162" s="11">
        <f t="shared" si="25"/>
        <v>0</v>
      </c>
      <c r="T162" s="11">
        <f t="shared" si="25"/>
        <v>0</v>
      </c>
      <c r="U162" s="11">
        <f t="shared" si="25"/>
        <v>0</v>
      </c>
      <c r="V162" s="11">
        <f t="shared" si="25"/>
        <v>0</v>
      </c>
      <c r="W162" s="11">
        <f t="shared" si="25"/>
        <v>0</v>
      </c>
      <c r="X162" s="11">
        <f t="shared" si="25"/>
        <v>0</v>
      </c>
      <c r="Y162" s="11">
        <f t="shared" si="25"/>
        <v>0</v>
      </c>
      <c r="Z162" s="11">
        <f t="shared" si="25"/>
        <v>0</v>
      </c>
      <c r="AA162" s="35"/>
    </row>
    <row r="163" spans="1:27" ht="18" outlineLevel="1" x14ac:dyDescent="0.25">
      <c r="A163" s="30" t="str">
        <f>CONCATENATE(B24," ",C24)</f>
        <v xml:space="preserve"> </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customHeight="1" outlineLevel="1" x14ac:dyDescent="0.25">
      <c r="A165" s="93"/>
      <c r="B165" s="93"/>
      <c r="C165" s="93"/>
      <c r="D165" s="140"/>
      <c r="E165" s="11"/>
      <c r="F165" s="11"/>
      <c r="G165" s="11"/>
      <c r="H165" s="11"/>
      <c r="I165" s="11"/>
      <c r="J165" s="11"/>
      <c r="K165" s="11"/>
      <c r="L165" s="11"/>
      <c r="M165" s="11"/>
      <c r="N165" s="11">
        <f t="shared" ref="N165:N168" si="26">SUM(O165:Z165)</f>
        <v>0</v>
      </c>
      <c r="O165" s="11"/>
      <c r="P165" s="11"/>
      <c r="Q165" s="11"/>
      <c r="R165" s="11"/>
      <c r="S165" s="11"/>
      <c r="T165" s="11"/>
      <c r="U165" s="11"/>
      <c r="V165" s="11"/>
      <c r="W165" s="11"/>
      <c r="X165" s="11"/>
      <c r="Y165" s="11"/>
      <c r="Z165" s="11"/>
    </row>
    <row r="166" spans="1:27" ht="15" customHeight="1" outlineLevel="1" x14ac:dyDescent="0.25">
      <c r="A166" s="93"/>
      <c r="B166" s="93"/>
      <c r="C166" s="93"/>
      <c r="D166" s="140"/>
      <c r="E166" s="11"/>
      <c r="F166" s="11"/>
      <c r="G166" s="11"/>
      <c r="H166" s="11"/>
      <c r="I166" s="11"/>
      <c r="J166" s="11"/>
      <c r="K166" s="11"/>
      <c r="L166" s="11"/>
      <c r="M166" s="11"/>
      <c r="N166" s="11">
        <f t="shared" si="26"/>
        <v>0</v>
      </c>
      <c r="O166" s="11"/>
      <c r="P166" s="11"/>
      <c r="Q166" s="11"/>
      <c r="R166" s="11"/>
      <c r="S166" s="11"/>
      <c r="T166" s="11"/>
      <c r="U166" s="11"/>
      <c r="V166" s="11"/>
      <c r="W166" s="11"/>
      <c r="X166" s="11"/>
      <c r="Y166" s="11"/>
      <c r="Z166" s="11"/>
    </row>
    <row r="167" spans="1:27" ht="15" customHeight="1" outlineLevel="1" x14ac:dyDescent="0.25">
      <c r="A167" s="93"/>
      <c r="B167" s="93"/>
      <c r="C167" s="93"/>
      <c r="D167" s="140"/>
      <c r="E167" s="11"/>
      <c r="F167" s="11"/>
      <c r="G167" s="11"/>
      <c r="H167" s="11"/>
      <c r="I167" s="11"/>
      <c r="J167" s="11"/>
      <c r="K167" s="11"/>
      <c r="L167" s="11"/>
      <c r="M167" s="11"/>
      <c r="N167" s="11">
        <f t="shared" si="26"/>
        <v>0</v>
      </c>
      <c r="O167" s="11"/>
      <c r="P167" s="11"/>
      <c r="Q167" s="11"/>
      <c r="R167" s="11"/>
      <c r="S167" s="11"/>
      <c r="T167" s="11"/>
      <c r="U167" s="11"/>
      <c r="V167" s="11"/>
      <c r="W167" s="11"/>
      <c r="X167" s="11"/>
      <c r="Y167" s="11"/>
      <c r="Z167" s="11"/>
    </row>
    <row r="168" spans="1:27" ht="15" customHeight="1" outlineLevel="1" x14ac:dyDescent="0.25">
      <c r="A168" s="93"/>
      <c r="B168" s="93"/>
      <c r="C168" s="93"/>
      <c r="D168" s="140"/>
      <c r="E168" s="11"/>
      <c r="F168" s="11"/>
      <c r="G168" s="11"/>
      <c r="H168" s="11"/>
      <c r="I168" s="11"/>
      <c r="J168" s="11"/>
      <c r="K168" s="11"/>
      <c r="L168" s="11"/>
      <c r="M168" s="11"/>
      <c r="N168" s="11">
        <f t="shared" si="26"/>
        <v>0</v>
      </c>
      <c r="O168" s="11"/>
      <c r="P168" s="11"/>
      <c r="Q168" s="11"/>
      <c r="R168" s="11"/>
      <c r="S168" s="11"/>
      <c r="T168" s="11"/>
      <c r="U168" s="11"/>
      <c r="V168" s="11"/>
      <c r="W168" s="11"/>
      <c r="X168" s="11"/>
      <c r="Y168" s="11"/>
      <c r="Z168" s="11"/>
    </row>
    <row r="169" spans="1:27" ht="21" customHeight="1" outlineLevel="1" x14ac:dyDescent="0.25">
      <c r="A169" s="93"/>
      <c r="B169" s="93"/>
      <c r="C169" s="93"/>
      <c r="D169" s="140"/>
      <c r="E169" s="11"/>
      <c r="F169" s="11"/>
      <c r="G169" s="45"/>
      <c r="H169" s="11"/>
      <c r="I169" s="11"/>
      <c r="J169" s="11"/>
      <c r="K169" s="68" t="s">
        <v>20</v>
      </c>
      <c r="L169" s="32">
        <f>SUM(L164:L168)</f>
        <v>0</v>
      </c>
      <c r="M169" s="32">
        <f>SUM(M164:M168)</f>
        <v>0</v>
      </c>
      <c r="N169" s="11">
        <f>SUM(N165:N168)</f>
        <v>0</v>
      </c>
      <c r="O169" s="11">
        <f t="shared" ref="O169:Z169" si="27">SUM(O165:O168)</f>
        <v>0</v>
      </c>
      <c r="P169" s="11">
        <f t="shared" si="27"/>
        <v>0</v>
      </c>
      <c r="Q169" s="11">
        <f t="shared" si="27"/>
        <v>0</v>
      </c>
      <c r="R169" s="11">
        <f t="shared" si="27"/>
        <v>0</v>
      </c>
      <c r="S169" s="11">
        <f t="shared" si="27"/>
        <v>0</v>
      </c>
      <c r="T169" s="11">
        <f t="shared" si="27"/>
        <v>0</v>
      </c>
      <c r="U169" s="11">
        <f t="shared" si="27"/>
        <v>0</v>
      </c>
      <c r="V169" s="11">
        <f t="shared" si="27"/>
        <v>0</v>
      </c>
      <c r="W169" s="11">
        <f t="shared" si="27"/>
        <v>0</v>
      </c>
      <c r="X169" s="11">
        <f t="shared" si="27"/>
        <v>0</v>
      </c>
      <c r="Y169" s="11">
        <f t="shared" si="27"/>
        <v>0</v>
      </c>
      <c r="Z169" s="11">
        <f t="shared" si="27"/>
        <v>0</v>
      </c>
      <c r="AA169" s="35"/>
    </row>
    <row r="170" spans="1:27" ht="18" outlineLevel="1" x14ac:dyDescent="0.25">
      <c r="A170" s="30" t="str">
        <f>CONCATENATE(B25," ",C25)</f>
        <v xml:space="preserve"> </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customHeight="1" outlineLevel="1" x14ac:dyDescent="0.25">
      <c r="A172" s="93"/>
      <c r="B172" s="93"/>
      <c r="C172" s="93"/>
      <c r="D172" s="140"/>
      <c r="E172" s="11"/>
      <c r="F172" s="11"/>
      <c r="G172" s="11"/>
      <c r="H172" s="11"/>
      <c r="I172" s="11"/>
      <c r="J172" s="11"/>
      <c r="K172" s="11"/>
      <c r="L172" s="11"/>
      <c r="M172" s="11"/>
      <c r="N172" s="11">
        <f t="shared" ref="N172:N175" si="28">SUM(O172:Z172)</f>
        <v>0</v>
      </c>
      <c r="O172" s="11"/>
      <c r="P172" s="11"/>
      <c r="Q172" s="11"/>
      <c r="R172" s="11"/>
      <c r="S172" s="11"/>
      <c r="T172" s="11"/>
      <c r="U172" s="11"/>
      <c r="V172" s="11"/>
      <c r="W172" s="11"/>
      <c r="X172" s="11"/>
      <c r="Y172" s="11"/>
      <c r="Z172" s="11"/>
    </row>
    <row r="173" spans="1:27" ht="15" customHeight="1" outlineLevel="1" x14ac:dyDescent="0.25">
      <c r="A173" s="93"/>
      <c r="B173" s="93"/>
      <c r="C173" s="93"/>
      <c r="D173" s="140"/>
      <c r="E173" s="11"/>
      <c r="F173" s="11"/>
      <c r="G173" s="11"/>
      <c r="H173" s="11"/>
      <c r="I173" s="11"/>
      <c r="J173" s="11"/>
      <c r="K173" s="11"/>
      <c r="L173" s="11"/>
      <c r="M173" s="11"/>
      <c r="N173" s="11">
        <f t="shared" si="28"/>
        <v>0</v>
      </c>
      <c r="O173" s="11"/>
      <c r="P173" s="11"/>
      <c r="Q173" s="11"/>
      <c r="R173" s="11"/>
      <c r="S173" s="11"/>
      <c r="T173" s="11"/>
      <c r="U173" s="11"/>
      <c r="V173" s="11"/>
      <c r="W173" s="11"/>
      <c r="X173" s="11"/>
      <c r="Y173" s="11"/>
      <c r="Z173" s="11"/>
    </row>
    <row r="174" spans="1:27" ht="15" customHeight="1" outlineLevel="1" x14ac:dyDescent="0.25">
      <c r="A174" s="93"/>
      <c r="B174" s="93"/>
      <c r="C174" s="93"/>
      <c r="D174" s="140"/>
      <c r="E174" s="11"/>
      <c r="F174" s="11"/>
      <c r="G174" s="11"/>
      <c r="H174" s="11"/>
      <c r="I174" s="11"/>
      <c r="J174" s="11"/>
      <c r="K174" s="11"/>
      <c r="L174" s="11"/>
      <c r="M174" s="11"/>
      <c r="N174" s="11">
        <f t="shared" si="28"/>
        <v>0</v>
      </c>
      <c r="O174" s="11"/>
      <c r="P174" s="11"/>
      <c r="Q174" s="11"/>
      <c r="R174" s="11"/>
      <c r="S174" s="11"/>
      <c r="T174" s="11"/>
      <c r="U174" s="11"/>
      <c r="V174" s="11"/>
      <c r="W174" s="11"/>
      <c r="X174" s="11"/>
      <c r="Y174" s="11"/>
      <c r="Z174" s="11"/>
    </row>
    <row r="175" spans="1:27" ht="15" customHeight="1" outlineLevel="1" x14ac:dyDescent="0.25">
      <c r="A175" s="93"/>
      <c r="B175" s="93"/>
      <c r="C175" s="93"/>
      <c r="D175" s="140"/>
      <c r="E175" s="11"/>
      <c r="F175" s="11"/>
      <c r="G175" s="11"/>
      <c r="H175" s="11"/>
      <c r="I175" s="11"/>
      <c r="J175" s="11"/>
      <c r="K175" s="11"/>
      <c r="L175" s="11"/>
      <c r="M175" s="11"/>
      <c r="N175" s="11">
        <f t="shared" si="28"/>
        <v>0</v>
      </c>
      <c r="O175" s="11"/>
      <c r="P175" s="11"/>
      <c r="Q175" s="11"/>
      <c r="R175" s="11"/>
      <c r="S175" s="11"/>
      <c r="T175" s="11"/>
      <c r="U175" s="11"/>
      <c r="V175" s="11"/>
      <c r="W175" s="11"/>
      <c r="X175" s="11"/>
      <c r="Y175" s="11"/>
      <c r="Z175" s="11"/>
    </row>
    <row r="176" spans="1:27" ht="21" customHeight="1" outlineLevel="1" x14ac:dyDescent="0.25">
      <c r="A176" s="93"/>
      <c r="B176" s="93"/>
      <c r="C176" s="93"/>
      <c r="D176" s="140"/>
      <c r="E176" s="11"/>
      <c r="F176" s="11"/>
      <c r="G176" s="45"/>
      <c r="H176" s="11"/>
      <c r="I176" s="11"/>
      <c r="J176" s="11"/>
      <c r="K176" s="68" t="s">
        <v>20</v>
      </c>
      <c r="L176" s="32">
        <f>SUM(L171:L175)</f>
        <v>0</v>
      </c>
      <c r="M176" s="32">
        <f>SUM(M171:M175)</f>
        <v>0</v>
      </c>
      <c r="N176" s="11">
        <f>SUM(N172:N175)</f>
        <v>0</v>
      </c>
      <c r="O176" s="11">
        <f t="shared" ref="O176:Z176" si="29">SUM(O172:O175)</f>
        <v>0</v>
      </c>
      <c r="P176" s="11">
        <f t="shared" si="29"/>
        <v>0</v>
      </c>
      <c r="Q176" s="11">
        <f t="shared" si="29"/>
        <v>0</v>
      </c>
      <c r="R176" s="11">
        <f t="shared" si="29"/>
        <v>0</v>
      </c>
      <c r="S176" s="11">
        <f t="shared" si="29"/>
        <v>0</v>
      </c>
      <c r="T176" s="11">
        <f t="shared" si="29"/>
        <v>0</v>
      </c>
      <c r="U176" s="11">
        <f t="shared" si="29"/>
        <v>0</v>
      </c>
      <c r="V176" s="11">
        <f t="shared" si="29"/>
        <v>0</v>
      </c>
      <c r="W176" s="11">
        <f t="shared" si="29"/>
        <v>0</v>
      </c>
      <c r="X176" s="11">
        <f t="shared" si="29"/>
        <v>0</v>
      </c>
      <c r="Y176" s="11">
        <f t="shared" si="29"/>
        <v>0</v>
      </c>
      <c r="Z176" s="11">
        <f t="shared" si="29"/>
        <v>0</v>
      </c>
      <c r="AA176" s="35"/>
    </row>
    <row r="177" spans="1:26" ht="18" outlineLevel="1" x14ac:dyDescent="0.25">
      <c r="A177" s="30" t="str">
        <f>CONCATENATE(B26," ",C26)</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6" ht="6.75" customHeight="1" x14ac:dyDescent="0.25"/>
    <row r="179" spans="1:26" ht="18" x14ac:dyDescent="0.25">
      <c r="A179" s="41" t="s">
        <v>324</v>
      </c>
      <c r="B179" s="41"/>
      <c r="C179" s="42"/>
      <c r="D179" s="42"/>
      <c r="E179" s="43"/>
      <c r="F179" s="43"/>
      <c r="G179" s="43"/>
      <c r="H179" s="44"/>
      <c r="I179" s="44"/>
      <c r="J179" s="43"/>
      <c r="K179" s="43"/>
      <c r="L179" s="43"/>
      <c r="M179" s="43"/>
      <c r="N179" s="43"/>
      <c r="O179" s="43" t="s">
        <v>5</v>
      </c>
      <c r="P179" s="43"/>
      <c r="Q179" s="43"/>
      <c r="R179" s="43"/>
      <c r="S179" s="43"/>
      <c r="T179" s="43"/>
      <c r="U179" s="43"/>
      <c r="V179" s="43"/>
      <c r="W179" s="43"/>
      <c r="X179" s="43"/>
      <c r="Y179" s="43"/>
      <c r="Z179" s="43"/>
    </row>
    <row r="180" spans="1:26" ht="15.75" outlineLevel="1" x14ac:dyDescent="0.25">
      <c r="A180" s="92" t="s">
        <v>261</v>
      </c>
      <c r="B180" s="92" t="s">
        <v>13</v>
      </c>
      <c r="C180" s="92" t="s">
        <v>14</v>
      </c>
      <c r="D180" s="8" t="s">
        <v>15</v>
      </c>
      <c r="E180" s="49"/>
      <c r="F180" s="49"/>
      <c r="G180" s="49"/>
      <c r="H180" s="49"/>
      <c r="I180" s="49"/>
      <c r="J180" s="48"/>
      <c r="K180" s="12"/>
      <c r="L180" s="32" t="s">
        <v>52</v>
      </c>
      <c r="M180" s="32" t="s">
        <v>53</v>
      </c>
      <c r="N180" s="32" t="s">
        <v>54</v>
      </c>
      <c r="O180" s="66">
        <v>43101</v>
      </c>
      <c r="P180" s="66">
        <v>43132</v>
      </c>
      <c r="Q180" s="66">
        <v>43160</v>
      </c>
      <c r="R180" s="66">
        <v>43191</v>
      </c>
      <c r="S180" s="66">
        <v>43221</v>
      </c>
      <c r="T180" s="66">
        <v>43252</v>
      </c>
      <c r="U180" s="66">
        <v>43282</v>
      </c>
      <c r="V180" s="66">
        <v>43313</v>
      </c>
      <c r="W180" s="66">
        <v>43344</v>
      </c>
      <c r="X180" s="66">
        <v>43374</v>
      </c>
      <c r="Y180" s="66">
        <v>43405</v>
      </c>
      <c r="Z180" s="66">
        <v>43435</v>
      </c>
    </row>
    <row r="181" spans="1:26" ht="15" hidden="1" outlineLevel="1" x14ac:dyDescent="0.25">
      <c r="A181" s="93" t="str">
        <f>+A17</f>
        <v>5.1</v>
      </c>
      <c r="B181" s="93" t="s">
        <v>27</v>
      </c>
      <c r="C181" s="93" t="str">
        <f t="shared" ref="C181:D190" si="30">C17</f>
        <v xml:space="preserve">Finish Phase II B Resettlement </v>
      </c>
      <c r="D181" s="7" t="str">
        <f t="shared" si="30"/>
        <v>consultants rePlan and RC Consultores</v>
      </c>
      <c r="E181" s="49"/>
      <c r="F181" s="49"/>
      <c r="G181" s="49"/>
      <c r="H181" s="49"/>
      <c r="I181" s="49"/>
      <c r="J181" s="48"/>
      <c r="K181" s="12" t="s">
        <v>5</v>
      </c>
      <c r="L181" s="136" t="s">
        <v>48</v>
      </c>
      <c r="M181" s="136" t="s">
        <v>55</v>
      </c>
      <c r="N181" s="11">
        <v>6</v>
      </c>
      <c r="O181" s="54">
        <f t="shared" ref="O181:Z181" si="31">+O17/SUM($O17:$Z17)</f>
        <v>0.32187708644644392</v>
      </c>
      <c r="P181" s="54">
        <f t="shared" si="31"/>
        <v>0.32187708644644392</v>
      </c>
      <c r="Q181" s="54">
        <f t="shared" si="31"/>
        <v>0.35624582710711222</v>
      </c>
      <c r="R181" s="54">
        <f t="shared" si="31"/>
        <v>0</v>
      </c>
      <c r="S181" s="54">
        <f t="shared" si="31"/>
        <v>0</v>
      </c>
      <c r="T181" s="54">
        <f t="shared" si="31"/>
        <v>0</v>
      </c>
      <c r="U181" s="54">
        <f t="shared" si="31"/>
        <v>0</v>
      </c>
      <c r="V181" s="54">
        <f t="shared" si="31"/>
        <v>0</v>
      </c>
      <c r="W181" s="54">
        <f t="shared" si="31"/>
        <v>0</v>
      </c>
      <c r="X181" s="54">
        <f t="shared" si="31"/>
        <v>0</v>
      </c>
      <c r="Y181" s="54">
        <f t="shared" si="31"/>
        <v>0</v>
      </c>
      <c r="Z181" s="54">
        <f t="shared" si="31"/>
        <v>0</v>
      </c>
    </row>
    <row r="182" spans="1:26" ht="15" hidden="1" outlineLevel="1" x14ac:dyDescent="0.25">
      <c r="A182" s="93" t="str">
        <f>+A18</f>
        <v>5.2</v>
      </c>
      <c r="B182" s="93" t="s">
        <v>29</v>
      </c>
      <c r="C182" s="93" t="str">
        <f t="shared" si="30"/>
        <v>Post agreements stage</v>
      </c>
      <c r="D182" s="7" t="str">
        <f t="shared" si="30"/>
        <v>consultants rePlan and RC Consultores</v>
      </c>
      <c r="E182" s="49"/>
      <c r="F182" s="49"/>
      <c r="G182" s="49"/>
      <c r="H182" s="49"/>
      <c r="I182" s="49"/>
      <c r="J182" s="48"/>
      <c r="K182" s="12" t="s">
        <v>5</v>
      </c>
      <c r="L182" s="11" t="s">
        <v>48</v>
      </c>
      <c r="M182" s="11" t="s">
        <v>55</v>
      </c>
      <c r="N182" s="11">
        <v>6</v>
      </c>
      <c r="O182" s="54">
        <f t="shared" ref="O182:Z182" si="32">+O18/SUM($O18:$Z18)</f>
        <v>0</v>
      </c>
      <c r="P182" s="54">
        <f t="shared" si="32"/>
        <v>0</v>
      </c>
      <c r="Q182" s="54">
        <f t="shared" si="32"/>
        <v>0</v>
      </c>
      <c r="R182" s="54">
        <f t="shared" si="32"/>
        <v>0.16377001263702165</v>
      </c>
      <c r="S182" s="54">
        <f t="shared" si="32"/>
        <v>0.16377001263702165</v>
      </c>
      <c r="T182" s="54">
        <f t="shared" si="32"/>
        <v>0.16377001263702165</v>
      </c>
      <c r="U182" s="54">
        <f t="shared" si="32"/>
        <v>0.16377001263702165</v>
      </c>
      <c r="V182" s="54">
        <f t="shared" si="32"/>
        <v>0.16377001263702165</v>
      </c>
      <c r="W182" s="54">
        <f t="shared" si="32"/>
        <v>0.18114993681489175</v>
      </c>
      <c r="X182" s="54">
        <f t="shared" si="32"/>
        <v>0</v>
      </c>
      <c r="Y182" s="54">
        <f t="shared" si="32"/>
        <v>0</v>
      </c>
      <c r="Z182" s="54">
        <f t="shared" si="32"/>
        <v>0</v>
      </c>
    </row>
    <row r="183" spans="1:26" ht="30" hidden="1" outlineLevel="1" x14ac:dyDescent="0.25">
      <c r="A183" s="93" t="str">
        <f>+A19</f>
        <v>5.3</v>
      </c>
      <c r="B183" s="93" t="s">
        <v>30</v>
      </c>
      <c r="C183" s="93" t="str">
        <f t="shared" si="30"/>
        <v>Phase III consultants during ESIA tramiting period</v>
      </c>
      <c r="D183" s="7" t="str">
        <f t="shared" si="30"/>
        <v>consultants rePlan and RC Consultores</v>
      </c>
      <c r="E183" s="49"/>
      <c r="F183" s="49"/>
      <c r="G183" s="49"/>
      <c r="H183" s="49"/>
      <c r="I183" s="49"/>
      <c r="J183" s="48"/>
      <c r="K183" s="12" t="s">
        <v>5</v>
      </c>
      <c r="L183" s="11"/>
      <c r="M183" s="11"/>
      <c r="N183" s="11"/>
      <c r="O183" s="54">
        <f t="shared" ref="O183:Z191" si="33">+O19/SUM($O19:$Z19)</f>
        <v>0</v>
      </c>
      <c r="P183" s="54">
        <f t="shared" si="33"/>
        <v>0</v>
      </c>
      <c r="Q183" s="54">
        <f t="shared" si="33"/>
        <v>0</v>
      </c>
      <c r="R183" s="54">
        <f t="shared" si="33"/>
        <v>0</v>
      </c>
      <c r="S183" s="54">
        <f t="shared" si="33"/>
        <v>0</v>
      </c>
      <c r="T183" s="54">
        <f t="shared" si="33"/>
        <v>0</v>
      </c>
      <c r="U183" s="54">
        <f t="shared" si="33"/>
        <v>0</v>
      </c>
      <c r="V183" s="54">
        <f t="shared" si="33"/>
        <v>0</v>
      </c>
      <c r="W183" s="54">
        <f t="shared" si="33"/>
        <v>0</v>
      </c>
      <c r="X183" s="54">
        <f t="shared" si="33"/>
        <v>0.33333333333333331</v>
      </c>
      <c r="Y183" s="54">
        <f t="shared" si="33"/>
        <v>0.33333333333333331</v>
      </c>
      <c r="Z183" s="54">
        <f t="shared" si="33"/>
        <v>0.33333333333333331</v>
      </c>
    </row>
    <row r="184" spans="1:26" ht="15" hidden="1" outlineLevel="1" x14ac:dyDescent="0.25">
      <c r="A184" s="93" t="str">
        <f>+A20</f>
        <v>5.4</v>
      </c>
      <c r="B184" s="93" t="s">
        <v>31</v>
      </c>
      <c r="C184" s="93" t="str">
        <f t="shared" si="30"/>
        <v>Administrative expenses</v>
      </c>
      <c r="D184" s="140" t="str">
        <f t="shared" si="30"/>
        <v>administrative expenses during resetttlement process</v>
      </c>
      <c r="E184" s="49"/>
      <c r="F184" s="49"/>
      <c r="G184" s="49"/>
      <c r="H184" s="49"/>
      <c r="I184" s="49"/>
      <c r="J184" s="48"/>
      <c r="K184" s="12" t="s">
        <v>5</v>
      </c>
      <c r="L184" s="11"/>
      <c r="M184" s="11"/>
      <c r="N184" s="11"/>
      <c r="O184" s="54">
        <f t="shared" si="33"/>
        <v>0.18469564277219158</v>
      </c>
      <c r="P184" s="54">
        <f t="shared" si="33"/>
        <v>0.18469564277219158</v>
      </c>
      <c r="Q184" s="54">
        <f t="shared" si="33"/>
        <v>0.18469564277219158</v>
      </c>
      <c r="R184" s="54">
        <f t="shared" si="33"/>
        <v>4.9545896853713918E-2</v>
      </c>
      <c r="S184" s="54">
        <f t="shared" si="33"/>
        <v>4.9545896853713918E-2</v>
      </c>
      <c r="T184" s="54">
        <f t="shared" si="33"/>
        <v>4.9545896853713918E-2</v>
      </c>
      <c r="U184" s="54">
        <f t="shared" si="33"/>
        <v>4.9545896853713918E-2</v>
      </c>
      <c r="V184" s="54">
        <f t="shared" si="33"/>
        <v>4.9545896853713918E-2</v>
      </c>
      <c r="W184" s="54">
        <f t="shared" si="33"/>
        <v>4.9545896853713918E-2</v>
      </c>
      <c r="X184" s="54">
        <f t="shared" si="33"/>
        <v>4.9545896853713918E-2</v>
      </c>
      <c r="Y184" s="54">
        <f t="shared" si="33"/>
        <v>4.9545896853713918E-2</v>
      </c>
      <c r="Z184" s="54">
        <f t="shared" si="33"/>
        <v>4.9545896853713918E-2</v>
      </c>
    </row>
    <row r="185" spans="1:26" ht="15" hidden="1" outlineLevel="1" x14ac:dyDescent="0.25">
      <c r="A185" s="93" t="str">
        <f t="shared" ref="A185:A190" si="34">+A21</f>
        <v>5.5</v>
      </c>
      <c r="B185" s="93" t="s">
        <v>32</v>
      </c>
      <c r="C185" s="93" t="str">
        <f t="shared" si="30"/>
        <v>Community development program</v>
      </c>
      <c r="D185" s="140" t="str">
        <f t="shared" si="30"/>
        <v>Community development program</v>
      </c>
      <c r="E185" s="49"/>
      <c r="F185" s="49"/>
      <c r="G185" s="49"/>
      <c r="H185" s="49"/>
      <c r="I185" s="49"/>
      <c r="J185" s="48"/>
      <c r="K185" s="12"/>
      <c r="L185" s="11"/>
      <c r="M185" s="11"/>
      <c r="N185" s="11"/>
      <c r="O185" s="54">
        <f t="shared" si="33"/>
        <v>8.3333333333333356E-2</v>
      </c>
      <c r="P185" s="54">
        <f t="shared" si="33"/>
        <v>8.3333333333333356E-2</v>
      </c>
      <c r="Q185" s="54">
        <f t="shared" si="33"/>
        <v>8.3333333333333356E-2</v>
      </c>
      <c r="R185" s="54">
        <f t="shared" si="33"/>
        <v>8.3333333333333356E-2</v>
      </c>
      <c r="S185" s="54">
        <f t="shared" si="33"/>
        <v>8.3333333333333356E-2</v>
      </c>
      <c r="T185" s="54">
        <f t="shared" si="33"/>
        <v>8.3333333333333356E-2</v>
      </c>
      <c r="U185" s="54">
        <f t="shared" si="33"/>
        <v>8.3333333333333356E-2</v>
      </c>
      <c r="V185" s="54">
        <f t="shared" si="33"/>
        <v>8.3333333333333356E-2</v>
      </c>
      <c r="W185" s="54">
        <f t="shared" si="33"/>
        <v>8.3333333333333356E-2</v>
      </c>
      <c r="X185" s="54">
        <f t="shared" si="33"/>
        <v>8.3333333333333356E-2</v>
      </c>
      <c r="Y185" s="54">
        <f t="shared" si="33"/>
        <v>8.3333333333333356E-2</v>
      </c>
      <c r="Z185" s="54">
        <f t="shared" si="33"/>
        <v>8.3333333333333356E-2</v>
      </c>
    </row>
    <row r="186" spans="1:26" ht="15" hidden="1" outlineLevel="1" x14ac:dyDescent="0.25">
      <c r="A186" s="93">
        <f t="shared" si="34"/>
        <v>0</v>
      </c>
      <c r="B186" s="93" t="s">
        <v>256</v>
      </c>
      <c r="C186" s="93">
        <f t="shared" si="30"/>
        <v>0</v>
      </c>
      <c r="D186" s="140">
        <f t="shared" si="30"/>
        <v>0</v>
      </c>
      <c r="E186" s="49"/>
      <c r="F186" s="49"/>
      <c r="G186" s="49"/>
      <c r="H186" s="49"/>
      <c r="I186" s="49"/>
      <c r="J186" s="48"/>
      <c r="K186" s="12"/>
      <c r="L186" s="11"/>
      <c r="M186" s="11"/>
      <c r="N186" s="11"/>
      <c r="O186" s="54" t="e">
        <f t="shared" si="33"/>
        <v>#VALUE!</v>
      </c>
      <c r="P186" s="54" t="e">
        <f t="shared" si="33"/>
        <v>#DIV/0!</v>
      </c>
      <c r="Q186" s="54" t="e">
        <f t="shared" si="33"/>
        <v>#DIV/0!</v>
      </c>
      <c r="R186" s="54" t="e">
        <f t="shared" si="33"/>
        <v>#DIV/0!</v>
      </c>
      <c r="S186" s="54" t="e">
        <f t="shared" si="33"/>
        <v>#DIV/0!</v>
      </c>
      <c r="T186" s="54" t="e">
        <f t="shared" si="33"/>
        <v>#DIV/0!</v>
      </c>
      <c r="U186" s="54" t="e">
        <f t="shared" si="33"/>
        <v>#DIV/0!</v>
      </c>
      <c r="V186" s="54" t="e">
        <f t="shared" si="33"/>
        <v>#DIV/0!</v>
      </c>
      <c r="W186" s="54" t="e">
        <f t="shared" si="33"/>
        <v>#DIV/0!</v>
      </c>
      <c r="X186" s="54" t="e">
        <f t="shared" si="33"/>
        <v>#DIV/0!</v>
      </c>
      <c r="Y186" s="54" t="e">
        <f t="shared" si="33"/>
        <v>#DIV/0!</v>
      </c>
      <c r="Z186" s="54" t="e">
        <f t="shared" si="33"/>
        <v>#DIV/0!</v>
      </c>
    </row>
    <row r="187" spans="1:26" ht="15" hidden="1" outlineLevel="1" x14ac:dyDescent="0.25">
      <c r="A187" s="93">
        <f t="shared" si="34"/>
        <v>0</v>
      </c>
      <c r="B187" s="93" t="s">
        <v>257</v>
      </c>
      <c r="C187" s="93">
        <f t="shared" si="30"/>
        <v>0</v>
      </c>
      <c r="D187" s="140">
        <f t="shared" si="30"/>
        <v>0</v>
      </c>
      <c r="E187" s="49"/>
      <c r="F187" s="49"/>
      <c r="G187" s="49"/>
      <c r="H187" s="49"/>
      <c r="I187" s="49"/>
      <c r="J187" s="48"/>
      <c r="K187" s="12"/>
      <c r="L187" s="11"/>
      <c r="M187" s="11"/>
      <c r="N187" s="11"/>
      <c r="O187" s="54" t="e">
        <f t="shared" si="33"/>
        <v>#DIV/0!</v>
      </c>
      <c r="P187" s="54" t="e">
        <f t="shared" si="33"/>
        <v>#DIV/0!</v>
      </c>
      <c r="Q187" s="54" t="e">
        <f t="shared" si="33"/>
        <v>#DIV/0!</v>
      </c>
      <c r="R187" s="54" t="e">
        <f t="shared" si="33"/>
        <v>#DIV/0!</v>
      </c>
      <c r="S187" s="54" t="e">
        <f t="shared" si="33"/>
        <v>#DIV/0!</v>
      </c>
      <c r="T187" s="54" t="e">
        <f t="shared" si="33"/>
        <v>#DIV/0!</v>
      </c>
      <c r="U187" s="54" t="e">
        <f t="shared" si="33"/>
        <v>#DIV/0!</v>
      </c>
      <c r="V187" s="54" t="e">
        <f t="shared" si="33"/>
        <v>#DIV/0!</v>
      </c>
      <c r="W187" s="54" t="e">
        <f t="shared" si="33"/>
        <v>#DIV/0!</v>
      </c>
      <c r="X187" s="54" t="e">
        <f t="shared" si="33"/>
        <v>#DIV/0!</v>
      </c>
      <c r="Y187" s="54" t="e">
        <f t="shared" si="33"/>
        <v>#DIV/0!</v>
      </c>
      <c r="Z187" s="54" t="e">
        <f t="shared" si="33"/>
        <v>#DIV/0!</v>
      </c>
    </row>
    <row r="188" spans="1:26" ht="15" hidden="1" outlineLevel="1" x14ac:dyDescent="0.25">
      <c r="A188" s="93">
        <f t="shared" si="34"/>
        <v>0</v>
      </c>
      <c r="B188" s="93" t="s">
        <v>258</v>
      </c>
      <c r="C188" s="93">
        <f t="shared" si="30"/>
        <v>0</v>
      </c>
      <c r="D188" s="140">
        <f t="shared" si="30"/>
        <v>0</v>
      </c>
      <c r="E188" s="49"/>
      <c r="F188" s="49"/>
      <c r="G188" s="49"/>
      <c r="H188" s="49"/>
      <c r="I188" s="49"/>
      <c r="J188" s="48"/>
      <c r="K188" s="12"/>
      <c r="L188" s="11"/>
      <c r="M188" s="11"/>
      <c r="N188" s="11"/>
      <c r="O188" s="54" t="e">
        <f t="shared" si="33"/>
        <v>#DIV/0!</v>
      </c>
      <c r="P188" s="54" t="e">
        <f t="shared" si="33"/>
        <v>#DIV/0!</v>
      </c>
      <c r="Q188" s="54" t="e">
        <f t="shared" si="33"/>
        <v>#DIV/0!</v>
      </c>
      <c r="R188" s="54" t="e">
        <f t="shared" si="33"/>
        <v>#DIV/0!</v>
      </c>
      <c r="S188" s="54" t="e">
        <f t="shared" si="33"/>
        <v>#DIV/0!</v>
      </c>
      <c r="T188" s="54" t="e">
        <f t="shared" si="33"/>
        <v>#DIV/0!</v>
      </c>
      <c r="U188" s="54" t="e">
        <f t="shared" si="33"/>
        <v>#DIV/0!</v>
      </c>
      <c r="V188" s="54" t="e">
        <f t="shared" si="33"/>
        <v>#DIV/0!</v>
      </c>
      <c r="W188" s="54" t="e">
        <f t="shared" si="33"/>
        <v>#DIV/0!</v>
      </c>
      <c r="X188" s="54" t="e">
        <f t="shared" si="33"/>
        <v>#DIV/0!</v>
      </c>
      <c r="Y188" s="54" t="e">
        <f t="shared" si="33"/>
        <v>#DIV/0!</v>
      </c>
      <c r="Z188" s="54" t="e">
        <f t="shared" si="33"/>
        <v>#DIV/0!</v>
      </c>
    </row>
    <row r="189" spans="1:26" ht="15" hidden="1" outlineLevel="1" x14ac:dyDescent="0.25">
      <c r="A189" s="93">
        <f t="shared" si="34"/>
        <v>0</v>
      </c>
      <c r="B189" s="93" t="s">
        <v>259</v>
      </c>
      <c r="C189" s="93">
        <f t="shared" si="30"/>
        <v>0</v>
      </c>
      <c r="D189" s="140">
        <f t="shared" si="30"/>
        <v>0</v>
      </c>
      <c r="E189" s="49"/>
      <c r="F189" s="49"/>
      <c r="G189" s="49"/>
      <c r="H189" s="49"/>
      <c r="I189" s="49"/>
      <c r="J189" s="48"/>
      <c r="K189" s="12"/>
      <c r="L189" s="11"/>
      <c r="M189" s="11"/>
      <c r="N189" s="11"/>
      <c r="O189" s="54" t="e">
        <f t="shared" si="33"/>
        <v>#DIV/0!</v>
      </c>
      <c r="P189" s="54" t="e">
        <f t="shared" si="33"/>
        <v>#DIV/0!</v>
      </c>
      <c r="Q189" s="54" t="e">
        <f t="shared" si="33"/>
        <v>#DIV/0!</v>
      </c>
      <c r="R189" s="54" t="e">
        <f t="shared" si="33"/>
        <v>#DIV/0!</v>
      </c>
      <c r="S189" s="54" t="e">
        <f t="shared" si="33"/>
        <v>#DIV/0!</v>
      </c>
      <c r="T189" s="54" t="e">
        <f t="shared" si="33"/>
        <v>#DIV/0!</v>
      </c>
      <c r="U189" s="54" t="e">
        <f t="shared" si="33"/>
        <v>#DIV/0!</v>
      </c>
      <c r="V189" s="54" t="e">
        <f t="shared" si="33"/>
        <v>#DIV/0!</v>
      </c>
      <c r="W189" s="54" t="e">
        <f t="shared" si="33"/>
        <v>#DIV/0!</v>
      </c>
      <c r="X189" s="54" t="e">
        <f t="shared" si="33"/>
        <v>#DIV/0!</v>
      </c>
      <c r="Y189" s="54" t="e">
        <f t="shared" si="33"/>
        <v>#DIV/0!</v>
      </c>
      <c r="Z189" s="54" t="e">
        <f t="shared" si="33"/>
        <v>#DIV/0!</v>
      </c>
    </row>
    <row r="190" spans="1:26" ht="15" hidden="1" outlineLevel="1" x14ac:dyDescent="0.25">
      <c r="A190" s="93">
        <f t="shared" si="34"/>
        <v>0</v>
      </c>
      <c r="B190" s="93" t="s">
        <v>260</v>
      </c>
      <c r="C190" s="93">
        <f t="shared" si="30"/>
        <v>0</v>
      </c>
      <c r="D190" s="140">
        <f t="shared" si="30"/>
        <v>0</v>
      </c>
      <c r="E190" s="49"/>
      <c r="F190" s="49"/>
      <c r="G190" s="49"/>
      <c r="H190" s="49"/>
      <c r="I190" s="49"/>
      <c r="J190" s="48"/>
      <c r="K190" s="12" t="s">
        <v>5</v>
      </c>
      <c r="L190" s="11"/>
      <c r="M190" s="11"/>
      <c r="N190" s="11"/>
      <c r="O190" s="54" t="e">
        <f t="shared" si="33"/>
        <v>#DIV/0!</v>
      </c>
      <c r="P190" s="54" t="e">
        <f t="shared" si="33"/>
        <v>#DIV/0!</v>
      </c>
      <c r="Q190" s="54" t="e">
        <f t="shared" si="33"/>
        <v>#DIV/0!</v>
      </c>
      <c r="R190" s="54" t="e">
        <f t="shared" si="33"/>
        <v>#DIV/0!</v>
      </c>
      <c r="S190" s="54" t="e">
        <f t="shared" si="33"/>
        <v>#DIV/0!</v>
      </c>
      <c r="T190" s="54" t="e">
        <f t="shared" si="33"/>
        <v>#DIV/0!</v>
      </c>
      <c r="U190" s="54" t="e">
        <f t="shared" si="33"/>
        <v>#DIV/0!</v>
      </c>
      <c r="V190" s="54" t="e">
        <f t="shared" si="33"/>
        <v>#DIV/0!</v>
      </c>
      <c r="W190" s="54" t="e">
        <f t="shared" si="33"/>
        <v>#DIV/0!</v>
      </c>
      <c r="X190" s="54" t="e">
        <f t="shared" si="33"/>
        <v>#DIV/0!</v>
      </c>
      <c r="Y190" s="54" t="e">
        <f t="shared" si="33"/>
        <v>#DIV/0!</v>
      </c>
      <c r="Z190" s="54" t="e">
        <f t="shared" si="33"/>
        <v>#DIV/0!</v>
      </c>
    </row>
    <row r="191" spans="1:26" s="35" customFormat="1" ht="22.5" hidden="1" customHeight="1" outlineLevel="1" x14ac:dyDescent="0.25">
      <c r="A191" s="33"/>
      <c r="B191" s="34"/>
      <c r="C191" s="34"/>
      <c r="D191" s="34"/>
      <c r="E191" s="50"/>
      <c r="F191" s="50"/>
      <c r="G191" s="50"/>
      <c r="H191" s="50"/>
      <c r="I191" s="50"/>
      <c r="J191" s="51" t="s">
        <v>20</v>
      </c>
      <c r="K191" s="68"/>
      <c r="L191" s="136" t="s">
        <v>48</v>
      </c>
      <c r="M191" s="136" t="s">
        <v>55</v>
      </c>
      <c r="N191" s="126">
        <f>SUM(N181:N190)</f>
        <v>12</v>
      </c>
      <c r="O191" s="54">
        <f t="shared" si="33"/>
        <v>8.6784205862888514E-2</v>
      </c>
      <c r="P191" s="54">
        <f t="shared" si="33"/>
        <v>8.6784205862888514E-2</v>
      </c>
      <c r="Q191" s="54">
        <f t="shared" si="33"/>
        <v>9.3914389427188799E-2</v>
      </c>
      <c r="R191" s="54">
        <f t="shared" si="33"/>
        <v>8.0598557253637099E-2</v>
      </c>
      <c r="S191" s="54">
        <f t="shared" si="33"/>
        <v>8.0598557253637099E-2</v>
      </c>
      <c r="T191" s="54">
        <f t="shared" si="33"/>
        <v>8.0598557253637099E-2</v>
      </c>
      <c r="U191" s="54">
        <f t="shared" si="33"/>
        <v>8.0598557253637099E-2</v>
      </c>
      <c r="V191" s="54">
        <f t="shared" si="33"/>
        <v>8.0598557253637099E-2</v>
      </c>
      <c r="W191" s="54">
        <f t="shared" si="33"/>
        <v>8.772874081793737E-2</v>
      </c>
      <c r="X191" s="54">
        <f t="shared" si="33"/>
        <v>8.0598557253637099E-2</v>
      </c>
      <c r="Y191" s="54">
        <f t="shared" si="33"/>
        <v>8.0598557253637099E-2</v>
      </c>
      <c r="Z191" s="54">
        <f t="shared" si="33"/>
        <v>8.0598557253637099E-2</v>
      </c>
    </row>
    <row r="192" spans="1:26" hidden="1" x14ac:dyDescent="0.25"/>
    <row r="193" spans="1:3" x14ac:dyDescent="0.25">
      <c r="B193" s="27" t="s">
        <v>21</v>
      </c>
      <c r="C193" s="28">
        <v>43102</v>
      </c>
    </row>
    <row r="194" spans="1:3" x14ac:dyDescent="0.25">
      <c r="B194" s="27" t="s">
        <v>23</v>
      </c>
      <c r="C194" s="28">
        <v>42917</v>
      </c>
    </row>
    <row r="196" spans="1:3" ht="18" x14ac:dyDescent="0.25">
      <c r="A196" s="132" t="s">
        <v>262</v>
      </c>
    </row>
    <row r="197" spans="1:3" ht="18" x14ac:dyDescent="0.25">
      <c r="A197" s="127" t="s">
        <v>302</v>
      </c>
      <c r="B197" s="128"/>
    </row>
    <row r="198" spans="1:3" ht="18" x14ac:dyDescent="0.25">
      <c r="A198" s="127" t="s">
        <v>323</v>
      </c>
      <c r="B198" s="128"/>
    </row>
    <row r="200" spans="1:3" ht="18" x14ac:dyDescent="0.25">
      <c r="A200" s="128" t="s">
        <v>316</v>
      </c>
      <c r="B200" s="131" t="s">
        <v>288</v>
      </c>
      <c r="C200" s="131" t="s">
        <v>320</v>
      </c>
    </row>
    <row r="201" spans="1:3" ht="36" x14ac:dyDescent="0.25">
      <c r="A201" s="130" t="s">
        <v>310</v>
      </c>
      <c r="B201" s="131" t="s">
        <v>289</v>
      </c>
      <c r="C201" s="131" t="s">
        <v>321</v>
      </c>
    </row>
    <row r="202" spans="1:3" ht="54" x14ac:dyDescent="0.25">
      <c r="A202" s="130" t="s">
        <v>311</v>
      </c>
      <c r="B202" s="131" t="s">
        <v>290</v>
      </c>
      <c r="C202" s="131" t="s">
        <v>319</v>
      </c>
    </row>
    <row r="203" spans="1:3" ht="54" x14ac:dyDescent="0.25">
      <c r="A203" s="130" t="s">
        <v>312</v>
      </c>
      <c r="B203" s="131" t="s">
        <v>291</v>
      </c>
      <c r="C203" s="131" t="s">
        <v>322</v>
      </c>
    </row>
    <row r="204" spans="1:3" ht="54" x14ac:dyDescent="0.25">
      <c r="A204" s="130" t="s">
        <v>313</v>
      </c>
      <c r="B204" s="131" t="s">
        <v>292</v>
      </c>
      <c r="C204" s="131" t="s">
        <v>327</v>
      </c>
    </row>
    <row r="205" spans="1:3" ht="36" x14ac:dyDescent="0.25">
      <c r="A205" s="130" t="s">
        <v>314</v>
      </c>
      <c r="B205" s="131" t="s">
        <v>293</v>
      </c>
      <c r="C205" s="131" t="s">
        <v>317</v>
      </c>
    </row>
    <row r="206" spans="1:3" ht="54" x14ac:dyDescent="0.25">
      <c r="A206" s="130" t="s">
        <v>315</v>
      </c>
      <c r="B206" s="131" t="s">
        <v>296</v>
      </c>
      <c r="C206" s="131" t="s">
        <v>318</v>
      </c>
    </row>
    <row r="208" spans="1:3" ht="72" x14ac:dyDescent="0.25">
      <c r="A208" s="129" t="s">
        <v>301</v>
      </c>
      <c r="B208" s="128" t="s">
        <v>305</v>
      </c>
    </row>
    <row r="210" spans="1:2" ht="54" x14ac:dyDescent="0.25">
      <c r="A210" s="129" t="s">
        <v>303</v>
      </c>
      <c r="B210" s="128" t="s">
        <v>306</v>
      </c>
    </row>
    <row r="211" spans="1:2" ht="18" x14ac:dyDescent="0.25">
      <c r="A211" s="128"/>
    </row>
    <row r="212" spans="1:2" ht="72" x14ac:dyDescent="0.25">
      <c r="A212" s="129" t="s">
        <v>304</v>
      </c>
      <c r="B212" s="9" t="s">
        <v>307</v>
      </c>
    </row>
    <row r="213" spans="1:2" ht="18" x14ac:dyDescent="0.25">
      <c r="A213" s="128"/>
    </row>
    <row r="214" spans="1:2" ht="54" x14ac:dyDescent="0.25">
      <c r="A214" s="128" t="s">
        <v>308</v>
      </c>
      <c r="B214" s="128" t="s">
        <v>309</v>
      </c>
    </row>
  </sheetData>
  <mergeCells count="50">
    <mergeCell ref="E89:K89"/>
    <mergeCell ref="E90:K90"/>
    <mergeCell ref="E82:K82"/>
    <mergeCell ref="E83:K83"/>
    <mergeCell ref="E84:K84"/>
    <mergeCell ref="E86:K86"/>
    <mergeCell ref="E87:K87"/>
    <mergeCell ref="E88:K88"/>
    <mergeCell ref="E81:K81"/>
    <mergeCell ref="E68:K68"/>
    <mergeCell ref="E69:K69"/>
    <mergeCell ref="E70:K70"/>
    <mergeCell ref="E71:K71"/>
    <mergeCell ref="E72:K72"/>
    <mergeCell ref="E74:K74"/>
    <mergeCell ref="E75:K75"/>
    <mergeCell ref="E76:K76"/>
    <mergeCell ref="E77:K77"/>
    <mergeCell ref="E78:K78"/>
    <mergeCell ref="E80:K80"/>
    <mergeCell ref="E66:K66"/>
    <mergeCell ref="E53:K53"/>
    <mergeCell ref="E54:K54"/>
    <mergeCell ref="E56:K56"/>
    <mergeCell ref="E57:K57"/>
    <mergeCell ref="E58:K58"/>
    <mergeCell ref="E59:K59"/>
    <mergeCell ref="E60:K60"/>
    <mergeCell ref="E62:K62"/>
    <mergeCell ref="E63:K63"/>
    <mergeCell ref="E64:K64"/>
    <mergeCell ref="E65:K65"/>
    <mergeCell ref="E52:K52"/>
    <mergeCell ref="D39:K39"/>
    <mergeCell ref="E40:K40"/>
    <mergeCell ref="E41:K41"/>
    <mergeCell ref="E42:K42"/>
    <mergeCell ref="E44:K44"/>
    <mergeCell ref="D45:K45"/>
    <mergeCell ref="E46:K46"/>
    <mergeCell ref="E47:K47"/>
    <mergeCell ref="E48:K48"/>
    <mergeCell ref="E50:K50"/>
    <mergeCell ref="E51:K51"/>
    <mergeCell ref="E38:K38"/>
    <mergeCell ref="E32:K32"/>
    <mergeCell ref="D33:K33"/>
    <mergeCell ref="E34:K34"/>
    <mergeCell ref="E35:K35"/>
    <mergeCell ref="E36:K36"/>
  </mergeCells>
  <dataValidations count="5">
    <dataValidation type="list" allowBlank="1" showInputMessage="1" showErrorMessage="1" sqref="F117 F172:F176 F165:F169 F158:F162 F145:F148 F138:F141 F125:F134 F151:F155">
      <formula1>$A$3:$A$9</formula1>
    </dataValidation>
    <dataValidation type="list" allowBlank="1" showInputMessage="1" showErrorMessage="1" sqref="K98:K102 H165:K168 H158:K161 H145:K147 L182:M190 H141:J141 H172:K175 H148:I148 H134:J134 H155:J155 H162:J162 H169:J169 H176:J176 H154:K154">
      <formula1>$C$3:$C$15</formula1>
    </dataValidation>
    <dataValidation type="list" allowBlank="1" showInputMessage="1" showErrorMessage="1" sqref="L27">
      <formula1>$D$4:$D$15</formula1>
    </dataValidation>
    <dataValidation type="list" allowBlank="1" showInputMessage="1" showErrorMessage="1" sqref="J98:J102 J148">
      <formula1>$C$3:$C$14</formula1>
    </dataValidation>
    <dataValidation type="list" allowBlank="1" showInputMessage="1" showErrorMessage="1" sqref="L86:L90 L42 L48 L56:L60 L62:L66 L68:L72 L74:L78 L80:L84 L54">
      <formula1>$G$2:$G$8</formula1>
    </dataValidation>
  </dataValidations>
  <printOptions horizontalCentered="1"/>
  <pageMargins left="0.31496062992125984" right="0.31496062992125984" top="1.1811023622047245" bottom="1.1811023622047245" header="0.31496062992125984" footer="0.31496062992125984"/>
  <pageSetup paperSize="17" scale="28"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L172:M175 L98:L102 L109:L117 L137:M140 L124:L133 L145:L147 L158:M161 L165:M168 M121:M133 M144:M147 L154:M154</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H98:I102</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F98:F102 F124 F109:F116</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M106:M117 H137:K140 H109:K117 H124:K133</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L36</xm:sqref>
        </x14:dataValidation>
        <x14:dataValidation type="list" allowBlank="1" showInputMessage="1" showErrorMessage="1">
          <x14:formula1>
            <xm:f>'https://nuevaunionspa-my.sharepoint.com/personal/gineva_alcota_nuevaunion_cl/Documents/40300 Cost Control/40303 Presupuestos/2018/Sera/[1002-40303-PS-SOA-0001_REV5  Resettlement.xlsx]Lists'!#REF!</xm:f>
          </x14:formula1>
          <xm:sqref>L17:L25 N182:N190</xm:sqref>
        </x14:dataValidation>
        <x14:dataValidation type="list" allowBlank="1" showInputMessage="1" showErrorMessage="1">
          <x14:formula1>
            <xm:f>Lists!$E$2:$E$41</xm:f>
          </x14:formula1>
          <xm:sqref>B8</xm:sqref>
        </x14:dataValidation>
        <x14:dataValidation type="list" allowBlank="1" showInputMessage="1" showErrorMessage="1">
          <x14:formula1>
            <xm:f>'https://nuevaunionspa-my.sharepoint.com/personal/gineva_alcota_nuevaunion_cl/Documents/40300 Cost Control/40303 Presupuestos/2018/Sera/[1002-40303-PS-SOA-0001_REV5  Resettlement.xlsx]CCs &amp; Accounts'!#REF!</xm:f>
          </x14:formula1>
          <xm:sqref>E138:E141 E98:E102 E124:E134 E22:E26 E145:E148 E158:E162 E165:E169 E172:E176 E109:E117 E154:E155</xm:sqref>
        </x14:dataValidation>
        <x14:dataValidation type="list" allowBlank="1" showInputMessage="1" showErrorMessage="1">
          <x14:formula1>
            <xm:f>Lists!$B$3:$B$41</xm:f>
          </x14:formula1>
          <xm:sqref>E17:E21 E95:E97 E106:E108 E121:E123 E137 E144</xm:sqref>
        </x14:dataValidation>
        <x14:dataValidation type="list" allowBlank="1" showInputMessage="1" showErrorMessage="1">
          <x14:formula1>
            <xm:f>Lists!$H$2:$H$10</xm:f>
          </x14:formula1>
          <xm:sqref>L32:L35 L38:L41 L44:L47 L50:L53</xm:sqref>
        </x14:dataValidation>
        <x14:dataValidation type="list" allowBlank="1" showInputMessage="1" showErrorMessage="1">
          <x14:formula1>
            <xm:f>Lists!$A$2:$A$8</xm:f>
          </x14:formula1>
          <xm:sqref>F95:F97 F106:F108 F121:F123 F137 F144</xm:sqref>
        </x14:dataValidation>
        <x14:dataValidation type="list" allowBlank="1" showInputMessage="1" showErrorMessage="1">
          <x14:formula1>
            <xm:f>Lists!$C$2:$C$14</xm:f>
          </x14:formula1>
          <xm:sqref>H95:K97 H106:K108 H121:K123 L181:M181 L191:M191 H144:K144</xm:sqref>
        </x14:dataValidation>
        <x14:dataValidation type="list" allowBlank="1" showInputMessage="1" showErrorMessage="1">
          <x14:formula1>
            <xm:f>Lists!$D$2:$D$14</xm:f>
          </x14:formula1>
          <xm:sqref>L95:L97 L106:L108 L121:L123 N181 L144</xm:sqref>
        </x14:dataValidation>
        <x14:dataValidation type="list" allowBlank="1" showInputMessage="1" showErrorMessage="1">
          <x14:formula1>
            <xm:f>'C:\Users\michael.leyton\Desktop\Proyectos Mes\201801\[20171031 Presupuesto y Contract Register R5_1.xlsx]Lists'!#REF!</xm:f>
          </x14:formula1>
          <xm:sqref>H151:K153</xm:sqref>
        </x14:dataValidation>
        <x14:dataValidation type="list" allowBlank="1" showInputMessage="1" showErrorMessage="1">
          <x14:formula1>
            <xm:f>'https://nuevaunionspa-my.sharepoint.com/personal/gineva_alcota_nuevaunion_cl/Documents/40300 Cost Control/40303 Presupuestos/2018/Sera/[1002-40303-PS-SOA-0001_REV5  Resettlement.xlsx]CCs &amp; Accounts'!#REF!</xm:f>
          </x14:formula1>
          <xm:sqref>E151:E153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pageSetUpPr fitToPage="1"/>
  </sheetPr>
  <dimension ref="A1:U26"/>
  <sheetViews>
    <sheetView showGridLines="0" view="pageLayout" topLeftCell="A13" zoomScale="80" zoomScaleNormal="70" zoomScalePageLayoutView="80" workbookViewId="0">
      <selection activeCell="D7" sqref="D7"/>
    </sheetView>
  </sheetViews>
  <sheetFormatPr baseColWidth="10" defaultColWidth="11.42578125" defaultRowHeight="15" outlineLevelRow="1" outlineLevelCol="1" x14ac:dyDescent="0.25"/>
  <cols>
    <col min="1" max="1" width="10.85546875" style="400" customWidth="1"/>
    <col min="2" max="2" width="27.5703125" style="400" customWidth="1"/>
    <col min="3" max="3" width="34.85546875" style="400" customWidth="1"/>
    <col min="4" max="4" width="62.28515625" style="400" customWidth="1"/>
    <col min="5" max="5" width="17.5703125" style="400" customWidth="1"/>
    <col min="6" max="7" width="17.710937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1440</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
        <v>219</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
        <v>333</v>
      </c>
      <c r="C7" s="433"/>
      <c r="D7" s="423" t="str">
        <f>+Engagement!D10</f>
        <v>Petri Salopera</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+Engagement!B12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c r="B14" s="444" t="s">
        <v>106</v>
      </c>
      <c r="C14" s="444" t="str">
        <f>+Engagement!C17</f>
        <v>Professionals advisory services</v>
      </c>
      <c r="D14" s="405" t="e">
        <f>+Engagement!#REF!</f>
        <v>#REF!</v>
      </c>
      <c r="E14" s="406" t="str">
        <f>+Engagement!E17</f>
        <v>684 / 51-11-3343</v>
      </c>
      <c r="F14" s="406">
        <f>+Engagement!L17</f>
        <v>12</v>
      </c>
      <c r="G14" s="407">
        <f>+Engagement!M17</f>
        <v>0</v>
      </c>
      <c r="H14" s="404">
        <f>+Engagement!N17</f>
        <v>419999.99599999998</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ht="30" outlineLevel="1" x14ac:dyDescent="0.25">
      <c r="A15" s="444"/>
      <c r="B15" s="444" t="s">
        <v>106</v>
      </c>
      <c r="C15" s="444" t="str">
        <f>+Engagement!C18</f>
        <v>In the frame of possible affectations</v>
      </c>
      <c r="D15" s="405" t="e">
        <f>+Engagement!#REF!</f>
        <v>#REF!</v>
      </c>
      <c r="E15" s="406" t="s">
        <v>218</v>
      </c>
      <c r="F15" s="406">
        <v>12</v>
      </c>
      <c r="G15" s="407">
        <v>0</v>
      </c>
      <c r="H15" s="404">
        <f>+Engagement!N18</f>
        <v>29999.987999999998</v>
      </c>
      <c r="I15" s="408"/>
      <c r="J15" s="408"/>
      <c r="K15" s="408"/>
      <c r="L15" s="408"/>
      <c r="M15" s="408"/>
      <c r="N15" s="408"/>
      <c r="O15" s="408"/>
      <c r="P15" s="408"/>
      <c r="Q15" s="408"/>
      <c r="R15" s="408"/>
      <c r="S15" s="408"/>
      <c r="T15" s="408"/>
    </row>
    <row r="16" spans="1:20" outlineLevel="1" x14ac:dyDescent="0.25">
      <c r="A16" s="444"/>
      <c r="B16" s="444" t="s">
        <v>106</v>
      </c>
      <c r="C16" s="444" t="str">
        <f>+Engagement!C19</f>
        <v>As a part of engagement work</v>
      </c>
      <c r="D16" s="405" t="e">
        <f>+Engagement!#REF!</f>
        <v>#REF!</v>
      </c>
      <c r="E16" s="406" t="s">
        <v>218</v>
      </c>
      <c r="F16" s="406">
        <f>+Engagement!L18</f>
        <v>12</v>
      </c>
      <c r="G16" s="407">
        <f>+Engagement!M18</f>
        <v>0</v>
      </c>
      <c r="H16" s="404">
        <f>+Engagement!N19</f>
        <v>69999.995999999999</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outlineLevel="1" x14ac:dyDescent="0.25">
      <c r="A17" s="444"/>
      <c r="B17" s="444"/>
      <c r="C17" s="444"/>
      <c r="D17" s="405"/>
      <c r="E17" s="406"/>
      <c r="F17" s="406"/>
      <c r="G17" s="407"/>
      <c r="H17" s="404"/>
      <c r="I17" s="408" t="e">
        <f>+#REF!</f>
        <v>#REF!</v>
      </c>
      <c r="J17" s="408" t="e">
        <f>+#REF!</f>
        <v>#REF!</v>
      </c>
      <c r="K17" s="408" t="e">
        <f>+#REF!</f>
        <v>#REF!</v>
      </c>
      <c r="L17" s="408" t="e">
        <f>+#REF!</f>
        <v>#REF!</v>
      </c>
      <c r="M17" s="408" t="e">
        <f>+#REF!</f>
        <v>#REF!</v>
      </c>
      <c r="N17" s="408" t="e">
        <f>+#REF!</f>
        <v>#REF!</v>
      </c>
      <c r="O17" s="408" t="e">
        <f>+#REF!</f>
        <v>#REF!</v>
      </c>
      <c r="P17" s="408" t="e">
        <f>+#REF!</f>
        <v>#REF!</v>
      </c>
      <c r="Q17" s="408" t="e">
        <f>+#REF!</f>
        <v>#REF!</v>
      </c>
      <c r="R17" s="408" t="e">
        <f>+#REF!</f>
        <v>#REF!</v>
      </c>
      <c r="S17" s="408" t="e">
        <f>+#REF!</f>
        <v>#REF!</v>
      </c>
      <c r="T17" s="408" t="e">
        <f>+#REF!</f>
        <v>#REF!</v>
      </c>
    </row>
    <row r="18" spans="1:20" hidden="1" outlineLevel="1" x14ac:dyDescent="0.25">
      <c r="A18" s="444"/>
      <c r="B18" s="444"/>
      <c r="C18" s="444"/>
      <c r="D18" s="405"/>
      <c r="E18" s="406"/>
      <c r="F18" s="406"/>
      <c r="G18" s="410"/>
      <c r="H18" s="576"/>
      <c r="I18" s="409" t="s">
        <v>5</v>
      </c>
      <c r="J18" s="409"/>
      <c r="K18" s="409"/>
      <c r="L18" s="409"/>
      <c r="M18" s="409"/>
      <c r="N18" s="409"/>
      <c r="O18" s="409"/>
      <c r="P18" s="409"/>
      <c r="Q18" s="409"/>
      <c r="R18" s="409"/>
      <c r="S18" s="409"/>
      <c r="T18" s="409"/>
    </row>
    <row r="19" spans="1:20" hidden="1" outlineLevel="1" x14ac:dyDescent="0.25">
      <c r="A19" s="444"/>
      <c r="B19" s="444"/>
      <c r="C19" s="444"/>
      <c r="D19" s="405"/>
      <c r="E19" s="406"/>
      <c r="F19" s="406"/>
      <c r="G19" s="410"/>
      <c r="H19" s="576"/>
      <c r="I19" s="409" t="s">
        <v>5</v>
      </c>
      <c r="J19" s="409"/>
      <c r="K19" s="409"/>
      <c r="L19" s="409"/>
      <c r="M19" s="409"/>
      <c r="N19" s="409"/>
      <c r="O19" s="409"/>
      <c r="P19" s="409"/>
      <c r="Q19" s="409"/>
      <c r="R19" s="409"/>
      <c r="S19" s="409"/>
      <c r="T19" s="409"/>
    </row>
    <row r="20" spans="1:20" hidden="1" outlineLevel="1" x14ac:dyDescent="0.25">
      <c r="A20" s="412"/>
      <c r="B20" s="413"/>
      <c r="C20" s="413"/>
      <c r="D20" s="414"/>
      <c r="E20" s="546"/>
      <c r="F20" s="406"/>
      <c r="G20" s="410"/>
      <c r="H20" s="576"/>
      <c r="I20" s="409"/>
      <c r="J20" s="409"/>
      <c r="K20" s="409"/>
      <c r="L20" s="409"/>
      <c r="M20" s="409"/>
      <c r="N20" s="409"/>
      <c r="O20" s="409"/>
      <c r="P20" s="409"/>
      <c r="Q20" s="409"/>
      <c r="R20" s="409"/>
      <c r="S20" s="409"/>
      <c r="T20" s="409"/>
    </row>
    <row r="21" spans="1:20" ht="28.15" hidden="1" customHeight="1" outlineLevel="1" x14ac:dyDescent="0.25">
      <c r="A21" s="412"/>
      <c r="B21" s="413"/>
      <c r="C21" s="413"/>
      <c r="D21" s="414"/>
      <c r="E21" s="546"/>
      <c r="F21" s="406"/>
      <c r="G21" s="410"/>
      <c r="H21" s="576"/>
      <c r="I21" s="409"/>
      <c r="J21" s="409"/>
      <c r="K21" s="409"/>
      <c r="L21" s="409"/>
      <c r="M21" s="409"/>
      <c r="N21" s="409"/>
      <c r="O21" s="409"/>
      <c r="P21" s="409"/>
      <c r="Q21" s="409"/>
      <c r="R21" s="409"/>
      <c r="S21" s="409"/>
      <c r="T21" s="409"/>
    </row>
    <row r="22" spans="1:20" outlineLevel="1" x14ac:dyDescent="0.25">
      <c r="A22" s="412"/>
      <c r="B22" s="412"/>
      <c r="C22" s="412"/>
      <c r="D22" s="412"/>
      <c r="E22" s="412"/>
      <c r="F22" s="404">
        <f>+Engagement!L22</f>
        <v>12</v>
      </c>
      <c r="G22" s="404">
        <f>SUM(G1:G19)</f>
        <v>0</v>
      </c>
      <c r="H22" s="404">
        <f>SUM(H14:H21)</f>
        <v>519999.98</v>
      </c>
      <c r="I22" s="404" t="e">
        <f t="shared" ref="I22:T22" si="0">SUM(I13:I19)</f>
        <v>#REF!</v>
      </c>
      <c r="J22" s="404" t="e">
        <f t="shared" si="0"/>
        <v>#REF!</v>
      </c>
      <c r="K22" s="404" t="e">
        <f t="shared" si="0"/>
        <v>#REF!</v>
      </c>
      <c r="L22" s="404" t="e">
        <f t="shared" si="0"/>
        <v>#REF!</v>
      </c>
      <c r="M22" s="404" t="e">
        <f t="shared" si="0"/>
        <v>#REF!</v>
      </c>
      <c r="N22" s="404" t="e">
        <f t="shared" si="0"/>
        <v>#REF!</v>
      </c>
      <c r="O22" s="404" t="e">
        <f t="shared" si="0"/>
        <v>#REF!</v>
      </c>
      <c r="P22" s="404" t="e">
        <f t="shared" si="0"/>
        <v>#REF!</v>
      </c>
      <c r="Q22" s="404" t="e">
        <f t="shared" si="0"/>
        <v>#REF!</v>
      </c>
      <c r="R22" s="404" t="e">
        <f t="shared" si="0"/>
        <v>#REF!</v>
      </c>
      <c r="S22" s="404" t="e">
        <f t="shared" si="0"/>
        <v>#REF!</v>
      </c>
      <c r="T22" s="404" t="e">
        <f t="shared" si="0"/>
        <v>#REF!</v>
      </c>
    </row>
    <row r="23" spans="1:20" ht="6.75" customHeight="1" x14ac:dyDescent="0.25">
      <c r="A23" s="414"/>
      <c r="B23" s="414"/>
      <c r="C23" s="414"/>
      <c r="D23" s="414"/>
      <c r="E23" s="414"/>
    </row>
    <row r="25" spans="1:20" ht="24.75" customHeight="1" x14ac:dyDescent="0.25">
      <c r="B25" s="445" t="s">
        <v>21</v>
      </c>
      <c r="C25" s="446">
        <v>43102</v>
      </c>
      <c r="F25" s="445" t="s">
        <v>22</v>
      </c>
      <c r="G25" s="447"/>
      <c r="H25" s="448"/>
    </row>
    <row r="26" spans="1:20" ht="24.75" customHeight="1" x14ac:dyDescent="0.25">
      <c r="B26" s="445" t="s">
        <v>23</v>
      </c>
      <c r="C26" s="446">
        <v>42917</v>
      </c>
      <c r="F26" s="445" t="s">
        <v>24</v>
      </c>
      <c r="G26" s="447"/>
      <c r="H26" s="448"/>
    </row>
  </sheetData>
  <printOptions horizontalCentered="1"/>
  <pageMargins left="0.31496062992125984" right="0.31496062992125984" top="1.1811023622047245" bottom="1.1811023622047245" header="0.31496062992125984" footer="0.31496062992125984"/>
  <pageSetup scale="64"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Presupuestos/2018/Sera/[1002-40303-PS- Community_Engagement.xlsx]Lists'!#REF!</xm:f>
          </x14:formula1>
          <xm:sqref>F22</xm:sqref>
        </x14:dataValidation>
        <x14:dataValidation type="list" allowBlank="1" showInputMessage="1" showErrorMessage="1">
          <x14:formula1>
            <xm:f>'https://nuevaunionspa-my.sharepoint.com/personal/gineva_alcota_nuevaunion_cl/Documents/40300 Cost Control/40303 Presupuestos/2018/Sera/[1002-40303-PS- Community_Engagement.xlsx]Lists'!#REF!</xm:f>
          </x14:formula1>
          <xm:sqref>B5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pageSetUpPr fitToPage="1"/>
  </sheetPr>
  <dimension ref="A1:AC78"/>
  <sheetViews>
    <sheetView showGridLines="0" topLeftCell="A32" zoomScale="50" zoomScaleNormal="50" zoomScalePageLayoutView="60" workbookViewId="0">
      <selection activeCell="J49" sqref="J49"/>
    </sheetView>
  </sheetViews>
  <sheetFormatPr baseColWidth="10" defaultColWidth="4.5703125" defaultRowHeight="14.25" outlineLevelRow="1" outlineLevelCol="1" x14ac:dyDescent="0.25"/>
  <cols>
    <col min="1" max="1" width="31.85546875" style="9" customWidth="1"/>
    <col min="2" max="2" width="47.7109375" style="9" customWidth="1"/>
    <col min="3" max="3" width="43.7109375" style="9" customWidth="1"/>
    <col min="4" max="4" width="79.42578125" style="9" customWidth="1"/>
    <col min="5" max="5" width="18.7109375" style="9" customWidth="1"/>
    <col min="6" max="8" width="17.5703125" style="9" customWidth="1"/>
    <col min="9" max="10" width="11.5703125" style="9" customWidth="1"/>
    <col min="11" max="11" width="17.5703125" style="9" customWidth="1"/>
    <col min="12" max="13" width="17.7109375" style="9" customWidth="1"/>
    <col min="14" max="14" width="15" style="9" customWidth="1"/>
    <col min="15" max="25" width="15" style="9" customWidth="1" outlineLevel="1"/>
    <col min="26" max="26" width="22.5703125" style="9" customWidth="1" outlineLevel="1"/>
    <col min="27" max="28" width="4.5703125" style="9"/>
    <col min="29" max="29" width="52.42578125" style="9" customWidth="1"/>
    <col min="30" max="16384" width="4.5703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219</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84"/>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VLOOKUP(B8,[20]Lists!E2:F34,2,)</f>
        <v>684 SERA</v>
      </c>
      <c r="C10" s="84"/>
      <c r="D10" s="77" t="s">
        <v>1216</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outlineLevel="1" x14ac:dyDescent="0.25">
      <c r="A16" s="92"/>
      <c r="B16" s="92" t="s">
        <v>13</v>
      </c>
      <c r="C16" s="92" t="s">
        <v>14</v>
      </c>
      <c r="D16" s="8" t="s">
        <v>2458</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22.9" customHeight="1" outlineLevel="1" x14ac:dyDescent="0.25">
      <c r="A17" s="358">
        <v>1</v>
      </c>
      <c r="B17" s="93" t="s">
        <v>1272</v>
      </c>
      <c r="C17" s="93" t="s">
        <v>1273</v>
      </c>
      <c r="D17" s="294" t="s">
        <v>2466</v>
      </c>
      <c r="E17" s="359" t="s">
        <v>218</v>
      </c>
      <c r="F17" s="292"/>
      <c r="G17" s="292"/>
      <c r="H17" s="292"/>
      <c r="I17" s="292"/>
      <c r="J17" s="292"/>
      <c r="K17" s="292"/>
      <c r="L17" s="295">
        <v>12</v>
      </c>
      <c r="M17" s="296">
        <f>+M52</f>
        <v>0</v>
      </c>
      <c r="N17" s="295">
        <f>SUM(O17:Z17)</f>
        <v>419999.99599999998</v>
      </c>
      <c r="O17" s="297">
        <f>+O52</f>
        <v>8333.3330000000005</v>
      </c>
      <c r="P17" s="297">
        <f t="shared" ref="P17:Z17" si="0">+P52</f>
        <v>8333.3330000000005</v>
      </c>
      <c r="Q17" s="297">
        <f t="shared" si="0"/>
        <v>76333.332999999999</v>
      </c>
      <c r="R17" s="297">
        <f t="shared" si="0"/>
        <v>16333.333000000001</v>
      </c>
      <c r="S17" s="297">
        <f t="shared" si="0"/>
        <v>16333.333000000001</v>
      </c>
      <c r="T17" s="297">
        <f t="shared" si="0"/>
        <v>76333.332999999999</v>
      </c>
      <c r="U17" s="297">
        <f t="shared" si="0"/>
        <v>16333.333000000001</v>
      </c>
      <c r="V17" s="297">
        <f t="shared" si="0"/>
        <v>16333.333000000001</v>
      </c>
      <c r="W17" s="297">
        <f t="shared" si="0"/>
        <v>76333.332999999999</v>
      </c>
      <c r="X17" s="297">
        <f t="shared" si="0"/>
        <v>16333.333000000001</v>
      </c>
      <c r="Y17" s="297">
        <f t="shared" si="0"/>
        <v>16333.333000000001</v>
      </c>
      <c r="Z17" s="297">
        <f t="shared" si="0"/>
        <v>76333.332999999999</v>
      </c>
    </row>
    <row r="18" spans="1:26" ht="35.450000000000003" customHeight="1" outlineLevel="1" x14ac:dyDescent="0.25">
      <c r="A18" s="358">
        <v>2</v>
      </c>
      <c r="B18" s="93" t="s">
        <v>1274</v>
      </c>
      <c r="C18" s="93" t="s">
        <v>1275</v>
      </c>
      <c r="D18" s="294" t="s">
        <v>2467</v>
      </c>
      <c r="E18" s="359" t="s">
        <v>218</v>
      </c>
      <c r="F18" s="292"/>
      <c r="G18" s="292"/>
      <c r="H18" s="292"/>
      <c r="I18" s="292"/>
      <c r="J18" s="292"/>
      <c r="K18" s="292"/>
      <c r="L18" s="295">
        <v>12</v>
      </c>
      <c r="M18" s="296">
        <f>+M60</f>
        <v>0</v>
      </c>
      <c r="N18" s="295">
        <f t="shared" ref="N18:N19" si="1">SUM(O18:Z18)</f>
        <v>29999.987999999998</v>
      </c>
      <c r="O18" s="297">
        <f t="shared" ref="O18:Z18" si="2">+O60</f>
        <v>2499.9989999999998</v>
      </c>
      <c r="P18" s="297">
        <f t="shared" si="2"/>
        <v>2499.9989999999998</v>
      </c>
      <c r="Q18" s="297">
        <f t="shared" si="2"/>
        <v>2499.9989999999998</v>
      </c>
      <c r="R18" s="297">
        <f t="shared" si="2"/>
        <v>2499.9989999999998</v>
      </c>
      <c r="S18" s="297">
        <f t="shared" si="2"/>
        <v>2499.9989999999998</v>
      </c>
      <c r="T18" s="297">
        <f t="shared" si="2"/>
        <v>2499.9989999999998</v>
      </c>
      <c r="U18" s="297">
        <f t="shared" si="2"/>
        <v>2499.9989999999998</v>
      </c>
      <c r="V18" s="297">
        <f t="shared" si="2"/>
        <v>2499.9989999999998</v>
      </c>
      <c r="W18" s="297">
        <f t="shared" si="2"/>
        <v>2499.9989999999998</v>
      </c>
      <c r="X18" s="297">
        <f t="shared" si="2"/>
        <v>2499.9989999999998</v>
      </c>
      <c r="Y18" s="297">
        <f t="shared" si="2"/>
        <v>2499.9989999999998</v>
      </c>
      <c r="Z18" s="297">
        <f t="shared" si="2"/>
        <v>2499.9989999999998</v>
      </c>
    </row>
    <row r="19" spans="1:26" ht="21" customHeight="1" outlineLevel="1" x14ac:dyDescent="0.25">
      <c r="A19" s="358">
        <v>3</v>
      </c>
      <c r="B19" s="93" t="s">
        <v>1271</v>
      </c>
      <c r="C19" s="93" t="s">
        <v>1276</v>
      </c>
      <c r="D19" s="294" t="s">
        <v>2468</v>
      </c>
      <c r="E19" s="359" t="s">
        <v>218</v>
      </c>
      <c r="F19" s="292"/>
      <c r="G19" s="292"/>
      <c r="H19" s="292"/>
      <c r="I19" s="292"/>
      <c r="J19" s="292"/>
      <c r="K19" s="292"/>
      <c r="L19" s="295">
        <v>4</v>
      </c>
      <c r="M19" s="296">
        <f>+M66</f>
        <v>0</v>
      </c>
      <c r="N19" s="295">
        <f t="shared" si="1"/>
        <v>69999.995999999999</v>
      </c>
      <c r="O19" s="297">
        <f t="shared" ref="O19:Z19" si="3">+O66</f>
        <v>5833.3330000000005</v>
      </c>
      <c r="P19" s="297">
        <f t="shared" si="3"/>
        <v>5833.3330000000005</v>
      </c>
      <c r="Q19" s="297">
        <f t="shared" si="3"/>
        <v>5833.3330000000005</v>
      </c>
      <c r="R19" s="297">
        <f t="shared" si="3"/>
        <v>5833.3330000000005</v>
      </c>
      <c r="S19" s="297">
        <f t="shared" si="3"/>
        <v>5833.3330000000005</v>
      </c>
      <c r="T19" s="297">
        <f t="shared" si="3"/>
        <v>5833.3330000000005</v>
      </c>
      <c r="U19" s="297">
        <f t="shared" si="3"/>
        <v>5833.3330000000005</v>
      </c>
      <c r="V19" s="297">
        <f t="shared" si="3"/>
        <v>5833.3330000000005</v>
      </c>
      <c r="W19" s="297">
        <f t="shared" si="3"/>
        <v>5833.3330000000005</v>
      </c>
      <c r="X19" s="297">
        <f t="shared" si="3"/>
        <v>5833.3330000000005</v>
      </c>
      <c r="Y19" s="297">
        <f t="shared" si="3"/>
        <v>5833.3330000000005</v>
      </c>
      <c r="Z19" s="297">
        <f t="shared" si="3"/>
        <v>5833.3330000000005</v>
      </c>
    </row>
    <row r="20" spans="1:26" ht="15.75" outlineLevel="1" x14ac:dyDescent="0.25">
      <c r="A20" s="93"/>
      <c r="B20" s="93"/>
      <c r="C20" s="93"/>
      <c r="D20" s="294"/>
      <c r="E20" s="295"/>
      <c r="F20" s="292"/>
      <c r="G20" s="292"/>
      <c r="H20" s="292"/>
      <c r="I20" s="292"/>
      <c r="J20" s="292"/>
      <c r="K20" s="292"/>
      <c r="L20" s="295"/>
      <c r="M20" s="292"/>
      <c r="N20" s="298"/>
      <c r="O20" s="298" t="s">
        <v>5</v>
      </c>
      <c r="P20" s="298"/>
      <c r="Q20" s="298"/>
      <c r="R20" s="298"/>
      <c r="S20" s="298"/>
      <c r="T20" s="298"/>
      <c r="U20" s="298"/>
      <c r="V20" s="298"/>
      <c r="W20" s="298"/>
      <c r="X20" s="298"/>
      <c r="Y20" s="298"/>
      <c r="Z20" s="298"/>
    </row>
    <row r="21" spans="1:26" ht="15.75" outlineLevel="1" x14ac:dyDescent="0.25">
      <c r="A21" s="93"/>
      <c r="B21" s="93"/>
      <c r="C21" s="93"/>
      <c r="D21" s="294"/>
      <c r="E21" s="295"/>
      <c r="F21" s="292"/>
      <c r="G21" s="292"/>
      <c r="H21" s="292"/>
      <c r="I21" s="292"/>
      <c r="J21" s="292"/>
      <c r="K21" s="292"/>
      <c r="L21" s="295"/>
      <c r="M21" s="292"/>
      <c r="N21" s="298"/>
      <c r="O21" s="298" t="s">
        <v>5</v>
      </c>
      <c r="P21" s="298"/>
      <c r="Q21" s="298"/>
      <c r="R21" s="298"/>
      <c r="S21" s="298"/>
      <c r="T21" s="298"/>
      <c r="U21" s="298"/>
      <c r="V21" s="298"/>
      <c r="W21" s="298"/>
      <c r="X21" s="298"/>
      <c r="Y21" s="298"/>
      <c r="Z21" s="298"/>
    </row>
    <row r="22" spans="1:26" ht="15.75" outlineLevel="1" x14ac:dyDescent="0.25">
      <c r="A22" s="299"/>
      <c r="B22" s="300"/>
      <c r="C22" s="300"/>
      <c r="D22" s="301"/>
      <c r="E22" s="302"/>
      <c r="F22" s="302"/>
      <c r="G22" s="302"/>
      <c r="H22" s="302"/>
      <c r="I22" s="302"/>
      <c r="J22" s="303" t="s">
        <v>20</v>
      </c>
      <c r="K22" s="304"/>
      <c r="L22" s="291">
        <v>12</v>
      </c>
      <c r="M22" s="291">
        <f>SUM(M2:M21)</f>
        <v>0</v>
      </c>
      <c r="N22" s="291">
        <f t="shared" ref="N22" si="4">SUM(N16:N21)</f>
        <v>519999.98</v>
      </c>
      <c r="O22" s="291">
        <f>SUM(O17:O21)</f>
        <v>16666.665000000001</v>
      </c>
      <c r="P22" s="291">
        <f t="shared" ref="P22:Z22" si="5">SUM(P17:P21)</f>
        <v>16666.665000000001</v>
      </c>
      <c r="Q22" s="291">
        <f t="shared" si="5"/>
        <v>84666.664999999994</v>
      </c>
      <c r="R22" s="291">
        <f t="shared" si="5"/>
        <v>24666.665000000001</v>
      </c>
      <c r="S22" s="291">
        <f t="shared" si="5"/>
        <v>24666.665000000001</v>
      </c>
      <c r="T22" s="291">
        <f t="shared" si="5"/>
        <v>84666.664999999994</v>
      </c>
      <c r="U22" s="291">
        <f t="shared" si="5"/>
        <v>24666.665000000001</v>
      </c>
      <c r="V22" s="291">
        <f t="shared" si="5"/>
        <v>24666.665000000001</v>
      </c>
      <c r="W22" s="291">
        <f t="shared" si="5"/>
        <v>84666.664999999994</v>
      </c>
      <c r="X22" s="291">
        <f t="shared" si="5"/>
        <v>24666.665000000001</v>
      </c>
      <c r="Y22" s="291">
        <f t="shared" si="5"/>
        <v>24666.665000000001</v>
      </c>
      <c r="Z22" s="291">
        <f t="shared" si="5"/>
        <v>84666.664999999994</v>
      </c>
    </row>
    <row r="23" spans="1:26" ht="6.75" customHeight="1" x14ac:dyDescent="0.25">
      <c r="A23" s="71"/>
      <c r="B23" s="71"/>
      <c r="C23" s="71"/>
      <c r="D23" s="71"/>
      <c r="E23" s="71"/>
      <c r="F23" s="71"/>
      <c r="G23" s="71"/>
      <c r="H23" s="71"/>
      <c r="I23" s="71"/>
      <c r="J23" s="71"/>
      <c r="K23" s="71"/>
    </row>
    <row r="24" spans="1:26" ht="18" x14ac:dyDescent="0.25">
      <c r="A24" s="41" t="s">
        <v>33</v>
      </c>
      <c r="B24" s="41"/>
      <c r="C24" s="42"/>
      <c r="D24" s="42"/>
      <c r="E24" s="43"/>
      <c r="F24" s="43"/>
      <c r="G24" s="43"/>
      <c r="H24" s="44"/>
      <c r="I24" s="44"/>
      <c r="J24" s="43"/>
      <c r="K24" s="43"/>
      <c r="L24" s="43"/>
      <c r="M24" s="43"/>
      <c r="N24" s="43"/>
      <c r="O24" s="43" t="s">
        <v>5</v>
      </c>
      <c r="P24" s="43"/>
      <c r="Q24" s="43"/>
      <c r="R24" s="43"/>
      <c r="S24" s="43"/>
      <c r="T24" s="43"/>
      <c r="U24" s="43"/>
      <c r="V24" s="43"/>
      <c r="W24" s="43"/>
      <c r="X24" s="43"/>
      <c r="Y24" s="43"/>
      <c r="Z24" s="43"/>
    </row>
    <row r="25" spans="1:26" ht="15" outlineLevel="1" x14ac:dyDescent="0.25">
      <c r="A25" s="6"/>
      <c r="B25" s="6" t="s">
        <v>13</v>
      </c>
      <c r="C25" s="6" t="s">
        <v>14</v>
      </c>
      <c r="D25" s="8" t="s">
        <v>681</v>
      </c>
      <c r="E25" s="48" t="s">
        <v>5</v>
      </c>
      <c r="F25" s="48" t="s">
        <v>5</v>
      </c>
      <c r="G25" s="48" t="s">
        <v>5</v>
      </c>
      <c r="H25" s="48"/>
      <c r="I25" s="48"/>
      <c r="J25" s="48"/>
      <c r="K25" s="48" t="s">
        <v>5</v>
      </c>
      <c r="L25" s="48"/>
      <c r="M25" s="48"/>
      <c r="N25" s="12"/>
      <c r="O25" s="12" t="s">
        <v>5</v>
      </c>
      <c r="P25" s="12"/>
      <c r="Q25" s="12"/>
      <c r="R25" s="12"/>
      <c r="S25" s="12"/>
      <c r="T25" s="12"/>
      <c r="U25" s="12"/>
      <c r="V25" s="12"/>
      <c r="W25" s="12"/>
      <c r="X25" s="12"/>
      <c r="Y25" s="12"/>
      <c r="Z25" s="12"/>
    </row>
    <row r="26" spans="1:26" ht="18" outlineLevel="1" x14ac:dyDescent="0.25">
      <c r="A26" s="30" t="str">
        <f>CONCATENATE(B17," - ",C17)</f>
        <v>Several Professional advisories - Professionals advisory services</v>
      </c>
      <c r="B26" s="30"/>
      <c r="C26" s="31"/>
      <c r="D26" s="31"/>
      <c r="E26" s="29"/>
      <c r="F26" s="29"/>
      <c r="G26" s="29"/>
      <c r="H26" s="29"/>
      <c r="I26" s="29"/>
      <c r="J26" s="29"/>
      <c r="K26" s="29"/>
      <c r="L26" s="29"/>
      <c r="M26" s="29"/>
      <c r="N26" s="29"/>
      <c r="O26" s="29" t="s">
        <v>5</v>
      </c>
      <c r="P26" s="29"/>
      <c r="Q26" s="29"/>
      <c r="R26" s="29"/>
      <c r="S26" s="29"/>
      <c r="T26" s="29"/>
      <c r="U26" s="29"/>
      <c r="V26" s="29"/>
      <c r="W26" s="29"/>
      <c r="X26" s="29"/>
      <c r="Y26" s="29"/>
      <c r="Z26" s="29"/>
    </row>
    <row r="27" spans="1:26" ht="32.450000000000003" customHeight="1" outlineLevel="1" x14ac:dyDescent="0.25">
      <c r="A27" s="358" t="s">
        <v>63</v>
      </c>
      <c r="B27" s="93" t="s">
        <v>1277</v>
      </c>
      <c r="C27" s="93" t="s">
        <v>1278</v>
      </c>
      <c r="D27" s="979" t="s">
        <v>2459</v>
      </c>
      <c r="E27" s="980"/>
      <c r="F27" s="980"/>
      <c r="G27" s="980"/>
      <c r="H27" s="980"/>
      <c r="I27" s="980"/>
      <c r="J27" s="980"/>
      <c r="K27" s="980"/>
      <c r="L27" s="980"/>
      <c r="M27" s="980"/>
      <c r="N27" s="981"/>
      <c r="O27" s="12" t="s">
        <v>5</v>
      </c>
      <c r="P27" s="12"/>
      <c r="Q27" s="12"/>
      <c r="R27" s="12"/>
      <c r="S27" s="12"/>
      <c r="T27" s="12"/>
      <c r="U27" s="12"/>
      <c r="V27" s="12"/>
      <c r="W27" s="12"/>
      <c r="X27" s="12"/>
      <c r="Y27" s="12"/>
      <c r="Z27" s="12"/>
    </row>
    <row r="28" spans="1:26" ht="33.6" customHeight="1" outlineLevel="1" x14ac:dyDescent="0.25">
      <c r="A28" s="360" t="s">
        <v>1228</v>
      </c>
      <c r="B28" s="93" t="s">
        <v>1279</v>
      </c>
      <c r="C28" s="93" t="s">
        <v>1278</v>
      </c>
      <c r="D28" s="979" t="s">
        <v>2459</v>
      </c>
      <c r="E28" s="980"/>
      <c r="F28" s="980"/>
      <c r="G28" s="980"/>
      <c r="H28" s="980"/>
      <c r="I28" s="980"/>
      <c r="J28" s="980"/>
      <c r="K28" s="980"/>
      <c r="L28" s="980"/>
      <c r="M28" s="980"/>
      <c r="N28" s="981"/>
      <c r="O28" s="12" t="s">
        <v>5</v>
      </c>
      <c r="P28" s="12"/>
      <c r="Q28" s="12"/>
      <c r="R28" s="12"/>
      <c r="S28" s="12"/>
      <c r="T28" s="12"/>
      <c r="U28" s="12"/>
      <c r="V28" s="12"/>
      <c r="W28" s="12"/>
      <c r="X28" s="12"/>
      <c r="Y28" s="12"/>
      <c r="Z28" s="12"/>
    </row>
    <row r="29" spans="1:26" ht="33.6" customHeight="1" outlineLevel="1" x14ac:dyDescent="0.25">
      <c r="A29" s="360" t="s">
        <v>1231</v>
      </c>
      <c r="B29" s="361" t="s">
        <v>1280</v>
      </c>
      <c r="C29" s="93" t="s">
        <v>1281</v>
      </c>
      <c r="D29" s="979" t="s">
        <v>2460</v>
      </c>
      <c r="E29" s="980"/>
      <c r="F29" s="980"/>
      <c r="G29" s="980"/>
      <c r="H29" s="980"/>
      <c r="I29" s="980"/>
      <c r="J29" s="980"/>
      <c r="K29" s="980"/>
      <c r="L29" s="980"/>
      <c r="M29" s="980"/>
      <c r="N29" s="981"/>
      <c r="O29" s="12" t="s">
        <v>5</v>
      </c>
      <c r="P29" s="12"/>
      <c r="Q29" s="12"/>
      <c r="R29" s="12"/>
      <c r="S29" s="12"/>
      <c r="T29" s="12"/>
      <c r="U29" s="12"/>
      <c r="V29" s="12"/>
      <c r="W29" s="12"/>
      <c r="X29" s="12"/>
      <c r="Y29" s="12"/>
      <c r="Z29" s="12"/>
    </row>
    <row r="30" spans="1:26" ht="15" outlineLevel="1" x14ac:dyDescent="0.25">
      <c r="A30" s="358"/>
      <c r="B30" s="7"/>
      <c r="C30" s="7"/>
      <c r="D30" s="10"/>
      <c r="E30" s="681" t="s">
        <v>5</v>
      </c>
      <c r="F30" s="681" t="s">
        <v>5</v>
      </c>
      <c r="G30" s="681" t="s">
        <v>5</v>
      </c>
      <c r="H30" s="681"/>
      <c r="I30" s="681"/>
      <c r="J30" s="681"/>
      <c r="K30" s="681" t="s">
        <v>5</v>
      </c>
      <c r="L30" s="681"/>
      <c r="M30" s="681"/>
      <c r="N30" s="688"/>
      <c r="O30" s="12" t="s">
        <v>5</v>
      </c>
      <c r="P30" s="12"/>
      <c r="Q30" s="12"/>
      <c r="R30" s="12"/>
      <c r="S30" s="12"/>
      <c r="T30" s="12"/>
      <c r="U30" s="12"/>
      <c r="V30" s="12"/>
      <c r="W30" s="12"/>
      <c r="X30" s="12"/>
      <c r="Y30" s="12"/>
      <c r="Z30" s="12"/>
    </row>
    <row r="31" spans="1:26" ht="15" outlineLevel="1" x14ac:dyDescent="0.25">
      <c r="A31" s="358"/>
      <c r="B31" s="7"/>
      <c r="C31" s="7"/>
      <c r="D31" s="10"/>
      <c r="E31" s="48" t="s">
        <v>5</v>
      </c>
      <c r="F31" s="48" t="s">
        <v>5</v>
      </c>
      <c r="G31" s="48" t="s">
        <v>5</v>
      </c>
      <c r="H31" s="48"/>
      <c r="I31" s="48"/>
      <c r="J31" s="48"/>
      <c r="K31" s="48" t="s">
        <v>5</v>
      </c>
      <c r="L31" s="48"/>
      <c r="M31" s="48"/>
      <c r="N31" s="12"/>
      <c r="O31" s="12" t="s">
        <v>5</v>
      </c>
      <c r="P31" s="12"/>
      <c r="Q31" s="12"/>
      <c r="R31" s="12"/>
      <c r="S31" s="12"/>
      <c r="T31" s="12"/>
      <c r="U31" s="12"/>
      <c r="V31" s="12"/>
      <c r="W31" s="12"/>
      <c r="X31" s="12"/>
      <c r="Y31" s="12"/>
      <c r="Z31" s="12"/>
    </row>
    <row r="32" spans="1:26" ht="18" outlineLevel="1" x14ac:dyDescent="0.25">
      <c r="A32" s="30" t="str">
        <f>CONCATENATE(B18," - ",C18)</f>
        <v>Minor compensations to communities - In the frame of possible affectations</v>
      </c>
      <c r="B32" s="30"/>
      <c r="C32" s="31"/>
      <c r="D32" s="31"/>
      <c r="E32" s="29"/>
      <c r="F32" s="29"/>
      <c r="G32" s="29"/>
      <c r="H32" s="29"/>
      <c r="I32" s="29"/>
      <c r="J32" s="29"/>
      <c r="K32" s="29"/>
      <c r="L32" s="29"/>
      <c r="M32" s="29"/>
      <c r="N32" s="29"/>
      <c r="O32" s="29" t="s">
        <v>5</v>
      </c>
      <c r="P32" s="29"/>
      <c r="Q32" s="29"/>
      <c r="R32" s="29"/>
      <c r="S32" s="29"/>
      <c r="T32" s="29"/>
      <c r="U32" s="29"/>
      <c r="V32" s="29"/>
      <c r="W32" s="29"/>
      <c r="X32" s="29"/>
      <c r="Y32" s="29"/>
      <c r="Z32" s="29"/>
    </row>
    <row r="33" spans="1:26" ht="19.899999999999999" customHeight="1" outlineLevel="1" x14ac:dyDescent="0.25">
      <c r="A33" s="358" t="s">
        <v>69</v>
      </c>
      <c r="B33" s="93" t="s">
        <v>1282</v>
      </c>
      <c r="C33" s="93" t="s">
        <v>1283</v>
      </c>
      <c r="D33" s="979" t="s">
        <v>2461</v>
      </c>
      <c r="E33" s="980"/>
      <c r="F33" s="980"/>
      <c r="G33" s="980"/>
      <c r="H33" s="980"/>
      <c r="I33" s="980"/>
      <c r="J33" s="980"/>
      <c r="K33" s="980"/>
      <c r="L33" s="980"/>
      <c r="M33" s="980"/>
      <c r="N33" s="981"/>
      <c r="O33" s="298" t="s">
        <v>5</v>
      </c>
      <c r="P33" s="298"/>
      <c r="Q33" s="12"/>
      <c r="R33" s="12"/>
      <c r="S33" s="12"/>
      <c r="T33" s="12"/>
      <c r="U33" s="12"/>
      <c r="V33" s="12"/>
      <c r="W33" s="12"/>
      <c r="X33" s="12"/>
      <c r="Y33" s="12"/>
      <c r="Z33" s="12"/>
    </row>
    <row r="34" spans="1:26" ht="28.15" customHeight="1" outlineLevel="1" x14ac:dyDescent="0.25">
      <c r="A34" s="358" t="s">
        <v>72</v>
      </c>
      <c r="B34" s="93" t="s">
        <v>1284</v>
      </c>
      <c r="C34" s="93" t="s">
        <v>1285</v>
      </c>
      <c r="D34" s="979" t="s">
        <v>2462</v>
      </c>
      <c r="E34" s="980"/>
      <c r="F34" s="980"/>
      <c r="G34" s="980"/>
      <c r="H34" s="980"/>
      <c r="I34" s="980"/>
      <c r="J34" s="980"/>
      <c r="K34" s="980"/>
      <c r="L34" s="980"/>
      <c r="M34" s="980"/>
      <c r="N34" s="981"/>
      <c r="O34" s="298" t="s">
        <v>5</v>
      </c>
      <c r="P34" s="298"/>
      <c r="Q34" s="12"/>
      <c r="R34" s="12"/>
      <c r="S34" s="12"/>
      <c r="T34" s="12"/>
      <c r="U34" s="12"/>
      <c r="V34" s="12"/>
      <c r="W34" s="12"/>
      <c r="X34" s="12"/>
      <c r="Y34" s="12"/>
      <c r="Z34" s="12"/>
    </row>
    <row r="35" spans="1:26" ht="16.899999999999999" customHeight="1" outlineLevel="1" x14ac:dyDescent="0.25">
      <c r="A35" s="358" t="s">
        <v>75</v>
      </c>
      <c r="B35" s="93" t="s">
        <v>1286</v>
      </c>
      <c r="C35" s="93" t="s">
        <v>1287</v>
      </c>
      <c r="D35" s="979" t="s">
        <v>2463</v>
      </c>
      <c r="E35" s="980"/>
      <c r="F35" s="980"/>
      <c r="G35" s="980"/>
      <c r="H35" s="980"/>
      <c r="I35" s="980"/>
      <c r="J35" s="980"/>
      <c r="K35" s="980"/>
      <c r="L35" s="980"/>
      <c r="M35" s="980"/>
      <c r="N35" s="981"/>
      <c r="O35" s="298" t="s">
        <v>5</v>
      </c>
      <c r="P35" s="298"/>
      <c r="Q35" s="12"/>
      <c r="R35" s="12"/>
      <c r="S35" s="12"/>
      <c r="T35" s="12"/>
      <c r="U35" s="12"/>
      <c r="V35" s="12"/>
      <c r="W35" s="12"/>
      <c r="X35" s="12"/>
      <c r="Y35" s="12"/>
      <c r="Z35" s="12"/>
    </row>
    <row r="36" spans="1:26" ht="15" outlineLevel="1" x14ac:dyDescent="0.25">
      <c r="A36" s="358"/>
      <c r="B36" s="7"/>
      <c r="C36" s="7"/>
      <c r="D36" s="10"/>
      <c r="E36" s="681"/>
      <c r="F36" s="681"/>
      <c r="G36" s="681"/>
      <c r="H36" s="681"/>
      <c r="I36" s="681"/>
      <c r="J36" s="681"/>
      <c r="K36" s="681" t="s">
        <v>5</v>
      </c>
      <c r="L36" s="681"/>
      <c r="M36" s="681"/>
      <c r="N36" s="688"/>
      <c r="O36" s="12" t="s">
        <v>5</v>
      </c>
      <c r="P36" s="12"/>
      <c r="Q36" s="12"/>
      <c r="R36" s="12"/>
      <c r="S36" s="12"/>
      <c r="T36" s="12"/>
      <c r="U36" s="12"/>
      <c r="V36" s="12"/>
      <c r="W36" s="12"/>
      <c r="X36" s="12"/>
      <c r="Y36" s="12"/>
      <c r="Z36" s="12"/>
    </row>
    <row r="37" spans="1:26" ht="15" outlineLevel="1" x14ac:dyDescent="0.25">
      <c r="A37" s="358"/>
      <c r="B37" s="7"/>
      <c r="C37" s="7"/>
      <c r="D37" s="10"/>
      <c r="E37" s="681"/>
      <c r="F37" s="681"/>
      <c r="G37" s="681"/>
      <c r="H37" s="681"/>
      <c r="I37" s="681"/>
      <c r="J37" s="681"/>
      <c r="K37" s="681" t="s">
        <v>5</v>
      </c>
      <c r="L37" s="681"/>
      <c r="M37" s="681"/>
      <c r="N37" s="688"/>
      <c r="O37" s="12" t="s">
        <v>5</v>
      </c>
      <c r="P37" s="12"/>
      <c r="Q37" s="12"/>
      <c r="R37" s="12"/>
      <c r="S37" s="12"/>
      <c r="T37" s="12"/>
      <c r="U37" s="12"/>
      <c r="V37" s="12"/>
      <c r="W37" s="12"/>
      <c r="X37" s="12"/>
      <c r="Y37" s="12"/>
      <c r="Z37" s="12"/>
    </row>
    <row r="38" spans="1:26" ht="18" outlineLevel="1" x14ac:dyDescent="0.25">
      <c r="A38" s="30" t="str">
        <f>CONCATENATE(B19," - ",C19)</f>
        <v>Meetings with communities - As a part of engagement work</v>
      </c>
      <c r="B38" s="30"/>
      <c r="C38" s="31"/>
      <c r="D38" s="942"/>
      <c r="E38" s="685"/>
      <c r="F38" s="685"/>
      <c r="G38" s="685"/>
      <c r="H38" s="685"/>
      <c r="I38" s="685"/>
      <c r="J38" s="685"/>
      <c r="K38" s="685"/>
      <c r="L38" s="685"/>
      <c r="M38" s="685"/>
      <c r="N38" s="685"/>
      <c r="O38" s="29" t="s">
        <v>5</v>
      </c>
      <c r="P38" s="29"/>
      <c r="Q38" s="29"/>
      <c r="R38" s="29"/>
      <c r="S38" s="29"/>
      <c r="T38" s="29"/>
      <c r="U38" s="29"/>
      <c r="V38" s="29"/>
      <c r="W38" s="29"/>
      <c r="X38" s="29"/>
      <c r="Y38" s="29"/>
      <c r="Z38" s="29"/>
    </row>
    <row r="39" spans="1:26" ht="20.45" customHeight="1" outlineLevel="1" x14ac:dyDescent="0.25">
      <c r="A39" s="358" t="s">
        <v>102</v>
      </c>
      <c r="B39" s="93" t="s">
        <v>1288</v>
      </c>
      <c r="C39" s="93" t="s">
        <v>1289</v>
      </c>
      <c r="D39" s="979" t="s">
        <v>2464</v>
      </c>
      <c r="E39" s="980"/>
      <c r="F39" s="980"/>
      <c r="G39" s="980"/>
      <c r="H39" s="980"/>
      <c r="I39" s="980"/>
      <c r="J39" s="980"/>
      <c r="K39" s="980"/>
      <c r="L39" s="980"/>
      <c r="M39" s="980"/>
      <c r="N39" s="981"/>
      <c r="O39" s="298" t="s">
        <v>5</v>
      </c>
      <c r="P39" s="12"/>
      <c r="Q39" s="12"/>
      <c r="R39" s="12"/>
      <c r="S39" s="12"/>
      <c r="T39" s="12"/>
      <c r="U39" s="12"/>
      <c r="V39" s="12"/>
      <c r="W39" s="12"/>
      <c r="X39" s="12"/>
      <c r="Y39" s="12"/>
      <c r="Z39" s="12"/>
    </row>
    <row r="40" spans="1:26" ht="15" customHeight="1" outlineLevel="1" x14ac:dyDescent="0.25">
      <c r="A40" s="358" t="s">
        <v>105</v>
      </c>
      <c r="B40" s="93" t="s">
        <v>1290</v>
      </c>
      <c r="C40" s="93" t="s">
        <v>1289</v>
      </c>
      <c r="D40" s="979" t="s">
        <v>2465</v>
      </c>
      <c r="E40" s="980"/>
      <c r="F40" s="980"/>
      <c r="G40" s="980"/>
      <c r="H40" s="980"/>
      <c r="I40" s="980"/>
      <c r="J40" s="980"/>
      <c r="K40" s="980"/>
      <c r="L40" s="980"/>
      <c r="M40" s="980"/>
      <c r="N40" s="981"/>
      <c r="O40" s="298" t="s">
        <v>5</v>
      </c>
      <c r="P40" s="12"/>
      <c r="Q40" s="12"/>
      <c r="R40" s="12"/>
      <c r="S40" s="12"/>
      <c r="T40" s="12"/>
      <c r="U40" s="12"/>
      <c r="V40" s="12"/>
      <c r="W40" s="12"/>
      <c r="X40" s="12"/>
      <c r="Y40" s="12"/>
      <c r="Z40" s="12"/>
    </row>
    <row r="41" spans="1:26" ht="15" outlineLevel="1" x14ac:dyDescent="0.25">
      <c r="A41" s="358"/>
      <c r="B41" s="7"/>
      <c r="C41" s="7"/>
      <c r="D41" s="10"/>
      <c r="E41" s="681"/>
      <c r="F41" s="681" t="s">
        <v>5</v>
      </c>
      <c r="G41" s="688" t="s">
        <v>5</v>
      </c>
      <c r="H41" s="688"/>
      <c r="I41" s="688"/>
      <c r="J41" s="681"/>
      <c r="K41" s="681" t="s">
        <v>5</v>
      </c>
      <c r="L41" s="688"/>
      <c r="M41" s="688"/>
      <c r="N41" s="125"/>
      <c r="O41" s="12" t="s">
        <v>5</v>
      </c>
      <c r="P41" s="12"/>
      <c r="Q41" s="12"/>
      <c r="R41" s="12"/>
      <c r="S41" s="12"/>
      <c r="T41" s="12"/>
      <c r="U41" s="12"/>
      <c r="V41" s="12"/>
      <c r="W41" s="12"/>
      <c r="X41" s="12"/>
      <c r="Y41" s="12"/>
      <c r="Z41" s="12"/>
    </row>
    <row r="42" spans="1:26" ht="15" outlineLevel="1" x14ac:dyDescent="0.25">
      <c r="A42" s="358"/>
      <c r="B42" s="7"/>
      <c r="C42" s="7"/>
      <c r="D42" s="10"/>
      <c r="E42" s="681"/>
      <c r="F42" s="681" t="s">
        <v>5</v>
      </c>
      <c r="G42" s="681" t="s">
        <v>5</v>
      </c>
      <c r="H42" s="681"/>
      <c r="I42" s="681"/>
      <c r="J42" s="681"/>
      <c r="K42" s="681" t="s">
        <v>5</v>
      </c>
      <c r="L42" s="681"/>
      <c r="M42" s="681"/>
      <c r="N42" s="688"/>
      <c r="O42" s="12" t="s">
        <v>5</v>
      </c>
      <c r="P42" s="12"/>
      <c r="Q42" s="12"/>
      <c r="R42" s="12"/>
      <c r="S42" s="12"/>
      <c r="T42" s="12"/>
      <c r="U42" s="12"/>
      <c r="V42" s="12"/>
      <c r="W42" s="12"/>
      <c r="X42" s="12"/>
      <c r="Y42" s="12"/>
      <c r="Z42" s="12"/>
    </row>
    <row r="43" spans="1:26" ht="15" outlineLevel="1" x14ac:dyDescent="0.25">
      <c r="A43" s="358"/>
      <c r="B43" s="7"/>
      <c r="C43" s="7"/>
      <c r="D43" s="10"/>
      <c r="E43" s="681"/>
      <c r="F43" s="681" t="s">
        <v>5</v>
      </c>
      <c r="G43" s="681" t="s">
        <v>5</v>
      </c>
      <c r="H43" s="681"/>
      <c r="I43" s="681"/>
      <c r="J43" s="681"/>
      <c r="K43" s="681" t="s">
        <v>5</v>
      </c>
      <c r="L43" s="681"/>
      <c r="M43" s="681"/>
      <c r="N43" s="688"/>
      <c r="O43" s="12" t="s">
        <v>5</v>
      </c>
      <c r="P43" s="12"/>
      <c r="Q43" s="12"/>
      <c r="R43" s="12"/>
      <c r="S43" s="12"/>
      <c r="T43" s="12"/>
      <c r="U43" s="12"/>
      <c r="V43" s="12"/>
      <c r="W43" s="12"/>
      <c r="X43" s="12"/>
      <c r="Y43" s="12"/>
      <c r="Z43" s="12"/>
    </row>
    <row r="44" spans="1:26" ht="6.75" customHeight="1" x14ac:dyDescent="0.25"/>
    <row r="45" spans="1:26" ht="18" x14ac:dyDescent="0.25">
      <c r="A45" s="41" t="s">
        <v>37</v>
      </c>
      <c r="B45" s="41"/>
      <c r="C45" s="42"/>
      <c r="D45" s="42"/>
      <c r="E45" s="43"/>
      <c r="F45" s="43"/>
      <c r="G45" s="43"/>
      <c r="H45" s="44"/>
      <c r="I45" s="44"/>
      <c r="J45" s="43"/>
      <c r="K45" s="43"/>
      <c r="L45" s="43"/>
      <c r="M45" s="43"/>
      <c r="N45" s="43"/>
      <c r="O45" s="43" t="s">
        <v>5</v>
      </c>
      <c r="P45" s="43"/>
      <c r="Q45" s="43"/>
      <c r="R45" s="43"/>
      <c r="S45" s="43"/>
      <c r="T45" s="43"/>
      <c r="U45" s="43"/>
      <c r="V45" s="43"/>
      <c r="W45" s="43"/>
      <c r="X45" s="43"/>
      <c r="Y45" s="43"/>
      <c r="Z45" s="43"/>
    </row>
    <row r="46" spans="1:26" ht="18" outlineLevel="1" x14ac:dyDescent="0.25">
      <c r="A46" s="30" t="str">
        <f>CONCATENATE(B17,"                   ",C17)</f>
        <v>Several Professional advisories                   Professionals advisory services</v>
      </c>
      <c r="B46" s="30"/>
      <c r="C46" s="31"/>
      <c r="D46" s="31"/>
      <c r="E46" s="29"/>
      <c r="F46" s="29"/>
      <c r="G46" s="29"/>
      <c r="H46" s="29"/>
      <c r="I46" s="29"/>
      <c r="J46" s="29"/>
      <c r="K46" s="29"/>
      <c r="L46" s="29"/>
      <c r="M46" s="29"/>
      <c r="N46" s="29"/>
      <c r="O46" s="29" t="s">
        <v>5</v>
      </c>
      <c r="P46" s="29"/>
      <c r="Q46" s="29"/>
      <c r="R46" s="29"/>
      <c r="S46" s="29"/>
      <c r="T46" s="29"/>
      <c r="U46" s="29"/>
      <c r="V46" s="29"/>
      <c r="W46" s="29"/>
      <c r="X46" s="29"/>
      <c r="Y46" s="29"/>
      <c r="Z46" s="29"/>
    </row>
    <row r="47" spans="1:26" ht="45" outlineLevel="1" x14ac:dyDescent="0.25">
      <c r="A47" s="92"/>
      <c r="B47" s="92" t="s">
        <v>13</v>
      </c>
      <c r="C47" s="92" t="s">
        <v>14</v>
      </c>
      <c r="D47" s="8" t="s">
        <v>782</v>
      </c>
      <c r="E47" s="32" t="s">
        <v>16</v>
      </c>
      <c r="F47" s="32" t="s">
        <v>38</v>
      </c>
      <c r="G47" s="32" t="s">
        <v>39</v>
      </c>
      <c r="H47" s="32" t="s">
        <v>783</v>
      </c>
      <c r="I47" s="32" t="s">
        <v>784</v>
      </c>
      <c r="J47" s="32" t="s">
        <v>785</v>
      </c>
      <c r="K47" s="32" t="s">
        <v>786</v>
      </c>
      <c r="L47" s="32" t="s">
        <v>17</v>
      </c>
      <c r="M47" s="32" t="s">
        <v>18</v>
      </c>
      <c r="N47" s="32" t="s">
        <v>19</v>
      </c>
      <c r="O47" s="66">
        <v>43101</v>
      </c>
      <c r="P47" s="66">
        <v>43132</v>
      </c>
      <c r="Q47" s="66">
        <v>43160</v>
      </c>
      <c r="R47" s="66">
        <v>43191</v>
      </c>
      <c r="S47" s="66">
        <v>43221</v>
      </c>
      <c r="T47" s="66">
        <v>43252</v>
      </c>
      <c r="U47" s="66">
        <v>43282</v>
      </c>
      <c r="V47" s="66">
        <v>43313</v>
      </c>
      <c r="W47" s="66">
        <v>43344</v>
      </c>
      <c r="X47" s="66">
        <v>43374</v>
      </c>
      <c r="Y47" s="66">
        <v>43405</v>
      </c>
      <c r="Z47" s="66">
        <v>43435</v>
      </c>
    </row>
    <row r="48" spans="1:26" ht="45" outlineLevel="1" x14ac:dyDescent="0.25">
      <c r="A48" s="358" t="s">
        <v>1978</v>
      </c>
      <c r="B48" s="93" t="str">
        <f t="shared" ref="B48:C49" si="6">+B27</f>
        <v>Senior engagement consultant 1</v>
      </c>
      <c r="C48" s="93" t="str">
        <f t="shared" si="6"/>
        <v>Advisory to increase engagement effectiveness</v>
      </c>
      <c r="D48" s="93" t="s">
        <v>2469</v>
      </c>
      <c r="E48" s="359" t="s">
        <v>107</v>
      </c>
      <c r="F48" s="11" t="s">
        <v>1270</v>
      </c>
      <c r="G48" s="11"/>
      <c r="H48" s="11" t="s">
        <v>41</v>
      </c>
      <c r="I48" s="11" t="s">
        <v>42</v>
      </c>
      <c r="J48" s="11" t="s">
        <v>210</v>
      </c>
      <c r="K48" s="11" t="s">
        <v>41</v>
      </c>
      <c r="L48" s="11">
        <v>12</v>
      </c>
      <c r="M48" s="11"/>
      <c r="N48" s="11">
        <f t="shared" ref="N48" si="7">SUM(O48:Z48)</f>
        <v>99999.995999999999</v>
      </c>
      <c r="O48" s="11">
        <v>8333.3330000000005</v>
      </c>
      <c r="P48" s="11">
        <v>8333.3330000000005</v>
      </c>
      <c r="Q48" s="11">
        <v>8333.3330000000005</v>
      </c>
      <c r="R48" s="11">
        <v>8333.3330000000005</v>
      </c>
      <c r="S48" s="11">
        <v>8333.3330000000005</v>
      </c>
      <c r="T48" s="11">
        <v>8333.3330000000005</v>
      </c>
      <c r="U48" s="11">
        <v>8333.3330000000005</v>
      </c>
      <c r="V48" s="11">
        <v>8333.3330000000005</v>
      </c>
      <c r="W48" s="11">
        <v>8333.3330000000005</v>
      </c>
      <c r="X48" s="11">
        <v>8333.3330000000005</v>
      </c>
      <c r="Y48" s="11">
        <v>8333.3330000000005</v>
      </c>
      <c r="Z48" s="11">
        <v>8333.3330000000005</v>
      </c>
    </row>
    <row r="49" spans="1:29" ht="45" outlineLevel="1" x14ac:dyDescent="0.25">
      <c r="A49" s="358" t="s">
        <v>1981</v>
      </c>
      <c r="B49" s="93" t="str">
        <f t="shared" si="6"/>
        <v>Senior engagement consultant 2</v>
      </c>
      <c r="C49" s="93" t="str">
        <f t="shared" ref="B49:C50" si="8">+C28</f>
        <v>Advisory to increase engagement effectiveness</v>
      </c>
      <c r="D49" s="93" t="s">
        <v>2469</v>
      </c>
      <c r="E49" s="359" t="s">
        <v>107</v>
      </c>
      <c r="F49" s="11" t="s">
        <v>439</v>
      </c>
      <c r="G49" s="11"/>
      <c r="H49" s="11" t="s">
        <v>41</v>
      </c>
      <c r="I49" s="11" t="s">
        <v>41</v>
      </c>
      <c r="J49" s="11" t="s">
        <v>41</v>
      </c>
      <c r="K49" s="11" t="s">
        <v>42</v>
      </c>
      <c r="L49" s="11">
        <v>12</v>
      </c>
      <c r="M49" s="11"/>
      <c r="N49" s="11">
        <f t="shared" ref="N49:N50" si="9">SUM(O49:Z49)</f>
        <v>80000</v>
      </c>
      <c r="O49" s="11">
        <v>0</v>
      </c>
      <c r="P49" s="11">
        <v>0</v>
      </c>
      <c r="Q49" s="11">
        <v>8000</v>
      </c>
      <c r="R49" s="11">
        <v>8000</v>
      </c>
      <c r="S49" s="11">
        <v>8000</v>
      </c>
      <c r="T49" s="11">
        <v>8000</v>
      </c>
      <c r="U49" s="11">
        <v>8000</v>
      </c>
      <c r="V49" s="11">
        <v>8000</v>
      </c>
      <c r="W49" s="11">
        <v>8000</v>
      </c>
      <c r="X49" s="11">
        <v>8000</v>
      </c>
      <c r="Y49" s="11">
        <v>8000</v>
      </c>
      <c r="Z49" s="11">
        <v>8000</v>
      </c>
    </row>
    <row r="50" spans="1:29" ht="30" outlineLevel="1" x14ac:dyDescent="0.25">
      <c r="A50" s="358" t="s">
        <v>1982</v>
      </c>
      <c r="B50" s="93" t="str">
        <f t="shared" si="8"/>
        <v>Senior Human Rights consultant</v>
      </c>
      <c r="C50" s="93" t="str">
        <f t="shared" si="8"/>
        <v>Advisory to support Human Rights implementation</v>
      </c>
      <c r="D50" s="93" t="s">
        <v>2470</v>
      </c>
      <c r="E50" s="359" t="s">
        <v>107</v>
      </c>
      <c r="F50" s="11" t="s">
        <v>439</v>
      </c>
      <c r="G50" s="11"/>
      <c r="H50" s="11" t="s">
        <v>41</v>
      </c>
      <c r="I50" s="11" t="s">
        <v>41</v>
      </c>
      <c r="J50" s="11" t="s">
        <v>41</v>
      </c>
      <c r="K50" s="11" t="s">
        <v>42</v>
      </c>
      <c r="L50" s="11">
        <v>12</v>
      </c>
      <c r="M50" s="11"/>
      <c r="N50" s="11">
        <f t="shared" si="9"/>
        <v>240000</v>
      </c>
      <c r="O50" s="11">
        <v>0</v>
      </c>
      <c r="P50" s="11">
        <v>0</v>
      </c>
      <c r="Q50" s="11">
        <v>60000</v>
      </c>
      <c r="R50" s="11">
        <v>0</v>
      </c>
      <c r="S50" s="11">
        <v>0</v>
      </c>
      <c r="T50" s="11">
        <v>60000</v>
      </c>
      <c r="U50" s="11">
        <v>0</v>
      </c>
      <c r="V50" s="11">
        <v>0</v>
      </c>
      <c r="W50" s="11">
        <v>60000</v>
      </c>
      <c r="X50" s="11">
        <v>0</v>
      </c>
      <c r="Y50" s="11">
        <v>0</v>
      </c>
      <c r="Z50" s="11">
        <v>60000</v>
      </c>
    </row>
    <row r="51" spans="1:29" ht="15" outlineLevel="1" x14ac:dyDescent="0.25">
      <c r="A51" s="93"/>
      <c r="B51" s="93"/>
      <c r="C51" s="93"/>
      <c r="D51" s="10"/>
      <c r="E51" s="11"/>
      <c r="F51" s="11"/>
      <c r="G51" s="11"/>
      <c r="H51" s="11"/>
      <c r="I51" s="11"/>
      <c r="J51" s="11"/>
      <c r="K51" s="11"/>
      <c r="L51" s="11"/>
      <c r="M51" s="11"/>
      <c r="N51" s="11"/>
      <c r="O51" s="11"/>
      <c r="P51" s="11"/>
      <c r="Q51" s="11"/>
      <c r="R51" s="11"/>
      <c r="S51" s="11"/>
      <c r="T51" s="11"/>
      <c r="U51" s="11"/>
      <c r="V51" s="11"/>
      <c r="W51" s="11"/>
      <c r="X51" s="11"/>
      <c r="Y51" s="11"/>
      <c r="Z51" s="11"/>
    </row>
    <row r="52" spans="1:29" s="35" customFormat="1" ht="22.5" customHeight="1" outlineLevel="1" x14ac:dyDescent="0.25">
      <c r="A52" s="33"/>
      <c r="B52" s="34"/>
      <c r="C52" s="34"/>
      <c r="D52" s="153"/>
      <c r="E52" s="50"/>
      <c r="F52" s="50"/>
      <c r="G52" s="50"/>
      <c r="H52" s="50"/>
      <c r="I52" s="50"/>
      <c r="J52" s="51" t="s">
        <v>20</v>
      </c>
      <c r="K52" s="50"/>
      <c r="L52" s="32">
        <v>12</v>
      </c>
      <c r="M52" s="32">
        <f>SUM(M48:M51)</f>
        <v>0</v>
      </c>
      <c r="N52" s="32">
        <f>SUM(N48:N50)</f>
        <v>419999.99599999998</v>
      </c>
      <c r="O52" s="32">
        <f t="shared" ref="O52:Z52" si="10">SUM(O48:O50)</f>
        <v>8333.3330000000005</v>
      </c>
      <c r="P52" s="32">
        <f t="shared" si="10"/>
        <v>8333.3330000000005</v>
      </c>
      <c r="Q52" s="32">
        <f t="shared" si="10"/>
        <v>76333.332999999999</v>
      </c>
      <c r="R52" s="32">
        <f t="shared" si="10"/>
        <v>16333.333000000001</v>
      </c>
      <c r="S52" s="32">
        <f t="shared" si="10"/>
        <v>16333.333000000001</v>
      </c>
      <c r="T52" s="32">
        <f t="shared" si="10"/>
        <v>76333.332999999999</v>
      </c>
      <c r="U52" s="32">
        <f t="shared" si="10"/>
        <v>16333.333000000001</v>
      </c>
      <c r="V52" s="32">
        <f t="shared" si="10"/>
        <v>16333.333000000001</v>
      </c>
      <c r="W52" s="32">
        <f t="shared" si="10"/>
        <v>76333.332999999999</v>
      </c>
      <c r="X52" s="32">
        <f t="shared" si="10"/>
        <v>16333.333000000001</v>
      </c>
      <c r="Y52" s="32">
        <f t="shared" si="10"/>
        <v>16333.333000000001</v>
      </c>
      <c r="Z52" s="32">
        <f t="shared" si="10"/>
        <v>76333.332999999999</v>
      </c>
      <c r="AC52" s="9"/>
    </row>
    <row r="53" spans="1:29" ht="18" outlineLevel="1" x14ac:dyDescent="0.25">
      <c r="A53" s="30" t="str">
        <f>CONCATENATE(B18," ",C18)</f>
        <v>Minor compensations to communities In the frame of possible affectations</v>
      </c>
      <c r="B53" s="30"/>
      <c r="C53" s="31"/>
      <c r="D53" s="31"/>
      <c r="E53" s="29"/>
      <c r="F53" s="29"/>
      <c r="G53" s="29"/>
      <c r="H53" s="29"/>
      <c r="I53" s="29"/>
      <c r="J53" s="29"/>
      <c r="K53" s="29"/>
      <c r="L53" s="29"/>
      <c r="M53" s="29"/>
      <c r="N53" s="29"/>
      <c r="O53" s="29" t="s">
        <v>5</v>
      </c>
      <c r="P53" s="29"/>
      <c r="Q53" s="29"/>
      <c r="R53" s="29"/>
      <c r="S53" s="29"/>
      <c r="T53" s="29"/>
      <c r="U53" s="29"/>
      <c r="V53" s="29"/>
      <c r="W53" s="29"/>
      <c r="X53" s="29"/>
      <c r="Y53" s="29"/>
      <c r="Z53" s="29"/>
    </row>
    <row r="54" spans="1:29" ht="45" outlineLevel="1" x14ac:dyDescent="0.25">
      <c r="A54" s="92"/>
      <c r="B54" s="92" t="s">
        <v>13</v>
      </c>
      <c r="C54" s="92" t="s">
        <v>14</v>
      </c>
      <c r="D54" s="8" t="s">
        <v>789</v>
      </c>
      <c r="E54" s="32" t="s">
        <v>16</v>
      </c>
      <c r="F54" s="32" t="s">
        <v>38</v>
      </c>
      <c r="G54" s="32" t="s">
        <v>39</v>
      </c>
      <c r="H54" s="32" t="s">
        <v>783</v>
      </c>
      <c r="I54" s="32" t="s">
        <v>784</v>
      </c>
      <c r="J54" s="32" t="s">
        <v>785</v>
      </c>
      <c r="K54" s="32" t="s">
        <v>786</v>
      </c>
      <c r="L54" s="32" t="s">
        <v>17</v>
      </c>
      <c r="M54" s="32" t="s">
        <v>18</v>
      </c>
      <c r="N54" s="32" t="s">
        <v>19</v>
      </c>
      <c r="O54" s="66">
        <v>43101</v>
      </c>
      <c r="P54" s="66">
        <v>43132</v>
      </c>
      <c r="Q54" s="66">
        <v>43160</v>
      </c>
      <c r="R54" s="66">
        <v>43191</v>
      </c>
      <c r="S54" s="66">
        <v>43221</v>
      </c>
      <c r="T54" s="66">
        <v>43252</v>
      </c>
      <c r="U54" s="66">
        <v>43282</v>
      </c>
      <c r="V54" s="66">
        <v>43313</v>
      </c>
      <c r="W54" s="66">
        <v>43344</v>
      </c>
      <c r="X54" s="66">
        <v>43374</v>
      </c>
      <c r="Y54" s="66">
        <v>43405</v>
      </c>
      <c r="Z54" s="66">
        <v>43435</v>
      </c>
    </row>
    <row r="55" spans="1:29" ht="15.75" outlineLevel="1" x14ac:dyDescent="0.25">
      <c r="A55" s="358" t="s">
        <v>1985</v>
      </c>
      <c r="B55" s="93" t="str">
        <f t="shared" ref="B55:C57" si="11">+B33</f>
        <v>Direct payment for animals accidents</v>
      </c>
      <c r="C55" s="93" t="str">
        <f t="shared" si="11"/>
        <v>Direct payment to involved people</v>
      </c>
      <c r="D55" s="10" t="s">
        <v>2471</v>
      </c>
      <c r="E55" s="359" t="s">
        <v>107</v>
      </c>
      <c r="F55" s="11"/>
      <c r="G55" s="11"/>
      <c r="H55" s="11" t="s">
        <v>41</v>
      </c>
      <c r="I55" s="11" t="s">
        <v>41</v>
      </c>
      <c r="J55" s="11" t="s">
        <v>41</v>
      </c>
      <c r="K55" s="11" t="s">
        <v>42</v>
      </c>
      <c r="L55" s="11">
        <v>12</v>
      </c>
      <c r="M55" s="11"/>
      <c r="N55" s="11">
        <f t="shared" ref="N55:N57" si="12">SUM(O55:Z55)</f>
        <v>9999.9959999999992</v>
      </c>
      <c r="O55" s="11">
        <v>833.33299999999997</v>
      </c>
      <c r="P55" s="11">
        <v>833.33299999999997</v>
      </c>
      <c r="Q55" s="11">
        <v>833.33299999999997</v>
      </c>
      <c r="R55" s="11">
        <v>833.33299999999997</v>
      </c>
      <c r="S55" s="11">
        <v>833.33299999999997</v>
      </c>
      <c r="T55" s="11">
        <v>833.33299999999997</v>
      </c>
      <c r="U55" s="11">
        <v>833.33299999999997</v>
      </c>
      <c r="V55" s="11">
        <v>833.33299999999997</v>
      </c>
      <c r="W55" s="11">
        <v>833.33299999999997</v>
      </c>
      <c r="X55" s="11">
        <v>833.33299999999997</v>
      </c>
      <c r="Y55" s="11">
        <v>833.33299999999997</v>
      </c>
      <c r="Z55" s="11">
        <v>833.33299999999997</v>
      </c>
    </row>
    <row r="56" spans="1:29" ht="37.9" customHeight="1" outlineLevel="1" x14ac:dyDescent="0.25">
      <c r="A56" s="358" t="s">
        <v>1986</v>
      </c>
      <c r="B56" s="93" t="str">
        <f t="shared" si="11"/>
        <v>Direct payment for other accidents</v>
      </c>
      <c r="C56" s="93" t="str">
        <f t="shared" si="11"/>
        <v>Direct payment to involved people or other</v>
      </c>
      <c r="D56" s="10" t="s">
        <v>2472</v>
      </c>
      <c r="E56" s="359" t="s">
        <v>107</v>
      </c>
      <c r="F56" s="11"/>
      <c r="G56" s="11"/>
      <c r="H56" s="11" t="s">
        <v>41</v>
      </c>
      <c r="I56" s="11" t="s">
        <v>41</v>
      </c>
      <c r="J56" s="11" t="s">
        <v>41</v>
      </c>
      <c r="K56" s="11" t="s">
        <v>42</v>
      </c>
      <c r="L56" s="11">
        <v>12</v>
      </c>
      <c r="M56" s="11"/>
      <c r="N56" s="11">
        <f t="shared" si="12"/>
        <v>9999.9959999999992</v>
      </c>
      <c r="O56" s="11">
        <v>833.33299999999997</v>
      </c>
      <c r="P56" s="11">
        <v>833.33299999999997</v>
      </c>
      <c r="Q56" s="11">
        <v>833.33299999999997</v>
      </c>
      <c r="R56" s="11">
        <v>833.33299999999997</v>
      </c>
      <c r="S56" s="11">
        <v>833.33299999999997</v>
      </c>
      <c r="T56" s="11">
        <v>833.33299999999997</v>
      </c>
      <c r="U56" s="11">
        <v>833.33299999999997</v>
      </c>
      <c r="V56" s="11">
        <v>833.33299999999997</v>
      </c>
      <c r="W56" s="11">
        <v>833.33299999999997</v>
      </c>
      <c r="X56" s="11">
        <v>833.33299999999997</v>
      </c>
      <c r="Y56" s="11">
        <v>833.33299999999997</v>
      </c>
      <c r="Z56" s="11">
        <v>833.33299999999997</v>
      </c>
    </row>
    <row r="57" spans="1:29" ht="15.75" outlineLevel="1" x14ac:dyDescent="0.25">
      <c r="A57" s="358" t="s">
        <v>1987</v>
      </c>
      <c r="B57" s="93" t="str">
        <f t="shared" si="11"/>
        <v>Infrastructure investment to avoid risk</v>
      </c>
      <c r="C57" s="93" t="str">
        <f t="shared" si="11"/>
        <v xml:space="preserve">Direct investment </v>
      </c>
      <c r="D57" s="10" t="s">
        <v>2473</v>
      </c>
      <c r="E57" s="359" t="s">
        <v>107</v>
      </c>
      <c r="F57" s="11"/>
      <c r="G57" s="11"/>
      <c r="H57" s="11" t="s">
        <v>41</v>
      </c>
      <c r="I57" s="11" t="s">
        <v>41</v>
      </c>
      <c r="J57" s="11" t="s">
        <v>41</v>
      </c>
      <c r="K57" s="11" t="s">
        <v>42</v>
      </c>
      <c r="L57" s="11">
        <v>12</v>
      </c>
      <c r="M57" s="11"/>
      <c r="N57" s="11">
        <f t="shared" si="12"/>
        <v>9999.9959999999992</v>
      </c>
      <c r="O57" s="11">
        <v>833.33299999999997</v>
      </c>
      <c r="P57" s="11">
        <v>833.33299999999997</v>
      </c>
      <c r="Q57" s="11">
        <v>833.33299999999997</v>
      </c>
      <c r="R57" s="11">
        <v>833.33299999999997</v>
      </c>
      <c r="S57" s="11">
        <v>833.33299999999997</v>
      </c>
      <c r="T57" s="11">
        <v>833.33299999999997</v>
      </c>
      <c r="U57" s="11">
        <v>833.33299999999997</v>
      </c>
      <c r="V57" s="11">
        <v>833.33299999999997</v>
      </c>
      <c r="W57" s="11">
        <v>833.33299999999997</v>
      </c>
      <c r="X57" s="11">
        <v>833.33299999999997</v>
      </c>
      <c r="Y57" s="11">
        <v>833.33299999999997</v>
      </c>
      <c r="Z57" s="11">
        <v>833.33299999999997</v>
      </c>
    </row>
    <row r="58" spans="1:29" ht="15" outlineLevel="1" x14ac:dyDescent="0.25">
      <c r="A58" s="358"/>
      <c r="B58" s="93"/>
      <c r="C58" s="93"/>
      <c r="D58" s="10"/>
      <c r="E58" s="11"/>
      <c r="F58" s="11"/>
      <c r="G58" s="11"/>
      <c r="H58" s="11"/>
      <c r="I58" s="11"/>
      <c r="J58" s="11"/>
      <c r="K58" s="11"/>
      <c r="L58" s="11"/>
      <c r="M58" s="11"/>
      <c r="N58" s="11"/>
      <c r="O58" s="11"/>
      <c r="P58" s="11"/>
      <c r="Q58" s="11"/>
      <c r="R58" s="11"/>
      <c r="S58" s="11"/>
      <c r="T58" s="11"/>
      <c r="U58" s="11"/>
      <c r="V58" s="11"/>
      <c r="W58" s="11"/>
      <c r="X58" s="11"/>
      <c r="Y58" s="11"/>
      <c r="Z58" s="11"/>
    </row>
    <row r="59" spans="1:29" ht="15" outlineLevel="1" x14ac:dyDescent="0.25">
      <c r="A59" s="358"/>
      <c r="B59" s="93"/>
      <c r="C59" s="93"/>
      <c r="D59" s="10"/>
      <c r="E59" s="11"/>
      <c r="F59" s="11"/>
      <c r="G59" s="11"/>
      <c r="H59" s="11"/>
      <c r="I59" s="11"/>
      <c r="J59" s="11"/>
      <c r="K59" s="11"/>
      <c r="L59" s="11"/>
      <c r="M59" s="11"/>
      <c r="N59" s="11"/>
      <c r="O59" s="11"/>
      <c r="P59" s="11"/>
      <c r="Q59" s="11"/>
      <c r="R59" s="11"/>
      <c r="S59" s="11"/>
      <c r="T59" s="11"/>
      <c r="U59" s="11"/>
      <c r="V59" s="11"/>
      <c r="W59" s="11"/>
      <c r="X59" s="11"/>
      <c r="Y59" s="11"/>
      <c r="Z59" s="11"/>
    </row>
    <row r="60" spans="1:29" s="35" customFormat="1" ht="22.5" customHeight="1" outlineLevel="1" x14ac:dyDescent="0.25">
      <c r="A60" s="33"/>
      <c r="B60" s="34"/>
      <c r="C60" s="34"/>
      <c r="D60" s="153"/>
      <c r="E60" s="50"/>
      <c r="F60" s="50"/>
      <c r="G60" s="50"/>
      <c r="H60" s="50"/>
      <c r="I60" s="50"/>
      <c r="J60" s="51" t="s">
        <v>20</v>
      </c>
      <c r="K60" s="50"/>
      <c r="L60" s="32">
        <v>12</v>
      </c>
      <c r="M60" s="32">
        <f t="shared" ref="M60:Z60" si="13">SUM(M55:M59)</f>
        <v>0</v>
      </c>
      <c r="N60" s="32">
        <f t="shared" si="13"/>
        <v>29999.987999999998</v>
      </c>
      <c r="O60" s="32">
        <f t="shared" si="13"/>
        <v>2499.9989999999998</v>
      </c>
      <c r="P60" s="32">
        <f t="shared" si="13"/>
        <v>2499.9989999999998</v>
      </c>
      <c r="Q60" s="32">
        <f t="shared" si="13"/>
        <v>2499.9989999999998</v>
      </c>
      <c r="R60" s="32">
        <f t="shared" si="13"/>
        <v>2499.9989999999998</v>
      </c>
      <c r="S60" s="32">
        <f t="shared" si="13"/>
        <v>2499.9989999999998</v>
      </c>
      <c r="T60" s="32">
        <f t="shared" si="13"/>
        <v>2499.9989999999998</v>
      </c>
      <c r="U60" s="32">
        <f t="shared" si="13"/>
        <v>2499.9989999999998</v>
      </c>
      <c r="V60" s="32">
        <f t="shared" si="13"/>
        <v>2499.9989999999998</v>
      </c>
      <c r="W60" s="32">
        <f t="shared" si="13"/>
        <v>2499.9989999999998</v>
      </c>
      <c r="X60" s="32">
        <f t="shared" si="13"/>
        <v>2499.9989999999998</v>
      </c>
      <c r="Y60" s="32">
        <f t="shared" si="13"/>
        <v>2499.9989999999998</v>
      </c>
      <c r="Z60" s="32">
        <f t="shared" si="13"/>
        <v>2499.9989999999998</v>
      </c>
      <c r="AC60" s="9"/>
    </row>
    <row r="61" spans="1:29" ht="18" outlineLevel="1" x14ac:dyDescent="0.25">
      <c r="A61" s="30" t="str">
        <f>CONCATENATE(B19," ",C19)</f>
        <v>Meetings with communities As a part of engagement work</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9" ht="45" outlineLevel="1" x14ac:dyDescent="0.25">
      <c r="A62" s="92"/>
      <c r="B62" s="92" t="s">
        <v>13</v>
      </c>
      <c r="C62" s="92" t="s">
        <v>14</v>
      </c>
      <c r="D62" s="8" t="s">
        <v>789</v>
      </c>
      <c r="E62" s="32" t="s">
        <v>16</v>
      </c>
      <c r="F62" s="32" t="s">
        <v>38</v>
      </c>
      <c r="G62" s="32" t="s">
        <v>39</v>
      </c>
      <c r="H62" s="32" t="s">
        <v>783</v>
      </c>
      <c r="I62" s="32" t="s">
        <v>784</v>
      </c>
      <c r="J62" s="32" t="s">
        <v>785</v>
      </c>
      <c r="K62" s="32" t="s">
        <v>786</v>
      </c>
      <c r="L62" s="32" t="s">
        <v>17</v>
      </c>
      <c r="M62" s="32" t="s">
        <v>18</v>
      </c>
      <c r="N62" s="32" t="s">
        <v>19</v>
      </c>
      <c r="O62" s="66">
        <v>43101</v>
      </c>
      <c r="P62" s="66">
        <v>43132</v>
      </c>
      <c r="Q62" s="66">
        <v>43160</v>
      </c>
      <c r="R62" s="66">
        <v>43191</v>
      </c>
      <c r="S62" s="66">
        <v>43221</v>
      </c>
      <c r="T62" s="66">
        <v>43252</v>
      </c>
      <c r="U62" s="66">
        <v>43282</v>
      </c>
      <c r="V62" s="66">
        <v>43313</v>
      </c>
      <c r="W62" s="66">
        <v>43344</v>
      </c>
      <c r="X62" s="66">
        <v>43374</v>
      </c>
      <c r="Y62" s="66">
        <v>43405</v>
      </c>
      <c r="Z62" s="66">
        <v>43435</v>
      </c>
    </row>
    <row r="63" spans="1:29" ht="15.75" outlineLevel="1" x14ac:dyDescent="0.25">
      <c r="A63" s="358" t="s">
        <v>1988</v>
      </c>
      <c r="B63" s="93" t="str">
        <f t="shared" ref="B63:C64" si="14">+B39</f>
        <v>Meetings with indiguenous communities</v>
      </c>
      <c r="C63" s="93" t="str">
        <f t="shared" si="14"/>
        <v>Catering services and site for meetings</v>
      </c>
      <c r="D63" s="10" t="s">
        <v>2474</v>
      </c>
      <c r="E63" s="359" t="s">
        <v>107</v>
      </c>
      <c r="F63" s="11"/>
      <c r="G63" s="11"/>
      <c r="H63" s="11" t="s">
        <v>41</v>
      </c>
      <c r="I63" s="11" t="s">
        <v>41</v>
      </c>
      <c r="J63" s="11" t="s">
        <v>41</v>
      </c>
      <c r="K63" s="11" t="s">
        <v>42</v>
      </c>
      <c r="L63" s="11">
        <v>12</v>
      </c>
      <c r="M63" s="11"/>
      <c r="N63" s="11">
        <f t="shared" ref="N63:N64" si="15">SUM(O63:Z63)</f>
        <v>39999.995999999992</v>
      </c>
      <c r="O63" s="11">
        <v>3333.3330000000001</v>
      </c>
      <c r="P63" s="11">
        <v>3333.3330000000001</v>
      </c>
      <c r="Q63" s="11">
        <v>3333.3330000000001</v>
      </c>
      <c r="R63" s="11">
        <v>3333.3330000000001</v>
      </c>
      <c r="S63" s="11">
        <v>3333.3330000000001</v>
      </c>
      <c r="T63" s="11">
        <v>3333.3330000000001</v>
      </c>
      <c r="U63" s="11">
        <v>3333.3330000000001</v>
      </c>
      <c r="V63" s="11">
        <v>3333.3330000000001</v>
      </c>
      <c r="W63" s="11">
        <v>3333.3330000000001</v>
      </c>
      <c r="X63" s="11">
        <v>3333.3330000000001</v>
      </c>
      <c r="Y63" s="11">
        <v>3333.3330000000001</v>
      </c>
      <c r="Z63" s="11">
        <v>3333.3330000000001</v>
      </c>
    </row>
    <row r="64" spans="1:29" ht="15.75" outlineLevel="1" x14ac:dyDescent="0.25">
      <c r="A64" s="358" t="s">
        <v>1989</v>
      </c>
      <c r="B64" s="93" t="str">
        <f t="shared" si="14"/>
        <v>Meetings with other communities</v>
      </c>
      <c r="C64" s="93" t="str">
        <f t="shared" si="14"/>
        <v>Catering services and site for meetings</v>
      </c>
      <c r="D64" s="10" t="s">
        <v>2474</v>
      </c>
      <c r="E64" s="359" t="s">
        <v>107</v>
      </c>
      <c r="F64" s="11"/>
      <c r="G64" s="11"/>
      <c r="H64" s="11" t="s">
        <v>41</v>
      </c>
      <c r="I64" s="11" t="s">
        <v>41</v>
      </c>
      <c r="J64" s="11" t="s">
        <v>41</v>
      </c>
      <c r="K64" s="11" t="s">
        <v>42</v>
      </c>
      <c r="L64" s="11">
        <v>12</v>
      </c>
      <c r="M64" s="11"/>
      <c r="N64" s="11">
        <f t="shared" si="15"/>
        <v>30000</v>
      </c>
      <c r="O64" s="11">
        <v>2500</v>
      </c>
      <c r="P64" s="11">
        <v>2500</v>
      </c>
      <c r="Q64" s="11">
        <v>2500</v>
      </c>
      <c r="R64" s="11">
        <v>2500</v>
      </c>
      <c r="S64" s="11">
        <v>2500</v>
      </c>
      <c r="T64" s="11">
        <v>2500</v>
      </c>
      <c r="U64" s="11">
        <v>2500</v>
      </c>
      <c r="V64" s="11">
        <v>2500</v>
      </c>
      <c r="W64" s="11">
        <v>2500</v>
      </c>
      <c r="X64" s="11">
        <v>2500</v>
      </c>
      <c r="Y64" s="11">
        <v>2500</v>
      </c>
      <c r="Z64" s="11">
        <v>2500</v>
      </c>
    </row>
    <row r="65" spans="1:29" ht="15" outlineLevel="1" x14ac:dyDescent="0.25">
      <c r="A65" s="93"/>
      <c r="B65" s="93"/>
      <c r="C65" s="93"/>
      <c r="D65" s="10"/>
      <c r="E65" s="11"/>
      <c r="F65" s="11"/>
      <c r="G65" s="11"/>
      <c r="H65" s="11"/>
      <c r="I65" s="11"/>
      <c r="J65" s="11"/>
      <c r="K65" s="11"/>
      <c r="L65" s="11"/>
      <c r="M65" s="11"/>
      <c r="N65" s="11"/>
      <c r="O65" s="11"/>
      <c r="P65" s="11"/>
      <c r="Q65" s="11"/>
      <c r="R65" s="11"/>
      <c r="S65" s="11"/>
      <c r="T65" s="11"/>
      <c r="U65" s="11"/>
      <c r="V65" s="11"/>
      <c r="W65" s="11"/>
      <c r="X65" s="11"/>
      <c r="Y65" s="11"/>
      <c r="Z65" s="11"/>
    </row>
    <row r="66" spans="1:29" s="35" customFormat="1" ht="22.5" customHeight="1" outlineLevel="1" x14ac:dyDescent="0.25">
      <c r="A66" s="33"/>
      <c r="B66" s="34"/>
      <c r="C66" s="34"/>
      <c r="D66" s="153"/>
      <c r="E66" s="50"/>
      <c r="F66" s="50"/>
      <c r="G66" s="50"/>
      <c r="H66" s="50"/>
      <c r="I66" s="50"/>
      <c r="J66" s="51" t="s">
        <v>20</v>
      </c>
      <c r="K66" s="50"/>
      <c r="L66" s="32">
        <v>4</v>
      </c>
      <c r="M66" s="32">
        <f t="shared" ref="M66:Z66" si="16">SUM(M63:M65)</f>
        <v>0</v>
      </c>
      <c r="N66" s="32">
        <f t="shared" si="16"/>
        <v>69999.995999999985</v>
      </c>
      <c r="O66" s="32">
        <f t="shared" si="16"/>
        <v>5833.3330000000005</v>
      </c>
      <c r="P66" s="32">
        <f t="shared" si="16"/>
        <v>5833.3330000000005</v>
      </c>
      <c r="Q66" s="32">
        <f t="shared" si="16"/>
        <v>5833.3330000000005</v>
      </c>
      <c r="R66" s="32">
        <f t="shared" si="16"/>
        <v>5833.3330000000005</v>
      </c>
      <c r="S66" s="32">
        <f t="shared" si="16"/>
        <v>5833.3330000000005</v>
      </c>
      <c r="T66" s="32">
        <f t="shared" si="16"/>
        <v>5833.3330000000005</v>
      </c>
      <c r="U66" s="32">
        <f t="shared" si="16"/>
        <v>5833.3330000000005</v>
      </c>
      <c r="V66" s="32">
        <f t="shared" si="16"/>
        <v>5833.3330000000005</v>
      </c>
      <c r="W66" s="32">
        <f t="shared" si="16"/>
        <v>5833.3330000000005</v>
      </c>
      <c r="X66" s="32">
        <f t="shared" si="16"/>
        <v>5833.3330000000005</v>
      </c>
      <c r="Y66" s="32">
        <f t="shared" si="16"/>
        <v>5833.3330000000005</v>
      </c>
      <c r="Z66" s="32">
        <f t="shared" si="16"/>
        <v>5833.3330000000005</v>
      </c>
      <c r="AC66" s="9"/>
    </row>
    <row r="67" spans="1:29" ht="6.75" customHeight="1" x14ac:dyDescent="0.25"/>
    <row r="68" spans="1:29" ht="18" x14ac:dyDescent="0.25">
      <c r="A68" s="41" t="s">
        <v>822</v>
      </c>
      <c r="B68" s="41"/>
      <c r="C68" s="42"/>
      <c r="D68" s="42"/>
      <c r="E68" s="43"/>
      <c r="F68" s="43"/>
      <c r="G68" s="43"/>
      <c r="H68" s="44"/>
      <c r="I68" s="44"/>
      <c r="J68" s="43"/>
      <c r="K68" s="43"/>
      <c r="L68" s="43"/>
      <c r="M68" s="43"/>
      <c r="N68" s="43"/>
      <c r="O68" s="43" t="s">
        <v>5</v>
      </c>
      <c r="P68" s="43"/>
      <c r="Q68" s="43"/>
      <c r="R68" s="43"/>
      <c r="S68" s="43"/>
      <c r="T68" s="43"/>
      <c r="U68" s="43"/>
      <c r="V68" s="43"/>
      <c r="W68" s="43"/>
      <c r="X68" s="43"/>
      <c r="Y68" s="43"/>
      <c r="Z68" s="43"/>
    </row>
    <row r="69" spans="1:29" ht="15.75" outlineLevel="1" x14ac:dyDescent="0.25">
      <c r="A69" s="92"/>
      <c r="B69" s="92" t="s">
        <v>13</v>
      </c>
      <c r="C69" s="92" t="s">
        <v>14</v>
      </c>
      <c r="D69" s="8" t="s">
        <v>681</v>
      </c>
      <c r="E69" s="49"/>
      <c r="F69" s="49"/>
      <c r="G69" s="49"/>
      <c r="H69" s="49"/>
      <c r="I69" s="49"/>
      <c r="J69" s="48"/>
      <c r="K69" s="12"/>
      <c r="L69" s="32" t="s">
        <v>52</v>
      </c>
      <c r="M69" s="32" t="s">
        <v>53</v>
      </c>
      <c r="N69" s="32" t="s">
        <v>54</v>
      </c>
      <c r="O69" s="66">
        <v>43101</v>
      </c>
      <c r="P69" s="66">
        <v>43132</v>
      </c>
      <c r="Q69" s="66">
        <v>43160</v>
      </c>
      <c r="R69" s="66">
        <v>43191</v>
      </c>
      <c r="S69" s="66">
        <v>43221</v>
      </c>
      <c r="T69" s="66">
        <v>43252</v>
      </c>
      <c r="U69" s="66">
        <v>43282</v>
      </c>
      <c r="V69" s="66">
        <v>43313</v>
      </c>
      <c r="W69" s="66">
        <v>43344</v>
      </c>
      <c r="X69" s="66">
        <v>43374</v>
      </c>
      <c r="Y69" s="66">
        <v>43405</v>
      </c>
      <c r="Z69" s="66">
        <v>43435</v>
      </c>
    </row>
    <row r="70" spans="1:29" ht="15" outlineLevel="1" x14ac:dyDescent="0.25">
      <c r="A70" s="93"/>
      <c r="B70" s="93"/>
      <c r="C70" s="93"/>
      <c r="D70" s="10"/>
      <c r="E70" s="49"/>
      <c r="F70" s="49"/>
      <c r="G70" s="49"/>
      <c r="H70" s="49"/>
      <c r="I70" s="49"/>
      <c r="J70" s="48"/>
      <c r="K70" s="12"/>
      <c r="L70" s="11"/>
      <c r="M70" s="11"/>
      <c r="N70" s="11"/>
      <c r="O70" s="54">
        <f t="shared" ref="O70:Z70" si="17">+O17/SUM($O17:$Z17)</f>
        <v>1.9841269236583518E-2</v>
      </c>
      <c r="P70" s="54">
        <f t="shared" si="17"/>
        <v>1.9841269236583518E-2</v>
      </c>
      <c r="Q70" s="54">
        <f t="shared" si="17"/>
        <v>0.18174603268329556</v>
      </c>
      <c r="R70" s="54">
        <f t="shared" si="17"/>
        <v>3.8888888465608465E-2</v>
      </c>
      <c r="S70" s="54">
        <f t="shared" si="17"/>
        <v>3.8888888465608465E-2</v>
      </c>
      <c r="T70" s="54">
        <f t="shared" si="17"/>
        <v>0.18174603268329556</v>
      </c>
      <c r="U70" s="54">
        <f t="shared" si="17"/>
        <v>3.8888888465608465E-2</v>
      </c>
      <c r="V70" s="54">
        <f t="shared" si="17"/>
        <v>3.8888888465608465E-2</v>
      </c>
      <c r="W70" s="54">
        <f t="shared" si="17"/>
        <v>0.18174603268329556</v>
      </c>
      <c r="X70" s="54">
        <f t="shared" si="17"/>
        <v>3.8888888465608465E-2</v>
      </c>
      <c r="Y70" s="54">
        <f t="shared" si="17"/>
        <v>3.8888888465608465E-2</v>
      </c>
      <c r="Z70" s="54">
        <f t="shared" si="17"/>
        <v>0.18174603268329556</v>
      </c>
    </row>
    <row r="71" spans="1:29" ht="15" outlineLevel="1" x14ac:dyDescent="0.25">
      <c r="A71" s="93"/>
      <c r="B71" s="93"/>
      <c r="C71" s="93"/>
      <c r="D71" s="10"/>
      <c r="E71" s="49"/>
      <c r="F71" s="49"/>
      <c r="G71" s="49"/>
      <c r="H71" s="49"/>
      <c r="I71" s="49"/>
      <c r="J71" s="48"/>
      <c r="K71" s="12"/>
      <c r="L71" s="11"/>
      <c r="M71" s="11"/>
      <c r="N71" s="11"/>
      <c r="O71" s="54">
        <f t="shared" ref="O71:Z71" si="18">+O18/SUM($O18:$Z18)</f>
        <v>8.3333333333333329E-2</v>
      </c>
      <c r="P71" s="54">
        <f t="shared" si="18"/>
        <v>8.3333333333333329E-2</v>
      </c>
      <c r="Q71" s="54">
        <f t="shared" si="18"/>
        <v>8.3333333333333329E-2</v>
      </c>
      <c r="R71" s="54">
        <f t="shared" si="18"/>
        <v>8.3333333333333329E-2</v>
      </c>
      <c r="S71" s="54">
        <f t="shared" si="18"/>
        <v>8.3333333333333329E-2</v>
      </c>
      <c r="T71" s="54">
        <f t="shared" si="18"/>
        <v>8.3333333333333329E-2</v>
      </c>
      <c r="U71" s="54">
        <f t="shared" si="18"/>
        <v>8.3333333333333329E-2</v>
      </c>
      <c r="V71" s="54">
        <f t="shared" si="18"/>
        <v>8.3333333333333329E-2</v>
      </c>
      <c r="W71" s="54">
        <f t="shared" si="18"/>
        <v>8.3333333333333329E-2</v>
      </c>
      <c r="X71" s="54">
        <f t="shared" si="18"/>
        <v>8.3333333333333329E-2</v>
      </c>
      <c r="Y71" s="54">
        <f t="shared" si="18"/>
        <v>8.3333333333333329E-2</v>
      </c>
      <c r="Z71" s="54">
        <f t="shared" si="18"/>
        <v>8.3333333333333329E-2</v>
      </c>
    </row>
    <row r="72" spans="1:29" ht="15" outlineLevel="1" x14ac:dyDescent="0.25">
      <c r="A72" s="93"/>
      <c r="B72" s="93"/>
      <c r="C72" s="93"/>
      <c r="D72" s="10"/>
      <c r="E72" s="49"/>
      <c r="F72" s="49"/>
      <c r="G72" s="49"/>
      <c r="H72" s="49"/>
      <c r="I72" s="49"/>
      <c r="J72" s="48"/>
      <c r="K72" s="12"/>
      <c r="L72" s="11"/>
      <c r="M72" s="11"/>
      <c r="N72" s="11"/>
      <c r="O72" s="54">
        <f t="shared" ref="O72:Z72" si="19">+O19/SUM($O19:$Z19)</f>
        <v>8.3333333333333343E-2</v>
      </c>
      <c r="P72" s="54">
        <f t="shared" si="19"/>
        <v>8.3333333333333343E-2</v>
      </c>
      <c r="Q72" s="54">
        <f t="shared" si="19"/>
        <v>8.3333333333333343E-2</v>
      </c>
      <c r="R72" s="54">
        <f t="shared" si="19"/>
        <v>8.3333333333333343E-2</v>
      </c>
      <c r="S72" s="54">
        <f t="shared" si="19"/>
        <v>8.3333333333333343E-2</v>
      </c>
      <c r="T72" s="54">
        <f t="shared" si="19"/>
        <v>8.3333333333333343E-2</v>
      </c>
      <c r="U72" s="54">
        <f t="shared" si="19"/>
        <v>8.3333333333333343E-2</v>
      </c>
      <c r="V72" s="54">
        <f t="shared" si="19"/>
        <v>8.3333333333333343E-2</v>
      </c>
      <c r="W72" s="54">
        <f t="shared" si="19"/>
        <v>8.3333333333333343E-2</v>
      </c>
      <c r="X72" s="54">
        <f t="shared" si="19"/>
        <v>8.3333333333333343E-2</v>
      </c>
      <c r="Y72" s="54">
        <f t="shared" si="19"/>
        <v>8.3333333333333343E-2</v>
      </c>
      <c r="Z72" s="54">
        <f t="shared" si="19"/>
        <v>8.3333333333333343E-2</v>
      </c>
    </row>
    <row r="73" spans="1:29" ht="15" outlineLevel="1" x14ac:dyDescent="0.25">
      <c r="A73" s="93"/>
      <c r="B73" s="93"/>
      <c r="C73" s="93"/>
      <c r="D73" s="8"/>
      <c r="E73" s="49"/>
      <c r="F73" s="49"/>
      <c r="G73" s="49"/>
      <c r="H73" s="49"/>
      <c r="I73" s="49"/>
      <c r="J73" s="48"/>
      <c r="K73" s="12"/>
      <c r="L73" s="11"/>
      <c r="M73" s="11"/>
      <c r="N73" s="11"/>
      <c r="O73" s="12" t="s">
        <v>5</v>
      </c>
      <c r="P73" s="12"/>
      <c r="Q73" s="12"/>
      <c r="R73" s="12"/>
      <c r="S73" s="12"/>
      <c r="T73" s="12"/>
      <c r="U73" s="12"/>
      <c r="V73" s="12"/>
      <c r="W73" s="12"/>
      <c r="X73" s="12"/>
      <c r="Y73" s="12"/>
      <c r="Z73" s="12"/>
    </row>
    <row r="74" spans="1:29" ht="15" outlineLevel="1" x14ac:dyDescent="0.25">
      <c r="A74" s="93"/>
      <c r="B74" s="93"/>
      <c r="C74" s="93"/>
      <c r="D74" s="8"/>
      <c r="E74" s="49"/>
      <c r="F74" s="49"/>
      <c r="G74" s="49"/>
      <c r="H74" s="49"/>
      <c r="I74" s="49"/>
      <c r="J74" s="48"/>
      <c r="K74" s="12"/>
      <c r="L74" s="11"/>
      <c r="M74" s="11"/>
      <c r="N74" s="11"/>
      <c r="O74" s="12" t="s">
        <v>5</v>
      </c>
      <c r="P74" s="12"/>
      <c r="Q74" s="12"/>
      <c r="R74" s="12"/>
      <c r="S74" s="12"/>
      <c r="T74" s="12"/>
      <c r="U74" s="12"/>
      <c r="V74" s="12"/>
      <c r="W74" s="12"/>
      <c r="X74" s="12"/>
      <c r="Y74" s="12"/>
      <c r="Z74" s="12"/>
    </row>
    <row r="75" spans="1:29" s="35" customFormat="1" ht="22.5" customHeight="1" outlineLevel="1" x14ac:dyDescent="0.25">
      <c r="A75" s="33"/>
      <c r="B75" s="34"/>
      <c r="C75" s="34"/>
      <c r="D75" s="153"/>
      <c r="E75" s="50"/>
      <c r="F75" s="50"/>
      <c r="G75" s="50"/>
      <c r="H75" s="50"/>
      <c r="I75" s="50"/>
      <c r="J75" s="51" t="s">
        <v>20</v>
      </c>
      <c r="K75" s="68"/>
      <c r="L75" s="32" t="s">
        <v>42</v>
      </c>
      <c r="M75" s="32" t="s">
        <v>55</v>
      </c>
      <c r="N75" s="12">
        <f>+N74</f>
        <v>0</v>
      </c>
      <c r="O75" s="54">
        <f t="shared" ref="O75:Z75" si="20">+O22/SUM($O22:$Z22)</f>
        <v>3.2051280078895399E-2</v>
      </c>
      <c r="P75" s="54">
        <f t="shared" si="20"/>
        <v>3.2051280078895399E-2</v>
      </c>
      <c r="Q75" s="54">
        <f t="shared" si="20"/>
        <v>0.16282051587771218</v>
      </c>
      <c r="R75" s="54">
        <f t="shared" si="20"/>
        <v>4.7435896055226787E-2</v>
      </c>
      <c r="S75" s="54">
        <f t="shared" si="20"/>
        <v>4.7435896055226787E-2</v>
      </c>
      <c r="T75" s="54">
        <f t="shared" si="20"/>
        <v>0.16282051587771218</v>
      </c>
      <c r="U75" s="54">
        <f t="shared" si="20"/>
        <v>4.7435896055226787E-2</v>
      </c>
      <c r="V75" s="54">
        <f t="shared" si="20"/>
        <v>4.7435896055226787E-2</v>
      </c>
      <c r="W75" s="54">
        <f t="shared" si="20"/>
        <v>0.16282051587771218</v>
      </c>
      <c r="X75" s="54">
        <f t="shared" si="20"/>
        <v>4.7435896055226787E-2</v>
      </c>
      <c r="Y75" s="54">
        <f t="shared" si="20"/>
        <v>4.7435896055226787E-2</v>
      </c>
      <c r="Z75" s="54">
        <f t="shared" si="20"/>
        <v>0.16282051587771218</v>
      </c>
    </row>
    <row r="77" spans="1:29" x14ac:dyDescent="0.25">
      <c r="B77" s="27" t="s">
        <v>21</v>
      </c>
      <c r="C77" s="28">
        <v>43102</v>
      </c>
    </row>
    <row r="78" spans="1:29" x14ac:dyDescent="0.25">
      <c r="B78" s="27" t="s">
        <v>23</v>
      </c>
      <c r="C78" s="28">
        <v>42917</v>
      </c>
    </row>
  </sheetData>
  <dataValidations count="1">
    <dataValidation type="list" allowBlank="1" showInputMessage="1" showErrorMessage="1" sqref="E55:E57 E20:E21 E48:E51 E63:E65">
      <formula1>$H$2:$H$34</formula1>
    </dataValidation>
  </dataValidations>
  <printOptions horizontalCentered="1"/>
  <pageMargins left="0.31496062992125984" right="0.31496062992125984" top="1.1811023622047245" bottom="1.1811023622047245" header="0.31496062992125984" footer="0.31496062992125984"/>
  <pageSetup paperSize="17" scale="37"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'https://nuevaunionspa-my.sharepoint.com/personal/gineva_alcota_nuevaunion_cl/Documents/40300 Cost Control/40303 Presupuestos/2018/Sera/[1002-40303-PS- Community_Engagement.xlsx]Lists'!#REF!</xm:f>
          </x14:formula1>
          <xm:sqref>B8 F63:F65 F55:F59 F48:F51 H63:L65 L17:L19 N70:N74 L22 H55:L59 L70:M75 H48:M51</xm:sqref>
        </x14:dataValidation>
        <x14:dataValidation type="list" allowBlank="1" showInputMessage="1" showErrorMessage="1">
          <x14:formula1>
            <xm:f>'https://nuevaunionspa-my.sharepoint.com/personal/gineva_alcota_nuevaunion_cl/Documents/40300 Cost Control/40303 Presupuestos/2018/Sera/[1002-40303-PS- Community_Engagement.xlsx]CCs &amp; Accounts'!#REF!</xm:f>
          </x14:formula1>
          <xm:sqref>E58:E59</xm:sqref>
        </x14:dataValidation>
        <x14:dataValidation type="list" allowBlank="1" showInputMessage="1" showErrorMessage="1">
          <x14:formula1>
            <xm:f>Lists!$B$2:$B$41</xm:f>
          </x14:formula1>
          <xm:sqref>E17:E19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pageSetUpPr fitToPage="1"/>
  </sheetPr>
  <dimension ref="A1:U22"/>
  <sheetViews>
    <sheetView showGridLines="0" view="pageLayout" topLeftCell="A4" zoomScale="70" zoomScaleNormal="80" zoomScalePageLayoutView="70" workbookViewId="0">
      <selection activeCell="D19" sqref="D19"/>
    </sheetView>
  </sheetViews>
  <sheetFormatPr baseColWidth="10" defaultColWidth="11.42578125" defaultRowHeight="15" outlineLevelRow="1" outlineLevelCol="1" x14ac:dyDescent="0.25"/>
  <cols>
    <col min="1" max="1" width="5" style="400" customWidth="1"/>
    <col min="2" max="2" width="27.28515625" style="400" customWidth="1"/>
    <col min="3" max="3" width="43.7109375" style="400" customWidth="1"/>
    <col min="4" max="4" width="93.140625" style="400" customWidth="1"/>
    <col min="5" max="5" width="17.5703125" style="400" customWidth="1"/>
    <col min="6" max="7" width="17.7109375" style="400"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1441</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ht="20.45" customHeight="1" x14ac:dyDescent="0.25">
      <c r="A5" s="422"/>
      <c r="B5" s="423" t="s">
        <v>217</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+Development!B10</f>
        <v>684 SERA</v>
      </c>
      <c r="C7" s="433"/>
      <c r="D7" s="423" t="s">
        <v>1442</v>
      </c>
      <c r="E7" s="425"/>
      <c r="F7" s="425"/>
      <c r="G7" s="425"/>
      <c r="H7" s="427"/>
      <c r="I7" s="425"/>
      <c r="J7" s="425"/>
      <c r="K7" s="425"/>
      <c r="L7" s="425"/>
      <c r="M7" s="425"/>
      <c r="N7" s="425"/>
      <c r="O7" s="425"/>
      <c r="P7" s="425"/>
      <c r="Q7" s="425"/>
      <c r="R7" s="425"/>
      <c r="S7" s="425"/>
      <c r="T7" s="427"/>
    </row>
    <row r="8" spans="1:20" ht="16.149999999999999" customHeight="1"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+Development!B12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ht="32.450000000000003" customHeight="1"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ht="45" outlineLevel="1" x14ac:dyDescent="0.25">
      <c r="A14" s="444">
        <f>+Development!A17</f>
        <v>0</v>
      </c>
      <c r="B14" s="444" t="str">
        <f>+Development!B17</f>
        <v>Objective 1</v>
      </c>
      <c r="C14" s="444" t="str">
        <f>+Development!C17</f>
        <v>Education and Human Capital</v>
      </c>
      <c r="D14" s="405" t="s">
        <v>1041</v>
      </c>
      <c r="E14" s="577" t="str">
        <f>+Development!E17</f>
        <v>684 / 51-11-3342</v>
      </c>
      <c r="F14" s="406">
        <v>12</v>
      </c>
      <c r="G14" s="407">
        <v>0</v>
      </c>
      <c r="H14" s="404">
        <f>+Development!N17</f>
        <v>650000</v>
      </c>
      <c r="I14" s="404">
        <v>450000</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ht="32.450000000000003" customHeight="1" outlineLevel="1" x14ac:dyDescent="0.25">
      <c r="A15" s="444">
        <f>+Development!A18</f>
        <v>0</v>
      </c>
      <c r="B15" s="444" t="str">
        <f>+Development!B18</f>
        <v>Objective 2</v>
      </c>
      <c r="C15" s="444" t="str">
        <f>+Development!C18</f>
        <v>Productive Development</v>
      </c>
      <c r="D15" s="405" t="s">
        <v>1043</v>
      </c>
      <c r="E15" s="577" t="str">
        <f>+Development!E18</f>
        <v>684 / 51-11-3342</v>
      </c>
      <c r="F15" s="406">
        <v>12</v>
      </c>
      <c r="G15" s="407">
        <v>0</v>
      </c>
      <c r="H15" s="404">
        <f>+Development!N18</f>
        <v>400000</v>
      </c>
      <c r="I15" s="404">
        <v>400000</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ht="31.9" customHeight="1" outlineLevel="1" x14ac:dyDescent="0.25">
      <c r="A16" s="444">
        <f>+Development!A19</f>
        <v>0</v>
      </c>
      <c r="B16" s="444" t="str">
        <f>+Development!B19</f>
        <v>Objective 3</v>
      </c>
      <c r="C16" s="444" t="str">
        <f>+Development!C19</f>
        <v>Promote Healty Life Style</v>
      </c>
      <c r="D16" s="405" t="s">
        <v>1045</v>
      </c>
      <c r="E16" s="577" t="str">
        <f>+Development!E19</f>
        <v>684 / 51-11-3342</v>
      </c>
      <c r="F16" s="406">
        <v>12</v>
      </c>
      <c r="G16" s="407">
        <v>0</v>
      </c>
      <c r="H16" s="404">
        <f>+Development!N19</f>
        <v>250000</v>
      </c>
      <c r="I16" s="404">
        <v>250000</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ht="30" outlineLevel="1" x14ac:dyDescent="0.25">
      <c r="A17" s="444">
        <f>+Development!A20</f>
        <v>0</v>
      </c>
      <c r="B17" s="444" t="str">
        <f>+Development!B20</f>
        <v>Objective 4</v>
      </c>
      <c r="C17" s="444" t="str">
        <f>+Development!C20</f>
        <v>Indigenous Community Development</v>
      </c>
      <c r="D17" s="405" t="s">
        <v>1047</v>
      </c>
      <c r="E17" s="577" t="str">
        <f>+Development!E20</f>
        <v>684 / 51-11-3342</v>
      </c>
      <c r="F17" s="406">
        <v>12</v>
      </c>
      <c r="G17" s="407">
        <v>0</v>
      </c>
      <c r="H17" s="404">
        <f>+Development!N20</f>
        <v>130000</v>
      </c>
      <c r="I17" s="576">
        <v>150000</v>
      </c>
      <c r="J17" s="409"/>
      <c r="K17" s="409"/>
      <c r="L17" s="409"/>
      <c r="M17" s="409"/>
      <c r="N17" s="409"/>
      <c r="O17" s="409"/>
      <c r="P17" s="409"/>
      <c r="Q17" s="409"/>
      <c r="R17" s="409"/>
      <c r="S17" s="409"/>
      <c r="T17" s="409"/>
    </row>
    <row r="18" spans="1:20" ht="26.25" customHeight="1" outlineLevel="1" x14ac:dyDescent="0.25">
      <c r="A18" s="444">
        <f>+Development!A26</f>
        <v>0</v>
      </c>
      <c r="B18" s="444" t="str">
        <f>+Development!B21</f>
        <v>Objective 5</v>
      </c>
      <c r="C18" s="444" t="str">
        <f>+Development!C21</f>
        <v>Emerging and Sustainable Province</v>
      </c>
      <c r="D18" s="405" t="s">
        <v>1049</v>
      </c>
      <c r="E18" s="577" t="str">
        <f>+Development!E21</f>
        <v>684 / 51-11-3342</v>
      </c>
      <c r="F18" s="406">
        <v>12</v>
      </c>
      <c r="G18" s="407">
        <v>0</v>
      </c>
      <c r="H18" s="404">
        <f>+Development!N21</f>
        <v>230000</v>
      </c>
      <c r="I18" s="576">
        <v>250000</v>
      </c>
      <c r="J18" s="409"/>
      <c r="K18" s="409"/>
      <c r="L18" s="409"/>
      <c r="M18" s="409"/>
      <c r="N18" s="409"/>
      <c r="O18" s="409"/>
      <c r="P18" s="409"/>
      <c r="Q18" s="409"/>
      <c r="R18" s="409"/>
      <c r="S18" s="409"/>
      <c r="T18" s="409"/>
    </row>
    <row r="19" spans="1:20" ht="33.6" customHeight="1" x14ac:dyDescent="0.25">
      <c r="A19" s="414"/>
      <c r="B19" s="414"/>
      <c r="C19" s="414"/>
      <c r="D19" s="414"/>
      <c r="E19" s="414"/>
      <c r="G19" s="410"/>
      <c r="H19" s="576"/>
    </row>
    <row r="20" spans="1:20" x14ac:dyDescent="0.25">
      <c r="G20" s="404">
        <f>SUM(G1:G18)</f>
        <v>0</v>
      </c>
      <c r="H20" s="404">
        <f>SUM(H14:H18)</f>
        <v>1660000</v>
      </c>
    </row>
    <row r="21" spans="1:20" ht="24.75" customHeight="1" x14ac:dyDescent="0.25">
      <c r="B21" s="445" t="s">
        <v>21</v>
      </c>
      <c r="C21" s="446">
        <v>43102</v>
      </c>
      <c r="F21" s="445" t="s">
        <v>22</v>
      </c>
      <c r="G21" s="447"/>
      <c r="H21" s="448"/>
    </row>
    <row r="22" spans="1:20" ht="24.75" customHeight="1" x14ac:dyDescent="0.25">
      <c r="B22" s="445" t="s">
        <v>23</v>
      </c>
      <c r="C22" s="446">
        <v>42917</v>
      </c>
      <c r="F22" s="445" t="s">
        <v>24</v>
      </c>
      <c r="G22" s="447"/>
      <c r="H22" s="448"/>
    </row>
  </sheetData>
  <printOptions horizontalCentered="1"/>
  <pageMargins left="0.31496062992125984" right="0.31496062992125984" top="1.1811023622047245" bottom="1.1811023622047245" header="0.31496062992125984" footer="0.31496062992125984"/>
  <pageSetup paperSize="17" scale="87" orientation="landscape" r:id="rId1"/>
  <headerFoot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'C:\Users\gineva.alcota\AppData\Local\Microsoft\Windows\INetCache\Content.Outlook\ZG6HJCZN\[Presupuesto 2018.xlsx]Lists'!#REF!</xm:f>
          </x14:formula1>
          <xm:sqref>B5</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pageSetUpPr fitToPage="1"/>
  </sheetPr>
  <dimension ref="A1:AA205"/>
  <sheetViews>
    <sheetView showGridLines="0" topLeftCell="A48" zoomScale="60" zoomScaleNormal="60" zoomScalePageLayoutView="60" workbookViewId="0">
      <selection activeCell="O27" sqref="O1:P1048576"/>
    </sheetView>
  </sheetViews>
  <sheetFormatPr baseColWidth="10" defaultColWidth="11.42578125" defaultRowHeight="14.25" outlineLevelRow="1" outlineLevelCol="1" x14ac:dyDescent="0.25"/>
  <cols>
    <col min="1" max="1" width="20.7109375" style="9" customWidth="1"/>
    <col min="2" max="2" width="23.42578125" style="9" customWidth="1"/>
    <col min="3" max="3" width="43.7109375" style="9" customWidth="1"/>
    <col min="4" max="4" width="39" style="9" customWidth="1"/>
    <col min="5" max="5" width="17.5703125" style="9" customWidth="1"/>
    <col min="6" max="6" width="23" style="9" customWidth="1"/>
    <col min="7" max="7" width="27.85546875" style="9" customWidth="1"/>
    <col min="8" max="8" width="17.5703125" style="9" customWidth="1"/>
    <col min="9" max="10" width="11.5703125" style="9" customWidth="1"/>
    <col min="11" max="11" width="17.5703125" style="9" customWidth="1"/>
    <col min="12" max="12" width="20.140625" style="9" customWidth="1"/>
    <col min="13" max="13" width="17.7109375" style="9" customWidth="1"/>
    <col min="14" max="14" width="13.5703125" style="9" customWidth="1"/>
    <col min="15" max="15" width="14.140625" style="9" customWidth="1" outlineLevel="1"/>
    <col min="16" max="16" width="15" style="9" customWidth="1" outlineLevel="1"/>
    <col min="17"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217</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VLOOKUP(B8,Lists!E1:I41,3,FALSE)</f>
        <v>684 SERA</v>
      </c>
      <c r="C10" s="84"/>
      <c r="D10" s="77" t="s">
        <v>190</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15.75"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99.75" x14ac:dyDescent="0.25">
      <c r="A17" s="93"/>
      <c r="B17" s="93" t="s">
        <v>27</v>
      </c>
      <c r="C17" s="93" t="s">
        <v>1040</v>
      </c>
      <c r="D17" s="10" t="s">
        <v>1041</v>
      </c>
      <c r="E17" s="11" t="s">
        <v>216</v>
      </c>
      <c r="F17" s="48"/>
      <c r="G17" s="48"/>
      <c r="H17" s="48"/>
      <c r="I17" s="48"/>
      <c r="J17" s="48"/>
      <c r="K17" s="48"/>
      <c r="L17" s="11"/>
      <c r="M17" s="53">
        <v>0</v>
      </c>
      <c r="N17" s="11">
        <f>SUM(O17:Z17)</f>
        <v>650000</v>
      </c>
      <c r="O17" s="52">
        <f t="shared" ref="O17:Z17" si="0">+O102</f>
        <v>30000</v>
      </c>
      <c r="P17" s="52">
        <f t="shared" si="0"/>
        <v>20000</v>
      </c>
      <c r="Q17" s="52">
        <f t="shared" si="0"/>
        <v>0</v>
      </c>
      <c r="R17" s="52">
        <f t="shared" si="0"/>
        <v>95000</v>
      </c>
      <c r="S17" s="52">
        <f t="shared" si="0"/>
        <v>76666</v>
      </c>
      <c r="T17" s="52">
        <f t="shared" si="0"/>
        <v>0</v>
      </c>
      <c r="U17" s="52">
        <f t="shared" si="0"/>
        <v>105000</v>
      </c>
      <c r="V17" s="52">
        <f t="shared" si="0"/>
        <v>66667</v>
      </c>
      <c r="W17" s="52">
        <f t="shared" si="0"/>
        <v>20000</v>
      </c>
      <c r="X17" s="52">
        <f t="shared" si="0"/>
        <v>70000</v>
      </c>
      <c r="Y17" s="52">
        <f t="shared" si="0"/>
        <v>106667</v>
      </c>
      <c r="Z17" s="52">
        <f t="shared" si="0"/>
        <v>60000</v>
      </c>
    </row>
    <row r="18" spans="1:26" ht="28.5" x14ac:dyDescent="0.25">
      <c r="A18" s="93"/>
      <c r="B18" s="93" t="s">
        <v>29</v>
      </c>
      <c r="C18" s="93" t="s">
        <v>1042</v>
      </c>
      <c r="D18" s="10" t="s">
        <v>1043</v>
      </c>
      <c r="E18" s="11" t="s">
        <v>216</v>
      </c>
      <c r="F18" s="48"/>
      <c r="G18" s="48"/>
      <c r="H18" s="48"/>
      <c r="I18" s="48"/>
      <c r="J18" s="48"/>
      <c r="K18" s="48"/>
      <c r="L18" s="11"/>
      <c r="M18" s="53">
        <v>0</v>
      </c>
      <c r="N18" s="11">
        <f t="shared" ref="N18:N21" si="1">SUM(O18:Z18)</f>
        <v>400000</v>
      </c>
      <c r="O18" s="52">
        <f t="shared" ref="O18:Z18" si="2">+O109</f>
        <v>0</v>
      </c>
      <c r="P18" s="52">
        <f t="shared" si="2"/>
        <v>0</v>
      </c>
      <c r="Q18" s="52">
        <f t="shared" si="2"/>
        <v>0</v>
      </c>
      <c r="R18" s="52">
        <f t="shared" si="2"/>
        <v>0</v>
      </c>
      <c r="S18" s="52">
        <f t="shared" si="2"/>
        <v>50000</v>
      </c>
      <c r="T18" s="52">
        <f t="shared" si="2"/>
        <v>35000</v>
      </c>
      <c r="U18" s="52">
        <f t="shared" si="2"/>
        <v>90000</v>
      </c>
      <c r="V18" s="52">
        <f t="shared" si="2"/>
        <v>0</v>
      </c>
      <c r="W18" s="52">
        <f t="shared" si="2"/>
        <v>115000</v>
      </c>
      <c r="X18" s="52">
        <f t="shared" si="2"/>
        <v>0</v>
      </c>
      <c r="Y18" s="52">
        <f t="shared" si="2"/>
        <v>110000</v>
      </c>
      <c r="Z18" s="52">
        <f t="shared" si="2"/>
        <v>0</v>
      </c>
    </row>
    <row r="19" spans="1:26" ht="28.5" x14ac:dyDescent="0.25">
      <c r="A19" s="93"/>
      <c r="B19" s="93" t="s">
        <v>30</v>
      </c>
      <c r="C19" s="93" t="s">
        <v>1044</v>
      </c>
      <c r="D19" s="10" t="s">
        <v>1045</v>
      </c>
      <c r="E19" s="11" t="s">
        <v>216</v>
      </c>
      <c r="F19" s="48"/>
      <c r="G19" s="48"/>
      <c r="H19" s="48"/>
      <c r="I19" s="48"/>
      <c r="J19" s="48"/>
      <c r="K19" s="48"/>
      <c r="L19" s="11"/>
      <c r="M19" s="53">
        <v>0</v>
      </c>
      <c r="N19" s="11">
        <f t="shared" si="1"/>
        <v>250000</v>
      </c>
      <c r="O19" s="52">
        <f>+O118</f>
        <v>0</v>
      </c>
      <c r="P19" s="52">
        <f t="shared" ref="P19:Z19" si="3">+P118</f>
        <v>0</v>
      </c>
      <c r="Q19" s="52">
        <f t="shared" si="3"/>
        <v>0</v>
      </c>
      <c r="R19" s="52">
        <f t="shared" si="3"/>
        <v>0</v>
      </c>
      <c r="S19" s="52">
        <f t="shared" si="3"/>
        <v>30000</v>
      </c>
      <c r="T19" s="52">
        <f t="shared" si="3"/>
        <v>48332</v>
      </c>
      <c r="U19" s="52">
        <f t="shared" si="3"/>
        <v>0</v>
      </c>
      <c r="V19" s="52">
        <f t="shared" si="3"/>
        <v>30000</v>
      </c>
      <c r="W19" s="52">
        <f t="shared" si="3"/>
        <v>48332</v>
      </c>
      <c r="X19" s="52">
        <f t="shared" si="3"/>
        <v>20000</v>
      </c>
      <c r="Y19" s="52">
        <f t="shared" si="3"/>
        <v>73336</v>
      </c>
      <c r="Z19" s="52">
        <f t="shared" si="3"/>
        <v>0</v>
      </c>
    </row>
    <row r="20" spans="1:26" ht="71.25" x14ac:dyDescent="0.25">
      <c r="A20" s="93"/>
      <c r="B20" s="93" t="s">
        <v>31</v>
      </c>
      <c r="C20" s="93" t="s">
        <v>1046</v>
      </c>
      <c r="D20" s="10" t="s">
        <v>1047</v>
      </c>
      <c r="E20" s="11" t="s">
        <v>216</v>
      </c>
      <c r="F20" s="48"/>
      <c r="G20" s="48"/>
      <c r="H20" s="48"/>
      <c r="I20" s="48"/>
      <c r="J20" s="48"/>
      <c r="K20" s="48"/>
      <c r="L20" s="11"/>
      <c r="M20" s="53">
        <v>0</v>
      </c>
      <c r="N20" s="11">
        <f t="shared" si="1"/>
        <v>130000</v>
      </c>
      <c r="O20" s="52">
        <f>+O125</f>
        <v>0</v>
      </c>
      <c r="P20" s="52">
        <f t="shared" ref="P20:Z20" si="4">+P125</f>
        <v>0</v>
      </c>
      <c r="Q20" s="52">
        <f t="shared" si="4"/>
        <v>0</v>
      </c>
      <c r="R20" s="52">
        <f t="shared" si="4"/>
        <v>0</v>
      </c>
      <c r="S20" s="52">
        <f t="shared" si="4"/>
        <v>20000</v>
      </c>
      <c r="T20" s="52">
        <f t="shared" si="4"/>
        <v>20000</v>
      </c>
      <c r="U20" s="52">
        <f t="shared" si="4"/>
        <v>20000</v>
      </c>
      <c r="V20" s="52">
        <f t="shared" si="4"/>
        <v>20000</v>
      </c>
      <c r="W20" s="52">
        <f t="shared" si="4"/>
        <v>20000</v>
      </c>
      <c r="X20" s="52">
        <f t="shared" si="4"/>
        <v>0</v>
      </c>
      <c r="Y20" s="52">
        <f t="shared" si="4"/>
        <v>20000</v>
      </c>
      <c r="Z20" s="52">
        <f t="shared" si="4"/>
        <v>10000</v>
      </c>
    </row>
    <row r="21" spans="1:26" ht="15" x14ac:dyDescent="0.25">
      <c r="A21" s="93"/>
      <c r="B21" s="93" t="s">
        <v>32</v>
      </c>
      <c r="C21" s="93" t="s">
        <v>1048</v>
      </c>
      <c r="D21" s="10" t="s">
        <v>1050</v>
      </c>
      <c r="E21" s="11" t="s">
        <v>216</v>
      </c>
      <c r="F21" s="48"/>
      <c r="G21" s="48"/>
      <c r="H21" s="48"/>
      <c r="I21" s="48"/>
      <c r="J21" s="48"/>
      <c r="K21" s="48"/>
      <c r="L21" s="11"/>
      <c r="M21" s="53">
        <v>0</v>
      </c>
      <c r="N21" s="11">
        <f t="shared" si="1"/>
        <v>230000</v>
      </c>
      <c r="O21" s="52">
        <f>+O167</f>
        <v>0</v>
      </c>
      <c r="P21" s="52">
        <f t="shared" ref="P21:Z21" si="5">+P167</f>
        <v>0</v>
      </c>
      <c r="Q21" s="52">
        <f t="shared" si="5"/>
        <v>0</v>
      </c>
      <c r="R21" s="52">
        <f t="shared" si="5"/>
        <v>0</v>
      </c>
      <c r="S21" s="52">
        <f t="shared" si="5"/>
        <v>80000</v>
      </c>
      <c r="T21" s="52">
        <f t="shared" si="5"/>
        <v>0</v>
      </c>
      <c r="U21" s="52">
        <f t="shared" si="5"/>
        <v>0</v>
      </c>
      <c r="V21" s="52">
        <f t="shared" si="5"/>
        <v>80000</v>
      </c>
      <c r="W21" s="52">
        <f t="shared" si="5"/>
        <v>0</v>
      </c>
      <c r="X21" s="52">
        <f t="shared" si="5"/>
        <v>0</v>
      </c>
      <c r="Y21" s="52">
        <f t="shared" si="5"/>
        <v>70000</v>
      </c>
      <c r="Z21" s="52">
        <f t="shared" si="5"/>
        <v>0</v>
      </c>
    </row>
    <row r="22" spans="1:26" ht="15"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0</v>
      </c>
      <c r="N27" s="32">
        <f>SUM(N17:N22)</f>
        <v>1660000</v>
      </c>
      <c r="O27" s="32">
        <f>SUM(O17:O21)</f>
        <v>30000</v>
      </c>
      <c r="P27" s="32">
        <f t="shared" ref="P27:Z27" si="6">SUM(P17:P21)</f>
        <v>20000</v>
      </c>
      <c r="Q27" s="32">
        <f t="shared" si="6"/>
        <v>0</v>
      </c>
      <c r="R27" s="32">
        <f t="shared" si="6"/>
        <v>95000</v>
      </c>
      <c r="S27" s="32">
        <f t="shared" si="6"/>
        <v>256666</v>
      </c>
      <c r="T27" s="32">
        <f t="shared" si="6"/>
        <v>103332</v>
      </c>
      <c r="U27" s="32">
        <f t="shared" si="6"/>
        <v>215000</v>
      </c>
      <c r="V27" s="32">
        <f t="shared" si="6"/>
        <v>196667</v>
      </c>
      <c r="W27" s="32">
        <f t="shared" si="6"/>
        <v>203332</v>
      </c>
      <c r="X27" s="32">
        <f t="shared" si="6"/>
        <v>90000</v>
      </c>
      <c r="Y27" s="32">
        <f t="shared" si="6"/>
        <v>380003</v>
      </c>
      <c r="Z27" s="32">
        <f t="shared" si="6"/>
        <v>70000</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Objective 1 Education and Human Capital</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customHeight="1" x14ac:dyDescent="0.25">
      <c r="A32" s="93"/>
      <c r="B32" s="7" t="s">
        <v>34</v>
      </c>
      <c r="C32" s="7" t="s">
        <v>1051</v>
      </c>
      <c r="D32" s="10" t="s">
        <v>1052</v>
      </c>
      <c r="E32" s="1001"/>
      <c r="F32" s="1001"/>
      <c r="G32" s="1001"/>
      <c r="H32" s="1001"/>
      <c r="I32" s="1001"/>
      <c r="J32" s="1001"/>
      <c r="K32" s="1002"/>
      <c r="L32" s="11" t="s">
        <v>113</v>
      </c>
      <c r="M32" s="48"/>
      <c r="N32" s="12"/>
      <c r="O32" s="12" t="s">
        <v>5</v>
      </c>
      <c r="P32" s="12"/>
      <c r="Q32" s="12"/>
      <c r="R32" s="12"/>
      <c r="S32" s="12"/>
      <c r="T32" s="12"/>
      <c r="U32" s="12"/>
      <c r="V32" s="12"/>
      <c r="W32" s="12"/>
      <c r="X32" s="12"/>
      <c r="Y32" s="12"/>
      <c r="Z32" s="12"/>
    </row>
    <row r="33" spans="1:26" ht="15" x14ac:dyDescent="0.25">
      <c r="A33" s="93"/>
      <c r="B33" s="7" t="s">
        <v>698</v>
      </c>
      <c r="C33" s="7" t="s">
        <v>1053</v>
      </c>
      <c r="D33" s="10" t="s">
        <v>1054</v>
      </c>
      <c r="E33" s="1001"/>
      <c r="F33" s="1001"/>
      <c r="G33" s="1001"/>
      <c r="H33" s="1001"/>
      <c r="I33" s="1001"/>
      <c r="J33" s="1001"/>
      <c r="K33" s="1002"/>
      <c r="L33" s="11" t="s">
        <v>113</v>
      </c>
      <c r="M33" s="48"/>
      <c r="N33" s="12"/>
      <c r="O33" s="12" t="s">
        <v>5</v>
      </c>
      <c r="P33" s="12"/>
      <c r="Q33" s="12"/>
      <c r="R33" s="12"/>
      <c r="S33" s="12"/>
      <c r="T33" s="12"/>
      <c r="U33" s="12"/>
      <c r="V33" s="12"/>
      <c r="W33" s="12"/>
      <c r="X33" s="12"/>
      <c r="Y33" s="12"/>
      <c r="Z33" s="12"/>
    </row>
    <row r="34" spans="1:26" ht="15" x14ac:dyDescent="0.25">
      <c r="A34" s="93"/>
      <c r="B34" s="7" t="s">
        <v>709</v>
      </c>
      <c r="C34" s="7" t="s">
        <v>1055</v>
      </c>
      <c r="D34" s="10" t="s">
        <v>1056</v>
      </c>
      <c r="E34" s="1001" t="s">
        <v>5</v>
      </c>
      <c r="F34" s="1001" t="s">
        <v>5</v>
      </c>
      <c r="G34" s="1001" t="s">
        <v>5</v>
      </c>
      <c r="H34" s="1001"/>
      <c r="I34" s="1001"/>
      <c r="J34" s="1001"/>
      <c r="K34" s="1002" t="s">
        <v>5</v>
      </c>
      <c r="L34" s="11" t="s">
        <v>113</v>
      </c>
      <c r="M34" s="48"/>
      <c r="N34" s="12"/>
      <c r="O34" s="12" t="s">
        <v>5</v>
      </c>
      <c r="P34" s="12"/>
      <c r="Q34" s="12"/>
      <c r="R34" s="12"/>
      <c r="S34" s="12"/>
      <c r="T34" s="12"/>
      <c r="U34" s="12"/>
      <c r="V34" s="12"/>
      <c r="W34" s="12"/>
      <c r="X34" s="12"/>
      <c r="Y34" s="12"/>
      <c r="Z34" s="12"/>
    </row>
    <row r="35" spans="1:26" ht="15" x14ac:dyDescent="0.25">
      <c r="A35" s="93"/>
      <c r="B35" s="7" t="s">
        <v>698</v>
      </c>
      <c r="C35" s="7" t="s">
        <v>1057</v>
      </c>
      <c r="D35" s="10"/>
      <c r="E35" s="143"/>
      <c r="F35" s="143"/>
      <c r="G35" s="143"/>
      <c r="H35" s="143"/>
      <c r="I35" s="143"/>
      <c r="J35" s="143"/>
      <c r="K35" s="144"/>
      <c r="L35" s="11" t="s">
        <v>113</v>
      </c>
      <c r="M35" s="48"/>
      <c r="N35" s="12"/>
      <c r="O35" s="12"/>
      <c r="P35" s="12"/>
      <c r="Q35" s="12"/>
      <c r="R35" s="12"/>
      <c r="S35" s="12"/>
      <c r="T35" s="12"/>
      <c r="U35" s="12"/>
      <c r="V35" s="12"/>
      <c r="W35" s="12"/>
      <c r="X35" s="12"/>
      <c r="Y35" s="12"/>
      <c r="Z35" s="12"/>
    </row>
    <row r="36" spans="1:26" ht="15" x14ac:dyDescent="0.25">
      <c r="A36" s="93"/>
      <c r="B36" s="7" t="s">
        <v>709</v>
      </c>
      <c r="C36" s="7" t="s">
        <v>1058</v>
      </c>
      <c r="D36" s="10"/>
      <c r="E36" s="143"/>
      <c r="F36" s="143"/>
      <c r="G36" s="143"/>
      <c r="H36" s="143"/>
      <c r="I36" s="143"/>
      <c r="J36" s="143"/>
      <c r="K36" s="144"/>
      <c r="L36" s="11" t="s">
        <v>113</v>
      </c>
      <c r="M36" s="48"/>
      <c r="N36" s="12"/>
      <c r="O36" s="12"/>
      <c r="P36" s="12"/>
      <c r="Q36" s="12"/>
      <c r="R36" s="12"/>
      <c r="S36" s="12"/>
      <c r="T36" s="12"/>
      <c r="U36" s="12"/>
      <c r="V36" s="12"/>
      <c r="W36" s="12"/>
      <c r="X36" s="12"/>
      <c r="Y36" s="12"/>
      <c r="Z36" s="12"/>
    </row>
    <row r="37" spans="1:26" ht="28.5" x14ac:dyDescent="0.25">
      <c r="A37" s="93"/>
      <c r="B37" s="7" t="s">
        <v>712</v>
      </c>
      <c r="C37" s="7" t="s">
        <v>1059</v>
      </c>
      <c r="D37" s="10" t="s">
        <v>1060</v>
      </c>
      <c r="E37" s="143"/>
      <c r="F37" s="143"/>
      <c r="G37" s="143"/>
      <c r="H37" s="143"/>
      <c r="I37" s="143"/>
      <c r="J37" s="143"/>
      <c r="K37" s="144"/>
      <c r="L37" s="11" t="s">
        <v>113</v>
      </c>
      <c r="M37" s="48"/>
      <c r="N37" s="12"/>
      <c r="O37" s="12"/>
      <c r="P37" s="12"/>
      <c r="Q37" s="12"/>
      <c r="R37" s="12"/>
      <c r="S37" s="12"/>
      <c r="T37" s="12"/>
      <c r="U37" s="12"/>
      <c r="V37" s="12"/>
      <c r="W37" s="12"/>
      <c r="X37" s="12"/>
      <c r="Y37" s="12"/>
      <c r="Z37" s="12"/>
    </row>
    <row r="38" spans="1:26" ht="15" x14ac:dyDescent="0.25">
      <c r="A38" s="93"/>
      <c r="B38" s="7"/>
      <c r="C38" s="7"/>
      <c r="D38" s="10"/>
      <c r="E38" s="143"/>
      <c r="F38" s="143"/>
      <c r="G38" s="143"/>
      <c r="H38" s="143"/>
      <c r="I38" s="143"/>
      <c r="J38" s="143"/>
      <c r="K38" s="144"/>
      <c r="L38" s="11"/>
      <c r="M38" s="48"/>
      <c r="N38" s="12"/>
      <c r="O38" s="12"/>
      <c r="P38" s="12"/>
      <c r="Q38" s="12"/>
      <c r="R38" s="12"/>
      <c r="S38" s="12"/>
      <c r="T38" s="12"/>
      <c r="U38" s="12"/>
      <c r="V38" s="12"/>
      <c r="W38" s="12"/>
      <c r="X38" s="12"/>
      <c r="Y38" s="12"/>
      <c r="Z38" s="12"/>
    </row>
    <row r="39" spans="1:26" ht="18" x14ac:dyDescent="0.25">
      <c r="A39" s="30" t="str">
        <f>CONCATENATE(B18," ",C18)</f>
        <v>Objective 2 Productive Development</v>
      </c>
      <c r="B39" s="30"/>
      <c r="C39" s="31"/>
      <c r="D39" s="31"/>
      <c r="E39" s="29"/>
      <c r="F39" s="29"/>
      <c r="G39" s="29"/>
      <c r="H39" s="29"/>
      <c r="I39" s="29"/>
      <c r="J39" s="29"/>
      <c r="K39" s="29"/>
      <c r="L39" s="29"/>
      <c r="M39" s="29"/>
      <c r="N39" s="29"/>
      <c r="O39" s="29" t="s">
        <v>5</v>
      </c>
      <c r="P39" s="29"/>
      <c r="Q39" s="29"/>
      <c r="R39" s="29"/>
      <c r="S39" s="29"/>
      <c r="T39" s="29"/>
      <c r="U39" s="29"/>
      <c r="V39" s="29"/>
      <c r="W39" s="29"/>
      <c r="X39" s="29"/>
      <c r="Y39" s="29"/>
      <c r="Z39" s="29"/>
    </row>
    <row r="40" spans="1:26" ht="15" customHeight="1" x14ac:dyDescent="0.25">
      <c r="A40" s="93"/>
      <c r="B40" s="7" t="s">
        <v>34</v>
      </c>
      <c r="C40" s="7" t="s">
        <v>1061</v>
      </c>
      <c r="D40" s="10"/>
      <c r="E40" s="1001"/>
      <c r="F40" s="1001"/>
      <c r="G40" s="1001"/>
      <c r="H40" s="1001"/>
      <c r="I40" s="1001"/>
      <c r="J40" s="1001"/>
      <c r="K40" s="1002"/>
      <c r="L40" s="11" t="s">
        <v>113</v>
      </c>
      <c r="M40" s="48"/>
      <c r="N40" s="12"/>
      <c r="O40" s="12" t="s">
        <v>5</v>
      </c>
      <c r="P40" s="12"/>
      <c r="Q40" s="12"/>
      <c r="R40" s="12"/>
      <c r="S40" s="12"/>
      <c r="T40" s="12"/>
      <c r="U40" s="12"/>
      <c r="V40" s="12"/>
      <c r="W40" s="12"/>
      <c r="X40" s="12"/>
      <c r="Y40" s="12"/>
      <c r="Z40" s="12"/>
    </row>
    <row r="41" spans="1:26" ht="15" x14ac:dyDescent="0.25">
      <c r="A41" s="93"/>
      <c r="B41" s="7" t="s">
        <v>36</v>
      </c>
      <c r="C41" s="7" t="s">
        <v>1062</v>
      </c>
      <c r="D41" s="10"/>
      <c r="E41" s="1001" t="s">
        <v>5</v>
      </c>
      <c r="F41" s="1001" t="s">
        <v>5</v>
      </c>
      <c r="G41" s="1001" t="s">
        <v>5</v>
      </c>
      <c r="H41" s="1001"/>
      <c r="I41" s="1001"/>
      <c r="J41" s="1001"/>
      <c r="K41" s="1002" t="s">
        <v>5</v>
      </c>
      <c r="L41" s="11" t="s">
        <v>113</v>
      </c>
      <c r="M41" s="48"/>
      <c r="N41" s="12"/>
      <c r="O41" s="12" t="s">
        <v>5</v>
      </c>
      <c r="P41" s="12"/>
      <c r="Q41" s="12"/>
      <c r="R41" s="12"/>
      <c r="S41" s="12"/>
      <c r="T41" s="12"/>
      <c r="U41" s="12"/>
      <c r="V41" s="12"/>
      <c r="W41" s="12"/>
      <c r="X41" s="12"/>
      <c r="Y41" s="12"/>
      <c r="Z41" s="12"/>
    </row>
    <row r="42" spans="1:26" ht="15" x14ac:dyDescent="0.25">
      <c r="A42" s="93"/>
      <c r="B42" s="7" t="s">
        <v>698</v>
      </c>
      <c r="C42" s="7" t="s">
        <v>1042</v>
      </c>
      <c r="D42" s="10"/>
      <c r="E42" s="1001" t="s">
        <v>5</v>
      </c>
      <c r="F42" s="1001" t="s">
        <v>5</v>
      </c>
      <c r="G42" s="1001" t="s">
        <v>5</v>
      </c>
      <c r="H42" s="1001"/>
      <c r="I42" s="1001"/>
      <c r="J42" s="1001"/>
      <c r="K42" s="1002" t="s">
        <v>5</v>
      </c>
      <c r="L42" s="11" t="s">
        <v>113</v>
      </c>
      <c r="M42" s="48"/>
      <c r="N42" s="12"/>
      <c r="O42" s="12" t="s">
        <v>5</v>
      </c>
      <c r="P42" s="12"/>
      <c r="Q42" s="12"/>
      <c r="R42" s="12"/>
      <c r="S42" s="12"/>
      <c r="T42" s="12"/>
      <c r="U42" s="12"/>
      <c r="V42" s="12"/>
      <c r="W42" s="12"/>
      <c r="X42" s="12"/>
      <c r="Y42" s="12"/>
      <c r="Z42" s="12"/>
    </row>
    <row r="43" spans="1:26" ht="15" x14ac:dyDescent="0.25">
      <c r="A43" s="93"/>
      <c r="B43" s="7"/>
      <c r="C43" s="7"/>
      <c r="D43" s="10"/>
      <c r="E43" s="1001" t="s">
        <v>5</v>
      </c>
      <c r="F43" s="1001" t="s">
        <v>5</v>
      </c>
      <c r="G43" s="1001" t="s">
        <v>5</v>
      </c>
      <c r="H43" s="1001"/>
      <c r="I43" s="1001"/>
      <c r="J43" s="1001"/>
      <c r="K43" s="1002" t="s">
        <v>5</v>
      </c>
      <c r="L43" s="11"/>
      <c r="M43" s="48"/>
      <c r="N43" s="12"/>
      <c r="O43" s="12" t="s">
        <v>5</v>
      </c>
      <c r="P43" s="12"/>
      <c r="Q43" s="12"/>
      <c r="R43" s="12"/>
      <c r="S43" s="12"/>
      <c r="T43" s="12"/>
      <c r="U43" s="12"/>
      <c r="V43" s="12"/>
      <c r="W43" s="12"/>
      <c r="X43" s="12"/>
      <c r="Y43" s="12"/>
      <c r="Z43" s="12"/>
    </row>
    <row r="44" spans="1:26" ht="18" x14ac:dyDescent="0.25">
      <c r="A44" s="30" t="str">
        <f>CONCATENATE(B19," ",C19)</f>
        <v>Objective 3 Promote Healty Life Style</v>
      </c>
      <c r="B44" s="30"/>
      <c r="C44" s="31"/>
      <c r="D44" s="31"/>
      <c r="E44" s="29"/>
      <c r="F44" s="29"/>
      <c r="G44" s="29"/>
      <c r="H44" s="29"/>
      <c r="I44" s="29"/>
      <c r="J44" s="29"/>
      <c r="K44" s="29"/>
      <c r="L44" s="29"/>
      <c r="M44" s="29"/>
      <c r="N44" s="29"/>
      <c r="O44" s="29" t="s">
        <v>5</v>
      </c>
      <c r="P44" s="29"/>
      <c r="Q44" s="29"/>
      <c r="R44" s="29"/>
      <c r="S44" s="29"/>
      <c r="T44" s="29"/>
      <c r="U44" s="29"/>
      <c r="V44" s="29"/>
      <c r="W44" s="29"/>
      <c r="X44" s="29"/>
      <c r="Y44" s="29"/>
      <c r="Z44" s="29"/>
    </row>
    <row r="45" spans="1:26" ht="15" x14ac:dyDescent="0.25">
      <c r="A45" s="93"/>
      <c r="B45" s="7" t="s">
        <v>34</v>
      </c>
      <c r="C45" s="7" t="s">
        <v>1063</v>
      </c>
      <c r="D45" s="10"/>
      <c r="E45" s="1001" t="s">
        <v>5</v>
      </c>
      <c r="F45" s="1001" t="s">
        <v>5</v>
      </c>
      <c r="G45" s="1001" t="s">
        <v>5</v>
      </c>
      <c r="H45" s="1001"/>
      <c r="I45" s="1001"/>
      <c r="J45" s="1001"/>
      <c r="K45" s="1002" t="s">
        <v>5</v>
      </c>
      <c r="L45" s="11" t="s">
        <v>113</v>
      </c>
      <c r="M45" s="48"/>
      <c r="N45" s="12"/>
      <c r="O45" s="12" t="s">
        <v>5</v>
      </c>
      <c r="P45" s="12"/>
      <c r="Q45" s="12"/>
      <c r="R45" s="12"/>
      <c r="S45" s="12"/>
      <c r="T45" s="12"/>
      <c r="U45" s="12"/>
      <c r="V45" s="12"/>
      <c r="W45" s="12"/>
      <c r="X45" s="12"/>
      <c r="Y45" s="12"/>
      <c r="Z45" s="12"/>
    </row>
    <row r="46" spans="1:26" ht="15" x14ac:dyDescent="0.25">
      <c r="A46" s="93"/>
      <c r="B46" s="7" t="s">
        <v>36</v>
      </c>
      <c r="C46" s="7" t="s">
        <v>1064</v>
      </c>
      <c r="D46" s="10"/>
      <c r="E46" s="1001" t="s">
        <v>5</v>
      </c>
      <c r="F46" s="1001" t="s">
        <v>5</v>
      </c>
      <c r="G46" s="1001" t="s">
        <v>5</v>
      </c>
      <c r="H46" s="1001"/>
      <c r="I46" s="1001"/>
      <c r="J46" s="1001"/>
      <c r="K46" s="1002" t="s">
        <v>5</v>
      </c>
      <c r="L46" s="11" t="s">
        <v>113</v>
      </c>
      <c r="M46" s="48"/>
      <c r="N46" s="12"/>
      <c r="O46" s="12" t="s">
        <v>5</v>
      </c>
      <c r="P46" s="12"/>
      <c r="Q46" s="12"/>
      <c r="R46" s="12"/>
      <c r="S46" s="12"/>
      <c r="T46" s="12"/>
      <c r="U46" s="12"/>
      <c r="V46" s="12"/>
      <c r="W46" s="12"/>
      <c r="X46" s="12"/>
      <c r="Y46" s="12"/>
      <c r="Z46" s="12"/>
    </row>
    <row r="47" spans="1:26" ht="15" x14ac:dyDescent="0.25">
      <c r="A47" s="93"/>
      <c r="B47" s="7" t="s">
        <v>698</v>
      </c>
      <c r="C47" s="7" t="s">
        <v>1065</v>
      </c>
      <c r="D47" s="10"/>
      <c r="E47" s="1001" t="s">
        <v>5</v>
      </c>
      <c r="F47" s="1001" t="s">
        <v>5</v>
      </c>
      <c r="G47" s="1001" t="s">
        <v>5</v>
      </c>
      <c r="H47" s="1001"/>
      <c r="I47" s="1001"/>
      <c r="J47" s="1001"/>
      <c r="K47" s="1002" t="s">
        <v>5</v>
      </c>
      <c r="L47" s="11" t="s">
        <v>113</v>
      </c>
      <c r="M47" s="48"/>
      <c r="N47" s="12"/>
      <c r="O47" s="12" t="s">
        <v>5</v>
      </c>
      <c r="P47" s="12"/>
      <c r="Q47" s="12"/>
      <c r="R47" s="12"/>
      <c r="S47" s="12"/>
      <c r="T47" s="12"/>
      <c r="U47" s="12"/>
      <c r="V47" s="12"/>
      <c r="W47" s="12"/>
      <c r="X47" s="12"/>
      <c r="Y47" s="12"/>
      <c r="Z47" s="12"/>
    </row>
    <row r="48" spans="1:26" ht="15" x14ac:dyDescent="0.25">
      <c r="A48" s="93"/>
      <c r="B48" s="7" t="s">
        <v>709</v>
      </c>
      <c r="C48" s="7" t="s">
        <v>1066</v>
      </c>
      <c r="D48" s="10"/>
      <c r="E48" s="1001" t="s">
        <v>5</v>
      </c>
      <c r="F48" s="1001" t="s">
        <v>5</v>
      </c>
      <c r="G48" s="1001" t="s">
        <v>5</v>
      </c>
      <c r="H48" s="1001"/>
      <c r="I48" s="1001"/>
      <c r="J48" s="1001"/>
      <c r="K48" s="1002" t="s">
        <v>5</v>
      </c>
      <c r="L48" s="11" t="s">
        <v>113</v>
      </c>
      <c r="M48" s="48"/>
      <c r="N48" s="12"/>
      <c r="O48" s="12" t="s">
        <v>5</v>
      </c>
      <c r="P48" s="12"/>
      <c r="Q48" s="12"/>
      <c r="R48" s="12"/>
      <c r="S48" s="12"/>
      <c r="T48" s="12"/>
      <c r="U48" s="12"/>
      <c r="V48" s="12"/>
      <c r="W48" s="12"/>
      <c r="X48" s="12"/>
      <c r="Y48" s="12"/>
      <c r="Z48" s="12"/>
    </row>
    <row r="49" spans="1:26" ht="15" x14ac:dyDescent="0.25">
      <c r="A49" s="93"/>
      <c r="B49" s="7" t="s">
        <v>712</v>
      </c>
      <c r="C49" s="7" t="s">
        <v>1067</v>
      </c>
      <c r="D49" s="10"/>
      <c r="E49" s="1001" t="s">
        <v>5</v>
      </c>
      <c r="F49" s="1001" t="s">
        <v>5</v>
      </c>
      <c r="G49" s="1001" t="s">
        <v>5</v>
      </c>
      <c r="H49" s="1001"/>
      <c r="I49" s="1001"/>
      <c r="J49" s="1001"/>
      <c r="K49" s="1002" t="s">
        <v>5</v>
      </c>
      <c r="L49" s="11" t="s">
        <v>113</v>
      </c>
      <c r="M49" s="48"/>
      <c r="N49" s="12"/>
      <c r="O49" s="12" t="s">
        <v>5</v>
      </c>
      <c r="P49" s="12"/>
      <c r="Q49" s="12"/>
      <c r="R49" s="12"/>
      <c r="S49" s="12"/>
      <c r="T49" s="12"/>
      <c r="U49" s="12"/>
      <c r="V49" s="12"/>
      <c r="W49" s="12"/>
      <c r="X49" s="12"/>
      <c r="Y49" s="12"/>
      <c r="Z49" s="12"/>
    </row>
    <row r="50" spans="1:26" ht="18" outlineLevel="1" x14ac:dyDescent="0.25">
      <c r="A50" s="30" t="str">
        <f>CONCATENATE(B20," ",C20)</f>
        <v>Objective 4 Indigenous Community Development</v>
      </c>
      <c r="B50" s="30"/>
      <c r="C50" s="31"/>
      <c r="D50" s="31"/>
      <c r="E50" s="29"/>
      <c r="F50" s="29"/>
      <c r="G50" s="29"/>
      <c r="H50" s="29"/>
      <c r="I50" s="29"/>
      <c r="J50" s="29"/>
      <c r="K50" s="29"/>
      <c r="L50" s="29"/>
      <c r="M50" s="29"/>
      <c r="N50" s="29"/>
      <c r="O50" s="29" t="s">
        <v>5</v>
      </c>
      <c r="P50" s="29"/>
      <c r="Q50" s="29"/>
      <c r="R50" s="29"/>
      <c r="S50" s="29"/>
      <c r="T50" s="29"/>
      <c r="U50" s="29"/>
      <c r="V50" s="29"/>
      <c r="W50" s="29"/>
      <c r="X50" s="29"/>
      <c r="Y50" s="29"/>
      <c r="Z50" s="29"/>
    </row>
    <row r="51" spans="1:26" ht="15" outlineLevel="1" x14ac:dyDescent="0.25">
      <c r="A51" s="93"/>
      <c r="B51" s="7" t="s">
        <v>34</v>
      </c>
      <c r="C51" s="7" t="s">
        <v>1068</v>
      </c>
      <c r="E51" s="1001" t="s">
        <v>5</v>
      </c>
      <c r="F51" s="1001" t="s">
        <v>5</v>
      </c>
      <c r="G51" s="1001" t="s">
        <v>5</v>
      </c>
      <c r="H51" s="1001"/>
      <c r="I51" s="1001"/>
      <c r="J51" s="1001"/>
      <c r="K51" s="1002" t="s">
        <v>5</v>
      </c>
      <c r="L51" s="11" t="s">
        <v>113</v>
      </c>
      <c r="M51" s="48"/>
      <c r="N51" s="12"/>
      <c r="O51" s="12" t="s">
        <v>5</v>
      </c>
      <c r="P51" s="12"/>
      <c r="Q51" s="12"/>
      <c r="R51" s="12"/>
      <c r="S51" s="12"/>
      <c r="T51" s="12"/>
      <c r="U51" s="12"/>
      <c r="V51" s="12"/>
      <c r="W51" s="12"/>
      <c r="X51" s="12"/>
      <c r="Y51" s="12"/>
      <c r="Z51" s="12"/>
    </row>
    <row r="52" spans="1:26" ht="15" outlineLevel="1" x14ac:dyDescent="0.25">
      <c r="A52" s="93"/>
      <c r="B52" s="7" t="s">
        <v>36</v>
      </c>
      <c r="C52" s="7" t="s">
        <v>1069</v>
      </c>
      <c r="D52" s="10"/>
      <c r="E52" s="1001" t="s">
        <v>5</v>
      </c>
      <c r="F52" s="1001" t="s">
        <v>5</v>
      </c>
      <c r="G52" s="1001" t="s">
        <v>5</v>
      </c>
      <c r="H52" s="1001"/>
      <c r="I52" s="1001"/>
      <c r="J52" s="1001"/>
      <c r="K52" s="1002" t="s">
        <v>5</v>
      </c>
      <c r="L52" s="11" t="s">
        <v>113</v>
      </c>
      <c r="M52" s="48"/>
      <c r="N52" s="12"/>
      <c r="O52" s="12" t="s">
        <v>5</v>
      </c>
      <c r="P52" s="12"/>
      <c r="Q52" s="12"/>
      <c r="R52" s="12"/>
      <c r="S52" s="12"/>
      <c r="T52" s="12"/>
      <c r="U52" s="12"/>
      <c r="V52" s="12"/>
      <c r="W52" s="12"/>
      <c r="X52" s="12"/>
      <c r="Y52" s="12"/>
      <c r="Z52" s="12"/>
    </row>
    <row r="53" spans="1:26" ht="15" outlineLevel="1" x14ac:dyDescent="0.25">
      <c r="A53" s="93"/>
      <c r="B53" s="7" t="s">
        <v>698</v>
      </c>
      <c r="C53" s="7" t="s">
        <v>1070</v>
      </c>
      <c r="D53" s="10"/>
      <c r="E53" s="1001" t="s">
        <v>5</v>
      </c>
      <c r="F53" s="1001" t="s">
        <v>5</v>
      </c>
      <c r="G53" s="1001" t="s">
        <v>5</v>
      </c>
      <c r="H53" s="1001"/>
      <c r="I53" s="1001"/>
      <c r="J53" s="1001"/>
      <c r="K53" s="1002" t="s">
        <v>5</v>
      </c>
      <c r="L53" s="11" t="s">
        <v>113</v>
      </c>
      <c r="M53" s="48"/>
      <c r="N53" s="12"/>
      <c r="O53" s="12" t="s">
        <v>5</v>
      </c>
      <c r="P53" s="12"/>
      <c r="Q53" s="12"/>
      <c r="R53" s="12"/>
      <c r="S53" s="12"/>
      <c r="T53" s="12"/>
      <c r="U53" s="12"/>
      <c r="V53" s="12"/>
      <c r="W53" s="12"/>
      <c r="X53" s="12"/>
      <c r="Y53" s="12"/>
      <c r="Z53" s="12"/>
    </row>
    <row r="54" spans="1:26" ht="15"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t="str">
        <f>CONCATENATE(B21," ",C21)</f>
        <v>Objective 5 Emerging and Sustainable Province</v>
      </c>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t="s">
        <v>269</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t="s">
        <v>270</v>
      </c>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t="str">
        <f>CONCATENATE(B22," ",C22)</f>
        <v xml:space="preserve"> </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t="s">
        <v>271</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t="s">
        <v>272</v>
      </c>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t="str">
        <f>CONCATENATE(B23," ",C23)</f>
        <v xml:space="preserve"> </v>
      </c>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t="s">
        <v>273</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t="s">
        <v>274</v>
      </c>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t="str">
        <f>CONCATENATE(B24," ",C24)</f>
        <v xml:space="preserve"> </v>
      </c>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t="s">
        <v>275</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t="s">
        <v>276</v>
      </c>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t="str">
        <f>CONCATENATE(B25," ",C25)</f>
        <v xml:space="preserve"> </v>
      </c>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t="s">
        <v>277</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t="s">
        <v>278</v>
      </c>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t="str">
        <f>CONCATENATE(B26," ",C26)</f>
        <v xml:space="preserve"> </v>
      </c>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t="s">
        <v>279</v>
      </c>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t="s">
        <v>280</v>
      </c>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Objective 1 Education and Human Capital</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49.5" customHeight="1"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33" customHeight="1" x14ac:dyDescent="0.25">
      <c r="A95" s="93" t="s">
        <v>1937</v>
      </c>
      <c r="B95" s="7" t="s">
        <v>34</v>
      </c>
      <c r="C95" s="7" t="s">
        <v>1051</v>
      </c>
      <c r="D95" s="10"/>
      <c r="E95" s="11" t="s">
        <v>216</v>
      </c>
      <c r="F95" s="11" t="s">
        <v>288</v>
      </c>
      <c r="G95" s="11" t="s">
        <v>1071</v>
      </c>
      <c r="H95" s="136" t="s">
        <v>43</v>
      </c>
      <c r="I95" s="136" t="s">
        <v>44</v>
      </c>
      <c r="J95" s="136" t="s">
        <v>45</v>
      </c>
      <c r="K95" s="136" t="s">
        <v>45</v>
      </c>
      <c r="L95" s="11">
        <v>8</v>
      </c>
      <c r="M95" s="11">
        <v>12</v>
      </c>
      <c r="N95" s="168">
        <f t="shared" ref="N95:N101" si="7">SUM(O95:Z95)</f>
        <v>200000</v>
      </c>
      <c r="O95" s="11"/>
      <c r="P95" s="11"/>
      <c r="Q95" s="11"/>
      <c r="R95" s="11"/>
      <c r="S95" s="11">
        <v>66666</v>
      </c>
      <c r="T95" s="11"/>
      <c r="U95" s="11"/>
      <c r="V95" s="11">
        <v>66667</v>
      </c>
      <c r="W95" s="11"/>
      <c r="X95" s="11"/>
      <c r="Y95" s="11">
        <v>66667</v>
      </c>
      <c r="Z95" s="11"/>
    </row>
    <row r="96" spans="1:26" ht="33" customHeight="1" x14ac:dyDescent="0.25">
      <c r="A96" s="93" t="s">
        <v>1942</v>
      </c>
      <c r="B96" s="7" t="s">
        <v>698</v>
      </c>
      <c r="C96" s="7" t="s">
        <v>1053</v>
      </c>
      <c r="D96" s="10"/>
      <c r="E96" s="11" t="s">
        <v>216</v>
      </c>
      <c r="F96" s="11" t="s">
        <v>294</v>
      </c>
      <c r="G96" s="11" t="s">
        <v>1072</v>
      </c>
      <c r="H96" s="11"/>
      <c r="I96" s="11"/>
      <c r="J96" s="136"/>
      <c r="K96" s="136"/>
      <c r="L96" s="11"/>
      <c r="M96" s="11"/>
      <c r="N96" s="168">
        <f t="shared" si="7"/>
        <v>100000</v>
      </c>
      <c r="O96" s="11"/>
      <c r="P96" s="11"/>
      <c r="Q96" s="11"/>
      <c r="R96" s="11">
        <v>35000</v>
      </c>
      <c r="S96" s="11"/>
      <c r="T96" s="11"/>
      <c r="U96" s="11">
        <v>35000</v>
      </c>
      <c r="V96" s="11"/>
      <c r="W96" s="11"/>
      <c r="X96" s="11"/>
      <c r="Y96" s="11">
        <v>30000</v>
      </c>
      <c r="Z96" s="11"/>
    </row>
    <row r="97" spans="1:26" ht="33" customHeight="1" x14ac:dyDescent="0.25">
      <c r="A97" s="93" t="s">
        <v>1946</v>
      </c>
      <c r="B97" s="7" t="s">
        <v>709</v>
      </c>
      <c r="C97" s="7" t="s">
        <v>1055</v>
      </c>
      <c r="D97" s="10"/>
      <c r="E97" s="11" t="s">
        <v>216</v>
      </c>
      <c r="F97" s="11" t="s">
        <v>291</v>
      </c>
      <c r="G97" s="11" t="s">
        <v>1071</v>
      </c>
      <c r="H97" s="136" t="s">
        <v>44</v>
      </c>
      <c r="I97" s="136" t="s">
        <v>41</v>
      </c>
      <c r="J97" s="136"/>
      <c r="K97" s="136"/>
      <c r="L97" s="11">
        <v>8</v>
      </c>
      <c r="M97" s="11"/>
      <c r="N97" s="168">
        <f t="shared" si="7"/>
        <v>250000</v>
      </c>
      <c r="O97" s="11"/>
      <c r="P97" s="11"/>
      <c r="Q97" s="11"/>
      <c r="R97" s="11">
        <v>50000</v>
      </c>
      <c r="S97" s="11"/>
      <c r="T97" s="11"/>
      <c r="U97" s="11">
        <v>70000</v>
      </c>
      <c r="V97" s="11"/>
      <c r="W97" s="11"/>
      <c r="X97" s="11">
        <v>70000</v>
      </c>
      <c r="Y97" s="11"/>
      <c r="Z97" s="11">
        <v>60000</v>
      </c>
    </row>
    <row r="98" spans="1:26" ht="33" customHeight="1" x14ac:dyDescent="0.25">
      <c r="A98" s="93" t="s">
        <v>1948</v>
      </c>
      <c r="B98" s="7" t="s">
        <v>698</v>
      </c>
      <c r="C98" s="7" t="s">
        <v>1057</v>
      </c>
      <c r="D98" s="10"/>
      <c r="E98" s="11" t="s">
        <v>216</v>
      </c>
      <c r="F98" s="11" t="s">
        <v>291</v>
      </c>
      <c r="G98" s="11" t="s">
        <v>1073</v>
      </c>
      <c r="H98" s="136" t="s">
        <v>41</v>
      </c>
      <c r="I98" s="136" t="s">
        <v>41</v>
      </c>
      <c r="J98" s="136"/>
      <c r="K98" s="136"/>
      <c r="L98" s="11">
        <v>7</v>
      </c>
      <c r="M98" s="11"/>
      <c r="N98" s="168">
        <f t="shared" si="7"/>
        <v>25000</v>
      </c>
      <c r="O98" s="11"/>
      <c r="P98" s="11"/>
      <c r="Q98" s="11"/>
      <c r="R98" s="11">
        <v>10000</v>
      </c>
      <c r="S98" s="11"/>
      <c r="T98" s="11"/>
      <c r="U98" s="11"/>
      <c r="V98" s="11"/>
      <c r="W98" s="11">
        <v>10000</v>
      </c>
      <c r="X98" s="11"/>
      <c r="Y98" s="11">
        <v>5000</v>
      </c>
      <c r="Z98" s="11"/>
    </row>
    <row r="99" spans="1:26" ht="33" customHeight="1" x14ac:dyDescent="0.25">
      <c r="A99" s="93" t="s">
        <v>1950</v>
      </c>
      <c r="B99" s="7" t="s">
        <v>709</v>
      </c>
      <c r="C99" s="7" t="s">
        <v>1058</v>
      </c>
      <c r="D99" s="10"/>
      <c r="E99" s="11" t="s">
        <v>216</v>
      </c>
      <c r="F99" s="11" t="s">
        <v>288</v>
      </c>
      <c r="G99" s="11" t="s">
        <v>1071</v>
      </c>
      <c r="H99" s="136" t="s">
        <v>41</v>
      </c>
      <c r="I99" s="136" t="s">
        <v>41</v>
      </c>
      <c r="J99" s="136"/>
      <c r="K99" s="136"/>
      <c r="L99" s="11"/>
      <c r="M99" s="11"/>
      <c r="N99" s="168">
        <f t="shared" si="7"/>
        <v>25000</v>
      </c>
      <c r="O99" s="11"/>
      <c r="P99" s="11"/>
      <c r="Q99" s="11"/>
      <c r="R99" s="11"/>
      <c r="S99" s="11">
        <v>10000</v>
      </c>
      <c r="T99" s="11"/>
      <c r="U99" s="11"/>
      <c r="V99" s="11"/>
      <c r="W99" s="11">
        <v>10000</v>
      </c>
      <c r="X99" s="11"/>
      <c r="Y99" s="11">
        <v>5000</v>
      </c>
      <c r="Z99" s="11"/>
    </row>
    <row r="100" spans="1:26" s="695" customFormat="1" ht="33" customHeight="1" x14ac:dyDescent="0.25">
      <c r="A100" s="152" t="s">
        <v>1952</v>
      </c>
      <c r="B100" s="690" t="s">
        <v>712</v>
      </c>
      <c r="C100" s="690" t="s">
        <v>1074</v>
      </c>
      <c r="D100" s="691"/>
      <c r="E100" s="136" t="s">
        <v>216</v>
      </c>
      <c r="F100" s="136" t="s">
        <v>288</v>
      </c>
      <c r="G100" s="136" t="s">
        <v>1071</v>
      </c>
      <c r="H100" s="136" t="s">
        <v>41</v>
      </c>
      <c r="I100" s="136" t="s">
        <v>41</v>
      </c>
      <c r="J100" s="136"/>
      <c r="K100" s="136"/>
      <c r="L100" s="136"/>
      <c r="M100" s="136"/>
      <c r="N100" s="986">
        <f t="shared" si="7"/>
        <v>50000</v>
      </c>
      <c r="O100" s="136">
        <v>30000</v>
      </c>
      <c r="P100" s="136">
        <v>20000</v>
      </c>
      <c r="Q100" s="136"/>
      <c r="R100" s="136"/>
      <c r="S100" s="136"/>
      <c r="T100" s="136"/>
      <c r="U100" s="136"/>
      <c r="V100" s="136"/>
      <c r="W100" s="136"/>
      <c r="X100" s="136"/>
      <c r="Y100" s="136"/>
      <c r="Z100" s="136"/>
    </row>
    <row r="101" spans="1:26" ht="33" customHeight="1" x14ac:dyDescent="0.25">
      <c r="A101" s="93"/>
      <c r="B101" s="7"/>
      <c r="C101" s="7"/>
      <c r="D101" s="10"/>
      <c r="E101" s="11"/>
      <c r="F101" s="11"/>
      <c r="G101" s="11"/>
      <c r="H101" s="11"/>
      <c r="I101" s="11"/>
      <c r="J101" s="11"/>
      <c r="K101" s="11"/>
      <c r="L101" s="11"/>
      <c r="M101" s="11"/>
      <c r="N101" s="168">
        <f t="shared" si="7"/>
        <v>0</v>
      </c>
      <c r="O101" s="11"/>
      <c r="P101" s="11"/>
      <c r="Q101" s="11"/>
      <c r="R101" s="11"/>
      <c r="S101" s="11"/>
      <c r="T101" s="11"/>
      <c r="U101" s="11"/>
      <c r="V101" s="11"/>
      <c r="W101" s="11"/>
      <c r="X101" s="11"/>
      <c r="Y101" s="11"/>
      <c r="Z101" s="11"/>
    </row>
    <row r="102" spans="1:26" s="35" customFormat="1" ht="22.5" customHeight="1" x14ac:dyDescent="0.25">
      <c r="A102" s="33"/>
      <c r="B102" s="34"/>
      <c r="C102" s="34"/>
      <c r="D102" s="34"/>
      <c r="E102" s="50"/>
      <c r="F102" s="50"/>
      <c r="G102" s="50"/>
      <c r="H102" s="50"/>
      <c r="I102" s="50"/>
      <c r="J102" s="51" t="s">
        <v>20</v>
      </c>
      <c r="K102" s="50"/>
      <c r="L102" s="32">
        <f t="shared" ref="L102:Z102" si="8">SUM(L95:L101)</f>
        <v>23</v>
      </c>
      <c r="M102" s="32">
        <f t="shared" si="8"/>
        <v>12</v>
      </c>
      <c r="N102" s="32">
        <f t="shared" si="8"/>
        <v>650000</v>
      </c>
      <c r="O102" s="32">
        <f t="shared" si="8"/>
        <v>30000</v>
      </c>
      <c r="P102" s="32">
        <f t="shared" si="8"/>
        <v>20000</v>
      </c>
      <c r="Q102" s="32">
        <f t="shared" si="8"/>
        <v>0</v>
      </c>
      <c r="R102" s="32">
        <f t="shared" si="8"/>
        <v>95000</v>
      </c>
      <c r="S102" s="32">
        <f t="shared" si="8"/>
        <v>76666</v>
      </c>
      <c r="T102" s="32">
        <f t="shared" si="8"/>
        <v>0</v>
      </c>
      <c r="U102" s="32">
        <f t="shared" si="8"/>
        <v>105000</v>
      </c>
      <c r="V102" s="32">
        <f t="shared" si="8"/>
        <v>66667</v>
      </c>
      <c r="W102" s="32">
        <f t="shared" si="8"/>
        <v>20000</v>
      </c>
      <c r="X102" s="32">
        <f t="shared" si="8"/>
        <v>70000</v>
      </c>
      <c r="Y102" s="32">
        <f t="shared" si="8"/>
        <v>106667</v>
      </c>
      <c r="Z102" s="32">
        <f t="shared" si="8"/>
        <v>60000</v>
      </c>
    </row>
    <row r="103" spans="1:26" ht="18" x14ac:dyDescent="0.25">
      <c r="A103" s="30" t="str">
        <f>CONCATENATE(B18," ",C18)</f>
        <v>Objective 2 Productive Development</v>
      </c>
      <c r="B103" s="30"/>
      <c r="C103" s="31"/>
      <c r="D103" s="31"/>
      <c r="E103" s="29"/>
      <c r="F103" s="29"/>
      <c r="G103" s="29"/>
      <c r="H103" s="29"/>
      <c r="I103" s="29"/>
      <c r="J103" s="29"/>
      <c r="K103" s="29"/>
      <c r="L103" s="29"/>
      <c r="M103" s="29"/>
      <c r="N103" s="29"/>
      <c r="O103" s="29" t="s">
        <v>5</v>
      </c>
      <c r="P103" s="29"/>
      <c r="Q103" s="29"/>
      <c r="R103" s="29"/>
      <c r="S103" s="29"/>
      <c r="T103" s="29"/>
      <c r="U103" s="29"/>
      <c r="V103" s="29"/>
      <c r="W103" s="29"/>
      <c r="X103" s="29"/>
      <c r="Y103" s="29"/>
      <c r="Z103" s="29"/>
    </row>
    <row r="104" spans="1:26" ht="60" x14ac:dyDescent="0.25">
      <c r="A104" s="92" t="s">
        <v>261</v>
      </c>
      <c r="B104" s="92" t="s">
        <v>13</v>
      </c>
      <c r="C104" s="92" t="s">
        <v>14</v>
      </c>
      <c r="D104" s="133" t="s">
        <v>286</v>
      </c>
      <c r="E104" s="32" t="s">
        <v>16</v>
      </c>
      <c r="F104" s="32" t="s">
        <v>295</v>
      </c>
      <c r="G104" s="32" t="s">
        <v>39</v>
      </c>
      <c r="H104" s="32" t="s">
        <v>297</v>
      </c>
      <c r="I104" s="32" t="s">
        <v>298</v>
      </c>
      <c r="J104" s="32" t="s">
        <v>299</v>
      </c>
      <c r="K104" s="32" t="s">
        <v>300</v>
      </c>
      <c r="L104" s="32" t="s">
        <v>17</v>
      </c>
      <c r="M104" s="32" t="s">
        <v>18</v>
      </c>
      <c r="N104" s="32" t="s">
        <v>19</v>
      </c>
      <c r="O104" s="66">
        <v>43101</v>
      </c>
      <c r="P104" s="66">
        <v>43132</v>
      </c>
      <c r="Q104" s="66">
        <v>43160</v>
      </c>
      <c r="R104" s="66">
        <v>43191</v>
      </c>
      <c r="S104" s="66">
        <v>43221</v>
      </c>
      <c r="T104" s="66">
        <v>43252</v>
      </c>
      <c r="U104" s="66">
        <v>43282</v>
      </c>
      <c r="V104" s="66">
        <v>43313</v>
      </c>
      <c r="W104" s="66">
        <v>43344</v>
      </c>
      <c r="X104" s="66">
        <v>43374</v>
      </c>
      <c r="Y104" s="66">
        <v>43405</v>
      </c>
      <c r="Z104" s="66">
        <v>43435</v>
      </c>
    </row>
    <row r="105" spans="1:26" ht="15" x14ac:dyDescent="0.25">
      <c r="A105" s="93" t="s">
        <v>1954</v>
      </c>
      <c r="B105" s="7" t="s">
        <v>34</v>
      </c>
      <c r="C105" s="7" t="s">
        <v>1061</v>
      </c>
      <c r="D105" s="145"/>
      <c r="E105" s="11" t="s">
        <v>216</v>
      </c>
      <c r="F105" s="11" t="s">
        <v>292</v>
      </c>
      <c r="G105" s="11" t="s">
        <v>1071</v>
      </c>
      <c r="H105" s="136" t="s">
        <v>44</v>
      </c>
      <c r="I105" s="136" t="s">
        <v>45</v>
      </c>
      <c r="J105" s="136" t="s">
        <v>195</v>
      </c>
      <c r="K105" s="136" t="s">
        <v>195</v>
      </c>
      <c r="L105" s="11">
        <v>8</v>
      </c>
      <c r="M105" s="11"/>
      <c r="N105" s="168">
        <f>SUM(O105:Z105)</f>
        <v>200000</v>
      </c>
      <c r="O105" s="11"/>
      <c r="P105" s="11"/>
      <c r="Q105" s="11"/>
      <c r="R105" s="11"/>
      <c r="S105" s="11">
        <v>50000</v>
      </c>
      <c r="T105" s="11"/>
      <c r="U105" s="11">
        <v>50000</v>
      </c>
      <c r="V105" s="11"/>
      <c r="W105" s="11">
        <v>50000</v>
      </c>
      <c r="X105" s="11"/>
      <c r="Y105" s="11">
        <v>50000</v>
      </c>
      <c r="Z105" s="11"/>
    </row>
    <row r="106" spans="1:26" ht="15" x14ac:dyDescent="0.25">
      <c r="A106" s="93" t="s">
        <v>1956</v>
      </c>
      <c r="B106" s="7" t="s">
        <v>36</v>
      </c>
      <c r="C106" s="7" t="s">
        <v>1062</v>
      </c>
      <c r="D106" s="145"/>
      <c r="E106" s="11" t="s">
        <v>216</v>
      </c>
      <c r="F106" s="11" t="s">
        <v>288</v>
      </c>
      <c r="G106" s="11" t="s">
        <v>1071</v>
      </c>
      <c r="H106" s="136" t="s">
        <v>44</v>
      </c>
      <c r="I106" s="136" t="s">
        <v>45</v>
      </c>
      <c r="J106" s="136" t="s">
        <v>195</v>
      </c>
      <c r="K106" s="136" t="s">
        <v>195</v>
      </c>
      <c r="L106" s="11">
        <v>8</v>
      </c>
      <c r="M106" s="11"/>
      <c r="N106" s="168">
        <f t="shared" ref="N106:N108" si="9">SUM(O106:Z106)</f>
        <v>100000</v>
      </c>
      <c r="O106" s="11"/>
      <c r="P106" s="11"/>
      <c r="Q106" s="11"/>
      <c r="R106" s="11"/>
      <c r="S106" s="11"/>
      <c r="T106" s="11">
        <v>35000</v>
      </c>
      <c r="U106" s="11"/>
      <c r="V106" s="11"/>
      <c r="W106" s="11">
        <v>35000</v>
      </c>
      <c r="X106" s="11"/>
      <c r="Y106" s="11">
        <v>30000</v>
      </c>
      <c r="Z106" s="11"/>
    </row>
    <row r="107" spans="1:26" ht="15" x14ac:dyDescent="0.25">
      <c r="A107" s="93" t="s">
        <v>1958</v>
      </c>
      <c r="B107" s="7" t="s">
        <v>698</v>
      </c>
      <c r="C107" s="7" t="s">
        <v>1042</v>
      </c>
      <c r="D107" s="145"/>
      <c r="E107" s="11" t="s">
        <v>216</v>
      </c>
      <c r="F107" s="11" t="s">
        <v>288</v>
      </c>
      <c r="G107" s="11" t="s">
        <v>1071</v>
      </c>
      <c r="H107" s="136" t="s">
        <v>44</v>
      </c>
      <c r="I107" s="136" t="s">
        <v>45</v>
      </c>
      <c r="J107" s="136" t="s">
        <v>195</v>
      </c>
      <c r="K107" s="136" t="s">
        <v>195</v>
      </c>
      <c r="L107" s="11">
        <v>8</v>
      </c>
      <c r="M107" s="11"/>
      <c r="N107" s="168">
        <f t="shared" si="9"/>
        <v>100000</v>
      </c>
      <c r="O107" s="11"/>
      <c r="P107" s="11"/>
      <c r="Q107" s="11"/>
      <c r="R107" s="11"/>
      <c r="S107" s="11"/>
      <c r="T107" s="11"/>
      <c r="U107" s="11">
        <v>40000</v>
      </c>
      <c r="V107" s="11"/>
      <c r="W107" s="11">
        <v>30000</v>
      </c>
      <c r="X107" s="11"/>
      <c r="Y107" s="11">
        <v>30000</v>
      </c>
      <c r="Z107" s="11"/>
    </row>
    <row r="108" spans="1:26" ht="15" x14ac:dyDescent="0.25">
      <c r="A108" s="93"/>
      <c r="B108" s="93"/>
      <c r="C108" s="93"/>
      <c r="D108" s="145"/>
      <c r="E108" s="11"/>
      <c r="F108" s="11"/>
      <c r="G108" s="145"/>
      <c r="H108" s="136"/>
      <c r="I108" s="136"/>
      <c r="J108" s="136"/>
      <c r="K108" s="136"/>
      <c r="L108" s="11"/>
      <c r="M108" s="11"/>
      <c r="N108" s="168">
        <f t="shared" si="9"/>
        <v>0</v>
      </c>
      <c r="O108" s="11"/>
      <c r="P108" s="11"/>
      <c r="Q108" s="11"/>
      <c r="R108" s="11"/>
      <c r="S108" s="11"/>
      <c r="T108" s="11"/>
      <c r="U108" s="11"/>
      <c r="V108" s="11"/>
      <c r="W108" s="11"/>
      <c r="X108" s="11"/>
      <c r="Y108" s="11"/>
      <c r="Z108" s="11"/>
    </row>
    <row r="109" spans="1:26" s="35" customFormat="1" ht="22.5" customHeight="1" x14ac:dyDescent="0.25">
      <c r="A109" s="33"/>
      <c r="B109" s="34"/>
      <c r="C109" s="34"/>
      <c r="D109" s="34"/>
      <c r="E109" s="50"/>
      <c r="F109" s="50"/>
      <c r="G109" s="50"/>
      <c r="H109" s="50"/>
      <c r="I109" s="50"/>
      <c r="J109" s="51" t="s">
        <v>20</v>
      </c>
      <c r="K109" s="50"/>
      <c r="L109" s="32">
        <f t="shared" ref="L109:Z109" si="10">SUM(L105:L108)</f>
        <v>24</v>
      </c>
      <c r="M109" s="32">
        <f t="shared" si="10"/>
        <v>0</v>
      </c>
      <c r="N109" s="32">
        <f t="shared" si="10"/>
        <v>400000</v>
      </c>
      <c r="O109" s="32">
        <f t="shared" si="10"/>
        <v>0</v>
      </c>
      <c r="P109" s="32">
        <f t="shared" si="10"/>
        <v>0</v>
      </c>
      <c r="Q109" s="32">
        <f t="shared" si="10"/>
        <v>0</v>
      </c>
      <c r="R109" s="32">
        <f t="shared" si="10"/>
        <v>0</v>
      </c>
      <c r="S109" s="32">
        <f t="shared" si="10"/>
        <v>50000</v>
      </c>
      <c r="T109" s="32">
        <f t="shared" si="10"/>
        <v>35000</v>
      </c>
      <c r="U109" s="32">
        <f t="shared" si="10"/>
        <v>90000</v>
      </c>
      <c r="V109" s="32">
        <f t="shared" si="10"/>
        <v>0</v>
      </c>
      <c r="W109" s="32">
        <f t="shared" si="10"/>
        <v>115000</v>
      </c>
      <c r="X109" s="32">
        <f t="shared" si="10"/>
        <v>0</v>
      </c>
      <c r="Y109" s="32">
        <f t="shared" si="10"/>
        <v>110000</v>
      </c>
      <c r="Z109" s="32">
        <f t="shared" si="10"/>
        <v>0</v>
      </c>
    </row>
    <row r="110" spans="1:26" ht="18" x14ac:dyDescent="0.25">
      <c r="A110" s="30" t="str">
        <f>CONCATENATE(B19," ",C19)</f>
        <v>Objective 3 Promote Healty Life Style</v>
      </c>
      <c r="B110" s="30"/>
      <c r="C110" s="31"/>
      <c r="D110" s="31"/>
      <c r="E110" s="29"/>
      <c r="F110" s="29"/>
      <c r="G110" s="29"/>
      <c r="H110" s="29"/>
      <c r="I110" s="29"/>
      <c r="J110" s="29"/>
      <c r="K110" s="29"/>
      <c r="L110" s="29"/>
      <c r="M110" s="29"/>
      <c r="N110" s="29"/>
      <c r="O110" s="29" t="s">
        <v>5</v>
      </c>
      <c r="P110" s="29"/>
      <c r="Q110" s="29"/>
      <c r="R110" s="29"/>
      <c r="S110" s="29"/>
      <c r="T110" s="29"/>
      <c r="U110" s="29"/>
      <c r="V110" s="29"/>
      <c r="W110" s="29"/>
      <c r="X110" s="29"/>
      <c r="Y110" s="29"/>
      <c r="Z110" s="29"/>
    </row>
    <row r="111" spans="1:26" ht="60" x14ac:dyDescent="0.25">
      <c r="A111" s="92" t="s">
        <v>261</v>
      </c>
      <c r="B111" s="92" t="s">
        <v>13</v>
      </c>
      <c r="C111" s="92" t="s">
        <v>14</v>
      </c>
      <c r="D111" s="133" t="s">
        <v>286</v>
      </c>
      <c r="E111" s="32" t="s">
        <v>16</v>
      </c>
      <c r="F111" s="32" t="s">
        <v>295</v>
      </c>
      <c r="G111" s="32" t="s">
        <v>39</v>
      </c>
      <c r="H111" s="32" t="s">
        <v>297</v>
      </c>
      <c r="I111" s="32" t="s">
        <v>298</v>
      </c>
      <c r="J111" s="32" t="s">
        <v>299</v>
      </c>
      <c r="K111" s="32" t="s">
        <v>300</v>
      </c>
      <c r="L111" s="32" t="s">
        <v>17</v>
      </c>
      <c r="M111" s="32" t="s">
        <v>18</v>
      </c>
      <c r="N111" s="32" t="s">
        <v>19</v>
      </c>
      <c r="O111" s="66">
        <v>43101</v>
      </c>
      <c r="P111" s="66">
        <v>43132</v>
      </c>
      <c r="Q111" s="66">
        <v>43160</v>
      </c>
      <c r="R111" s="66">
        <v>43191</v>
      </c>
      <c r="S111" s="66">
        <v>43221</v>
      </c>
      <c r="T111" s="66">
        <v>43252</v>
      </c>
      <c r="U111" s="66">
        <v>43282</v>
      </c>
      <c r="V111" s="66">
        <v>43313</v>
      </c>
      <c r="W111" s="66">
        <v>43344</v>
      </c>
      <c r="X111" s="66">
        <v>43374</v>
      </c>
      <c r="Y111" s="66">
        <v>43405</v>
      </c>
      <c r="Z111" s="66">
        <v>43435</v>
      </c>
    </row>
    <row r="112" spans="1:26" ht="15" x14ac:dyDescent="0.25">
      <c r="A112" s="93" t="s">
        <v>1960</v>
      </c>
      <c r="B112" s="7" t="s">
        <v>34</v>
      </c>
      <c r="C112" s="7" t="s">
        <v>1063</v>
      </c>
      <c r="D112" s="145"/>
      <c r="E112" s="11" t="s">
        <v>216</v>
      </c>
      <c r="F112" s="11" t="s">
        <v>288</v>
      </c>
      <c r="G112" s="11" t="s">
        <v>1075</v>
      </c>
      <c r="H112" s="136" t="s">
        <v>44</v>
      </c>
      <c r="I112" s="136" t="s">
        <v>45</v>
      </c>
      <c r="J112" s="136" t="s">
        <v>195</v>
      </c>
      <c r="K112" s="136" t="s">
        <v>195</v>
      </c>
      <c r="L112" s="11">
        <v>6</v>
      </c>
      <c r="M112" s="11"/>
      <c r="N112" s="168">
        <f>SUM(O112:Z112)</f>
        <v>40000</v>
      </c>
      <c r="O112" s="11"/>
      <c r="P112" s="11"/>
      <c r="Q112" s="11"/>
      <c r="R112" s="11"/>
      <c r="S112" s="11"/>
      <c r="T112" s="11">
        <v>13333</v>
      </c>
      <c r="U112" s="11"/>
      <c r="V112" s="11"/>
      <c r="W112" s="11">
        <v>13333</v>
      </c>
      <c r="X112" s="11"/>
      <c r="Y112" s="11">
        <v>13334</v>
      </c>
      <c r="Z112" s="11"/>
    </row>
    <row r="113" spans="1:27" ht="15" x14ac:dyDescent="0.25">
      <c r="A113" s="93" t="s">
        <v>1962</v>
      </c>
      <c r="B113" s="7" t="s">
        <v>36</v>
      </c>
      <c r="C113" s="7" t="s">
        <v>1064</v>
      </c>
      <c r="D113" s="145"/>
      <c r="E113" s="11" t="s">
        <v>216</v>
      </c>
      <c r="F113" s="11" t="s">
        <v>288</v>
      </c>
      <c r="G113" s="11" t="s">
        <v>1075</v>
      </c>
      <c r="H113" s="136" t="s">
        <v>44</v>
      </c>
      <c r="I113" s="136" t="s">
        <v>45</v>
      </c>
      <c r="J113" s="136" t="s">
        <v>195</v>
      </c>
      <c r="K113" s="136" t="s">
        <v>195</v>
      </c>
      <c r="L113" s="11">
        <v>6</v>
      </c>
      <c r="M113" s="11"/>
      <c r="N113" s="168">
        <f t="shared" ref="N113:N117" si="11">SUM(O113:Z113)</f>
        <v>25000</v>
      </c>
      <c r="O113" s="11"/>
      <c r="P113" s="11"/>
      <c r="Q113" s="11"/>
      <c r="R113" s="11"/>
      <c r="S113" s="11"/>
      <c r="T113" s="11">
        <v>8333</v>
      </c>
      <c r="U113" s="11"/>
      <c r="V113" s="11"/>
      <c r="W113" s="11">
        <v>8333</v>
      </c>
      <c r="X113" s="11"/>
      <c r="Y113" s="11">
        <v>8334</v>
      </c>
      <c r="Z113" s="11"/>
    </row>
    <row r="114" spans="1:27" ht="15" x14ac:dyDescent="0.25">
      <c r="A114" s="93" t="s">
        <v>1964</v>
      </c>
      <c r="B114" s="7" t="s">
        <v>698</v>
      </c>
      <c r="C114" s="7" t="s">
        <v>1065</v>
      </c>
      <c r="D114" s="145"/>
      <c r="E114" s="11" t="s">
        <v>216</v>
      </c>
      <c r="F114" s="11" t="s">
        <v>292</v>
      </c>
      <c r="G114" s="11" t="s">
        <v>1075</v>
      </c>
      <c r="H114" s="136" t="s">
        <v>44</v>
      </c>
      <c r="I114" s="136" t="s">
        <v>45</v>
      </c>
      <c r="J114" s="136" t="s">
        <v>195</v>
      </c>
      <c r="K114" s="136" t="s">
        <v>195</v>
      </c>
      <c r="L114" s="11">
        <v>6</v>
      </c>
      <c r="M114" s="11"/>
      <c r="N114" s="168">
        <f t="shared" si="11"/>
        <v>80000</v>
      </c>
      <c r="O114" s="11"/>
      <c r="P114" s="11"/>
      <c r="Q114" s="11"/>
      <c r="R114" s="11"/>
      <c r="S114" s="11">
        <v>30000</v>
      </c>
      <c r="T114" s="11"/>
      <c r="U114" s="11"/>
      <c r="V114" s="11">
        <v>30000</v>
      </c>
      <c r="W114" s="11"/>
      <c r="X114" s="11"/>
      <c r="Y114" s="11">
        <v>20000</v>
      </c>
      <c r="Z114" s="11"/>
    </row>
    <row r="115" spans="1:27" ht="15" x14ac:dyDescent="0.25">
      <c r="A115" s="93" t="s">
        <v>1966</v>
      </c>
      <c r="B115" s="7" t="s">
        <v>709</v>
      </c>
      <c r="C115" s="7" t="s">
        <v>1066</v>
      </c>
      <c r="D115" s="145"/>
      <c r="E115" s="11" t="s">
        <v>216</v>
      </c>
      <c r="F115" s="11" t="s">
        <v>292</v>
      </c>
      <c r="G115" s="11" t="s">
        <v>1075</v>
      </c>
      <c r="H115" s="136" t="s">
        <v>44</v>
      </c>
      <c r="I115" s="136" t="s">
        <v>45</v>
      </c>
      <c r="J115" s="136" t="s">
        <v>195</v>
      </c>
      <c r="K115" s="136" t="s">
        <v>195</v>
      </c>
      <c r="L115" s="11">
        <v>6</v>
      </c>
      <c r="M115" s="11"/>
      <c r="N115" s="168">
        <f t="shared" si="11"/>
        <v>25000</v>
      </c>
      <c r="O115" s="11"/>
      <c r="P115" s="11"/>
      <c r="Q115" s="11"/>
      <c r="R115" s="11"/>
      <c r="S115" s="11"/>
      <c r="T115" s="11"/>
      <c r="U115" s="11"/>
      <c r="V115" s="11"/>
      <c r="W115" s="11"/>
      <c r="X115" s="11">
        <v>20000</v>
      </c>
      <c r="Y115" s="11">
        <v>5000</v>
      </c>
      <c r="Z115" s="11"/>
    </row>
    <row r="116" spans="1:27" s="985" customFormat="1" ht="15" x14ac:dyDescent="0.25">
      <c r="A116" s="958" t="s">
        <v>1968</v>
      </c>
      <c r="B116" s="982" t="s">
        <v>712</v>
      </c>
      <c r="C116" s="982" t="s">
        <v>1067</v>
      </c>
      <c r="D116" s="975"/>
      <c r="E116" s="963" t="s">
        <v>216</v>
      </c>
      <c r="F116" s="963" t="s">
        <v>288</v>
      </c>
      <c r="G116" s="984" t="s">
        <v>1075</v>
      </c>
      <c r="H116" s="963" t="s">
        <v>44</v>
      </c>
      <c r="I116" s="963" t="s">
        <v>45</v>
      </c>
      <c r="J116" s="963" t="s">
        <v>195</v>
      </c>
      <c r="K116" s="963" t="s">
        <v>195</v>
      </c>
      <c r="L116" s="963">
        <v>6</v>
      </c>
      <c r="M116" s="963"/>
      <c r="N116" s="983">
        <f t="shared" si="11"/>
        <v>80000</v>
      </c>
      <c r="O116" s="963"/>
      <c r="P116" s="963"/>
      <c r="Q116" s="963"/>
      <c r="R116" s="963"/>
      <c r="S116" s="963"/>
      <c r="T116" s="963">
        <v>26666</v>
      </c>
      <c r="U116" s="963"/>
      <c r="V116" s="963"/>
      <c r="W116" s="963">
        <v>26666</v>
      </c>
      <c r="X116" s="963"/>
      <c r="Y116" s="963">
        <v>26668</v>
      </c>
      <c r="Z116" s="963"/>
    </row>
    <row r="117" spans="1:27" ht="15" x14ac:dyDescent="0.25">
      <c r="A117" s="93"/>
      <c r="B117" s="93"/>
      <c r="C117" s="93"/>
      <c r="D117" s="145"/>
      <c r="E117" s="11"/>
      <c r="F117" s="11"/>
      <c r="G117" s="53"/>
      <c r="H117" s="11"/>
      <c r="I117" s="11"/>
      <c r="J117" s="11"/>
      <c r="K117" s="11"/>
      <c r="L117" s="11"/>
      <c r="M117" s="11"/>
      <c r="N117" s="168">
        <f t="shared" si="11"/>
        <v>0</v>
      </c>
      <c r="O117" s="11"/>
      <c r="P117" s="11"/>
      <c r="Q117" s="11"/>
      <c r="R117" s="11"/>
      <c r="S117" s="11"/>
      <c r="T117" s="11"/>
      <c r="U117" s="11"/>
      <c r="V117" s="11"/>
      <c r="W117" s="11"/>
      <c r="X117" s="11"/>
      <c r="Y117" s="11"/>
      <c r="Z117" s="11"/>
    </row>
    <row r="118" spans="1:27" ht="20.25" x14ac:dyDescent="0.25">
      <c r="A118" s="93"/>
      <c r="B118" s="93"/>
      <c r="C118" s="93"/>
      <c r="D118" s="145"/>
      <c r="E118" s="11"/>
      <c r="F118" s="11"/>
      <c r="G118" s="45"/>
      <c r="H118" s="11"/>
      <c r="I118" s="11"/>
      <c r="J118" s="11"/>
      <c r="K118" s="68" t="s">
        <v>20</v>
      </c>
      <c r="L118" s="32">
        <f>SUM(L111:L115)</f>
        <v>24</v>
      </c>
      <c r="M118" s="32">
        <f>SUM(M111:M115)</f>
        <v>0</v>
      </c>
      <c r="N118" s="32">
        <f t="shared" ref="N118" si="12">SUM(N112:N117)</f>
        <v>250000</v>
      </c>
      <c r="O118" s="137">
        <f>SUM(O112:O117)</f>
        <v>0</v>
      </c>
      <c r="P118" s="137">
        <f t="shared" ref="P118:Z118" si="13">SUM(P112:P117)</f>
        <v>0</v>
      </c>
      <c r="Q118" s="137">
        <f t="shared" si="13"/>
        <v>0</v>
      </c>
      <c r="R118" s="137">
        <f t="shared" si="13"/>
        <v>0</v>
      </c>
      <c r="S118" s="137">
        <f t="shared" si="13"/>
        <v>30000</v>
      </c>
      <c r="T118" s="137">
        <f t="shared" si="13"/>
        <v>48332</v>
      </c>
      <c r="U118" s="137">
        <f t="shared" si="13"/>
        <v>0</v>
      </c>
      <c r="V118" s="137">
        <f t="shared" si="13"/>
        <v>30000</v>
      </c>
      <c r="W118" s="137">
        <f t="shared" si="13"/>
        <v>48332</v>
      </c>
      <c r="X118" s="137">
        <f t="shared" si="13"/>
        <v>20000</v>
      </c>
      <c r="Y118" s="137">
        <f t="shared" si="13"/>
        <v>73336</v>
      </c>
      <c r="Z118" s="137">
        <f t="shared" si="13"/>
        <v>0</v>
      </c>
      <c r="AA118" s="35"/>
    </row>
    <row r="119" spans="1:27" ht="18" outlineLevel="1" x14ac:dyDescent="0.25">
      <c r="A119" s="30" t="str">
        <f>CONCATENATE(B20," ",C20)</f>
        <v>Objective 4 Indigenous Community Development</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7" ht="41.45" customHeight="1" outlineLevel="1" x14ac:dyDescent="0.25">
      <c r="A120" s="92"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7" ht="15" customHeight="1" outlineLevel="1" x14ac:dyDescent="0.25">
      <c r="A121" s="93" t="s">
        <v>1970</v>
      </c>
      <c r="B121" s="7" t="s">
        <v>34</v>
      </c>
      <c r="C121" s="7" t="s">
        <v>1068</v>
      </c>
      <c r="D121" s="145"/>
      <c r="E121" s="11" t="s">
        <v>216</v>
      </c>
      <c r="F121" s="11" t="s">
        <v>292</v>
      </c>
      <c r="G121" s="11" t="s">
        <v>1150</v>
      </c>
      <c r="H121" s="136" t="s">
        <v>44</v>
      </c>
      <c r="I121" s="136" t="s">
        <v>45</v>
      </c>
      <c r="J121" s="136" t="s">
        <v>195</v>
      </c>
      <c r="K121" s="136" t="s">
        <v>195</v>
      </c>
      <c r="L121" s="11">
        <v>6</v>
      </c>
      <c r="M121" s="11"/>
      <c r="N121" s="168">
        <f>SUM(O121:Z121)</f>
        <v>30000</v>
      </c>
      <c r="O121" s="11"/>
      <c r="P121" s="11"/>
      <c r="Q121" s="11"/>
      <c r="R121" s="11"/>
      <c r="S121" s="11"/>
      <c r="T121" s="11"/>
      <c r="U121" s="11"/>
      <c r="V121" s="11">
        <v>20000</v>
      </c>
      <c r="W121" s="11"/>
      <c r="X121" s="11"/>
      <c r="Y121" s="11">
        <v>10000</v>
      </c>
      <c r="Z121" s="11"/>
    </row>
    <row r="122" spans="1:27" ht="15" customHeight="1" outlineLevel="1" x14ac:dyDescent="0.25">
      <c r="A122" s="93" t="s">
        <v>1972</v>
      </c>
      <c r="B122" s="7" t="s">
        <v>36</v>
      </c>
      <c r="C122" s="7" t="s">
        <v>1069</v>
      </c>
      <c r="D122" s="145"/>
      <c r="E122" s="11" t="s">
        <v>216</v>
      </c>
      <c r="F122" s="11" t="s">
        <v>292</v>
      </c>
      <c r="G122" s="11" t="s">
        <v>1075</v>
      </c>
      <c r="H122" s="136" t="s">
        <v>44</v>
      </c>
      <c r="I122" s="136" t="s">
        <v>45</v>
      </c>
      <c r="J122" s="136" t="s">
        <v>195</v>
      </c>
      <c r="K122" s="136" t="s">
        <v>195</v>
      </c>
      <c r="L122" s="11">
        <v>8</v>
      </c>
      <c r="M122" s="11"/>
      <c r="N122" s="168">
        <f t="shared" ref="N122:N123" si="14">SUM(O122:Z122)</f>
        <v>50000</v>
      </c>
      <c r="O122" s="11"/>
      <c r="P122" s="11"/>
      <c r="Q122" s="11"/>
      <c r="R122" s="11"/>
      <c r="S122" s="11">
        <v>20000</v>
      </c>
      <c r="T122" s="11"/>
      <c r="U122" s="11">
        <v>20000</v>
      </c>
      <c r="V122" s="11"/>
      <c r="W122" s="11"/>
      <c r="X122" s="11"/>
      <c r="Y122" s="11">
        <v>10000</v>
      </c>
      <c r="Z122" s="11"/>
    </row>
    <row r="123" spans="1:27" ht="15" customHeight="1" outlineLevel="1" x14ac:dyDescent="0.25">
      <c r="A123" s="93" t="s">
        <v>1974</v>
      </c>
      <c r="B123" s="7" t="s">
        <v>698</v>
      </c>
      <c r="C123" s="7" t="s">
        <v>1070</v>
      </c>
      <c r="D123" s="145"/>
      <c r="E123" s="11" t="s">
        <v>216</v>
      </c>
      <c r="F123" s="11" t="s">
        <v>288</v>
      </c>
      <c r="G123" s="11" t="s">
        <v>1071</v>
      </c>
      <c r="H123" s="136" t="s">
        <v>44</v>
      </c>
      <c r="I123" s="136" t="s">
        <v>45</v>
      </c>
      <c r="J123" s="136" t="s">
        <v>195</v>
      </c>
      <c r="K123" s="136" t="s">
        <v>195</v>
      </c>
      <c r="L123" s="11">
        <v>6</v>
      </c>
      <c r="M123" s="11"/>
      <c r="N123" s="168">
        <f t="shared" si="14"/>
        <v>50000</v>
      </c>
      <c r="O123" s="11"/>
      <c r="P123" s="11"/>
      <c r="Q123" s="11"/>
      <c r="R123" s="11"/>
      <c r="S123" s="11"/>
      <c r="T123" s="11">
        <v>20000</v>
      </c>
      <c r="U123" s="11"/>
      <c r="V123" s="11"/>
      <c r="W123" s="11">
        <v>20000</v>
      </c>
      <c r="X123" s="11"/>
      <c r="Y123" s="11"/>
      <c r="Z123" s="11">
        <v>10000</v>
      </c>
    </row>
    <row r="124" spans="1:27" ht="15" hidden="1" customHeight="1" outlineLevel="1" x14ac:dyDescent="0.25">
      <c r="A124"/>
      <c r="B124" s="93"/>
      <c r="C124" s="93"/>
      <c r="D124" s="93"/>
      <c r="E124" s="145"/>
      <c r="F124" s="11"/>
      <c r="G124" s="11"/>
      <c r="H124" s="136"/>
      <c r="I124" s="136"/>
      <c r="J124" s="136"/>
      <c r="K124" s="136"/>
      <c r="L124" s="11"/>
      <c r="M124" s="11"/>
      <c r="N124" s="11"/>
      <c r="O124" s="11">
        <v>0</v>
      </c>
      <c r="P124" s="11"/>
      <c r="Q124" s="11"/>
      <c r="R124" s="11"/>
      <c r="S124" s="11"/>
      <c r="T124" s="11"/>
      <c r="U124" s="11"/>
      <c r="V124" s="11"/>
      <c r="W124" s="11"/>
      <c r="X124" s="11"/>
      <c r="Y124" s="11"/>
      <c r="Z124" s="11"/>
      <c r="AA124" s="11"/>
    </row>
    <row r="125" spans="1:27" ht="21" customHeight="1" outlineLevel="1" x14ac:dyDescent="0.25">
      <c r="B125" s="93"/>
      <c r="C125" s="93"/>
      <c r="D125" s="93"/>
      <c r="E125" s="145"/>
      <c r="F125" s="11"/>
      <c r="G125" s="11"/>
      <c r="H125" s="136"/>
      <c r="I125" s="136"/>
      <c r="J125" s="136"/>
      <c r="K125" s="136"/>
      <c r="L125" s="68" t="s">
        <v>20</v>
      </c>
      <c r="M125" s="32">
        <f>SUM(L120:L124)</f>
        <v>20</v>
      </c>
      <c r="N125" s="32">
        <f>SUM(N121:N124)</f>
        <v>130000</v>
      </c>
      <c r="O125" s="32">
        <f t="shared" ref="O125:Z125" si="15">SUM(O121:O124)</f>
        <v>0</v>
      </c>
      <c r="P125" s="32">
        <f t="shared" si="15"/>
        <v>0</v>
      </c>
      <c r="Q125" s="32">
        <f t="shared" si="15"/>
        <v>0</v>
      </c>
      <c r="R125" s="32">
        <f t="shared" si="15"/>
        <v>0</v>
      </c>
      <c r="S125" s="32">
        <f t="shared" si="15"/>
        <v>20000</v>
      </c>
      <c r="T125" s="32">
        <f t="shared" si="15"/>
        <v>20000</v>
      </c>
      <c r="U125" s="32">
        <f t="shared" si="15"/>
        <v>20000</v>
      </c>
      <c r="V125" s="32">
        <f t="shared" si="15"/>
        <v>20000</v>
      </c>
      <c r="W125" s="32">
        <f t="shared" si="15"/>
        <v>20000</v>
      </c>
      <c r="X125" s="32">
        <f t="shared" si="15"/>
        <v>0</v>
      </c>
      <c r="Y125" s="32">
        <f t="shared" si="15"/>
        <v>20000</v>
      </c>
      <c r="Z125" s="32">
        <f t="shared" si="15"/>
        <v>10000</v>
      </c>
      <c r="AA125" s="11"/>
    </row>
    <row r="126" spans="1:27" ht="18" hidden="1" outlineLevel="1" x14ac:dyDescent="0.25">
      <c r="B126" s="30" t="str">
        <f>CONCATENATE(B21," ",C21)</f>
        <v>Objective 5 Emerging and Sustainable Province</v>
      </c>
      <c r="C126" s="30"/>
      <c r="D126" s="31"/>
      <c r="E126" s="31"/>
      <c r="F126" s="29"/>
      <c r="G126" s="29"/>
      <c r="H126" s="29"/>
      <c r="I126" s="29"/>
      <c r="J126" s="29"/>
      <c r="K126" s="29"/>
      <c r="L126" s="29"/>
      <c r="M126" s="29"/>
      <c r="N126" s="29"/>
      <c r="O126" s="29"/>
      <c r="P126" s="29" t="s">
        <v>5</v>
      </c>
      <c r="Q126" s="29"/>
      <c r="R126" s="29"/>
      <c r="S126" s="29"/>
      <c r="T126" s="29"/>
      <c r="U126" s="29"/>
      <c r="V126" s="29"/>
      <c r="W126" s="29"/>
      <c r="X126" s="29"/>
      <c r="Y126" s="29"/>
      <c r="Z126" s="29"/>
      <c r="AA126" s="29"/>
    </row>
    <row r="127" spans="1:27" ht="15" hidden="1" customHeight="1" outlineLevel="1" x14ac:dyDescent="0.25">
      <c r="B127" s="92" t="s">
        <v>261</v>
      </c>
      <c r="C127" s="92" t="s">
        <v>13</v>
      </c>
      <c r="D127" s="92" t="s">
        <v>14</v>
      </c>
      <c r="E127" s="133" t="s">
        <v>286</v>
      </c>
      <c r="F127" s="32" t="s">
        <v>16</v>
      </c>
      <c r="G127" s="32" t="s">
        <v>295</v>
      </c>
      <c r="H127" s="32" t="s">
        <v>39</v>
      </c>
      <c r="I127" s="32" t="s">
        <v>297</v>
      </c>
      <c r="J127" s="32" t="s">
        <v>298</v>
      </c>
      <c r="K127" s="32" t="s">
        <v>299</v>
      </c>
      <c r="L127" s="32" t="s">
        <v>300</v>
      </c>
      <c r="M127" s="32" t="s">
        <v>17</v>
      </c>
      <c r="N127" s="32" t="s">
        <v>18</v>
      </c>
      <c r="O127" s="32" t="s">
        <v>19</v>
      </c>
      <c r="P127" s="66">
        <v>43101</v>
      </c>
      <c r="Q127" s="66">
        <v>43132</v>
      </c>
      <c r="R127" s="66">
        <v>43160</v>
      </c>
      <c r="S127" s="66">
        <v>43191</v>
      </c>
      <c r="T127" s="66">
        <v>43221</v>
      </c>
      <c r="U127" s="66">
        <v>43252</v>
      </c>
      <c r="V127" s="66">
        <v>43282</v>
      </c>
      <c r="W127" s="66">
        <v>43313</v>
      </c>
      <c r="X127" s="66">
        <v>43344</v>
      </c>
      <c r="Y127" s="66">
        <v>43374</v>
      </c>
      <c r="Z127" s="66">
        <v>43405</v>
      </c>
      <c r="AA127" s="66">
        <v>43435</v>
      </c>
    </row>
    <row r="128" spans="1:27" ht="15" hidden="1" customHeight="1" outlineLevel="1" x14ac:dyDescent="0.25">
      <c r="B128" s="93" t="s">
        <v>265</v>
      </c>
      <c r="C128" s="93"/>
      <c r="D128" s="93"/>
      <c r="E128" s="145"/>
      <c r="F128" s="11"/>
      <c r="G128" s="11"/>
      <c r="H128" s="11"/>
      <c r="I128" s="11"/>
      <c r="J128" s="11"/>
      <c r="K128" s="11"/>
      <c r="L128" s="11"/>
      <c r="M128" s="11"/>
      <c r="N128" s="11"/>
      <c r="O128" s="11">
        <v>0</v>
      </c>
      <c r="P128" s="11"/>
      <c r="Q128" s="11"/>
      <c r="R128" s="11"/>
      <c r="S128" s="11"/>
      <c r="T128" s="11"/>
      <c r="U128" s="11"/>
      <c r="V128" s="11"/>
      <c r="W128" s="11"/>
      <c r="X128" s="11"/>
      <c r="Y128" s="11"/>
      <c r="Z128" s="11"/>
      <c r="AA128" s="11"/>
    </row>
    <row r="129" spans="2:27" ht="15" hidden="1" customHeight="1" outlineLevel="1" x14ac:dyDescent="0.25">
      <c r="B129" s="93" t="s">
        <v>266</v>
      </c>
      <c r="C129" s="93"/>
      <c r="D129" s="93"/>
      <c r="E129" s="145"/>
      <c r="F129" s="11"/>
      <c r="G129" s="11"/>
      <c r="H129" s="11"/>
      <c r="I129" s="11"/>
      <c r="J129" s="11"/>
      <c r="K129" s="11"/>
      <c r="L129" s="11"/>
      <c r="M129" s="11"/>
      <c r="N129" s="11"/>
      <c r="O129" s="11">
        <v>0</v>
      </c>
      <c r="P129" s="11"/>
      <c r="Q129" s="11"/>
      <c r="R129" s="11"/>
      <c r="S129" s="11"/>
      <c r="T129" s="11"/>
      <c r="U129" s="11"/>
      <c r="V129" s="11"/>
      <c r="W129" s="11"/>
      <c r="X129" s="11"/>
      <c r="Y129" s="11"/>
      <c r="Z129" s="11"/>
      <c r="AA129" s="11"/>
    </row>
    <row r="130" spans="2:27" ht="15" hidden="1" customHeight="1" outlineLevel="1" x14ac:dyDescent="0.25">
      <c r="B130" s="93" t="s">
        <v>283</v>
      </c>
      <c r="C130" s="93"/>
      <c r="D130" s="93"/>
      <c r="E130" s="145"/>
      <c r="F130" s="11"/>
      <c r="G130" s="11"/>
      <c r="H130" s="11"/>
      <c r="I130" s="11"/>
      <c r="J130" s="11"/>
      <c r="K130" s="11"/>
      <c r="L130" s="11"/>
      <c r="M130" s="11"/>
      <c r="N130" s="11"/>
      <c r="O130" s="11">
        <v>0</v>
      </c>
      <c r="P130" s="11"/>
      <c r="Q130" s="11"/>
      <c r="R130" s="11"/>
      <c r="S130" s="11"/>
      <c r="T130" s="11"/>
      <c r="U130" s="11"/>
      <c r="V130" s="11"/>
      <c r="W130" s="11"/>
      <c r="X130" s="11"/>
      <c r="Y130" s="11"/>
      <c r="Z130" s="11"/>
      <c r="AA130" s="11"/>
    </row>
    <row r="131" spans="2:27" ht="15" hidden="1" customHeight="1" outlineLevel="1" x14ac:dyDescent="0.25">
      <c r="B131" s="93" t="s">
        <v>284</v>
      </c>
      <c r="C131" s="93"/>
      <c r="D131" s="93"/>
      <c r="E131" s="145"/>
      <c r="F131" s="11"/>
      <c r="G131" s="11"/>
      <c r="H131" s="11"/>
      <c r="I131" s="11"/>
      <c r="J131" s="11"/>
      <c r="K131" s="11"/>
      <c r="L131" s="11"/>
      <c r="M131" s="11"/>
      <c r="N131" s="11"/>
      <c r="O131" s="11">
        <v>0</v>
      </c>
      <c r="P131" s="11"/>
      <c r="Q131" s="11"/>
      <c r="R131" s="11"/>
      <c r="S131" s="11"/>
      <c r="T131" s="11"/>
      <c r="U131" s="11"/>
      <c r="V131" s="11"/>
      <c r="W131" s="11"/>
      <c r="X131" s="11"/>
      <c r="Y131" s="11"/>
      <c r="Z131" s="11"/>
      <c r="AA131" s="11"/>
    </row>
    <row r="132" spans="2:27" ht="15" hidden="1" customHeight="1" outlineLevel="1" x14ac:dyDescent="0.25">
      <c r="B132" s="93" t="s">
        <v>285</v>
      </c>
      <c r="C132" s="93"/>
      <c r="D132" s="93"/>
      <c r="E132" s="145"/>
      <c r="F132" s="11"/>
      <c r="G132" s="11"/>
      <c r="H132" s="45"/>
      <c r="I132" s="11"/>
      <c r="J132" s="11"/>
      <c r="K132" s="11"/>
      <c r="L132" s="68" t="s">
        <v>20</v>
      </c>
      <c r="M132" s="32">
        <f>SUM(L127:L131)</f>
        <v>0</v>
      </c>
      <c r="N132" s="32">
        <f>SUM(M127:M131)</f>
        <v>0</v>
      </c>
      <c r="O132" s="11">
        <f>SUM(N128:N131)</f>
        <v>0</v>
      </c>
      <c r="P132" s="11">
        <v>0</v>
      </c>
      <c r="Q132" s="11">
        <v>0</v>
      </c>
      <c r="R132" s="11">
        <v>0</v>
      </c>
      <c r="S132" s="11">
        <v>0</v>
      </c>
      <c r="T132" s="11">
        <v>0</v>
      </c>
      <c r="U132" s="11">
        <v>0</v>
      </c>
      <c r="V132" s="11">
        <v>0</v>
      </c>
      <c r="W132" s="11">
        <v>0</v>
      </c>
      <c r="X132" s="11">
        <v>0</v>
      </c>
      <c r="Y132" s="11">
        <v>0</v>
      </c>
      <c r="Z132" s="11">
        <v>0</v>
      </c>
      <c r="AA132" s="11">
        <v>0</v>
      </c>
    </row>
    <row r="133" spans="2:27" ht="18" hidden="1" outlineLevel="1" x14ac:dyDescent="0.25">
      <c r="B133" s="30" t="str">
        <f>CONCATENATE(B22," ",C22)</f>
        <v xml:space="preserve"> </v>
      </c>
      <c r="C133" s="30"/>
      <c r="D133" s="31"/>
      <c r="E133" s="31"/>
      <c r="F133" s="29"/>
      <c r="G133" s="29"/>
      <c r="H133" s="29"/>
      <c r="I133" s="29"/>
      <c r="J133" s="29"/>
      <c r="K133" s="29"/>
      <c r="L133" s="29"/>
      <c r="M133" s="29"/>
      <c r="N133" s="29"/>
      <c r="O133" s="29"/>
      <c r="P133" s="29" t="s">
        <v>5</v>
      </c>
      <c r="Q133" s="29"/>
      <c r="R133" s="29"/>
      <c r="S133" s="29"/>
      <c r="T133" s="29"/>
      <c r="U133" s="29"/>
      <c r="V133" s="29"/>
      <c r="W133" s="29"/>
      <c r="X133" s="29"/>
      <c r="Y133" s="29"/>
      <c r="Z133" s="29"/>
      <c r="AA133" s="29"/>
    </row>
    <row r="134" spans="2:27" ht="15" hidden="1" customHeight="1" outlineLevel="1" x14ac:dyDescent="0.25">
      <c r="B134" s="92" t="s">
        <v>261</v>
      </c>
      <c r="C134" s="92" t="s">
        <v>13</v>
      </c>
      <c r="D134" s="92" t="s">
        <v>14</v>
      </c>
      <c r="E134" s="133" t="s">
        <v>286</v>
      </c>
      <c r="F134" s="32" t="s">
        <v>16</v>
      </c>
      <c r="G134" s="32" t="s">
        <v>295</v>
      </c>
      <c r="H134" s="32" t="s">
        <v>39</v>
      </c>
      <c r="I134" s="32" t="s">
        <v>297</v>
      </c>
      <c r="J134" s="32" t="s">
        <v>298</v>
      </c>
      <c r="K134" s="32" t="s">
        <v>299</v>
      </c>
      <c r="L134" s="32" t="s">
        <v>300</v>
      </c>
      <c r="M134" s="32" t="s">
        <v>17</v>
      </c>
      <c r="N134" s="32" t="s">
        <v>18</v>
      </c>
      <c r="O134" s="32" t="s">
        <v>19</v>
      </c>
      <c r="P134" s="66">
        <v>43101</v>
      </c>
      <c r="Q134" s="66">
        <v>43132</v>
      </c>
      <c r="R134" s="66">
        <v>43160</v>
      </c>
      <c r="S134" s="66">
        <v>43191</v>
      </c>
      <c r="T134" s="66">
        <v>43221</v>
      </c>
      <c r="U134" s="66">
        <v>43252</v>
      </c>
      <c r="V134" s="66">
        <v>43282</v>
      </c>
      <c r="W134" s="66">
        <v>43313</v>
      </c>
      <c r="X134" s="66">
        <v>43344</v>
      </c>
      <c r="Y134" s="66">
        <v>43374</v>
      </c>
      <c r="Z134" s="66">
        <v>43405</v>
      </c>
      <c r="AA134" s="66">
        <v>43435</v>
      </c>
    </row>
    <row r="135" spans="2:27" ht="15" hidden="1" customHeight="1" outlineLevel="1" x14ac:dyDescent="0.25">
      <c r="B135" s="93" t="s">
        <v>265</v>
      </c>
      <c r="C135" s="93"/>
      <c r="D135" s="93"/>
      <c r="E135" s="145"/>
      <c r="F135" s="11"/>
      <c r="G135" s="11"/>
      <c r="H135" s="11"/>
      <c r="I135" s="11"/>
      <c r="J135" s="11"/>
      <c r="K135" s="11"/>
      <c r="L135" s="11"/>
      <c r="M135" s="11"/>
      <c r="N135" s="11"/>
      <c r="O135" s="11">
        <v>0</v>
      </c>
      <c r="P135" s="11"/>
      <c r="Q135" s="11"/>
      <c r="R135" s="11"/>
      <c r="S135" s="11"/>
      <c r="T135" s="11"/>
      <c r="U135" s="11"/>
      <c r="V135" s="11"/>
      <c r="W135" s="11"/>
      <c r="X135" s="11"/>
      <c r="Y135" s="11"/>
      <c r="Z135" s="11"/>
      <c r="AA135" s="11"/>
    </row>
    <row r="136" spans="2:27" ht="15" hidden="1" customHeight="1" outlineLevel="1" x14ac:dyDescent="0.25">
      <c r="B136" s="93" t="s">
        <v>266</v>
      </c>
      <c r="C136" s="93"/>
      <c r="D136" s="93"/>
      <c r="E136" s="145"/>
      <c r="F136" s="11"/>
      <c r="G136" s="11"/>
      <c r="H136" s="11"/>
      <c r="I136" s="11"/>
      <c r="J136" s="11"/>
      <c r="K136" s="11"/>
      <c r="L136" s="11"/>
      <c r="M136" s="11"/>
      <c r="N136" s="11"/>
      <c r="O136" s="11">
        <v>0</v>
      </c>
      <c r="P136" s="11"/>
      <c r="Q136" s="11"/>
      <c r="R136" s="11"/>
      <c r="S136" s="11"/>
      <c r="T136" s="11"/>
      <c r="U136" s="11"/>
      <c r="V136" s="11"/>
      <c r="W136" s="11"/>
      <c r="X136" s="11"/>
      <c r="Y136" s="11"/>
      <c r="Z136" s="11"/>
      <c r="AA136" s="11"/>
    </row>
    <row r="137" spans="2:27" ht="15" hidden="1" customHeight="1" outlineLevel="1" x14ac:dyDescent="0.25">
      <c r="B137" s="93" t="s">
        <v>283</v>
      </c>
      <c r="C137" s="93"/>
      <c r="D137" s="93"/>
      <c r="E137" s="145"/>
      <c r="F137" s="11"/>
      <c r="G137" s="11"/>
      <c r="H137" s="11"/>
      <c r="I137" s="11"/>
      <c r="J137" s="11"/>
      <c r="K137" s="11"/>
      <c r="L137" s="11"/>
      <c r="M137" s="11"/>
      <c r="N137" s="11"/>
      <c r="O137" s="11">
        <v>0</v>
      </c>
      <c r="P137" s="11"/>
      <c r="Q137" s="11"/>
      <c r="R137" s="11"/>
      <c r="S137" s="11"/>
      <c r="T137" s="11"/>
      <c r="U137" s="11"/>
      <c r="V137" s="11"/>
      <c r="W137" s="11"/>
      <c r="X137" s="11"/>
      <c r="Y137" s="11"/>
      <c r="Z137" s="11"/>
      <c r="AA137" s="11"/>
    </row>
    <row r="138" spans="2:27" ht="15" hidden="1" customHeight="1" outlineLevel="1" x14ac:dyDescent="0.25">
      <c r="B138" s="93" t="s">
        <v>284</v>
      </c>
      <c r="C138" s="93"/>
      <c r="D138" s="93"/>
      <c r="E138" s="145"/>
      <c r="F138" s="11"/>
      <c r="G138" s="11"/>
      <c r="H138" s="11"/>
      <c r="I138" s="11"/>
      <c r="J138" s="11"/>
      <c r="K138" s="11"/>
      <c r="L138" s="11"/>
      <c r="M138" s="11"/>
      <c r="N138" s="11"/>
      <c r="O138" s="11">
        <v>0</v>
      </c>
      <c r="P138" s="11"/>
      <c r="Q138" s="11"/>
      <c r="R138" s="11"/>
      <c r="S138" s="11"/>
      <c r="T138" s="11"/>
      <c r="U138" s="11"/>
      <c r="V138" s="11"/>
      <c r="W138" s="11"/>
      <c r="X138" s="11"/>
      <c r="Y138" s="11"/>
      <c r="Z138" s="11"/>
      <c r="AA138" s="11"/>
    </row>
    <row r="139" spans="2:27" ht="15" hidden="1" customHeight="1" outlineLevel="1" x14ac:dyDescent="0.25">
      <c r="B139" s="93" t="s">
        <v>285</v>
      </c>
      <c r="C139" s="93"/>
      <c r="D139" s="93"/>
      <c r="E139" s="145"/>
      <c r="F139" s="11"/>
      <c r="G139" s="11"/>
      <c r="H139" s="45"/>
      <c r="I139" s="11"/>
      <c r="J139" s="11"/>
      <c r="K139" s="11"/>
      <c r="L139" s="68" t="s">
        <v>20</v>
      </c>
      <c r="M139" s="32">
        <f>SUM(L134:L138)</f>
        <v>0</v>
      </c>
      <c r="N139" s="32">
        <f>SUM(M134:M138)</f>
        <v>0</v>
      </c>
      <c r="O139" s="11">
        <f>SUM(N135:N138)</f>
        <v>0</v>
      </c>
      <c r="P139" s="11">
        <v>0</v>
      </c>
      <c r="Q139" s="11">
        <v>0</v>
      </c>
      <c r="R139" s="11">
        <v>0</v>
      </c>
      <c r="S139" s="11">
        <v>0</v>
      </c>
      <c r="T139" s="11">
        <v>0</v>
      </c>
      <c r="U139" s="11">
        <v>0</v>
      </c>
      <c r="V139" s="11">
        <v>0</v>
      </c>
      <c r="W139" s="11">
        <v>0</v>
      </c>
      <c r="X139" s="11">
        <v>0</v>
      </c>
      <c r="Y139" s="11">
        <v>0</v>
      </c>
      <c r="Z139" s="11">
        <v>0</v>
      </c>
      <c r="AA139" s="11">
        <v>0</v>
      </c>
    </row>
    <row r="140" spans="2:27" ht="18" hidden="1" outlineLevel="1" x14ac:dyDescent="0.25">
      <c r="B140" s="30" t="str">
        <f>CONCATENATE(B23," ",C23)</f>
        <v xml:space="preserve"> </v>
      </c>
      <c r="C140" s="30"/>
      <c r="D140" s="31"/>
      <c r="E140" s="31"/>
      <c r="F140" s="29"/>
      <c r="G140" s="29"/>
      <c r="H140" s="29"/>
      <c r="I140" s="29"/>
      <c r="J140" s="29"/>
      <c r="K140" s="29"/>
      <c r="L140" s="29"/>
      <c r="M140" s="29"/>
      <c r="N140" s="29"/>
      <c r="O140" s="29"/>
      <c r="P140" s="29" t="s">
        <v>5</v>
      </c>
      <c r="Q140" s="29"/>
      <c r="R140" s="29"/>
      <c r="S140" s="29"/>
      <c r="T140" s="29"/>
      <c r="U140" s="29"/>
      <c r="V140" s="29"/>
      <c r="W140" s="29"/>
      <c r="X140" s="29"/>
      <c r="Y140" s="29"/>
      <c r="Z140" s="29"/>
      <c r="AA140" s="29"/>
    </row>
    <row r="141" spans="2:27" ht="15" hidden="1" customHeight="1" outlineLevel="1" x14ac:dyDescent="0.25">
      <c r="B141" s="92" t="s">
        <v>261</v>
      </c>
      <c r="C141" s="92" t="s">
        <v>13</v>
      </c>
      <c r="D141" s="92" t="s">
        <v>14</v>
      </c>
      <c r="E141" s="133" t="s">
        <v>286</v>
      </c>
      <c r="F141" s="32" t="s">
        <v>16</v>
      </c>
      <c r="G141" s="32" t="s">
        <v>295</v>
      </c>
      <c r="H141" s="32" t="s">
        <v>39</v>
      </c>
      <c r="I141" s="32" t="s">
        <v>297</v>
      </c>
      <c r="J141" s="32" t="s">
        <v>298</v>
      </c>
      <c r="K141" s="32" t="s">
        <v>299</v>
      </c>
      <c r="L141" s="32" t="s">
        <v>300</v>
      </c>
      <c r="M141" s="32" t="s">
        <v>17</v>
      </c>
      <c r="N141" s="32" t="s">
        <v>18</v>
      </c>
      <c r="O141" s="32" t="s">
        <v>19</v>
      </c>
      <c r="P141" s="66">
        <v>43101</v>
      </c>
      <c r="Q141" s="66">
        <v>43132</v>
      </c>
      <c r="R141" s="66">
        <v>43160</v>
      </c>
      <c r="S141" s="66">
        <v>43191</v>
      </c>
      <c r="T141" s="66">
        <v>43221</v>
      </c>
      <c r="U141" s="66">
        <v>43252</v>
      </c>
      <c r="V141" s="66">
        <v>43282</v>
      </c>
      <c r="W141" s="66">
        <v>43313</v>
      </c>
      <c r="X141" s="66">
        <v>43344</v>
      </c>
      <c r="Y141" s="66">
        <v>43374</v>
      </c>
      <c r="Z141" s="66">
        <v>43405</v>
      </c>
      <c r="AA141" s="66">
        <v>43435</v>
      </c>
    </row>
    <row r="142" spans="2:27" ht="15" hidden="1" customHeight="1" outlineLevel="1" x14ac:dyDescent="0.25">
      <c r="B142" s="93" t="s">
        <v>265</v>
      </c>
      <c r="C142" s="93"/>
      <c r="D142" s="93"/>
      <c r="E142" s="145"/>
      <c r="F142" s="11"/>
      <c r="G142" s="11"/>
      <c r="H142" s="11"/>
      <c r="I142" s="11"/>
      <c r="J142" s="11"/>
      <c r="K142" s="11"/>
      <c r="L142" s="11"/>
      <c r="M142" s="11"/>
      <c r="N142" s="11"/>
      <c r="O142" s="11">
        <v>0</v>
      </c>
      <c r="P142" s="11"/>
      <c r="Q142" s="11"/>
      <c r="R142" s="11"/>
      <c r="S142" s="11"/>
      <c r="T142" s="11"/>
      <c r="U142" s="11"/>
      <c r="V142" s="11"/>
      <c r="W142" s="11"/>
      <c r="X142" s="11"/>
      <c r="Y142" s="11"/>
      <c r="Z142" s="11"/>
      <c r="AA142" s="11"/>
    </row>
    <row r="143" spans="2:27" ht="15" hidden="1" customHeight="1" outlineLevel="1" x14ac:dyDescent="0.25">
      <c r="B143" s="93" t="s">
        <v>266</v>
      </c>
      <c r="C143" s="93"/>
      <c r="D143" s="93"/>
      <c r="E143" s="145"/>
      <c r="F143" s="11"/>
      <c r="G143" s="11"/>
      <c r="H143" s="11"/>
      <c r="I143" s="11"/>
      <c r="J143" s="11"/>
      <c r="K143" s="11"/>
      <c r="L143" s="11"/>
      <c r="M143" s="11"/>
      <c r="N143" s="11"/>
      <c r="O143" s="11">
        <v>0</v>
      </c>
      <c r="P143" s="11"/>
      <c r="Q143" s="11"/>
      <c r="R143" s="11"/>
      <c r="S143" s="11"/>
      <c r="T143" s="11"/>
      <c r="U143" s="11"/>
      <c r="V143" s="11"/>
      <c r="W143" s="11"/>
      <c r="X143" s="11"/>
      <c r="Y143" s="11"/>
      <c r="Z143" s="11"/>
      <c r="AA143" s="11"/>
    </row>
    <row r="144" spans="2:27" ht="15" hidden="1" customHeight="1" outlineLevel="1" x14ac:dyDescent="0.25">
      <c r="B144" s="93" t="s">
        <v>283</v>
      </c>
      <c r="C144" s="93"/>
      <c r="D144" s="93"/>
      <c r="E144" s="145"/>
      <c r="F144" s="11"/>
      <c r="G144" s="11"/>
      <c r="H144" s="11"/>
      <c r="I144" s="11"/>
      <c r="J144" s="11"/>
      <c r="K144" s="11"/>
      <c r="L144" s="11"/>
      <c r="M144" s="11"/>
      <c r="N144" s="11"/>
      <c r="O144" s="11">
        <v>0</v>
      </c>
      <c r="P144" s="11"/>
      <c r="Q144" s="11"/>
      <c r="R144" s="11"/>
      <c r="S144" s="11"/>
      <c r="T144" s="11"/>
      <c r="U144" s="11"/>
      <c r="V144" s="11"/>
      <c r="W144" s="11"/>
      <c r="X144" s="11"/>
      <c r="Y144" s="11"/>
      <c r="Z144" s="11"/>
      <c r="AA144" s="11"/>
    </row>
    <row r="145" spans="1:27" ht="15" hidden="1" customHeight="1" outlineLevel="1" x14ac:dyDescent="0.25">
      <c r="B145" s="93" t="s">
        <v>284</v>
      </c>
      <c r="C145" s="93"/>
      <c r="D145" s="93"/>
      <c r="E145" s="145"/>
      <c r="F145" s="11"/>
      <c r="G145" s="11"/>
      <c r="H145" s="11"/>
      <c r="I145" s="11"/>
      <c r="J145" s="11"/>
      <c r="K145" s="11"/>
      <c r="L145" s="11"/>
      <c r="M145" s="11"/>
      <c r="N145" s="11"/>
      <c r="O145" s="11">
        <v>0</v>
      </c>
      <c r="P145" s="11"/>
      <c r="Q145" s="11"/>
      <c r="R145" s="11"/>
      <c r="S145" s="11"/>
      <c r="T145" s="11"/>
      <c r="U145" s="11"/>
      <c r="V145" s="11"/>
      <c r="W145" s="11"/>
      <c r="X145" s="11"/>
      <c r="Y145" s="11"/>
      <c r="Z145" s="11"/>
      <c r="AA145" s="11"/>
    </row>
    <row r="146" spans="1:27" ht="15" hidden="1" customHeight="1" outlineLevel="1" x14ac:dyDescent="0.25">
      <c r="B146" s="93" t="s">
        <v>285</v>
      </c>
      <c r="C146" s="93"/>
      <c r="D146" s="93"/>
      <c r="E146" s="145"/>
      <c r="F146" s="11"/>
      <c r="G146" s="11"/>
      <c r="H146" s="45"/>
      <c r="I146" s="11"/>
      <c r="J146" s="11"/>
      <c r="K146" s="11"/>
      <c r="L146" s="68" t="s">
        <v>20</v>
      </c>
      <c r="M146" s="32">
        <f>SUM(L141:L145)</f>
        <v>0</v>
      </c>
      <c r="N146" s="32">
        <f>SUM(M141:M145)</f>
        <v>0</v>
      </c>
      <c r="O146" s="11">
        <f>SUM(N142:N145)</f>
        <v>0</v>
      </c>
      <c r="P146" s="11">
        <v>0</v>
      </c>
      <c r="Q146" s="11">
        <v>0</v>
      </c>
      <c r="R146" s="11">
        <v>0</v>
      </c>
      <c r="S146" s="11">
        <v>0</v>
      </c>
      <c r="T146" s="11">
        <v>0</v>
      </c>
      <c r="U146" s="11">
        <v>0</v>
      </c>
      <c r="V146" s="11">
        <v>0</v>
      </c>
      <c r="W146" s="11">
        <v>0</v>
      </c>
      <c r="X146" s="11">
        <v>0</v>
      </c>
      <c r="Y146" s="11">
        <v>0</v>
      </c>
      <c r="Z146" s="11">
        <v>0</v>
      </c>
      <c r="AA146" s="11">
        <v>0</v>
      </c>
    </row>
    <row r="147" spans="1:27" ht="18" hidden="1" outlineLevel="1" x14ac:dyDescent="0.25">
      <c r="B147" s="30" t="str">
        <f>CONCATENATE(B24," ",C24)</f>
        <v xml:space="preserve"> </v>
      </c>
      <c r="C147" s="30"/>
      <c r="D147" s="31"/>
      <c r="E147" s="31"/>
      <c r="F147" s="29"/>
      <c r="G147" s="29"/>
      <c r="H147" s="29"/>
      <c r="I147" s="29"/>
      <c r="J147" s="29"/>
      <c r="K147" s="29"/>
      <c r="L147" s="29"/>
      <c r="M147" s="29"/>
      <c r="N147" s="29"/>
      <c r="O147" s="29"/>
      <c r="P147" s="29" t="s">
        <v>5</v>
      </c>
      <c r="Q147" s="29"/>
      <c r="R147" s="29"/>
      <c r="S147" s="29"/>
      <c r="T147" s="29"/>
      <c r="U147" s="29"/>
      <c r="V147" s="29"/>
      <c r="W147" s="29"/>
      <c r="X147" s="29"/>
      <c r="Y147" s="29"/>
      <c r="Z147" s="29"/>
      <c r="AA147" s="29"/>
    </row>
    <row r="148" spans="1:27" ht="15" hidden="1" customHeight="1" outlineLevel="1" x14ac:dyDescent="0.25">
      <c r="B148" s="92" t="s">
        <v>261</v>
      </c>
      <c r="C148" s="92" t="s">
        <v>13</v>
      </c>
      <c r="D148" s="92" t="s">
        <v>14</v>
      </c>
      <c r="E148" s="133" t="s">
        <v>286</v>
      </c>
      <c r="F148" s="32" t="s">
        <v>16</v>
      </c>
      <c r="G148" s="32" t="s">
        <v>295</v>
      </c>
      <c r="H148" s="32" t="s">
        <v>39</v>
      </c>
      <c r="I148" s="32" t="s">
        <v>297</v>
      </c>
      <c r="J148" s="32" t="s">
        <v>298</v>
      </c>
      <c r="K148" s="32" t="s">
        <v>299</v>
      </c>
      <c r="L148" s="32" t="s">
        <v>300</v>
      </c>
      <c r="M148" s="32" t="s">
        <v>17</v>
      </c>
      <c r="N148" s="32" t="s">
        <v>18</v>
      </c>
      <c r="O148" s="32" t="s">
        <v>19</v>
      </c>
      <c r="P148" s="66">
        <v>43101</v>
      </c>
      <c r="Q148" s="66">
        <v>43132</v>
      </c>
      <c r="R148" s="66">
        <v>43160</v>
      </c>
      <c r="S148" s="66">
        <v>43191</v>
      </c>
      <c r="T148" s="66">
        <v>43221</v>
      </c>
      <c r="U148" s="66">
        <v>43252</v>
      </c>
      <c r="V148" s="66">
        <v>43282</v>
      </c>
      <c r="W148" s="66">
        <v>43313</v>
      </c>
      <c r="X148" s="66">
        <v>43344</v>
      </c>
      <c r="Y148" s="66">
        <v>43374</v>
      </c>
      <c r="Z148" s="66">
        <v>43405</v>
      </c>
      <c r="AA148" s="66">
        <v>43435</v>
      </c>
    </row>
    <row r="149" spans="1:27" ht="15" hidden="1" customHeight="1" outlineLevel="1" x14ac:dyDescent="0.25">
      <c r="B149" s="93" t="s">
        <v>265</v>
      </c>
      <c r="C149" s="93"/>
      <c r="D149" s="93"/>
      <c r="E149" s="145"/>
      <c r="F149" s="11"/>
      <c r="G149" s="11"/>
      <c r="H149" s="11"/>
      <c r="I149" s="11"/>
      <c r="J149" s="11"/>
      <c r="K149" s="11"/>
      <c r="L149" s="11"/>
      <c r="M149" s="11"/>
      <c r="N149" s="11"/>
      <c r="O149" s="11">
        <v>0</v>
      </c>
      <c r="P149" s="11"/>
      <c r="Q149" s="11"/>
      <c r="R149" s="11"/>
      <c r="S149" s="11"/>
      <c r="T149" s="11"/>
      <c r="U149" s="11"/>
      <c r="V149" s="11"/>
      <c r="W149" s="11"/>
      <c r="X149" s="11"/>
      <c r="Y149" s="11"/>
      <c r="Z149" s="11"/>
      <c r="AA149" s="11"/>
    </row>
    <row r="150" spans="1:27" ht="15" hidden="1" customHeight="1" outlineLevel="1" x14ac:dyDescent="0.25">
      <c r="A150" s="93" t="s">
        <v>266</v>
      </c>
      <c r="B150" s="93"/>
      <c r="C150" s="93"/>
      <c r="D150" s="145"/>
      <c r="E150" s="11"/>
      <c r="F150" s="11"/>
      <c r="G150" s="11"/>
      <c r="H150" s="11"/>
      <c r="I150" s="11"/>
      <c r="J150" s="11"/>
      <c r="K150" s="11"/>
      <c r="L150" s="11"/>
      <c r="M150" s="11"/>
      <c r="N150" s="11">
        <v>0</v>
      </c>
      <c r="O150" s="11"/>
      <c r="P150" s="11"/>
      <c r="Q150" s="11"/>
      <c r="R150" s="11"/>
      <c r="S150" s="11"/>
      <c r="T150" s="11"/>
      <c r="U150" s="11"/>
      <c r="V150" s="11"/>
      <c r="W150" s="11"/>
      <c r="X150" s="11"/>
      <c r="Y150" s="11"/>
      <c r="Z150" s="11"/>
    </row>
    <row r="151" spans="1:27" ht="15" hidden="1" customHeight="1" outlineLevel="1" x14ac:dyDescent="0.25">
      <c r="A151" s="93" t="s">
        <v>283</v>
      </c>
      <c r="B151" s="93"/>
      <c r="C151" s="93"/>
      <c r="D151" s="145"/>
      <c r="E151" s="11"/>
      <c r="F151" s="11"/>
      <c r="G151" s="11"/>
      <c r="H151" s="11"/>
      <c r="I151" s="11"/>
      <c r="J151" s="11"/>
      <c r="K151" s="11"/>
      <c r="L151" s="11"/>
      <c r="M151" s="11"/>
      <c r="N151" s="11">
        <v>0</v>
      </c>
      <c r="O151" s="11"/>
      <c r="P151" s="11"/>
      <c r="Q151" s="11"/>
      <c r="R151" s="11"/>
      <c r="S151" s="11"/>
      <c r="T151" s="11"/>
      <c r="U151" s="11"/>
      <c r="V151" s="11"/>
      <c r="W151" s="11"/>
      <c r="X151" s="11"/>
      <c r="Y151" s="11"/>
      <c r="Z151" s="11"/>
    </row>
    <row r="152" spans="1:27" ht="15" hidden="1" customHeight="1" outlineLevel="1" x14ac:dyDescent="0.25">
      <c r="A152" s="93" t="s">
        <v>284</v>
      </c>
      <c r="B152" s="93"/>
      <c r="C152" s="93"/>
      <c r="D152" s="145"/>
      <c r="E152" s="11"/>
      <c r="F152" s="11"/>
      <c r="G152" s="11"/>
      <c r="H152" s="11"/>
      <c r="I152" s="11"/>
      <c r="J152" s="11"/>
      <c r="K152" s="11"/>
      <c r="L152" s="11"/>
      <c r="M152" s="11"/>
      <c r="N152" s="11">
        <v>0</v>
      </c>
      <c r="O152" s="11"/>
      <c r="P152" s="11"/>
      <c r="Q152" s="11"/>
      <c r="R152" s="11"/>
      <c r="S152" s="11"/>
      <c r="T152" s="11"/>
      <c r="U152" s="11"/>
      <c r="V152" s="11"/>
      <c r="W152" s="11"/>
      <c r="X152" s="11"/>
      <c r="Y152" s="11"/>
      <c r="Z152" s="11"/>
    </row>
    <row r="153" spans="1:27" ht="15" hidden="1" customHeight="1" outlineLevel="1" x14ac:dyDescent="0.25">
      <c r="A153" s="93" t="s">
        <v>285</v>
      </c>
      <c r="B153" s="93"/>
      <c r="C153" s="93"/>
      <c r="D153" s="145"/>
      <c r="E153" s="11"/>
      <c r="F153" s="11"/>
      <c r="G153" s="45"/>
      <c r="H153" s="11"/>
      <c r="I153" s="11"/>
      <c r="J153" s="11"/>
      <c r="K153" s="68" t="s">
        <v>20</v>
      </c>
      <c r="L153" s="32">
        <f>SUM(L148:L152)</f>
        <v>0</v>
      </c>
      <c r="M153" s="32">
        <f>SUM(M148:M152)</f>
        <v>0</v>
      </c>
      <c r="N153" s="11">
        <f>SUM(N149:N152)</f>
        <v>0</v>
      </c>
      <c r="O153" s="11">
        <f t="shared" ref="O153:Z153" si="16">SUM(O149:O152)</f>
        <v>0</v>
      </c>
      <c r="P153" s="11">
        <f t="shared" si="16"/>
        <v>0</v>
      </c>
      <c r="Q153" s="11">
        <f t="shared" si="16"/>
        <v>0</v>
      </c>
      <c r="R153" s="11">
        <f t="shared" si="16"/>
        <v>0</v>
      </c>
      <c r="S153" s="11">
        <f t="shared" si="16"/>
        <v>0</v>
      </c>
      <c r="T153" s="11">
        <f t="shared" si="16"/>
        <v>0</v>
      </c>
      <c r="U153" s="11">
        <f t="shared" si="16"/>
        <v>0</v>
      </c>
      <c r="V153" s="11">
        <f t="shared" si="16"/>
        <v>0</v>
      </c>
      <c r="W153" s="11">
        <f t="shared" si="16"/>
        <v>0</v>
      </c>
      <c r="X153" s="11">
        <f t="shared" si="16"/>
        <v>0</v>
      </c>
      <c r="Y153" s="11">
        <f t="shared" si="16"/>
        <v>0</v>
      </c>
      <c r="Z153" s="11">
        <f t="shared" si="16"/>
        <v>0</v>
      </c>
      <c r="AA153" s="35"/>
    </row>
    <row r="154" spans="1:27" ht="18" hidden="1" outlineLevel="1" x14ac:dyDescent="0.25">
      <c r="A154" s="30" t="str">
        <f>CONCATENATE(B25," ",C25)</f>
        <v xml:space="preserve"> </v>
      </c>
      <c r="B154" s="30"/>
      <c r="C154" s="31"/>
      <c r="D154" s="31"/>
      <c r="E154" s="29"/>
      <c r="F154" s="29"/>
      <c r="G154" s="29"/>
      <c r="H154" s="29"/>
      <c r="I154" s="29"/>
      <c r="J154" s="29"/>
      <c r="K154" s="29"/>
      <c r="L154" s="29"/>
      <c r="M154" s="29"/>
      <c r="N154" s="29"/>
      <c r="O154" s="29" t="s">
        <v>5</v>
      </c>
      <c r="P154" s="29"/>
      <c r="Q154" s="29"/>
      <c r="R154" s="29"/>
      <c r="S154" s="29"/>
      <c r="T154" s="29"/>
      <c r="U154" s="29"/>
      <c r="V154" s="29"/>
      <c r="W154" s="29"/>
      <c r="X154" s="29"/>
      <c r="Y154" s="29"/>
      <c r="Z154" s="29"/>
    </row>
    <row r="155" spans="1:27" ht="15" hidden="1" customHeight="1" outlineLevel="1" x14ac:dyDescent="0.25">
      <c r="A155" s="92" t="s">
        <v>261</v>
      </c>
      <c r="B155" s="92" t="s">
        <v>13</v>
      </c>
      <c r="C155" s="92" t="s">
        <v>14</v>
      </c>
      <c r="D155" s="133" t="s">
        <v>286</v>
      </c>
      <c r="E155" s="32" t="s">
        <v>16</v>
      </c>
      <c r="F155" s="32" t="s">
        <v>295</v>
      </c>
      <c r="G155" s="32" t="s">
        <v>39</v>
      </c>
      <c r="H155" s="32" t="s">
        <v>297</v>
      </c>
      <c r="I155" s="32" t="s">
        <v>298</v>
      </c>
      <c r="J155" s="32" t="s">
        <v>299</v>
      </c>
      <c r="K155" s="32" t="s">
        <v>300</v>
      </c>
      <c r="L155" s="32" t="s">
        <v>17</v>
      </c>
      <c r="M155" s="32" t="s">
        <v>18</v>
      </c>
      <c r="N155" s="32" t="s">
        <v>19</v>
      </c>
      <c r="O155" s="66">
        <v>43101</v>
      </c>
      <c r="P155" s="66">
        <v>43132</v>
      </c>
      <c r="Q155" s="66">
        <v>43160</v>
      </c>
      <c r="R155" s="66">
        <v>43191</v>
      </c>
      <c r="S155" s="66">
        <v>43221</v>
      </c>
      <c r="T155" s="66">
        <v>43252</v>
      </c>
      <c r="U155" s="66">
        <v>43282</v>
      </c>
      <c r="V155" s="66">
        <v>43313</v>
      </c>
      <c r="W155" s="66">
        <v>43344</v>
      </c>
      <c r="X155" s="66">
        <v>43374</v>
      </c>
      <c r="Y155" s="66">
        <v>43405</v>
      </c>
      <c r="Z155" s="66">
        <v>43435</v>
      </c>
    </row>
    <row r="156" spans="1:27" ht="15" hidden="1" customHeight="1" outlineLevel="1" x14ac:dyDescent="0.25">
      <c r="A156" s="93" t="s">
        <v>265</v>
      </c>
      <c r="B156" s="93"/>
      <c r="C156" s="93"/>
      <c r="D156" s="145"/>
      <c r="E156" s="11"/>
      <c r="F156" s="11"/>
      <c r="G156" s="11"/>
      <c r="H156" s="11"/>
      <c r="I156" s="11"/>
      <c r="J156" s="11"/>
      <c r="K156" s="11"/>
      <c r="L156" s="11"/>
      <c r="M156" s="11"/>
      <c r="N156" s="11">
        <f t="shared" ref="N156:N159" si="17">SUM(O156:Z156)</f>
        <v>0</v>
      </c>
      <c r="O156" s="11"/>
      <c r="P156" s="11"/>
      <c r="Q156" s="11"/>
      <c r="R156" s="11"/>
      <c r="S156" s="11"/>
      <c r="T156" s="11"/>
      <c r="U156" s="11"/>
      <c r="V156" s="11"/>
      <c r="W156" s="11"/>
      <c r="X156" s="11"/>
      <c r="Y156" s="11"/>
      <c r="Z156" s="11"/>
    </row>
    <row r="157" spans="1:27" ht="15" hidden="1" customHeight="1" outlineLevel="1" x14ac:dyDescent="0.25">
      <c r="A157" s="93" t="s">
        <v>266</v>
      </c>
      <c r="B157" s="93"/>
      <c r="C157" s="93"/>
      <c r="D157" s="145"/>
      <c r="E157" s="11"/>
      <c r="F157" s="11"/>
      <c r="G157" s="11"/>
      <c r="H157" s="11"/>
      <c r="I157" s="11"/>
      <c r="J157" s="11"/>
      <c r="K157" s="11"/>
      <c r="L157" s="11"/>
      <c r="M157" s="11"/>
      <c r="N157" s="11">
        <f t="shared" si="17"/>
        <v>0</v>
      </c>
      <c r="O157" s="11"/>
      <c r="P157" s="11"/>
      <c r="Q157" s="11"/>
      <c r="R157" s="11"/>
      <c r="S157" s="11"/>
      <c r="T157" s="11"/>
      <c r="U157" s="11"/>
      <c r="V157" s="11"/>
      <c r="W157" s="11"/>
      <c r="X157" s="11"/>
      <c r="Y157" s="11"/>
      <c r="Z157" s="11"/>
    </row>
    <row r="158" spans="1:27" ht="15" hidden="1" customHeight="1" outlineLevel="1" x14ac:dyDescent="0.25">
      <c r="A158" s="93" t="s">
        <v>283</v>
      </c>
      <c r="B158" s="93"/>
      <c r="C158" s="93"/>
      <c r="D158" s="145"/>
      <c r="E158" s="11"/>
      <c r="F158" s="11"/>
      <c r="G158" s="11"/>
      <c r="H158" s="11"/>
      <c r="I158" s="11"/>
      <c r="J158" s="11"/>
      <c r="K158" s="11"/>
      <c r="L158" s="11"/>
      <c r="M158" s="11"/>
      <c r="N158" s="11">
        <f t="shared" si="17"/>
        <v>0</v>
      </c>
      <c r="O158" s="11"/>
      <c r="P158" s="11"/>
      <c r="Q158" s="11"/>
      <c r="R158" s="11"/>
      <c r="S158" s="11"/>
      <c r="T158" s="11"/>
      <c r="U158" s="11"/>
      <c r="V158" s="11"/>
      <c r="W158" s="11"/>
      <c r="X158" s="11"/>
      <c r="Y158" s="11"/>
      <c r="Z158" s="11"/>
    </row>
    <row r="159" spans="1:27" ht="15" hidden="1" customHeight="1" outlineLevel="1" x14ac:dyDescent="0.25">
      <c r="A159" s="93" t="s">
        <v>284</v>
      </c>
      <c r="B159" s="93"/>
      <c r="C159" s="93"/>
      <c r="D159" s="145"/>
      <c r="E159" s="11"/>
      <c r="F159" s="11"/>
      <c r="G159" s="11"/>
      <c r="H159" s="11"/>
      <c r="I159" s="11"/>
      <c r="J159" s="11"/>
      <c r="K159" s="11"/>
      <c r="L159" s="11"/>
      <c r="M159" s="11"/>
      <c r="N159" s="11">
        <f t="shared" si="17"/>
        <v>0</v>
      </c>
      <c r="O159" s="11"/>
      <c r="P159" s="11"/>
      <c r="Q159" s="11"/>
      <c r="R159" s="11"/>
      <c r="S159" s="11"/>
      <c r="T159" s="11"/>
      <c r="U159" s="11"/>
      <c r="V159" s="11"/>
      <c r="W159" s="11"/>
      <c r="X159" s="11"/>
      <c r="Y159" s="11"/>
      <c r="Z159" s="11"/>
    </row>
    <row r="160" spans="1:27" ht="15" hidden="1" customHeight="1" outlineLevel="1" x14ac:dyDescent="0.25">
      <c r="A160" s="93" t="s">
        <v>285</v>
      </c>
      <c r="B160" s="93"/>
      <c r="C160" s="93"/>
      <c r="D160" s="145"/>
      <c r="E160" s="11"/>
      <c r="F160" s="11"/>
      <c r="G160" s="45"/>
      <c r="H160" s="11"/>
      <c r="I160" s="11"/>
      <c r="J160" s="11"/>
      <c r="K160" s="68" t="s">
        <v>20</v>
      </c>
      <c r="L160" s="32">
        <f>SUM(L155:L159)</f>
        <v>0</v>
      </c>
      <c r="M160" s="32">
        <f>SUM(M155:M159)</f>
        <v>0</v>
      </c>
      <c r="N160" s="11">
        <f>SUM(N156:N159)</f>
        <v>0</v>
      </c>
      <c r="O160" s="11">
        <f t="shared" ref="O160:Z160" si="18">SUM(O156:O159)</f>
        <v>0</v>
      </c>
      <c r="P160" s="11">
        <f t="shared" si="18"/>
        <v>0</v>
      </c>
      <c r="Q160" s="11">
        <f t="shared" si="18"/>
        <v>0</v>
      </c>
      <c r="R160" s="11">
        <f t="shared" si="18"/>
        <v>0</v>
      </c>
      <c r="S160" s="11">
        <f t="shared" si="18"/>
        <v>0</v>
      </c>
      <c r="T160" s="11">
        <f t="shared" si="18"/>
        <v>0</v>
      </c>
      <c r="U160" s="11">
        <f t="shared" si="18"/>
        <v>0</v>
      </c>
      <c r="V160" s="11">
        <f t="shared" si="18"/>
        <v>0</v>
      </c>
      <c r="W160" s="11">
        <f t="shared" si="18"/>
        <v>0</v>
      </c>
      <c r="X160" s="11">
        <f t="shared" si="18"/>
        <v>0</v>
      </c>
      <c r="Y160" s="11">
        <f t="shared" si="18"/>
        <v>0</v>
      </c>
      <c r="Z160" s="11">
        <f t="shared" si="18"/>
        <v>0</v>
      </c>
      <c r="AA160" s="35"/>
    </row>
    <row r="161" spans="1:26" ht="18" hidden="1" outlineLevel="1" x14ac:dyDescent="0.25">
      <c r="A161" s="30" t="str">
        <f>CONCATENATE(B26," ",C26)</f>
        <v xml:space="preserve"> </v>
      </c>
      <c r="B161" s="30"/>
      <c r="C161" s="31"/>
      <c r="D161" s="31"/>
      <c r="E161" s="29"/>
      <c r="F161" s="29"/>
      <c r="G161" s="29"/>
      <c r="H161" s="29"/>
      <c r="I161" s="29"/>
      <c r="J161" s="29"/>
      <c r="K161" s="29"/>
      <c r="L161" s="29"/>
      <c r="M161" s="29"/>
      <c r="N161" s="29"/>
      <c r="O161" s="29" t="s">
        <v>5</v>
      </c>
      <c r="P161" s="29"/>
      <c r="Q161" s="29"/>
      <c r="R161" s="29"/>
      <c r="S161" s="29"/>
      <c r="T161" s="29"/>
      <c r="U161" s="29"/>
      <c r="V161" s="29"/>
      <c r="W161" s="29"/>
      <c r="X161" s="29"/>
      <c r="Y161" s="29"/>
      <c r="Z161" s="29"/>
    </row>
    <row r="162" spans="1:26" ht="15" hidden="1" customHeight="1" x14ac:dyDescent="0.25"/>
    <row r="163" spans="1:26" ht="18" outlineLevel="1" x14ac:dyDescent="0.25">
      <c r="A163" s="30" t="str">
        <f>CONCATENATE(B64," ",C64)</f>
        <v xml:space="preserve"> </v>
      </c>
      <c r="B163" s="30"/>
      <c r="C163" s="31"/>
      <c r="D163" s="31" t="s">
        <v>1076</v>
      </c>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6" ht="42" customHeight="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6" ht="25.15" customHeight="1" x14ac:dyDescent="0.25">
      <c r="A165" s="93" t="s">
        <v>1976</v>
      </c>
      <c r="B165" s="7" t="s">
        <v>34</v>
      </c>
      <c r="C165" s="7" t="s">
        <v>1077</v>
      </c>
      <c r="E165" s="11" t="s">
        <v>216</v>
      </c>
      <c r="F165" s="11" t="s">
        <v>294</v>
      </c>
      <c r="G165" s="11" t="s">
        <v>1075</v>
      </c>
      <c r="H165" s="136" t="s">
        <v>44</v>
      </c>
      <c r="I165" s="136" t="s">
        <v>45</v>
      </c>
      <c r="J165" s="136" t="s">
        <v>195</v>
      </c>
      <c r="K165" s="136" t="s">
        <v>195</v>
      </c>
      <c r="L165" s="11">
        <v>8</v>
      </c>
      <c r="M165" s="11"/>
      <c r="N165" s="168">
        <f>SUM(O165:Z165)</f>
        <v>230000</v>
      </c>
      <c r="O165" s="11"/>
      <c r="P165" s="11"/>
      <c r="Q165" s="11"/>
      <c r="R165" s="11"/>
      <c r="S165" s="11">
        <v>80000</v>
      </c>
      <c r="T165" s="11"/>
      <c r="U165" s="11"/>
      <c r="V165" s="11">
        <v>80000</v>
      </c>
      <c r="W165" s="11"/>
      <c r="X165" s="11"/>
      <c r="Y165" s="11">
        <v>70000</v>
      </c>
      <c r="Z165" s="11"/>
    </row>
    <row r="166" spans="1:26" ht="15" hidden="1" customHeight="1" x14ac:dyDescent="0.25">
      <c r="A166" s="93"/>
      <c r="B166" s="7"/>
      <c r="C166" s="7"/>
      <c r="D166" s="145"/>
      <c r="E166" s="11"/>
      <c r="F166" s="11"/>
      <c r="G166" s="11"/>
      <c r="H166" s="11"/>
      <c r="I166" s="11"/>
      <c r="J166" s="11"/>
      <c r="K166" s="11"/>
      <c r="L166" s="11"/>
      <c r="M166" s="11"/>
      <c r="N166" s="10"/>
      <c r="O166" s="11"/>
      <c r="P166" s="11"/>
      <c r="Q166" s="11"/>
      <c r="R166" s="11"/>
      <c r="S166" s="11"/>
      <c r="T166" s="11"/>
      <c r="U166" s="11"/>
      <c r="V166" s="11"/>
      <c r="W166" s="11"/>
      <c r="X166" s="11"/>
      <c r="Y166" s="11"/>
      <c r="Z166" s="11"/>
    </row>
    <row r="167" spans="1:26" ht="15" customHeight="1" x14ac:dyDescent="0.25">
      <c r="B167" s="93"/>
      <c r="C167" s="93"/>
      <c r="D167" s="93"/>
      <c r="E167" s="145"/>
      <c r="F167" s="11"/>
      <c r="G167" s="11"/>
      <c r="H167" s="45"/>
      <c r="I167" s="11"/>
      <c r="J167" s="11"/>
      <c r="K167" s="11"/>
      <c r="L167" s="68" t="s">
        <v>20</v>
      </c>
      <c r="M167" s="32">
        <f>SUM(L164:L166)</f>
        <v>8</v>
      </c>
      <c r="N167" s="32">
        <f>SUM(N165:N166)</f>
        <v>230000</v>
      </c>
      <c r="O167" s="32">
        <f t="shared" ref="O167:Z167" si="19">SUM(O165:O166)</f>
        <v>0</v>
      </c>
      <c r="P167" s="32">
        <f t="shared" si="19"/>
        <v>0</v>
      </c>
      <c r="Q167" s="32">
        <f t="shared" si="19"/>
        <v>0</v>
      </c>
      <c r="R167" s="32">
        <f t="shared" si="19"/>
        <v>0</v>
      </c>
      <c r="S167" s="32">
        <f t="shared" si="19"/>
        <v>80000</v>
      </c>
      <c r="T167" s="32">
        <f t="shared" si="19"/>
        <v>0</v>
      </c>
      <c r="U167" s="32">
        <f t="shared" si="19"/>
        <v>0</v>
      </c>
      <c r="V167" s="32">
        <f t="shared" si="19"/>
        <v>80000</v>
      </c>
      <c r="W167" s="32">
        <f t="shared" si="19"/>
        <v>0</v>
      </c>
      <c r="X167" s="32">
        <f t="shared" si="19"/>
        <v>0</v>
      </c>
      <c r="Y167" s="32">
        <f t="shared" si="19"/>
        <v>70000</v>
      </c>
      <c r="Z167" s="32">
        <f t="shared" si="19"/>
        <v>0</v>
      </c>
    </row>
    <row r="168" spans="1:26" ht="15" customHeight="1" x14ac:dyDescent="0.25"/>
    <row r="169" spans="1:26" ht="6.75" customHeight="1" x14ac:dyDescent="0.25"/>
    <row r="170" spans="1:26" ht="18" x14ac:dyDescent="0.25">
      <c r="A170" s="41" t="s">
        <v>324</v>
      </c>
      <c r="B170" s="41"/>
      <c r="C170" s="42"/>
      <c r="D170" s="42"/>
      <c r="E170" s="43"/>
      <c r="F170" s="43"/>
      <c r="G170" s="43"/>
      <c r="H170" s="44"/>
      <c r="I170" s="44"/>
      <c r="J170" s="43"/>
      <c r="K170" s="43"/>
      <c r="L170" s="43"/>
      <c r="M170" s="43"/>
      <c r="N170" s="43"/>
      <c r="O170" s="43" t="s">
        <v>5</v>
      </c>
      <c r="P170" s="43"/>
      <c r="Q170" s="43"/>
      <c r="R170" s="43"/>
      <c r="S170" s="43"/>
      <c r="T170" s="43"/>
      <c r="U170" s="43"/>
      <c r="V170" s="43"/>
      <c r="W170" s="43"/>
      <c r="X170" s="43"/>
      <c r="Y170" s="43"/>
      <c r="Z170" s="43"/>
    </row>
    <row r="171" spans="1:26" ht="15.75" outlineLevel="1" x14ac:dyDescent="0.25">
      <c r="A171" s="92" t="s">
        <v>261</v>
      </c>
      <c r="B171" s="92" t="s">
        <v>13</v>
      </c>
      <c r="C171" s="92" t="s">
        <v>14</v>
      </c>
      <c r="D171" s="8" t="s">
        <v>15</v>
      </c>
      <c r="E171" s="49"/>
      <c r="F171" s="49"/>
      <c r="G171" s="49"/>
      <c r="H171" s="49"/>
      <c r="I171" s="49"/>
      <c r="J171" s="48"/>
      <c r="K171" s="12"/>
      <c r="L171" s="32" t="s">
        <v>52</v>
      </c>
      <c r="M171" s="32" t="s">
        <v>53</v>
      </c>
      <c r="N171" s="32" t="s">
        <v>54</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6" ht="99.75" outlineLevel="1" x14ac:dyDescent="0.25">
      <c r="A172" s="93">
        <f>+A17</f>
        <v>0</v>
      </c>
      <c r="B172" s="93" t="s">
        <v>27</v>
      </c>
      <c r="C172" s="93" t="str">
        <f t="shared" ref="C172:D181" si="20">C17</f>
        <v>Education and Human Capital</v>
      </c>
      <c r="D172" s="7" t="str">
        <f t="shared" si="20"/>
        <v>Invest in education and training in order to fulfill one of our basic needs as mining project and future operation, i.e. have access to skilled labor and hopefully be able to hire good part of it locally during different stages of NuevaUnión</v>
      </c>
      <c r="E172" s="49"/>
      <c r="F172" s="49"/>
      <c r="G172" s="49"/>
      <c r="H172" s="49"/>
      <c r="I172" s="49"/>
      <c r="J172" s="48"/>
      <c r="K172" s="12" t="s">
        <v>5</v>
      </c>
      <c r="L172" s="136" t="s">
        <v>48</v>
      </c>
      <c r="M172" s="136" t="s">
        <v>55</v>
      </c>
      <c r="N172" s="11">
        <v>6</v>
      </c>
      <c r="O172" s="54">
        <f t="shared" ref="O172:Z172" si="21">+O17/SUM($O17:$Z17)</f>
        <v>4.6153846153846156E-2</v>
      </c>
      <c r="P172" s="54">
        <f t="shared" si="21"/>
        <v>3.0769230769230771E-2</v>
      </c>
      <c r="Q172" s="54">
        <f t="shared" si="21"/>
        <v>0</v>
      </c>
      <c r="R172" s="54">
        <f t="shared" si="21"/>
        <v>0.14615384615384616</v>
      </c>
      <c r="S172" s="54">
        <f t="shared" si="21"/>
        <v>0.11794769230769231</v>
      </c>
      <c r="T172" s="54">
        <f t="shared" si="21"/>
        <v>0</v>
      </c>
      <c r="U172" s="54">
        <f t="shared" si="21"/>
        <v>0.16153846153846155</v>
      </c>
      <c r="V172" s="54">
        <f t="shared" si="21"/>
        <v>0.10256461538461538</v>
      </c>
      <c r="W172" s="54">
        <f t="shared" si="21"/>
        <v>3.0769230769230771E-2</v>
      </c>
      <c r="X172" s="54">
        <f t="shared" si="21"/>
        <v>0.1076923076923077</v>
      </c>
      <c r="Y172" s="54">
        <f t="shared" si="21"/>
        <v>0.16410307692307693</v>
      </c>
      <c r="Z172" s="54">
        <f t="shared" si="21"/>
        <v>9.2307692307692313E-2</v>
      </c>
    </row>
    <row r="173" spans="1:26" ht="28.5" hidden="1" outlineLevel="1" x14ac:dyDescent="0.25">
      <c r="A173" s="93">
        <f>+A18</f>
        <v>0</v>
      </c>
      <c r="B173" s="93" t="s">
        <v>29</v>
      </c>
      <c r="C173" s="93" t="str">
        <f t="shared" si="20"/>
        <v>Productive Development</v>
      </c>
      <c r="D173" s="7" t="str">
        <f t="shared" si="20"/>
        <v xml:space="preserve">Connecting local micro, small and medium scale businesses gradually to our project and future operation </v>
      </c>
      <c r="E173" s="49"/>
      <c r="F173" s="49"/>
      <c r="G173" s="49"/>
      <c r="H173" s="49"/>
      <c r="I173" s="49"/>
      <c r="J173" s="48"/>
      <c r="K173" s="12" t="s">
        <v>5</v>
      </c>
      <c r="L173" s="11" t="s">
        <v>48</v>
      </c>
      <c r="M173" s="11" t="s">
        <v>55</v>
      </c>
      <c r="N173" s="11">
        <v>6</v>
      </c>
      <c r="O173" s="54">
        <f t="shared" ref="O173:Z173" si="22">+O18/SUM($O18:$Z18)</f>
        <v>0</v>
      </c>
      <c r="P173" s="54">
        <f t="shared" si="22"/>
        <v>0</v>
      </c>
      <c r="Q173" s="54">
        <f t="shared" si="22"/>
        <v>0</v>
      </c>
      <c r="R173" s="54">
        <f t="shared" si="22"/>
        <v>0</v>
      </c>
      <c r="S173" s="54">
        <f t="shared" si="22"/>
        <v>0.125</v>
      </c>
      <c r="T173" s="54">
        <f t="shared" si="22"/>
        <v>8.7499999999999994E-2</v>
      </c>
      <c r="U173" s="54">
        <f t="shared" si="22"/>
        <v>0.22500000000000001</v>
      </c>
      <c r="V173" s="54">
        <f t="shared" si="22"/>
        <v>0</v>
      </c>
      <c r="W173" s="54">
        <f t="shared" si="22"/>
        <v>0.28749999999999998</v>
      </c>
      <c r="X173" s="54">
        <f t="shared" si="22"/>
        <v>0</v>
      </c>
      <c r="Y173" s="54">
        <f t="shared" si="22"/>
        <v>0.27500000000000002</v>
      </c>
      <c r="Z173" s="54">
        <f t="shared" si="22"/>
        <v>0</v>
      </c>
    </row>
    <row r="174" spans="1:26" ht="28.5" hidden="1" outlineLevel="1" x14ac:dyDescent="0.25">
      <c r="A174" s="93">
        <f>+A19</f>
        <v>0</v>
      </c>
      <c r="B174" s="93" t="s">
        <v>30</v>
      </c>
      <c r="C174" s="93" t="str">
        <f t="shared" si="20"/>
        <v>Promote Healty Life Style</v>
      </c>
      <c r="D174" s="7" t="str">
        <f t="shared" si="20"/>
        <v>Strengthening civil sociaty organizations and networking in order to promote a better quality of life and social participation.</v>
      </c>
      <c r="E174" s="49"/>
      <c r="F174" s="49"/>
      <c r="G174" s="49"/>
      <c r="H174" s="49"/>
      <c r="I174" s="49"/>
      <c r="J174" s="48"/>
      <c r="K174" s="12" t="s">
        <v>5</v>
      </c>
      <c r="L174" s="11"/>
      <c r="M174" s="11"/>
      <c r="N174" s="11"/>
      <c r="O174" s="54">
        <f t="shared" ref="O174:Z182" si="23">+O19/SUM($O19:$Z19)</f>
        <v>0</v>
      </c>
      <c r="P174" s="54">
        <f t="shared" si="23"/>
        <v>0</v>
      </c>
      <c r="Q174" s="54">
        <f t="shared" si="23"/>
        <v>0</v>
      </c>
      <c r="R174" s="54">
        <f t="shared" si="23"/>
        <v>0</v>
      </c>
      <c r="S174" s="54">
        <f t="shared" si="23"/>
        <v>0.12</v>
      </c>
      <c r="T174" s="54">
        <f t="shared" si="23"/>
        <v>0.193328</v>
      </c>
      <c r="U174" s="54">
        <f t="shared" si="23"/>
        <v>0</v>
      </c>
      <c r="V174" s="54">
        <f t="shared" si="23"/>
        <v>0.12</v>
      </c>
      <c r="W174" s="54">
        <f t="shared" si="23"/>
        <v>0.193328</v>
      </c>
      <c r="X174" s="54">
        <f t="shared" si="23"/>
        <v>0.08</v>
      </c>
      <c r="Y174" s="54">
        <f t="shared" si="23"/>
        <v>0.29334399999999999</v>
      </c>
      <c r="Z174" s="54">
        <f t="shared" si="23"/>
        <v>0</v>
      </c>
    </row>
    <row r="175" spans="1:26" ht="28.5" hidden="1" outlineLevel="1" x14ac:dyDescent="0.25">
      <c r="A175" s="93">
        <f>+A20</f>
        <v>0</v>
      </c>
      <c r="B175" s="93" t="s">
        <v>31</v>
      </c>
      <c r="C175" s="93" t="str">
        <f t="shared" si="20"/>
        <v>Indigenous Community Development</v>
      </c>
      <c r="D175" s="145" t="str">
        <f t="shared" si="20"/>
        <v xml:space="preserve">Strengthening cooperation and alliances between NuevaUnión and the local indigenous communities related to biodiversity, local cultural heritage and organizational development </v>
      </c>
      <c r="E175" s="49"/>
      <c r="F175" s="49"/>
      <c r="G175" s="49"/>
      <c r="H175" s="49"/>
      <c r="I175" s="49"/>
      <c r="J175" s="48"/>
      <c r="K175" s="12" t="s">
        <v>5</v>
      </c>
      <c r="L175" s="11"/>
      <c r="M175" s="11"/>
      <c r="N175" s="11"/>
      <c r="O175" s="54">
        <f t="shared" si="23"/>
        <v>0</v>
      </c>
      <c r="P175" s="54">
        <f t="shared" si="23"/>
        <v>0</v>
      </c>
      <c r="Q175" s="54">
        <f t="shared" si="23"/>
        <v>0</v>
      </c>
      <c r="R175" s="54">
        <f t="shared" si="23"/>
        <v>0</v>
      </c>
      <c r="S175" s="54">
        <f t="shared" si="23"/>
        <v>0.15384615384615385</v>
      </c>
      <c r="T175" s="54">
        <f t="shared" si="23"/>
        <v>0.15384615384615385</v>
      </c>
      <c r="U175" s="54">
        <f t="shared" si="23"/>
        <v>0.15384615384615385</v>
      </c>
      <c r="V175" s="54">
        <f t="shared" si="23"/>
        <v>0.15384615384615385</v>
      </c>
      <c r="W175" s="54">
        <f t="shared" si="23"/>
        <v>0.15384615384615385</v>
      </c>
      <c r="X175" s="54">
        <f t="shared" si="23"/>
        <v>0</v>
      </c>
      <c r="Y175" s="54">
        <f t="shared" si="23"/>
        <v>0.15384615384615385</v>
      </c>
      <c r="Z175" s="54">
        <f t="shared" si="23"/>
        <v>7.6923076923076927E-2</v>
      </c>
    </row>
    <row r="176" spans="1:26" ht="15" hidden="1" outlineLevel="1" x14ac:dyDescent="0.25">
      <c r="A176" s="93">
        <f t="shared" ref="A176:A181" si="24">+A21</f>
        <v>0</v>
      </c>
      <c r="B176" s="93" t="s">
        <v>32</v>
      </c>
      <c r="C176" s="93" t="str">
        <f t="shared" si="20"/>
        <v>Emerging and Sustainable Province</v>
      </c>
      <c r="D176" s="145" t="str">
        <f t="shared" si="20"/>
        <v>Diagnosis applied for sustainable development agenda for Huasco's province.</v>
      </c>
      <c r="E176" s="49"/>
      <c r="F176" s="49"/>
      <c r="G176" s="49"/>
      <c r="H176" s="49"/>
      <c r="I176" s="49"/>
      <c r="J176" s="48"/>
      <c r="K176" s="12"/>
      <c r="L176" s="11"/>
      <c r="M176" s="11"/>
      <c r="N176" s="11"/>
      <c r="O176" s="54">
        <f t="shared" si="23"/>
        <v>0</v>
      </c>
      <c r="P176" s="54">
        <f t="shared" si="23"/>
        <v>0</v>
      </c>
      <c r="Q176" s="54">
        <f t="shared" si="23"/>
        <v>0</v>
      </c>
      <c r="R176" s="54">
        <f t="shared" si="23"/>
        <v>0</v>
      </c>
      <c r="S176" s="54">
        <f t="shared" si="23"/>
        <v>0.34782608695652173</v>
      </c>
      <c r="T176" s="54">
        <f t="shared" si="23"/>
        <v>0</v>
      </c>
      <c r="U176" s="54">
        <f t="shared" si="23"/>
        <v>0</v>
      </c>
      <c r="V176" s="54">
        <f t="shared" si="23"/>
        <v>0.34782608695652173</v>
      </c>
      <c r="W176" s="54">
        <f t="shared" si="23"/>
        <v>0</v>
      </c>
      <c r="X176" s="54">
        <f t="shared" si="23"/>
        <v>0</v>
      </c>
      <c r="Y176" s="54">
        <f t="shared" si="23"/>
        <v>0.30434782608695654</v>
      </c>
      <c r="Z176" s="54">
        <f t="shared" si="23"/>
        <v>0</v>
      </c>
    </row>
    <row r="177" spans="1:26" ht="15" hidden="1" outlineLevel="1" x14ac:dyDescent="0.25">
      <c r="A177" s="93">
        <f t="shared" si="24"/>
        <v>0</v>
      </c>
      <c r="B177" s="93" t="s">
        <v>256</v>
      </c>
      <c r="C177" s="93">
        <f t="shared" si="20"/>
        <v>0</v>
      </c>
      <c r="D177" s="145">
        <f t="shared" si="20"/>
        <v>0</v>
      </c>
      <c r="E177" s="49"/>
      <c r="F177" s="49"/>
      <c r="G177" s="49"/>
      <c r="H177" s="49"/>
      <c r="I177" s="49"/>
      <c r="J177" s="48"/>
      <c r="K177" s="12"/>
      <c r="L177" s="11"/>
      <c r="M177" s="11"/>
      <c r="N177" s="11"/>
      <c r="O177" s="54" t="e">
        <f t="shared" si="23"/>
        <v>#DIV/0!</v>
      </c>
      <c r="P177" s="54" t="e">
        <f t="shared" si="23"/>
        <v>#DIV/0!</v>
      </c>
      <c r="Q177" s="54" t="e">
        <f t="shared" si="23"/>
        <v>#DIV/0!</v>
      </c>
      <c r="R177" s="54" t="e">
        <f t="shared" si="23"/>
        <v>#DIV/0!</v>
      </c>
      <c r="S177" s="54" t="e">
        <f t="shared" si="23"/>
        <v>#DIV/0!</v>
      </c>
      <c r="T177" s="54" t="e">
        <f t="shared" si="23"/>
        <v>#DIV/0!</v>
      </c>
      <c r="U177" s="54" t="e">
        <f t="shared" si="23"/>
        <v>#DIV/0!</v>
      </c>
      <c r="V177" s="54" t="e">
        <f t="shared" si="23"/>
        <v>#DIV/0!</v>
      </c>
      <c r="W177" s="54" t="e">
        <f t="shared" si="23"/>
        <v>#DIV/0!</v>
      </c>
      <c r="X177" s="54" t="e">
        <f t="shared" si="23"/>
        <v>#DIV/0!</v>
      </c>
      <c r="Y177" s="54" t="e">
        <f t="shared" si="23"/>
        <v>#DIV/0!</v>
      </c>
      <c r="Z177" s="54" t="e">
        <f t="shared" si="23"/>
        <v>#DIV/0!</v>
      </c>
    </row>
    <row r="178" spans="1:26" ht="15" hidden="1" outlineLevel="1" x14ac:dyDescent="0.25">
      <c r="A178" s="93">
        <f t="shared" si="24"/>
        <v>0</v>
      </c>
      <c r="B178" s="93" t="s">
        <v>257</v>
      </c>
      <c r="C178" s="93">
        <f t="shared" si="20"/>
        <v>0</v>
      </c>
      <c r="D178" s="145">
        <f t="shared" si="20"/>
        <v>0</v>
      </c>
      <c r="E178" s="49"/>
      <c r="F178" s="49"/>
      <c r="G178" s="49"/>
      <c r="H178" s="49"/>
      <c r="I178" s="49"/>
      <c r="J178" s="48"/>
      <c r="K178" s="12"/>
      <c r="L178" s="11"/>
      <c r="M178" s="11"/>
      <c r="N178" s="11"/>
      <c r="O178" s="54" t="e">
        <f t="shared" si="23"/>
        <v>#DIV/0!</v>
      </c>
      <c r="P178" s="54" t="e">
        <f t="shared" si="23"/>
        <v>#DIV/0!</v>
      </c>
      <c r="Q178" s="54" t="e">
        <f t="shared" si="23"/>
        <v>#DIV/0!</v>
      </c>
      <c r="R178" s="54" t="e">
        <f t="shared" si="23"/>
        <v>#DIV/0!</v>
      </c>
      <c r="S178" s="54" t="e">
        <f t="shared" si="23"/>
        <v>#DIV/0!</v>
      </c>
      <c r="T178" s="54" t="e">
        <f t="shared" si="23"/>
        <v>#DIV/0!</v>
      </c>
      <c r="U178" s="54" t="e">
        <f t="shared" si="23"/>
        <v>#DIV/0!</v>
      </c>
      <c r="V178" s="54" t="e">
        <f t="shared" si="23"/>
        <v>#DIV/0!</v>
      </c>
      <c r="W178" s="54" t="e">
        <f t="shared" si="23"/>
        <v>#DIV/0!</v>
      </c>
      <c r="X178" s="54" t="e">
        <f t="shared" si="23"/>
        <v>#DIV/0!</v>
      </c>
      <c r="Y178" s="54" t="e">
        <f t="shared" si="23"/>
        <v>#DIV/0!</v>
      </c>
      <c r="Z178" s="54" t="e">
        <f t="shared" si="23"/>
        <v>#DIV/0!</v>
      </c>
    </row>
    <row r="179" spans="1:26" ht="15" hidden="1" outlineLevel="1" x14ac:dyDescent="0.25">
      <c r="A179" s="93">
        <f t="shared" si="24"/>
        <v>0</v>
      </c>
      <c r="B179" s="93" t="s">
        <v>258</v>
      </c>
      <c r="C179" s="93">
        <f t="shared" si="20"/>
        <v>0</v>
      </c>
      <c r="D179" s="145">
        <f t="shared" si="20"/>
        <v>0</v>
      </c>
      <c r="E179" s="49"/>
      <c r="F179" s="49"/>
      <c r="G179" s="49"/>
      <c r="H179" s="49"/>
      <c r="I179" s="49"/>
      <c r="J179" s="48"/>
      <c r="K179" s="12"/>
      <c r="L179" s="11"/>
      <c r="M179" s="11"/>
      <c r="N179" s="11"/>
      <c r="O179" s="54" t="e">
        <f t="shared" si="23"/>
        <v>#DIV/0!</v>
      </c>
      <c r="P179" s="54" t="e">
        <f t="shared" si="23"/>
        <v>#DIV/0!</v>
      </c>
      <c r="Q179" s="54" t="e">
        <f t="shared" si="23"/>
        <v>#DIV/0!</v>
      </c>
      <c r="R179" s="54" t="e">
        <f t="shared" si="23"/>
        <v>#DIV/0!</v>
      </c>
      <c r="S179" s="54" t="e">
        <f t="shared" si="23"/>
        <v>#DIV/0!</v>
      </c>
      <c r="T179" s="54" t="e">
        <f t="shared" si="23"/>
        <v>#DIV/0!</v>
      </c>
      <c r="U179" s="54" t="e">
        <f t="shared" si="23"/>
        <v>#DIV/0!</v>
      </c>
      <c r="V179" s="54" t="e">
        <f t="shared" si="23"/>
        <v>#DIV/0!</v>
      </c>
      <c r="W179" s="54" t="e">
        <f t="shared" si="23"/>
        <v>#DIV/0!</v>
      </c>
      <c r="X179" s="54" t="e">
        <f t="shared" si="23"/>
        <v>#DIV/0!</v>
      </c>
      <c r="Y179" s="54" t="e">
        <f t="shared" si="23"/>
        <v>#DIV/0!</v>
      </c>
      <c r="Z179" s="54" t="e">
        <f t="shared" si="23"/>
        <v>#DIV/0!</v>
      </c>
    </row>
    <row r="180" spans="1:26" ht="15" hidden="1" outlineLevel="1" x14ac:dyDescent="0.25">
      <c r="A180" s="93">
        <f t="shared" si="24"/>
        <v>0</v>
      </c>
      <c r="B180" s="93" t="s">
        <v>259</v>
      </c>
      <c r="C180" s="93">
        <f t="shared" si="20"/>
        <v>0</v>
      </c>
      <c r="D180" s="145">
        <f t="shared" si="20"/>
        <v>0</v>
      </c>
      <c r="E180" s="49"/>
      <c r="F180" s="49"/>
      <c r="G180" s="49"/>
      <c r="H180" s="49"/>
      <c r="I180" s="49"/>
      <c r="J180" s="48"/>
      <c r="K180" s="12"/>
      <c r="L180" s="11"/>
      <c r="M180" s="11"/>
      <c r="N180" s="11"/>
      <c r="O180" s="54" t="e">
        <f t="shared" si="23"/>
        <v>#DIV/0!</v>
      </c>
      <c r="P180" s="54" t="e">
        <f t="shared" si="23"/>
        <v>#DIV/0!</v>
      </c>
      <c r="Q180" s="54" t="e">
        <f t="shared" si="23"/>
        <v>#DIV/0!</v>
      </c>
      <c r="R180" s="54" t="e">
        <f t="shared" si="23"/>
        <v>#DIV/0!</v>
      </c>
      <c r="S180" s="54" t="e">
        <f t="shared" si="23"/>
        <v>#DIV/0!</v>
      </c>
      <c r="T180" s="54" t="e">
        <f t="shared" si="23"/>
        <v>#DIV/0!</v>
      </c>
      <c r="U180" s="54" t="e">
        <f t="shared" si="23"/>
        <v>#DIV/0!</v>
      </c>
      <c r="V180" s="54" t="e">
        <f t="shared" si="23"/>
        <v>#DIV/0!</v>
      </c>
      <c r="W180" s="54" t="e">
        <f t="shared" si="23"/>
        <v>#DIV/0!</v>
      </c>
      <c r="X180" s="54" t="e">
        <f t="shared" si="23"/>
        <v>#DIV/0!</v>
      </c>
      <c r="Y180" s="54" t="e">
        <f t="shared" si="23"/>
        <v>#DIV/0!</v>
      </c>
      <c r="Z180" s="54" t="e">
        <f t="shared" si="23"/>
        <v>#DIV/0!</v>
      </c>
    </row>
    <row r="181" spans="1:26" ht="15" hidden="1" outlineLevel="1" x14ac:dyDescent="0.25">
      <c r="A181" s="93">
        <f t="shared" si="24"/>
        <v>0</v>
      </c>
      <c r="B181" s="93" t="s">
        <v>260</v>
      </c>
      <c r="C181" s="93">
        <f t="shared" si="20"/>
        <v>0</v>
      </c>
      <c r="D181" s="145">
        <f t="shared" si="20"/>
        <v>0</v>
      </c>
      <c r="E181" s="49"/>
      <c r="F181" s="49"/>
      <c r="G181" s="49"/>
      <c r="H181" s="49"/>
      <c r="I181" s="49"/>
      <c r="J181" s="48"/>
      <c r="K181" s="12" t="s">
        <v>5</v>
      </c>
      <c r="L181" s="11"/>
      <c r="M181" s="11"/>
      <c r="N181" s="11"/>
      <c r="O181" s="54" t="e">
        <f t="shared" si="23"/>
        <v>#VALUE!</v>
      </c>
      <c r="P181" s="54" t="e">
        <f t="shared" si="23"/>
        <v>#DIV/0!</v>
      </c>
      <c r="Q181" s="54" t="e">
        <f t="shared" si="23"/>
        <v>#DIV/0!</v>
      </c>
      <c r="R181" s="54" t="e">
        <f t="shared" si="23"/>
        <v>#DIV/0!</v>
      </c>
      <c r="S181" s="54" t="e">
        <f t="shared" si="23"/>
        <v>#DIV/0!</v>
      </c>
      <c r="T181" s="54" t="e">
        <f t="shared" si="23"/>
        <v>#DIV/0!</v>
      </c>
      <c r="U181" s="54" t="e">
        <f t="shared" si="23"/>
        <v>#DIV/0!</v>
      </c>
      <c r="V181" s="54" t="e">
        <f t="shared" si="23"/>
        <v>#DIV/0!</v>
      </c>
      <c r="W181" s="54" t="e">
        <f t="shared" si="23"/>
        <v>#DIV/0!</v>
      </c>
      <c r="X181" s="54" t="e">
        <f t="shared" si="23"/>
        <v>#DIV/0!</v>
      </c>
      <c r="Y181" s="54" t="e">
        <f t="shared" si="23"/>
        <v>#DIV/0!</v>
      </c>
      <c r="Z181" s="54" t="e">
        <f t="shared" si="23"/>
        <v>#DIV/0!</v>
      </c>
    </row>
    <row r="182" spans="1:26" s="35" customFormat="1" ht="22.5" customHeight="1" outlineLevel="1" x14ac:dyDescent="0.25">
      <c r="A182" s="33"/>
      <c r="B182" s="34"/>
      <c r="C182" s="34"/>
      <c r="D182" s="34"/>
      <c r="E182" s="50"/>
      <c r="F182" s="50"/>
      <c r="G182" s="50"/>
      <c r="H182" s="50"/>
      <c r="I182" s="50"/>
      <c r="J182" s="51" t="s">
        <v>20</v>
      </c>
      <c r="K182" s="68"/>
      <c r="L182" s="32" t="s">
        <v>48</v>
      </c>
      <c r="M182" s="32" t="s">
        <v>55</v>
      </c>
      <c r="N182" s="126">
        <f>SUM(N172:N181)</f>
        <v>12</v>
      </c>
      <c r="O182" s="54">
        <f t="shared" si="23"/>
        <v>1.8072289156626505E-2</v>
      </c>
      <c r="P182" s="54">
        <f t="shared" si="23"/>
        <v>1.2048192771084338E-2</v>
      </c>
      <c r="Q182" s="54">
        <f t="shared" si="23"/>
        <v>0</v>
      </c>
      <c r="R182" s="54">
        <f t="shared" si="23"/>
        <v>5.7228915662650599E-2</v>
      </c>
      <c r="S182" s="54">
        <f t="shared" si="23"/>
        <v>0.15461807228915664</v>
      </c>
      <c r="T182" s="54">
        <f t="shared" si="23"/>
        <v>6.2248192771084336E-2</v>
      </c>
      <c r="U182" s="54">
        <f t="shared" si="23"/>
        <v>0.12951807228915663</v>
      </c>
      <c r="V182" s="54">
        <f t="shared" si="23"/>
        <v>0.11847409638554217</v>
      </c>
      <c r="W182" s="54">
        <f t="shared" si="23"/>
        <v>0.12248915662650603</v>
      </c>
      <c r="X182" s="54">
        <f t="shared" si="23"/>
        <v>5.4216867469879519E-2</v>
      </c>
      <c r="Y182" s="54">
        <f t="shared" si="23"/>
        <v>0.22891746987951808</v>
      </c>
      <c r="Z182" s="54">
        <f t="shared" si="23"/>
        <v>4.2168674698795178E-2</v>
      </c>
    </row>
    <row r="184" spans="1:26" x14ac:dyDescent="0.25">
      <c r="B184" s="27" t="s">
        <v>21</v>
      </c>
      <c r="C184" s="28">
        <v>43102</v>
      </c>
    </row>
    <row r="185" spans="1:26" x14ac:dyDescent="0.25">
      <c r="B185" s="27" t="s">
        <v>23</v>
      </c>
      <c r="C185" s="28">
        <v>42917</v>
      </c>
    </row>
    <row r="187" spans="1:26" ht="18" x14ac:dyDescent="0.25">
      <c r="A187" s="132" t="s">
        <v>262</v>
      </c>
    </row>
    <row r="188" spans="1:26" ht="18" x14ac:dyDescent="0.25">
      <c r="A188" s="127" t="s">
        <v>302</v>
      </c>
      <c r="B188" s="128"/>
    </row>
    <row r="189" spans="1:26" ht="18" x14ac:dyDescent="0.25">
      <c r="A189" s="127" t="s">
        <v>323</v>
      </c>
      <c r="B189" s="128"/>
    </row>
    <row r="191" spans="1:26" ht="18" x14ac:dyDescent="0.25">
      <c r="A191" s="128" t="s">
        <v>316</v>
      </c>
      <c r="B191" s="131" t="s">
        <v>288</v>
      </c>
      <c r="C191" s="131" t="s">
        <v>320</v>
      </c>
    </row>
    <row r="192" spans="1:26" ht="54" x14ac:dyDescent="0.25">
      <c r="A192" s="130" t="s">
        <v>310</v>
      </c>
      <c r="B192" s="131" t="s">
        <v>289</v>
      </c>
      <c r="C192" s="131" t="s">
        <v>321</v>
      </c>
    </row>
    <row r="193" spans="1:3" ht="54" x14ac:dyDescent="0.25">
      <c r="A193" s="130" t="s">
        <v>311</v>
      </c>
      <c r="B193" s="131" t="s">
        <v>290</v>
      </c>
      <c r="C193" s="131" t="s">
        <v>319</v>
      </c>
    </row>
    <row r="194" spans="1:3" ht="54" x14ac:dyDescent="0.25">
      <c r="A194" s="130" t="s">
        <v>312</v>
      </c>
      <c r="B194" s="131" t="s">
        <v>291</v>
      </c>
      <c r="C194" s="131" t="s">
        <v>322</v>
      </c>
    </row>
    <row r="195" spans="1:3" ht="54" x14ac:dyDescent="0.25">
      <c r="A195" s="130" t="s">
        <v>313</v>
      </c>
      <c r="B195" s="131" t="s">
        <v>292</v>
      </c>
      <c r="C195" s="131" t="s">
        <v>327</v>
      </c>
    </row>
    <row r="196" spans="1:3" ht="54" x14ac:dyDescent="0.25">
      <c r="A196" s="130" t="s">
        <v>314</v>
      </c>
      <c r="B196" s="131" t="s">
        <v>293</v>
      </c>
      <c r="C196" s="131" t="s">
        <v>317</v>
      </c>
    </row>
    <row r="197" spans="1:3" ht="54" x14ac:dyDescent="0.25">
      <c r="A197" s="130" t="s">
        <v>315</v>
      </c>
      <c r="B197" s="131" t="s">
        <v>296</v>
      </c>
      <c r="C197" s="131" t="s">
        <v>318</v>
      </c>
    </row>
    <row r="199" spans="1:3" ht="126" x14ac:dyDescent="0.25">
      <c r="A199" s="129" t="s">
        <v>301</v>
      </c>
      <c r="B199" s="128" t="s">
        <v>305</v>
      </c>
    </row>
    <row r="201" spans="1:3" ht="72" x14ac:dyDescent="0.25">
      <c r="A201" s="129" t="s">
        <v>303</v>
      </c>
      <c r="B201" s="128" t="s">
        <v>306</v>
      </c>
    </row>
    <row r="202" spans="1:3" ht="18" x14ac:dyDescent="0.25">
      <c r="A202" s="128"/>
    </row>
    <row r="203" spans="1:3" ht="90" x14ac:dyDescent="0.25">
      <c r="A203" s="129" t="s">
        <v>304</v>
      </c>
      <c r="B203" s="9" t="s">
        <v>307</v>
      </c>
    </row>
    <row r="204" spans="1:3" ht="18" x14ac:dyDescent="0.25">
      <c r="A204" s="128"/>
    </row>
    <row r="205" spans="1:3" ht="72" x14ac:dyDescent="0.25">
      <c r="A205" s="128" t="s">
        <v>308</v>
      </c>
      <c r="B205" s="128" t="s">
        <v>309</v>
      </c>
    </row>
  </sheetData>
  <dataConsolidate/>
  <mergeCells count="46">
    <mergeCell ref="E49:K49"/>
    <mergeCell ref="E32:K32"/>
    <mergeCell ref="E33:K33"/>
    <mergeCell ref="E34:K34"/>
    <mergeCell ref="E40:K40"/>
    <mergeCell ref="E41:K41"/>
    <mergeCell ref="E42:K42"/>
    <mergeCell ref="E43:K43"/>
    <mergeCell ref="E45:K45"/>
    <mergeCell ref="E46:K46"/>
    <mergeCell ref="E47:K47"/>
    <mergeCell ref="E48:K48"/>
    <mergeCell ref="E64:K64"/>
    <mergeCell ref="E51:K51"/>
    <mergeCell ref="E52:K52"/>
    <mergeCell ref="E53:K53"/>
    <mergeCell ref="E54:K54"/>
    <mergeCell ref="E56:K56"/>
    <mergeCell ref="E57:K57"/>
    <mergeCell ref="E58:K58"/>
    <mergeCell ref="E59:K59"/>
    <mergeCell ref="E60:K60"/>
    <mergeCell ref="E62:K62"/>
    <mergeCell ref="E63:K63"/>
    <mergeCell ref="E78:K78"/>
    <mergeCell ref="E65:K65"/>
    <mergeCell ref="E66:K66"/>
    <mergeCell ref="E68:K68"/>
    <mergeCell ref="E69:K69"/>
    <mergeCell ref="E70:K70"/>
    <mergeCell ref="E71:K71"/>
    <mergeCell ref="E72:K72"/>
    <mergeCell ref="E74:K74"/>
    <mergeCell ref="E75:K75"/>
    <mergeCell ref="E76:K76"/>
    <mergeCell ref="E77:K77"/>
    <mergeCell ref="E87:K87"/>
    <mergeCell ref="E88:K88"/>
    <mergeCell ref="E89:K89"/>
    <mergeCell ref="E90:K90"/>
    <mergeCell ref="E80:K80"/>
    <mergeCell ref="E81:K81"/>
    <mergeCell ref="E82:K82"/>
    <mergeCell ref="E83:K83"/>
    <mergeCell ref="E84:K84"/>
    <mergeCell ref="E86:K86"/>
  </mergeCells>
  <dataValidations count="6">
    <dataValidation type="list" allowBlank="1" showInputMessage="1" showErrorMessage="1" sqref="F101 F108">
      <formula1>"+Lists!$A$2:$A$8"</formula1>
    </dataValidation>
    <dataValidation type="list" allowBlank="1" showInputMessage="1" showErrorMessage="1" sqref="F156:F160 F149:F153 F142:F146 F135:F139 F128:F132 F166:F167 F117:F118 F125">
      <formula1>$A$3:$A$9</formula1>
    </dataValidation>
    <dataValidation type="list" allowBlank="1" showInputMessage="1" showErrorMessage="1" sqref="L173:L181 H166:K166 H149:K152 H142:K145 H135:K138 H128:K131 K117 K101 H117:J118 H139:J139 H146:J146 H153:J153 H160:J160 H156:K159 H132:I132 H167:J167 M173:M182">
      <formula1>$C$3:$C$15</formula1>
    </dataValidation>
    <dataValidation type="list" allowBlank="1" showInputMessage="1" showErrorMessage="1" sqref="L27 L17:L19">
      <formula1>$D$4:$D$15</formula1>
    </dataValidation>
    <dataValidation type="list" allowBlank="1" showInputMessage="1" showErrorMessage="1" sqref="L182 J132 J101">
      <formula1>$C$3:$C$14</formula1>
    </dataValidation>
    <dataValidation type="list" allowBlank="1" showInputMessage="1" showErrorMessage="1" sqref="L80:L84 L86:L90 L56:L60 L62:L66 L68:L72 L74:L78">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'C:\Users\gineva.alcota\AppData\Local\Microsoft\Windows\INetCache\Content.Outlook\ZG6HJCZN\[Presupuesto 2018.xlsx]Lists'!#REF!</xm:f>
          </x14:formula1>
          <xm:sqref>L156:M159 L105:L108 M121:M124 L117 L128:M131 L135:M138 L142:M145 L149:M152 M112:M117 M165:M166 L166</xm:sqref>
        </x14:dataValidation>
        <x14:dataValidation type="list" allowBlank="1" showInputMessage="1" showErrorMessage="1">
          <x14:formula1>
            <xm:f>'C:\Users\gineva.alcota\AppData\Local\Microsoft\Windows\INetCache\Content.Outlook\ZG6HJCZN\[Presupuesto 2018.xlsx]Lists'!#REF!</xm:f>
          </x14:formula1>
          <xm:sqref>H96:I96 H101:I101</xm:sqref>
        </x14:dataValidation>
        <x14:dataValidation type="list" allowBlank="1" showInputMessage="1" showErrorMessage="1">
          <x14:formula1>
            <xm:f>'C:\Users\gineva.alcota\AppData\Local\Microsoft\Windows\INetCache\Content.Outlook\ZG6HJCZN\[Presupuesto 2018.xlsx]Lists'!#REF!</xm:f>
          </x14:formula1>
          <xm:sqref>M105:M108</xm:sqref>
        </x14:dataValidation>
        <x14:dataValidation type="list" allowBlank="1" showInputMessage="1" showErrorMessage="1">
          <x14:formula1>
            <xm:f>Lists!$H$2:$H$10</xm:f>
          </x14:formula1>
          <xm:sqref>L45:L49 L32:L38 L40:L43 L51:L54</xm:sqref>
        </x14:dataValidation>
        <x14:dataValidation type="list" allowBlank="1" showInputMessage="1" showErrorMessage="1">
          <x14:formula1>
            <xm:f>'C:\Users\gineva.alcota\AppData\Local\Microsoft\Windows\INetCache\Content.Outlook\ZG6HJCZN\[Presupuesto 2018.xlsx]Lists'!#REF!</xm:f>
          </x14:formula1>
          <xm:sqref>N173:N181</xm:sqref>
        </x14:dataValidation>
        <x14:dataValidation type="list" allowBlank="1" showInputMessage="1" showErrorMessage="1">
          <x14:formula1>
            <xm:f>Lists!$E$2:$E$41</xm:f>
          </x14:formula1>
          <xm:sqref>B8</xm:sqref>
        </x14:dataValidation>
        <x14:dataValidation type="list" allowBlank="1" showInputMessage="1" showErrorMessage="1">
          <x14:formula1>
            <xm:f>Lists!$B$3:$B$41</xm:f>
          </x14:formula1>
          <xm:sqref>E121:E125 E17:E26 E105:E108 E128:E132 E135:E139 E142:E146 E149:E153 E156:E160 E112:E118 E95:E101 E165:E167</xm:sqref>
        </x14:dataValidation>
        <x14:dataValidation type="list" allowBlank="1" showInputMessage="1" showErrorMessage="1">
          <x14:formula1>
            <xm:f>Lists!$A$2:$A$8</xm:f>
          </x14:formula1>
          <xm:sqref>F95:F100 F112:F116 F121:F124 F105:F107 F165</xm:sqref>
        </x14:dataValidation>
        <x14:dataValidation type="list" allowBlank="1" showInputMessage="1" showErrorMessage="1">
          <x14:formula1>
            <xm:f>Lists!$C$2:$C$14</xm:f>
          </x14:formula1>
          <xm:sqref>H95:K95 H97:I100 J96:K100 H105:K108 H112:K116 H121:K125 H165:K165 L172:M172</xm:sqref>
        </x14:dataValidation>
        <x14:dataValidation type="list" allowBlank="1" showInputMessage="1" showErrorMessage="1">
          <x14:formula1>
            <xm:f>Lists!$D$2:$D$14</xm:f>
          </x14:formula1>
          <xm:sqref>L95:L101 L112:L116 L121:L124 L165 N172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pageSetUpPr fitToPage="1"/>
  </sheetPr>
  <dimension ref="A1:U38"/>
  <sheetViews>
    <sheetView showGridLines="0" view="pageLayout" topLeftCell="A4" zoomScale="80" zoomScaleNormal="70" zoomScalePageLayoutView="80" workbookViewId="0">
      <selection activeCell="H14" sqref="H14:H17"/>
    </sheetView>
  </sheetViews>
  <sheetFormatPr baseColWidth="10" defaultColWidth="11.42578125" defaultRowHeight="15" outlineLevelRow="1" outlineLevelCol="1" x14ac:dyDescent="0.25"/>
  <cols>
    <col min="1" max="1" width="10.85546875" style="400" customWidth="1"/>
    <col min="2" max="2" width="32" style="400" customWidth="1"/>
    <col min="3" max="3" width="43.7109375" style="400" bestFit="1" customWidth="1"/>
    <col min="4" max="4" width="47.5703125" style="400" customWidth="1"/>
    <col min="5" max="5" width="17.5703125" style="400" customWidth="1"/>
    <col min="6" max="7" width="17.7109375" style="400" customWidth="1"/>
    <col min="8" max="8" width="15.7109375" style="400" bestFit="1"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1444</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tr">
        <f>+Engineering!B8</f>
        <v>Engineering</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+Engineering!B10</f>
        <v>685 Engineering</v>
      </c>
      <c r="C7" s="433"/>
      <c r="D7" s="423" t="str">
        <f>+Engineering!D10</f>
        <v>Walter Droppelmann</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+Engineering!B12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c r="B14" s="444" t="str">
        <f>+Engineering!B17</f>
        <v>Objective 1</v>
      </c>
      <c r="C14" s="444" t="str">
        <f>+Engineering!C17</f>
        <v>FS Engineering</v>
      </c>
      <c r="D14" s="405" t="str">
        <f>+Engineering!B8</f>
        <v>Engineering</v>
      </c>
      <c r="E14" s="406" t="str">
        <f>+Engineering!E17</f>
        <v>685 / 51-11-3357</v>
      </c>
      <c r="F14" s="406">
        <f>+Engineering!L17</f>
        <v>6</v>
      </c>
      <c r="G14" s="407">
        <f>+Engineering!M17</f>
        <v>12</v>
      </c>
      <c r="H14" s="576">
        <f>+Engineering!N17</f>
        <v>15870000</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c r="B15" s="444" t="str">
        <f>+Engineering!B18</f>
        <v>Objective 2</v>
      </c>
      <c r="C15" s="444" t="str">
        <f>+Engineering!C18</f>
        <v>FS Support and general expenses</v>
      </c>
      <c r="D15" s="405" t="str">
        <f>+Engineering!B8</f>
        <v>Engineering</v>
      </c>
      <c r="E15" s="406" t="str">
        <f>+Engineering!E18</f>
        <v>685 / 51-11-3355</v>
      </c>
      <c r="F15" s="406">
        <f>+Engineering!L18</f>
        <v>6</v>
      </c>
      <c r="G15" s="407">
        <f>+Engineering!M18</f>
        <v>0</v>
      </c>
      <c r="H15" s="576">
        <f>+Engineering!N18</f>
        <v>5270000</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outlineLevel="1" x14ac:dyDescent="0.25">
      <c r="A16" s="444"/>
      <c r="B16" s="444" t="str">
        <f>+Engineering!B19</f>
        <v>Objective 3</v>
      </c>
      <c r="C16" s="444" t="str">
        <f>+Engineering!C19</f>
        <v>Third Parties</v>
      </c>
      <c r="D16" s="405" t="str">
        <f>+Engineering!B8</f>
        <v>Engineering</v>
      </c>
      <c r="E16" s="406" t="str">
        <f>+Engineering!E19</f>
        <v>685 / 51-11-3356</v>
      </c>
      <c r="F16" s="406">
        <f>+Engineering!L19</f>
        <v>0</v>
      </c>
      <c r="G16" s="407">
        <f>+Engineering!M19</f>
        <v>0</v>
      </c>
      <c r="H16" s="576">
        <f>+Engineering!N19</f>
        <v>7723000</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ht="19.149999999999999" customHeight="1" outlineLevel="1" x14ac:dyDescent="0.25">
      <c r="A17" s="444"/>
      <c r="B17" s="444" t="str">
        <f>+Engineering!B20</f>
        <v>Objective 4</v>
      </c>
      <c r="C17" s="444" t="str">
        <f>+Healt_and_saffety!C17</f>
        <v>Heath and Satety</v>
      </c>
      <c r="D17" s="405" t="str">
        <f>+Healt_and_saffety!B8</f>
        <v xml:space="preserve">5.5 Health and Safety  </v>
      </c>
      <c r="E17" s="406" t="str">
        <f>IF(Engineering!E20="","",Engineering!E20)</f>
        <v>685 / 51-11-3358</v>
      </c>
      <c r="F17" s="406" t="str">
        <f>IF(Engineering!L20="","",Engineering!L20)</f>
        <v/>
      </c>
      <c r="G17" s="410" t="str">
        <f>IF(Engineering!M20="","",Engineering!M20)</f>
        <v/>
      </c>
      <c r="H17" s="576">
        <f>+Healt_and_saffety!N27</f>
        <v>100000</v>
      </c>
      <c r="I17" s="409" t="s">
        <v>5</v>
      </c>
      <c r="J17" s="409"/>
      <c r="K17" s="409"/>
      <c r="L17" s="409"/>
      <c r="M17" s="409"/>
      <c r="N17" s="409"/>
      <c r="O17" s="409"/>
      <c r="P17" s="409"/>
      <c r="Q17" s="409"/>
      <c r="R17" s="409"/>
      <c r="S17" s="409"/>
      <c r="T17" s="409"/>
    </row>
    <row r="18" spans="1:20" ht="19.149999999999999" customHeight="1" outlineLevel="1" x14ac:dyDescent="0.25">
      <c r="A18" s="444"/>
      <c r="B18" s="444" t="str">
        <f>+Engineering!B21</f>
        <v>Objective 5</v>
      </c>
      <c r="C18" s="444" t="str">
        <f>+Metallurgy!C17</f>
        <v>Metallurgy</v>
      </c>
      <c r="D18" s="405" t="str">
        <f>+Metallurgy!B8</f>
        <v>5.6 Metallurgy</v>
      </c>
      <c r="E18" s="406" t="str">
        <f>+Metallurgy!E17</f>
        <v>685 / 51-11-3324</v>
      </c>
      <c r="F18" s="406"/>
      <c r="G18" s="410"/>
      <c r="H18" s="576">
        <f>+Metallurgy!N27</f>
        <v>3170000</v>
      </c>
      <c r="I18" s="409"/>
      <c r="J18" s="409"/>
      <c r="K18" s="409"/>
      <c r="L18" s="409"/>
      <c r="M18" s="409"/>
      <c r="N18" s="409"/>
      <c r="O18" s="409"/>
      <c r="P18" s="409"/>
      <c r="Q18" s="409"/>
      <c r="R18" s="409"/>
      <c r="S18" s="409"/>
      <c r="T18" s="409"/>
    </row>
    <row r="19" spans="1:20" ht="19.149999999999999" customHeight="1" outlineLevel="1" x14ac:dyDescent="0.25">
      <c r="A19" s="444"/>
      <c r="B19" s="444" t="str">
        <f>+Engineering!B22</f>
        <v>Objective 6</v>
      </c>
      <c r="C19" s="444" t="str">
        <f>+Drilling!C17</f>
        <v>Drilling</v>
      </c>
      <c r="D19" s="405" t="str">
        <f>+Drilling!B8</f>
        <v>Drilling</v>
      </c>
      <c r="E19" s="496" t="s">
        <v>1443</v>
      </c>
      <c r="F19" s="406"/>
      <c r="G19" s="410"/>
      <c r="H19" s="576">
        <f>+Drilling!N27</f>
        <v>744500</v>
      </c>
      <c r="I19" s="409"/>
      <c r="J19" s="409"/>
      <c r="K19" s="409"/>
      <c r="L19" s="409"/>
      <c r="M19" s="409"/>
      <c r="N19" s="409"/>
      <c r="O19" s="409"/>
      <c r="P19" s="409"/>
      <c r="Q19" s="409"/>
      <c r="R19" s="409"/>
      <c r="S19" s="409"/>
      <c r="T19" s="409"/>
    </row>
    <row r="20" spans="1:20" ht="19.149999999999999" customHeight="1" outlineLevel="1" x14ac:dyDescent="0.25">
      <c r="A20" s="444"/>
      <c r="B20" s="444" t="str">
        <f>+Engineering!B23</f>
        <v>Objective 7</v>
      </c>
      <c r="C20" s="444" t="str">
        <f>+Camp!C17</f>
        <v xml:space="preserve"> Camp Relincho</v>
      </c>
      <c r="D20" s="405" t="str">
        <f>+Camp!B8</f>
        <v>5.9 Camp</v>
      </c>
      <c r="E20" s="406" t="str">
        <f>+Camp!E17</f>
        <v>685 / 51-11-3314</v>
      </c>
      <c r="F20" s="406"/>
      <c r="G20" s="410"/>
      <c r="H20" s="576">
        <f>+Camp!N17</f>
        <v>308468.27607764711</v>
      </c>
      <c r="I20" s="409"/>
      <c r="J20" s="409"/>
      <c r="K20" s="409"/>
      <c r="L20" s="409"/>
      <c r="M20" s="409"/>
      <c r="N20" s="409"/>
      <c r="O20" s="409"/>
      <c r="P20" s="409"/>
      <c r="Q20" s="409"/>
      <c r="R20" s="409"/>
      <c r="S20" s="409"/>
      <c r="T20" s="409"/>
    </row>
    <row r="21" spans="1:20" ht="19.149999999999999" customHeight="1" outlineLevel="1" x14ac:dyDescent="0.25">
      <c r="A21" s="444"/>
      <c r="B21" s="444" t="str">
        <f>+Engineering!B24</f>
        <v>Objective 8</v>
      </c>
      <c r="C21" s="444" t="str">
        <f>+Camp!C18</f>
        <v>Camp El Pingo</v>
      </c>
      <c r="D21" s="405" t="str">
        <f>+Camp!B8</f>
        <v>5.9 Camp</v>
      </c>
      <c r="E21" s="406" t="str">
        <f>+Camp!E18</f>
        <v>685 / 51-11-3314</v>
      </c>
      <c r="F21" s="406"/>
      <c r="G21" s="410"/>
      <c r="H21" s="576">
        <f>+Camp!N18</f>
        <v>203576.47058823527</v>
      </c>
      <c r="I21" s="409"/>
      <c r="J21" s="409"/>
      <c r="K21" s="409"/>
      <c r="L21" s="409"/>
      <c r="M21" s="409"/>
      <c r="N21" s="409"/>
      <c r="O21" s="409"/>
      <c r="P21" s="409"/>
      <c r="Q21" s="409"/>
      <c r="R21" s="409"/>
      <c r="S21" s="409"/>
      <c r="T21" s="409"/>
    </row>
    <row r="22" spans="1:20" ht="19.149999999999999" customHeight="1" outlineLevel="1" x14ac:dyDescent="0.25">
      <c r="A22" s="444"/>
      <c r="B22" s="444" t="str">
        <f>+Engineering!B25</f>
        <v>Objective 9</v>
      </c>
      <c r="C22" s="444" t="str">
        <f>+Camp!C19</f>
        <v>Camp La Fortuna</v>
      </c>
      <c r="D22" s="405" t="str">
        <f>+Camp!B8</f>
        <v>5.9 Camp</v>
      </c>
      <c r="E22" s="406" t="str">
        <f>+Camp!E19</f>
        <v>685 / 51-11-3314</v>
      </c>
      <c r="F22" s="406"/>
      <c r="G22" s="410"/>
      <c r="H22" s="576">
        <f>+Camp!N19</f>
        <v>87955.402352941179</v>
      </c>
      <c r="I22" s="409"/>
      <c r="J22" s="409"/>
      <c r="K22" s="409"/>
      <c r="L22" s="409"/>
      <c r="M22" s="409"/>
      <c r="N22" s="409"/>
      <c r="O22" s="409"/>
      <c r="P22" s="409"/>
      <c r="Q22" s="409"/>
      <c r="R22" s="409"/>
      <c r="S22" s="409"/>
      <c r="T22" s="409"/>
    </row>
    <row r="23" spans="1:20" ht="19.149999999999999" hidden="1" customHeight="1" outlineLevel="1" x14ac:dyDescent="0.25">
      <c r="A23" s="444"/>
      <c r="B23" s="444"/>
      <c r="C23" s="444"/>
      <c r="D23" s="405"/>
      <c r="E23" s="406"/>
      <c r="F23" s="406"/>
      <c r="G23" s="410"/>
      <c r="H23" s="411"/>
      <c r="I23" s="409"/>
      <c r="J23" s="409"/>
      <c r="K23" s="409"/>
      <c r="L23" s="409"/>
      <c r="M23" s="409"/>
      <c r="N23" s="409"/>
      <c r="O23" s="409"/>
      <c r="P23" s="409"/>
      <c r="Q23" s="409"/>
      <c r="R23" s="409"/>
      <c r="S23" s="409"/>
      <c r="T23" s="409"/>
    </row>
    <row r="24" spans="1:20" ht="19.149999999999999" hidden="1" customHeight="1" outlineLevel="1" x14ac:dyDescent="0.25">
      <c r="A24" s="444"/>
      <c r="B24" s="444"/>
      <c r="C24" s="444"/>
      <c r="D24" s="405"/>
      <c r="E24" s="406"/>
      <c r="F24" s="406"/>
      <c r="G24" s="410"/>
      <c r="H24" s="411"/>
      <c r="I24" s="409"/>
      <c r="J24" s="409"/>
      <c r="K24" s="409"/>
      <c r="L24" s="409"/>
      <c r="M24" s="409"/>
      <c r="N24" s="409"/>
      <c r="O24" s="409"/>
      <c r="P24" s="409"/>
      <c r="Q24" s="409"/>
      <c r="R24" s="409"/>
      <c r="S24" s="409"/>
      <c r="T24" s="409"/>
    </row>
    <row r="25" spans="1:20" ht="19.149999999999999" hidden="1" customHeight="1" outlineLevel="1" x14ac:dyDescent="0.25">
      <c r="A25" s="444"/>
      <c r="B25" s="444"/>
      <c r="C25" s="444"/>
      <c r="D25" s="405"/>
      <c r="E25" s="406"/>
      <c r="F25" s="406"/>
      <c r="G25" s="410"/>
      <c r="H25" s="411"/>
      <c r="I25" s="409"/>
      <c r="J25" s="409"/>
      <c r="K25" s="409"/>
      <c r="L25" s="409"/>
      <c r="M25" s="409"/>
      <c r="N25" s="409"/>
      <c r="O25" s="409"/>
      <c r="P25" s="409"/>
      <c r="Q25" s="409"/>
      <c r="R25" s="409"/>
      <c r="S25" s="409"/>
      <c r="T25" s="409"/>
    </row>
    <row r="26" spans="1:20" ht="19.149999999999999" hidden="1" customHeight="1" outlineLevel="1" x14ac:dyDescent="0.25">
      <c r="A26" s="444"/>
      <c r="B26" s="444"/>
      <c r="C26" s="444"/>
      <c r="D26" s="405"/>
      <c r="E26" s="406"/>
      <c r="F26" s="406"/>
      <c r="G26" s="410"/>
      <c r="H26" s="411"/>
      <c r="I26" s="409"/>
      <c r="J26" s="409"/>
      <c r="K26" s="409"/>
      <c r="L26" s="409"/>
      <c r="M26" s="409"/>
      <c r="N26" s="409"/>
      <c r="O26" s="409"/>
      <c r="P26" s="409"/>
      <c r="Q26" s="409"/>
      <c r="R26" s="409"/>
      <c r="S26" s="409"/>
      <c r="T26" s="409"/>
    </row>
    <row r="27" spans="1:20" ht="19.149999999999999" hidden="1" customHeight="1" outlineLevel="1" x14ac:dyDescent="0.25">
      <c r="A27" s="444"/>
      <c r="B27" s="444"/>
      <c r="C27" s="444"/>
      <c r="D27" s="405"/>
      <c r="E27" s="406"/>
      <c r="F27" s="406"/>
      <c r="G27" s="410"/>
      <c r="H27" s="411"/>
      <c r="I27" s="409"/>
      <c r="J27" s="409"/>
      <c r="K27" s="409"/>
      <c r="L27" s="409"/>
      <c r="M27" s="409"/>
      <c r="N27" s="409"/>
      <c r="O27" s="409"/>
      <c r="P27" s="409"/>
      <c r="Q27" s="409"/>
      <c r="R27" s="409"/>
      <c r="S27" s="409"/>
      <c r="T27" s="409"/>
    </row>
    <row r="28" spans="1:20" ht="19.149999999999999" hidden="1" customHeight="1" outlineLevel="1" x14ac:dyDescent="0.25">
      <c r="A28" s="444"/>
      <c r="B28" s="444"/>
      <c r="C28" s="444"/>
      <c r="D28" s="405"/>
      <c r="E28" s="406"/>
      <c r="F28" s="406"/>
      <c r="G28" s="410"/>
      <c r="H28" s="411"/>
      <c r="I28" s="409"/>
      <c r="J28" s="409"/>
      <c r="K28" s="409"/>
      <c r="L28" s="409"/>
      <c r="M28" s="409"/>
      <c r="N28" s="409"/>
      <c r="O28" s="409"/>
      <c r="P28" s="409"/>
      <c r="Q28" s="409"/>
      <c r="R28" s="409"/>
      <c r="S28" s="409"/>
      <c r="T28" s="409"/>
    </row>
    <row r="29" spans="1:20" ht="19.149999999999999" hidden="1" customHeight="1" outlineLevel="1" x14ac:dyDescent="0.25">
      <c r="A29" s="444"/>
      <c r="B29" s="444"/>
      <c r="C29" s="444"/>
      <c r="D29" s="405"/>
      <c r="E29" s="406"/>
      <c r="F29" s="406"/>
      <c r="G29" s="410"/>
      <c r="H29" s="411"/>
      <c r="I29" s="409"/>
      <c r="J29" s="409"/>
      <c r="K29" s="409"/>
      <c r="L29" s="409"/>
      <c r="M29" s="409"/>
      <c r="N29" s="409"/>
      <c r="O29" s="409"/>
      <c r="P29" s="409"/>
      <c r="Q29" s="409"/>
      <c r="R29" s="409"/>
      <c r="S29" s="409"/>
      <c r="T29" s="409"/>
    </row>
    <row r="30" spans="1:20" ht="19.149999999999999" hidden="1" customHeight="1" outlineLevel="1" x14ac:dyDescent="0.25">
      <c r="A30" s="444"/>
      <c r="B30" s="444"/>
      <c r="C30" s="444"/>
      <c r="D30" s="405"/>
      <c r="E30" s="406"/>
      <c r="F30" s="406"/>
      <c r="G30" s="410"/>
      <c r="H30" s="411"/>
      <c r="I30" s="409"/>
      <c r="J30" s="409"/>
      <c r="K30" s="409"/>
      <c r="L30" s="409"/>
      <c r="M30" s="409"/>
      <c r="N30" s="409"/>
      <c r="O30" s="409"/>
      <c r="P30" s="409"/>
      <c r="Q30" s="409"/>
      <c r="R30" s="409"/>
      <c r="S30" s="409"/>
      <c r="T30" s="409"/>
    </row>
    <row r="31" spans="1:20" ht="19.149999999999999" hidden="1" customHeight="1" outlineLevel="1" x14ac:dyDescent="0.25">
      <c r="A31" s="444"/>
      <c r="B31" s="444"/>
      <c r="C31" s="444"/>
      <c r="D31" s="405"/>
      <c r="E31" s="406"/>
      <c r="F31" s="406"/>
      <c r="G31" s="410"/>
      <c r="H31" s="411"/>
      <c r="I31" s="409"/>
      <c r="J31" s="409"/>
      <c r="K31" s="409"/>
      <c r="L31" s="409"/>
      <c r="M31" s="409"/>
      <c r="N31" s="409"/>
      <c r="O31" s="409"/>
      <c r="P31" s="409"/>
      <c r="Q31" s="409"/>
      <c r="R31" s="409"/>
      <c r="S31" s="409"/>
      <c r="T31" s="409"/>
    </row>
    <row r="32" spans="1:20" ht="19.149999999999999" hidden="1" customHeight="1" outlineLevel="1" x14ac:dyDescent="0.25">
      <c r="A32" s="444"/>
      <c r="B32" s="444"/>
      <c r="C32" s="444"/>
      <c r="D32" s="405"/>
      <c r="E32" s="406"/>
      <c r="F32" s="406"/>
      <c r="G32" s="410"/>
      <c r="H32" s="411"/>
      <c r="I32" s="409"/>
      <c r="J32" s="409"/>
      <c r="K32" s="409"/>
      <c r="L32" s="409"/>
      <c r="M32" s="409"/>
      <c r="N32" s="409"/>
      <c r="O32" s="409"/>
      <c r="P32" s="409"/>
      <c r="Q32" s="409"/>
      <c r="R32" s="409"/>
      <c r="S32" s="409"/>
      <c r="T32" s="409"/>
    </row>
    <row r="33" spans="1:20" ht="12" customHeight="1" outlineLevel="1" x14ac:dyDescent="0.25">
      <c r="A33" s="444"/>
      <c r="B33" s="444"/>
      <c r="C33" s="444"/>
      <c r="D33" s="405"/>
      <c r="E33" s="406"/>
      <c r="F33" s="406"/>
      <c r="G33" s="410"/>
      <c r="H33" s="411"/>
      <c r="I33" s="409" t="s">
        <v>5</v>
      </c>
      <c r="J33" s="409"/>
      <c r="K33" s="409"/>
      <c r="L33" s="409"/>
      <c r="M33" s="409"/>
      <c r="N33" s="409"/>
      <c r="O33" s="409"/>
      <c r="P33" s="409"/>
      <c r="Q33" s="409"/>
      <c r="R33" s="409"/>
      <c r="S33" s="409"/>
      <c r="T33" s="409"/>
    </row>
    <row r="34" spans="1:20" outlineLevel="1" x14ac:dyDescent="0.25">
      <c r="A34" s="412"/>
      <c r="B34" s="413"/>
      <c r="C34" s="413"/>
      <c r="D34" s="414"/>
      <c r="E34" s="415"/>
      <c r="F34" s="404">
        <f>+Engineering!L27</f>
        <v>12</v>
      </c>
      <c r="G34" s="404">
        <f>SUM(G1:G33)</f>
        <v>12</v>
      </c>
      <c r="H34" s="404">
        <f>SUM(H13:H33)</f>
        <v>33477500.149018824</v>
      </c>
      <c r="I34" s="404" t="e">
        <f t="shared" ref="I34:T34" si="0">SUM(I13:I33)</f>
        <v>#REF!</v>
      </c>
      <c r="J34" s="404" t="e">
        <f t="shared" si="0"/>
        <v>#REF!</v>
      </c>
      <c r="K34" s="404" t="e">
        <f t="shared" si="0"/>
        <v>#REF!</v>
      </c>
      <c r="L34" s="404" t="e">
        <f t="shared" si="0"/>
        <v>#REF!</v>
      </c>
      <c r="M34" s="404" t="e">
        <f t="shared" si="0"/>
        <v>#REF!</v>
      </c>
      <c r="N34" s="404" t="e">
        <f t="shared" si="0"/>
        <v>#REF!</v>
      </c>
      <c r="O34" s="404" t="e">
        <f t="shared" si="0"/>
        <v>#REF!</v>
      </c>
      <c r="P34" s="404" t="e">
        <f t="shared" si="0"/>
        <v>#REF!</v>
      </c>
      <c r="Q34" s="404" t="e">
        <f t="shared" si="0"/>
        <v>#REF!</v>
      </c>
      <c r="R34" s="404" t="e">
        <f t="shared" si="0"/>
        <v>#REF!</v>
      </c>
      <c r="S34" s="404" t="e">
        <f t="shared" si="0"/>
        <v>#REF!</v>
      </c>
      <c r="T34" s="404" t="e">
        <f t="shared" si="0"/>
        <v>#REF!</v>
      </c>
    </row>
    <row r="35" spans="1:20" ht="6.75" customHeight="1" x14ac:dyDescent="0.25">
      <c r="A35" s="414"/>
      <c r="B35" s="414"/>
      <c r="C35" s="414"/>
      <c r="D35" s="414"/>
      <c r="E35" s="414"/>
    </row>
    <row r="37" spans="1:20" ht="24.75" customHeight="1" x14ac:dyDescent="0.25">
      <c r="B37" s="445" t="s">
        <v>21</v>
      </c>
      <c r="C37" s="446">
        <v>43102</v>
      </c>
      <c r="F37" s="445" t="s">
        <v>22</v>
      </c>
      <c r="G37" s="447"/>
      <c r="H37" s="448"/>
    </row>
    <row r="38" spans="1:20" ht="24.75" customHeight="1" x14ac:dyDescent="0.25">
      <c r="B38" s="445" t="s">
        <v>23</v>
      </c>
      <c r="C38" s="446">
        <v>42917</v>
      </c>
      <c r="F38" s="445" t="s">
        <v>24</v>
      </c>
      <c r="G38" s="447"/>
      <c r="H38"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Lists!$E$3:$E$41</xm:f>
          </x14:formula1>
          <xm:sqref>B5</xm:sqref>
        </x14:dataValidation>
        <x14:dataValidation type="list" allowBlank="1" showInputMessage="1" showErrorMessage="1">
          <x14:formula1>
            <xm:f>Lists!$D$2:$D$13</xm:f>
          </x14:formula1>
          <xm:sqref>F34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pageSetUpPr fitToPage="1"/>
  </sheetPr>
  <dimension ref="A1:AA214"/>
  <sheetViews>
    <sheetView showGridLines="0" topLeftCell="A31" zoomScale="60" zoomScaleNormal="60" zoomScalePageLayoutView="60" workbookViewId="0">
      <selection activeCell="H119" sqref="H119"/>
    </sheetView>
  </sheetViews>
  <sheetFormatPr baseColWidth="10" defaultColWidth="11.42578125" defaultRowHeight="15" outlineLevelRow="1" outlineLevelCol="1" x14ac:dyDescent="0.25"/>
  <cols>
    <col min="1" max="1" width="21.28515625" style="449" customWidth="1"/>
    <col min="2" max="2" width="32" style="449" customWidth="1"/>
    <col min="3" max="3" width="43.7109375" style="449" bestFit="1" customWidth="1"/>
    <col min="4" max="4" width="79.42578125" style="449" customWidth="1"/>
    <col min="5" max="5" width="17.5703125" style="449" customWidth="1"/>
    <col min="6" max="6" width="23" style="449" customWidth="1"/>
    <col min="7" max="8" width="17.5703125" style="449" customWidth="1"/>
    <col min="9" max="10" width="11.5703125" style="449" customWidth="1"/>
    <col min="11" max="11" width="17.5703125" style="449" customWidth="1"/>
    <col min="12" max="13" width="17.7109375" style="449" customWidth="1"/>
    <col min="14" max="14" width="17.1406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customHeight="1" x14ac:dyDescent="0.25"/>
    <row r="2" spans="1:26" s="450" customFormat="1" ht="24.75" customHeight="1" x14ac:dyDescent="0.2">
      <c r="B2" s="451"/>
    </row>
    <row r="3" spans="1:26" s="450" customFormat="1" ht="24.75" customHeight="1" x14ac:dyDescent="0.3">
      <c r="B3" s="452"/>
    </row>
    <row r="4" spans="1:26" s="450" customFormat="1" ht="36.6" customHeight="1" x14ac:dyDescent="0.2"/>
    <row r="5" spans="1:26" ht="24.75" customHeight="1" x14ac:dyDescent="0.25"/>
    <row r="6" spans="1:26" ht="36.6" customHeight="1" x14ac:dyDescent="0.25">
      <c r="A6" s="453" t="s">
        <v>25</v>
      </c>
      <c r="B6" s="454"/>
      <c r="C6" s="455"/>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ht="18.75" x14ac:dyDescent="0.3">
      <c r="A7" s="458"/>
      <c r="B7" s="459" t="s">
        <v>6</v>
      </c>
      <c r="C7" s="459"/>
      <c r="D7" s="459"/>
      <c r="E7" s="459"/>
      <c r="F7" s="459"/>
      <c r="G7" s="459"/>
      <c r="H7" s="459"/>
      <c r="I7" s="459"/>
      <c r="J7" s="459"/>
      <c r="K7" s="459"/>
      <c r="L7" s="459"/>
      <c r="M7" s="459"/>
      <c r="N7" s="460"/>
      <c r="O7" s="461"/>
      <c r="P7" s="461"/>
      <c r="Q7" s="461"/>
      <c r="R7" s="461"/>
      <c r="S7" s="461"/>
      <c r="T7" s="461"/>
      <c r="U7" s="461"/>
      <c r="V7" s="461"/>
      <c r="W7" s="461"/>
      <c r="X7" s="461"/>
      <c r="Y7" s="461"/>
      <c r="Z7" s="462"/>
    </row>
    <row r="8" spans="1:26" ht="18.75" x14ac:dyDescent="0.3">
      <c r="A8" s="463"/>
      <c r="B8" s="464" t="s">
        <v>151</v>
      </c>
      <c r="C8" s="465"/>
      <c r="D8" s="465"/>
      <c r="E8" s="466"/>
      <c r="F8" s="466"/>
      <c r="G8" s="466"/>
      <c r="H8" s="466"/>
      <c r="I8" s="466"/>
      <c r="J8" s="466"/>
      <c r="K8" s="466"/>
      <c r="L8" s="466"/>
      <c r="M8" s="466"/>
      <c r="N8" s="467" t="s">
        <v>7</v>
      </c>
      <c r="O8" s="468"/>
      <c r="P8" s="468"/>
      <c r="Q8" s="468"/>
      <c r="R8" s="468"/>
      <c r="S8" s="468"/>
      <c r="T8" s="468"/>
      <c r="U8" s="468"/>
      <c r="V8" s="468"/>
      <c r="W8" s="468"/>
      <c r="X8" s="468"/>
      <c r="Y8" s="468"/>
      <c r="Z8" s="469"/>
    </row>
    <row r="9" spans="1:26" ht="18.75" x14ac:dyDescent="0.3">
      <c r="A9" s="463"/>
      <c r="B9" s="470" t="s">
        <v>8</v>
      </c>
      <c r="C9" s="466"/>
      <c r="D9" s="470" t="s">
        <v>9</v>
      </c>
      <c r="E9" s="470"/>
      <c r="F9" s="470"/>
      <c r="G9" s="470"/>
      <c r="H9" s="470"/>
      <c r="I9" s="470"/>
      <c r="J9" s="470"/>
      <c r="K9" s="470"/>
      <c r="L9" s="470"/>
      <c r="M9" s="470"/>
      <c r="N9" s="471">
        <v>43102</v>
      </c>
      <c r="O9" s="472"/>
      <c r="P9" s="472"/>
      <c r="Q9" s="472"/>
      <c r="R9" s="472"/>
      <c r="S9" s="472"/>
      <c r="T9" s="472"/>
      <c r="U9" s="472"/>
      <c r="V9" s="472"/>
      <c r="W9" s="472"/>
      <c r="X9" s="472"/>
      <c r="Y9" s="472"/>
      <c r="Z9" s="473"/>
    </row>
    <row r="10" spans="1:26" ht="18.75" x14ac:dyDescent="0.3">
      <c r="A10" s="474"/>
      <c r="B10" s="475" t="str">
        <f>VLOOKUP(B8,Lists!E2:G41,3,)</f>
        <v>685 Engineering</v>
      </c>
      <c r="C10" s="476"/>
      <c r="D10" s="464" t="str">
        <f>VLOOKUP(B8,Lists!$E$3:$F$41,2,)</f>
        <v>Walter Droppelmann</v>
      </c>
      <c r="E10" s="466"/>
      <c r="F10" s="466"/>
      <c r="G10" s="466"/>
      <c r="H10" s="466"/>
      <c r="I10" s="466"/>
      <c r="J10" s="466"/>
      <c r="K10" s="466"/>
      <c r="L10" s="466"/>
      <c r="M10" s="466"/>
      <c r="N10" s="477"/>
      <c r="O10" s="468"/>
      <c r="P10" s="468"/>
      <c r="Q10" s="468"/>
      <c r="R10" s="468"/>
      <c r="S10" s="468"/>
      <c r="T10" s="468"/>
      <c r="U10" s="468"/>
      <c r="V10" s="468"/>
      <c r="W10" s="468"/>
      <c r="X10" s="468"/>
      <c r="Y10" s="468"/>
      <c r="Z10" s="469"/>
    </row>
    <row r="11" spans="1:26" ht="18.75" x14ac:dyDescent="0.3">
      <c r="A11" s="474"/>
      <c r="B11" s="478" t="s">
        <v>10</v>
      </c>
      <c r="C11" s="476"/>
      <c r="D11" s="478"/>
      <c r="E11" s="478"/>
      <c r="F11" s="478"/>
      <c r="G11" s="478"/>
      <c r="H11" s="478"/>
      <c r="I11" s="478"/>
      <c r="J11" s="478"/>
      <c r="K11" s="478"/>
      <c r="L11" s="478"/>
      <c r="M11" s="478"/>
      <c r="N11" s="479" t="s">
        <v>11</v>
      </c>
      <c r="O11" s="480"/>
      <c r="P11" s="480"/>
      <c r="Q11" s="480"/>
      <c r="R11" s="480"/>
      <c r="S11" s="480"/>
      <c r="T11" s="480"/>
      <c r="U11" s="480"/>
      <c r="V11" s="480"/>
      <c r="W11" s="480"/>
      <c r="X11" s="480"/>
      <c r="Y11" s="480"/>
      <c r="Z11" s="481"/>
    </row>
    <row r="12" spans="1:26" ht="18.75" x14ac:dyDescent="0.3">
      <c r="A12" s="474"/>
      <c r="B12" s="482">
        <v>43313</v>
      </c>
      <c r="C12" s="476"/>
      <c r="D12" s="478"/>
      <c r="E12" s="466"/>
      <c r="F12" s="466"/>
      <c r="G12" s="466"/>
      <c r="H12" s="466"/>
      <c r="I12" s="466"/>
      <c r="J12" s="466"/>
      <c r="K12" s="466"/>
      <c r="L12" s="466"/>
      <c r="M12" s="466"/>
      <c r="N12" s="471">
        <v>43465</v>
      </c>
      <c r="O12" s="468"/>
      <c r="P12" s="468"/>
      <c r="Q12" s="468"/>
      <c r="R12" s="468"/>
      <c r="S12" s="468"/>
      <c r="T12" s="468"/>
      <c r="U12" s="468"/>
      <c r="V12" s="468"/>
      <c r="W12" s="468"/>
      <c r="X12" s="468"/>
      <c r="Y12" s="468"/>
      <c r="Z12" s="481"/>
    </row>
    <row r="13" spans="1:26" ht="18.75" x14ac:dyDescent="0.3">
      <c r="A13" s="483"/>
      <c r="B13" s="484"/>
      <c r="C13" s="485"/>
      <c r="D13" s="485"/>
      <c r="E13" s="485"/>
      <c r="F13" s="485"/>
      <c r="G13" s="485"/>
      <c r="H13" s="485"/>
      <c r="I13" s="485"/>
      <c r="J13" s="485"/>
      <c r="K13" s="485"/>
      <c r="L13" s="485"/>
      <c r="M13" s="485"/>
      <c r="N13" s="486"/>
      <c r="O13" s="487"/>
      <c r="P13" s="487"/>
      <c r="Q13" s="487"/>
      <c r="R13" s="487"/>
      <c r="S13" s="487"/>
      <c r="T13" s="487"/>
      <c r="U13" s="487"/>
      <c r="V13" s="487"/>
      <c r="W13" s="487"/>
      <c r="X13" s="487"/>
      <c r="Y13" s="487"/>
      <c r="Z13" s="488"/>
    </row>
    <row r="14" spans="1:26" ht="6.75" customHeight="1" x14ac:dyDescent="0.25"/>
    <row r="15" spans="1:26" ht="18.75" x14ac:dyDescent="0.25">
      <c r="A15" s="489" t="s">
        <v>12</v>
      </c>
      <c r="B15" s="489"/>
      <c r="C15" s="490"/>
      <c r="D15" s="490"/>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ht="15.75" x14ac:dyDescent="0.25">
      <c r="A16" s="492" t="s">
        <v>261</v>
      </c>
      <c r="B16" s="492" t="s">
        <v>13</v>
      </c>
      <c r="C16" s="492" t="s">
        <v>14</v>
      </c>
      <c r="D16" s="403" t="s">
        <v>15</v>
      </c>
      <c r="E16" s="404" t="s">
        <v>16</v>
      </c>
      <c r="F16" s="410"/>
      <c r="G16" s="410"/>
      <c r="H16" s="410"/>
      <c r="I16" s="410"/>
      <c r="J16" s="410"/>
      <c r="K16" s="410"/>
      <c r="L16" s="404" t="s">
        <v>17</v>
      </c>
      <c r="M16" s="404" t="s">
        <v>18</v>
      </c>
      <c r="N16" s="404" t="s">
        <v>19</v>
      </c>
      <c r="O16" s="493">
        <v>43101</v>
      </c>
      <c r="P16" s="493">
        <v>43132</v>
      </c>
      <c r="Q16" s="493">
        <v>43160</v>
      </c>
      <c r="R16" s="493">
        <v>43191</v>
      </c>
      <c r="S16" s="493">
        <v>43221</v>
      </c>
      <c r="T16" s="493">
        <v>43252</v>
      </c>
      <c r="U16" s="493">
        <v>43282</v>
      </c>
      <c r="V16" s="493">
        <v>43313</v>
      </c>
      <c r="W16" s="493">
        <v>43344</v>
      </c>
      <c r="X16" s="493">
        <v>43374</v>
      </c>
      <c r="Y16" s="493">
        <v>43405</v>
      </c>
      <c r="Z16" s="493">
        <v>43435</v>
      </c>
    </row>
    <row r="17" spans="1:26" ht="15.75" x14ac:dyDescent="0.25">
      <c r="A17" s="494" t="s">
        <v>154</v>
      </c>
      <c r="B17" s="494" t="s">
        <v>27</v>
      </c>
      <c r="C17" s="494" t="s">
        <v>336</v>
      </c>
      <c r="D17" s="495"/>
      <c r="E17" s="496" t="s">
        <v>232</v>
      </c>
      <c r="F17" s="410"/>
      <c r="G17" s="410"/>
      <c r="H17" s="410"/>
      <c r="I17" s="410"/>
      <c r="J17" s="410"/>
      <c r="K17" s="410"/>
      <c r="L17" s="496">
        <v>6</v>
      </c>
      <c r="M17" s="497">
        <f>+M103</f>
        <v>12</v>
      </c>
      <c r="N17" s="496">
        <f>SUM(O17:Z17)</f>
        <v>15870000</v>
      </c>
      <c r="O17" s="498">
        <f t="shared" ref="O17:Z17" si="0">+O103</f>
        <v>200000</v>
      </c>
      <c r="P17" s="498">
        <f t="shared" si="0"/>
        <v>50000</v>
      </c>
      <c r="Q17" s="498">
        <f t="shared" si="0"/>
        <v>50000</v>
      </c>
      <c r="R17" s="498">
        <f t="shared" si="0"/>
        <v>380000</v>
      </c>
      <c r="S17" s="498">
        <f t="shared" si="0"/>
        <v>1100000</v>
      </c>
      <c r="T17" s="498">
        <f t="shared" si="0"/>
        <v>1730000</v>
      </c>
      <c r="U17" s="498">
        <f t="shared" si="0"/>
        <v>2200000</v>
      </c>
      <c r="V17" s="498">
        <f t="shared" si="0"/>
        <v>2230000</v>
      </c>
      <c r="W17" s="498">
        <f t="shared" si="0"/>
        <v>2200000</v>
      </c>
      <c r="X17" s="498">
        <f t="shared" si="0"/>
        <v>2130000</v>
      </c>
      <c r="Y17" s="498">
        <f t="shared" si="0"/>
        <v>2000000</v>
      </c>
      <c r="Z17" s="498">
        <f t="shared" si="0"/>
        <v>1600000</v>
      </c>
    </row>
    <row r="18" spans="1:26" ht="15.75" x14ac:dyDescent="0.25">
      <c r="A18" s="494" t="s">
        <v>157</v>
      </c>
      <c r="B18" s="494" t="s">
        <v>29</v>
      </c>
      <c r="C18" s="494" t="s">
        <v>363</v>
      </c>
      <c r="D18" s="495"/>
      <c r="E18" s="496" t="s">
        <v>228</v>
      </c>
      <c r="F18" s="410"/>
      <c r="G18" s="410"/>
      <c r="H18" s="410"/>
      <c r="I18" s="410"/>
      <c r="J18" s="410"/>
      <c r="K18" s="410"/>
      <c r="L18" s="496">
        <v>6</v>
      </c>
      <c r="M18" s="497">
        <f>+M118</f>
        <v>0</v>
      </c>
      <c r="N18" s="496">
        <f t="shared" ref="N18" si="1">SUM(O18:Z18)</f>
        <v>5270000</v>
      </c>
      <c r="O18" s="498">
        <f t="shared" ref="O18:Z18" si="2">+O118</f>
        <v>265000</v>
      </c>
      <c r="P18" s="498">
        <f t="shared" si="2"/>
        <v>265000</v>
      </c>
      <c r="Q18" s="498">
        <f t="shared" si="2"/>
        <v>815000</v>
      </c>
      <c r="R18" s="498">
        <f t="shared" si="2"/>
        <v>615000</v>
      </c>
      <c r="S18" s="498">
        <f t="shared" si="2"/>
        <v>765000</v>
      </c>
      <c r="T18" s="498">
        <f t="shared" si="2"/>
        <v>815000</v>
      </c>
      <c r="U18" s="498">
        <f t="shared" si="2"/>
        <v>565000</v>
      </c>
      <c r="V18" s="498">
        <f t="shared" si="2"/>
        <v>415000</v>
      </c>
      <c r="W18" s="498">
        <f t="shared" si="2"/>
        <v>325000</v>
      </c>
      <c r="X18" s="498">
        <f t="shared" si="2"/>
        <v>125000</v>
      </c>
      <c r="Y18" s="498">
        <f t="shared" si="2"/>
        <v>225000</v>
      </c>
      <c r="Z18" s="498">
        <f t="shared" si="2"/>
        <v>75000</v>
      </c>
    </row>
    <row r="19" spans="1:26" ht="15.75" x14ac:dyDescent="0.25">
      <c r="A19" s="494" t="s">
        <v>158</v>
      </c>
      <c r="B19" s="494" t="s">
        <v>30</v>
      </c>
      <c r="C19" s="494" t="s">
        <v>122</v>
      </c>
      <c r="D19" s="495"/>
      <c r="E19" s="496" t="s">
        <v>230</v>
      </c>
      <c r="F19" s="410"/>
      <c r="G19" s="410"/>
      <c r="H19" s="410"/>
      <c r="I19" s="410"/>
      <c r="J19" s="410"/>
      <c r="K19" s="410"/>
      <c r="L19" s="496"/>
      <c r="M19" s="497">
        <f>+M134</f>
        <v>0</v>
      </c>
      <c r="N19" s="496">
        <f t="shared" ref="N19:Z19" si="3">+N134</f>
        <v>7723000</v>
      </c>
      <c r="O19" s="498">
        <f t="shared" si="3"/>
        <v>0</v>
      </c>
      <c r="P19" s="498">
        <f t="shared" si="3"/>
        <v>0</v>
      </c>
      <c r="Q19" s="498">
        <f t="shared" si="3"/>
        <v>39600</v>
      </c>
      <c r="R19" s="498">
        <f t="shared" si="3"/>
        <v>39600</v>
      </c>
      <c r="S19" s="498">
        <f t="shared" si="3"/>
        <v>968600</v>
      </c>
      <c r="T19" s="498">
        <f t="shared" si="3"/>
        <v>1118600</v>
      </c>
      <c r="U19" s="498">
        <f t="shared" si="3"/>
        <v>1118600</v>
      </c>
      <c r="V19" s="498">
        <f t="shared" si="3"/>
        <v>1118600</v>
      </c>
      <c r="W19" s="498">
        <f t="shared" si="3"/>
        <v>968600</v>
      </c>
      <c r="X19" s="498">
        <f t="shared" si="3"/>
        <v>843600</v>
      </c>
      <c r="Y19" s="498">
        <f t="shared" si="3"/>
        <v>753600</v>
      </c>
      <c r="Z19" s="498">
        <f t="shared" si="3"/>
        <v>753600</v>
      </c>
    </row>
    <row r="20" spans="1:26" ht="15.75" x14ac:dyDescent="0.25">
      <c r="A20" s="494" t="s">
        <v>159</v>
      </c>
      <c r="B20" s="494" t="s">
        <v>31</v>
      </c>
      <c r="C20" s="494"/>
      <c r="D20" s="495"/>
      <c r="E20" s="496" t="s">
        <v>234</v>
      </c>
      <c r="F20" s="410"/>
      <c r="G20" s="410"/>
      <c r="H20" s="410"/>
      <c r="I20" s="410"/>
      <c r="J20" s="410"/>
      <c r="K20" s="410"/>
      <c r="L20" s="496"/>
      <c r="M20" s="410"/>
      <c r="N20" s="409"/>
      <c r="O20" s="409" t="s">
        <v>5</v>
      </c>
      <c r="P20" s="409"/>
      <c r="Q20" s="409"/>
      <c r="R20" s="409"/>
      <c r="S20" s="409"/>
      <c r="T20" s="409"/>
      <c r="U20" s="409"/>
      <c r="V20" s="409"/>
      <c r="W20" s="409"/>
      <c r="X20" s="409"/>
      <c r="Y20" s="409"/>
      <c r="Z20" s="409"/>
    </row>
    <row r="21" spans="1:26" ht="15.75" hidden="1" x14ac:dyDescent="0.25">
      <c r="A21" s="494"/>
      <c r="B21" s="494" t="s">
        <v>32</v>
      </c>
      <c r="C21" s="494"/>
      <c r="D21" s="495"/>
      <c r="E21" s="496"/>
      <c r="F21" s="410"/>
      <c r="G21" s="410"/>
      <c r="H21" s="410"/>
      <c r="I21" s="410"/>
      <c r="J21" s="410"/>
      <c r="K21" s="410"/>
      <c r="L21" s="496"/>
      <c r="M21" s="410"/>
      <c r="N21" s="409"/>
      <c r="O21" s="409"/>
      <c r="P21" s="409"/>
      <c r="Q21" s="409"/>
      <c r="R21" s="409"/>
      <c r="S21" s="409"/>
      <c r="T21" s="409"/>
      <c r="U21" s="409"/>
      <c r="V21" s="409"/>
      <c r="W21" s="409"/>
      <c r="X21" s="409"/>
      <c r="Y21" s="409"/>
      <c r="Z21" s="409"/>
    </row>
    <row r="22" spans="1:26" ht="15.75" hidden="1" x14ac:dyDescent="0.25">
      <c r="A22" s="494"/>
      <c r="B22" s="494" t="s">
        <v>256</v>
      </c>
      <c r="C22" s="494"/>
      <c r="D22" s="495"/>
      <c r="E22" s="496"/>
      <c r="F22" s="410"/>
      <c r="G22" s="410"/>
      <c r="H22" s="410"/>
      <c r="I22" s="410"/>
      <c r="J22" s="410"/>
      <c r="K22" s="410"/>
      <c r="L22" s="496"/>
      <c r="M22" s="410"/>
      <c r="N22" s="409"/>
      <c r="O22" s="409"/>
      <c r="P22" s="409"/>
      <c r="Q22" s="409"/>
      <c r="R22" s="409"/>
      <c r="S22" s="409"/>
      <c r="T22" s="409"/>
      <c r="U22" s="409"/>
      <c r="V22" s="409"/>
      <c r="W22" s="409"/>
      <c r="X22" s="409"/>
      <c r="Y22" s="409"/>
      <c r="Z22" s="409"/>
    </row>
    <row r="23" spans="1:26" ht="15.75" hidden="1" x14ac:dyDescent="0.25">
      <c r="A23" s="494"/>
      <c r="B23" s="494" t="s">
        <v>257</v>
      </c>
      <c r="C23" s="494"/>
      <c r="D23" s="495"/>
      <c r="E23" s="496"/>
      <c r="F23" s="410"/>
      <c r="G23" s="410"/>
      <c r="H23" s="410"/>
      <c r="I23" s="410"/>
      <c r="J23" s="410"/>
      <c r="K23" s="410"/>
      <c r="L23" s="496"/>
      <c r="M23" s="410"/>
      <c r="N23" s="409"/>
      <c r="O23" s="409"/>
      <c r="P23" s="409"/>
      <c r="Q23" s="409"/>
      <c r="R23" s="409"/>
      <c r="S23" s="409"/>
      <c r="T23" s="409"/>
      <c r="U23" s="409"/>
      <c r="V23" s="409"/>
      <c r="W23" s="409"/>
      <c r="X23" s="409"/>
      <c r="Y23" s="409"/>
      <c r="Z23" s="409"/>
    </row>
    <row r="24" spans="1:26" ht="15.75" hidden="1" x14ac:dyDescent="0.25">
      <c r="A24" s="494"/>
      <c r="B24" s="494" t="s">
        <v>258</v>
      </c>
      <c r="C24" s="494"/>
      <c r="D24" s="495"/>
      <c r="E24" s="496"/>
      <c r="F24" s="410"/>
      <c r="G24" s="410"/>
      <c r="H24" s="410"/>
      <c r="I24" s="410"/>
      <c r="J24" s="410"/>
      <c r="K24" s="410"/>
      <c r="L24" s="496"/>
      <c r="M24" s="410"/>
      <c r="N24" s="409"/>
      <c r="O24" s="409"/>
      <c r="P24" s="409"/>
      <c r="Q24" s="409"/>
      <c r="R24" s="409"/>
      <c r="S24" s="409"/>
      <c r="T24" s="409"/>
      <c r="U24" s="409"/>
      <c r="V24" s="409"/>
      <c r="W24" s="409"/>
      <c r="X24" s="409"/>
      <c r="Y24" s="409"/>
      <c r="Z24" s="409"/>
    </row>
    <row r="25" spans="1:26" ht="15.75" hidden="1" x14ac:dyDescent="0.25">
      <c r="A25" s="494"/>
      <c r="B25" s="494" t="s">
        <v>259</v>
      </c>
      <c r="C25" s="494"/>
      <c r="D25" s="495"/>
      <c r="E25" s="496"/>
      <c r="F25" s="410"/>
      <c r="G25" s="410"/>
      <c r="H25" s="410"/>
      <c r="I25" s="410"/>
      <c r="J25" s="410"/>
      <c r="K25" s="410"/>
      <c r="L25" s="496"/>
      <c r="M25" s="410"/>
      <c r="N25" s="409"/>
      <c r="O25" s="409"/>
      <c r="P25" s="409"/>
      <c r="Q25" s="409"/>
      <c r="R25" s="409"/>
      <c r="S25" s="409"/>
      <c r="T25" s="409"/>
      <c r="U25" s="409"/>
      <c r="V25" s="409"/>
      <c r="W25" s="409"/>
      <c r="X25" s="409"/>
      <c r="Y25" s="409"/>
      <c r="Z25" s="409"/>
    </row>
    <row r="26" spans="1:26" ht="15.75" hidden="1" x14ac:dyDescent="0.25">
      <c r="A26" s="494"/>
      <c r="B26" s="494"/>
      <c r="C26" s="494"/>
      <c r="D26" s="495"/>
      <c r="E26" s="496"/>
      <c r="F26" s="410"/>
      <c r="G26" s="410"/>
      <c r="H26" s="410"/>
      <c r="I26" s="410"/>
      <c r="J26" s="410"/>
      <c r="K26" s="410"/>
      <c r="L26" s="496"/>
      <c r="M26" s="410"/>
      <c r="N26" s="409"/>
      <c r="O26" s="409" t="s">
        <v>5</v>
      </c>
      <c r="P26" s="409"/>
      <c r="Q26" s="409"/>
      <c r="R26" s="409"/>
      <c r="S26" s="409"/>
      <c r="T26" s="409"/>
      <c r="U26" s="409"/>
      <c r="V26" s="409"/>
      <c r="W26" s="409"/>
      <c r="X26" s="409"/>
      <c r="Y26" s="409"/>
      <c r="Z26" s="409"/>
    </row>
    <row r="27" spans="1:26" x14ac:dyDescent="0.25">
      <c r="A27" s="499"/>
      <c r="B27" s="500"/>
      <c r="C27" s="500"/>
      <c r="D27" s="501"/>
      <c r="E27" s="415"/>
      <c r="F27" s="415"/>
      <c r="G27" s="415"/>
      <c r="H27" s="415"/>
      <c r="I27" s="415"/>
      <c r="J27" s="502" t="s">
        <v>20</v>
      </c>
      <c r="K27" s="503"/>
      <c r="L27" s="404">
        <v>12</v>
      </c>
      <c r="M27" s="404">
        <f>SUM(M2:M26)</f>
        <v>12</v>
      </c>
      <c r="N27" s="404">
        <f>SUM(N16:N26)</f>
        <v>28863000</v>
      </c>
      <c r="O27" s="404">
        <f>SUM(O17:O26)</f>
        <v>465000</v>
      </c>
      <c r="P27" s="404">
        <f t="shared" ref="P27:Z27" si="4">SUM(P17:P26)</f>
        <v>315000</v>
      </c>
      <c r="Q27" s="404">
        <f t="shared" si="4"/>
        <v>904600</v>
      </c>
      <c r="R27" s="404">
        <f t="shared" si="4"/>
        <v>1034600</v>
      </c>
      <c r="S27" s="404">
        <f t="shared" si="4"/>
        <v>2833600</v>
      </c>
      <c r="T27" s="404">
        <f t="shared" si="4"/>
        <v>3663600</v>
      </c>
      <c r="U27" s="404">
        <f t="shared" si="4"/>
        <v>3883600</v>
      </c>
      <c r="V27" s="404">
        <f t="shared" si="4"/>
        <v>3763600</v>
      </c>
      <c r="W27" s="404">
        <f t="shared" si="4"/>
        <v>3493600</v>
      </c>
      <c r="X27" s="404">
        <f t="shared" si="4"/>
        <v>3098600</v>
      </c>
      <c r="Y27" s="404">
        <f t="shared" si="4"/>
        <v>2978600</v>
      </c>
      <c r="Z27" s="404">
        <f t="shared" si="4"/>
        <v>2428600</v>
      </c>
    </row>
    <row r="28" spans="1:26" ht="6.75" customHeight="1" x14ac:dyDescent="0.25">
      <c r="A28" s="501"/>
      <c r="B28" s="501"/>
      <c r="C28" s="501"/>
      <c r="D28" s="501"/>
      <c r="E28" s="501"/>
      <c r="F28" s="501"/>
      <c r="G28" s="501"/>
      <c r="H28" s="501"/>
      <c r="I28" s="501"/>
      <c r="J28" s="501"/>
      <c r="K28" s="501"/>
    </row>
    <row r="29" spans="1:26" ht="18.75" x14ac:dyDescent="0.25">
      <c r="A29" s="489" t="s">
        <v>33</v>
      </c>
      <c r="B29" s="489"/>
      <c r="C29" s="490"/>
      <c r="D29" s="490"/>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ht="15.75" x14ac:dyDescent="0.25">
      <c r="A30" s="492" t="s">
        <v>261</v>
      </c>
      <c r="B30" s="442" t="s">
        <v>13</v>
      </c>
      <c r="C30" s="442" t="s">
        <v>14</v>
      </c>
      <c r="D30" s="403" t="s">
        <v>15</v>
      </c>
      <c r="E30" s="410" t="s">
        <v>5</v>
      </c>
      <c r="F30" s="410" t="s">
        <v>5</v>
      </c>
      <c r="G30" s="410" t="s">
        <v>5</v>
      </c>
      <c r="H30" s="410"/>
      <c r="I30" s="410"/>
      <c r="J30" s="410"/>
      <c r="K30" s="410" t="s">
        <v>5</v>
      </c>
      <c r="L30" s="504" t="s">
        <v>287</v>
      </c>
      <c r="M30" s="410"/>
      <c r="N30" s="409"/>
      <c r="O30" s="409" t="s">
        <v>5</v>
      </c>
      <c r="P30" s="409"/>
      <c r="Q30" s="409"/>
      <c r="R30" s="409"/>
      <c r="S30" s="409"/>
      <c r="T30" s="409"/>
      <c r="U30" s="409"/>
      <c r="V30" s="409"/>
      <c r="W30" s="409"/>
      <c r="X30" s="409"/>
      <c r="Y30" s="409"/>
      <c r="Z30" s="409"/>
    </row>
    <row r="31" spans="1:26" ht="18.75" x14ac:dyDescent="0.25">
      <c r="A31" s="505" t="str">
        <f>CONCATENATE(B17," ",C17)</f>
        <v>Objective 1 FS Engineering</v>
      </c>
      <c r="B31" s="505"/>
      <c r="C31" s="506"/>
      <c r="D31" s="50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t="30" x14ac:dyDescent="0.25">
      <c r="A32" s="494"/>
      <c r="B32" s="508" t="s">
        <v>34</v>
      </c>
      <c r="C32" s="508" t="s">
        <v>251</v>
      </c>
      <c r="D32" s="495" t="s">
        <v>252</v>
      </c>
      <c r="E32" s="999"/>
      <c r="F32" s="999"/>
      <c r="G32" s="999"/>
      <c r="H32" s="999"/>
      <c r="I32" s="999"/>
      <c r="J32" s="999"/>
      <c r="K32" s="1000"/>
      <c r="L32" s="496" t="s">
        <v>60</v>
      </c>
      <c r="M32" s="410"/>
      <c r="N32" s="409"/>
      <c r="O32" s="409" t="s">
        <v>5</v>
      </c>
      <c r="P32" s="409"/>
      <c r="Q32" s="409"/>
      <c r="R32" s="409"/>
      <c r="S32" s="409"/>
      <c r="T32" s="409"/>
      <c r="U32" s="409"/>
      <c r="V32" s="409"/>
      <c r="W32" s="409"/>
      <c r="X32" s="409"/>
      <c r="Y32" s="409"/>
      <c r="Z32" s="409"/>
    </row>
    <row r="33" spans="1:26" ht="15.75" x14ac:dyDescent="0.25">
      <c r="A33" s="494"/>
      <c r="B33" s="508"/>
      <c r="C33" s="508"/>
      <c r="D33" s="495"/>
      <c r="E33" s="999"/>
      <c r="F33" s="999"/>
      <c r="G33" s="999"/>
      <c r="H33" s="999"/>
      <c r="I33" s="999"/>
      <c r="J33" s="999"/>
      <c r="K33" s="1000"/>
      <c r="L33" s="496"/>
      <c r="M33" s="410"/>
      <c r="N33" s="409"/>
      <c r="O33" s="409" t="s">
        <v>5</v>
      </c>
      <c r="P33" s="409"/>
      <c r="Q33" s="409"/>
      <c r="R33" s="409"/>
      <c r="S33" s="409"/>
      <c r="T33" s="409"/>
      <c r="U33" s="409"/>
      <c r="V33" s="409"/>
      <c r="W33" s="409"/>
      <c r="X33" s="409"/>
      <c r="Y33" s="409"/>
      <c r="Z33" s="409"/>
    </row>
    <row r="34" spans="1:26" ht="15.75" x14ac:dyDescent="0.25">
      <c r="A34" s="494"/>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ht="15.75" hidden="1" x14ac:dyDescent="0.25">
      <c r="A35" s="494"/>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ht="15.75" hidden="1" x14ac:dyDescent="0.25">
      <c r="A36" s="494"/>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t="18.75" x14ac:dyDescent="0.25">
      <c r="A37" s="505"/>
      <c r="B37" s="505"/>
      <c r="C37" s="506"/>
      <c r="D37" s="50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t="30" x14ac:dyDescent="0.25">
      <c r="A38" s="494"/>
      <c r="B38" s="508" t="s">
        <v>36</v>
      </c>
      <c r="C38" s="508" t="s">
        <v>254</v>
      </c>
      <c r="D38" s="495" t="s">
        <v>255</v>
      </c>
      <c r="E38" s="999"/>
      <c r="F38" s="999"/>
      <c r="G38" s="999"/>
      <c r="H38" s="999"/>
      <c r="I38" s="999"/>
      <c r="J38" s="999"/>
      <c r="K38" s="1000"/>
      <c r="L38" s="496" t="s">
        <v>60</v>
      </c>
      <c r="M38" s="410"/>
      <c r="N38" s="409"/>
      <c r="O38" s="409" t="s">
        <v>5</v>
      </c>
      <c r="P38" s="409"/>
      <c r="Q38" s="409"/>
      <c r="R38" s="409"/>
      <c r="S38" s="409"/>
      <c r="T38" s="409"/>
      <c r="U38" s="409"/>
      <c r="V38" s="409"/>
      <c r="W38" s="409"/>
      <c r="X38" s="409"/>
      <c r="Y38" s="409"/>
      <c r="Z38" s="409"/>
    </row>
    <row r="39" spans="1:26" ht="15.75" x14ac:dyDescent="0.25">
      <c r="A39" s="494"/>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t="15.75" hidden="1" x14ac:dyDescent="0.25">
      <c r="A40" s="494"/>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t="15.75" hidden="1" x14ac:dyDescent="0.25">
      <c r="A41" s="494"/>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t="15.75" hidden="1" x14ac:dyDescent="0.25">
      <c r="A42" s="494"/>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t="18.75" x14ac:dyDescent="0.25">
      <c r="A43" s="505"/>
      <c r="B43" s="505"/>
      <c r="C43" s="506"/>
      <c r="D43" s="50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t="15.75" x14ac:dyDescent="0.25">
      <c r="A44" s="494"/>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t="15.75" x14ac:dyDescent="0.25">
      <c r="A45" s="494"/>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t="15.75" hidden="1" x14ac:dyDescent="0.25">
      <c r="A46" s="494"/>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t="15.75" hidden="1" x14ac:dyDescent="0.25">
      <c r="A47" s="494"/>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t="15.75" hidden="1" x14ac:dyDescent="0.25">
      <c r="A48" s="494"/>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t="18.75" outlineLevel="1" x14ac:dyDescent="0.25">
      <c r="A49" s="505"/>
      <c r="B49" s="505"/>
      <c r="C49" s="506"/>
      <c r="D49" s="50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t="15.75" outlineLevel="1" x14ac:dyDescent="0.25">
      <c r="A50" s="494"/>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t="15.75" outlineLevel="1" x14ac:dyDescent="0.25">
      <c r="A51" s="494"/>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t="15.75" hidden="1" outlineLevel="1" x14ac:dyDescent="0.25">
      <c r="A52" s="494"/>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t="15.75" hidden="1" outlineLevel="1" x14ac:dyDescent="0.25">
      <c r="A53" s="494"/>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t="15.75" hidden="1" outlineLevel="1" x14ac:dyDescent="0.25">
      <c r="A54" s="494"/>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t="18.75" hidden="1" outlineLevel="1" x14ac:dyDescent="0.25">
      <c r="A55" s="505" t="str">
        <f>CONCATENATE(B21," ",C21)</f>
        <v xml:space="preserve">Objective 5 </v>
      </c>
      <c r="B55" s="505"/>
      <c r="C55" s="506"/>
      <c r="D55" s="50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t="15.75" hidden="1" outlineLevel="1" x14ac:dyDescent="0.25">
      <c r="A56" s="494" t="s">
        <v>269</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t="15.75" hidden="1" outlineLevel="1" x14ac:dyDescent="0.25">
      <c r="A57" s="494" t="s">
        <v>270</v>
      </c>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t="15.75" hidden="1" outlineLevel="1" x14ac:dyDescent="0.25">
      <c r="A58" s="494"/>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t="15.75" hidden="1" outlineLevel="1" x14ac:dyDescent="0.25">
      <c r="A59" s="494"/>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t="15.75" hidden="1" outlineLevel="1" x14ac:dyDescent="0.25">
      <c r="A60" s="494"/>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t="18.75" hidden="1" outlineLevel="1" x14ac:dyDescent="0.25">
      <c r="A61" s="505" t="str">
        <f>CONCATENATE(B22," ",C22)</f>
        <v xml:space="preserve">Objective 6 </v>
      </c>
      <c r="B61" s="505"/>
      <c r="C61" s="506"/>
      <c r="D61" s="50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t="15.75" hidden="1" outlineLevel="1" x14ac:dyDescent="0.25">
      <c r="A62" s="494" t="s">
        <v>271</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t="15.75" hidden="1" outlineLevel="1" x14ac:dyDescent="0.25">
      <c r="A63" s="494" t="s">
        <v>272</v>
      </c>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t="15.75" hidden="1" outlineLevel="1" x14ac:dyDescent="0.25">
      <c r="A64" s="494"/>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t="15.75" hidden="1" outlineLevel="1" x14ac:dyDescent="0.25">
      <c r="A65" s="494"/>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t="15.75" hidden="1" outlineLevel="1" x14ac:dyDescent="0.25">
      <c r="A66" s="494"/>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t="18.75" hidden="1" outlineLevel="1" x14ac:dyDescent="0.25">
      <c r="A67" s="505" t="str">
        <f>CONCATENATE(B23," ",C23)</f>
        <v xml:space="preserve">Objective 7 </v>
      </c>
      <c r="B67" s="505"/>
      <c r="C67" s="506"/>
      <c r="D67" s="50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15.75" hidden="1" outlineLevel="1" x14ac:dyDescent="0.25">
      <c r="A68" s="494" t="s">
        <v>273</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t="15.75" hidden="1" outlineLevel="1" x14ac:dyDescent="0.25">
      <c r="A69" s="494" t="s">
        <v>274</v>
      </c>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t="15.75" hidden="1" outlineLevel="1" x14ac:dyDescent="0.25">
      <c r="A70" s="494"/>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t="15.75" hidden="1" outlineLevel="1" x14ac:dyDescent="0.25">
      <c r="A71" s="494"/>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t="15.75" hidden="1" outlineLevel="1" x14ac:dyDescent="0.25">
      <c r="A72" s="494"/>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t="18.75" hidden="1" outlineLevel="1" x14ac:dyDescent="0.25">
      <c r="A73" s="505" t="str">
        <f>CONCATENATE(B24," ",C24)</f>
        <v xml:space="preserve">Objective 8 </v>
      </c>
      <c r="B73" s="505"/>
      <c r="C73" s="506"/>
      <c r="D73" s="50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t="15.75" hidden="1" outlineLevel="1" x14ac:dyDescent="0.25">
      <c r="A74" s="494" t="s">
        <v>275</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t="15.75" hidden="1" outlineLevel="1" x14ac:dyDescent="0.25">
      <c r="A75" s="494" t="s">
        <v>276</v>
      </c>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t="15.75" hidden="1" outlineLevel="1" x14ac:dyDescent="0.25">
      <c r="A76" s="494"/>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t="15.75" hidden="1" outlineLevel="1" x14ac:dyDescent="0.25">
      <c r="A77" s="494"/>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t="15.75" hidden="1" outlineLevel="1" x14ac:dyDescent="0.25">
      <c r="A78" s="494"/>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79" spans="1:26" ht="18.75" hidden="1" outlineLevel="1" x14ac:dyDescent="0.25">
      <c r="A79" s="505" t="str">
        <f>CONCATENATE(B25," ",C25)</f>
        <v xml:space="preserve">Objective 9 </v>
      </c>
      <c r="B79" s="505"/>
      <c r="C79" s="506"/>
      <c r="D79" s="506"/>
      <c r="E79" s="507"/>
      <c r="F79" s="507"/>
      <c r="G79" s="507"/>
      <c r="H79" s="507"/>
      <c r="I79" s="507"/>
      <c r="J79" s="507"/>
      <c r="K79" s="507"/>
      <c r="L79" s="507"/>
      <c r="M79" s="507"/>
      <c r="N79" s="507"/>
      <c r="O79" s="507" t="s">
        <v>5</v>
      </c>
      <c r="P79" s="507"/>
      <c r="Q79" s="507"/>
      <c r="R79" s="507"/>
      <c r="S79" s="507"/>
      <c r="T79" s="507"/>
      <c r="U79" s="507"/>
      <c r="V79" s="507"/>
      <c r="W79" s="507"/>
      <c r="X79" s="507"/>
      <c r="Y79" s="507"/>
      <c r="Z79" s="507"/>
    </row>
    <row r="80" spans="1:26" ht="15.75" hidden="1" outlineLevel="1" x14ac:dyDescent="0.25">
      <c r="A80" s="494" t="s">
        <v>277</v>
      </c>
      <c r="B80" s="508"/>
      <c r="C80" s="508"/>
      <c r="D80" s="495"/>
      <c r="E80" s="999" t="s">
        <v>5</v>
      </c>
      <c r="F80" s="999" t="s">
        <v>5</v>
      </c>
      <c r="G80" s="999" t="s">
        <v>5</v>
      </c>
      <c r="H80" s="999"/>
      <c r="I80" s="999"/>
      <c r="J80" s="999"/>
      <c r="K80" s="1000" t="s">
        <v>5</v>
      </c>
      <c r="L80" s="496"/>
      <c r="M80" s="410"/>
      <c r="N80" s="409"/>
      <c r="O80" s="409" t="s">
        <v>5</v>
      </c>
      <c r="P80" s="409"/>
      <c r="Q80" s="409"/>
      <c r="R80" s="409"/>
      <c r="S80" s="409"/>
      <c r="T80" s="409"/>
      <c r="U80" s="409"/>
      <c r="V80" s="409"/>
      <c r="W80" s="409"/>
      <c r="X80" s="409"/>
      <c r="Y80" s="409"/>
      <c r="Z80" s="409"/>
    </row>
    <row r="81" spans="1:27" ht="15.75" hidden="1" outlineLevel="1" x14ac:dyDescent="0.25">
      <c r="A81" s="494" t="s">
        <v>278</v>
      </c>
      <c r="B81" s="508"/>
      <c r="C81" s="508"/>
      <c r="D81" s="495"/>
      <c r="E81" s="999" t="s">
        <v>5</v>
      </c>
      <c r="F81" s="999" t="s">
        <v>5</v>
      </c>
      <c r="G81" s="999" t="s">
        <v>5</v>
      </c>
      <c r="H81" s="999"/>
      <c r="I81" s="999"/>
      <c r="J81" s="999"/>
      <c r="K81" s="1000" t="s">
        <v>5</v>
      </c>
      <c r="L81" s="496"/>
      <c r="M81" s="410"/>
      <c r="N81" s="409"/>
      <c r="O81" s="409" t="s">
        <v>5</v>
      </c>
      <c r="P81" s="409"/>
      <c r="Q81" s="409"/>
      <c r="R81" s="409"/>
      <c r="S81" s="409"/>
      <c r="T81" s="409"/>
      <c r="U81" s="409"/>
      <c r="V81" s="409"/>
      <c r="W81" s="409"/>
      <c r="X81" s="409"/>
      <c r="Y81" s="409"/>
      <c r="Z81" s="409"/>
    </row>
    <row r="82" spans="1:27" ht="15.75" hidden="1" outlineLevel="1" x14ac:dyDescent="0.25">
      <c r="A82" s="494"/>
      <c r="B82" s="508"/>
      <c r="C82" s="508"/>
      <c r="D82" s="495"/>
      <c r="E82" s="999" t="s">
        <v>5</v>
      </c>
      <c r="F82" s="999" t="s">
        <v>5</v>
      </c>
      <c r="G82" s="999" t="s">
        <v>5</v>
      </c>
      <c r="H82" s="999"/>
      <c r="I82" s="999"/>
      <c r="J82" s="999"/>
      <c r="K82" s="1000" t="s">
        <v>5</v>
      </c>
      <c r="L82" s="496"/>
      <c r="M82" s="410"/>
      <c r="N82" s="409"/>
      <c r="O82" s="409" t="s">
        <v>5</v>
      </c>
      <c r="P82" s="409"/>
      <c r="Q82" s="409"/>
      <c r="R82" s="409"/>
      <c r="S82" s="409"/>
      <c r="T82" s="409"/>
      <c r="U82" s="409"/>
      <c r="V82" s="409"/>
      <c r="W82" s="409"/>
      <c r="X82" s="409"/>
      <c r="Y82" s="409"/>
      <c r="Z82" s="409"/>
    </row>
    <row r="83" spans="1:27" ht="15.75" hidden="1" outlineLevel="1" x14ac:dyDescent="0.25">
      <c r="A83" s="494"/>
      <c r="B83" s="508"/>
      <c r="C83" s="508"/>
      <c r="D83" s="495"/>
      <c r="E83" s="999" t="s">
        <v>5</v>
      </c>
      <c r="F83" s="999" t="s">
        <v>5</v>
      </c>
      <c r="G83" s="999" t="s">
        <v>5</v>
      </c>
      <c r="H83" s="999"/>
      <c r="I83" s="999"/>
      <c r="J83" s="999"/>
      <c r="K83" s="1000" t="s">
        <v>5</v>
      </c>
      <c r="L83" s="496"/>
      <c r="M83" s="410"/>
      <c r="N83" s="409"/>
      <c r="O83" s="409" t="s">
        <v>5</v>
      </c>
      <c r="P83" s="409"/>
      <c r="Q83" s="409"/>
      <c r="R83" s="409"/>
      <c r="S83" s="409"/>
      <c r="T83" s="409"/>
      <c r="U83" s="409"/>
      <c r="V83" s="409"/>
      <c r="W83" s="409"/>
      <c r="X83" s="409"/>
      <c r="Y83" s="409"/>
      <c r="Z83" s="409"/>
    </row>
    <row r="84" spans="1:27" ht="15.75" hidden="1" outlineLevel="1" x14ac:dyDescent="0.25">
      <c r="A84" s="494"/>
      <c r="B84" s="508"/>
      <c r="C84" s="508"/>
      <c r="D84" s="495"/>
      <c r="E84" s="999" t="s">
        <v>5</v>
      </c>
      <c r="F84" s="999" t="s">
        <v>5</v>
      </c>
      <c r="G84" s="999" t="s">
        <v>5</v>
      </c>
      <c r="H84" s="999"/>
      <c r="I84" s="999"/>
      <c r="J84" s="999"/>
      <c r="K84" s="1000" t="s">
        <v>5</v>
      </c>
      <c r="L84" s="496"/>
      <c r="M84" s="410"/>
      <c r="N84" s="409"/>
      <c r="O84" s="409" t="s">
        <v>5</v>
      </c>
      <c r="P84" s="409"/>
      <c r="Q84" s="409"/>
      <c r="R84" s="409"/>
      <c r="S84" s="409"/>
      <c r="T84" s="409"/>
      <c r="U84" s="409"/>
      <c r="V84" s="409"/>
      <c r="W84" s="409"/>
      <c r="X84" s="409"/>
      <c r="Y84" s="409"/>
      <c r="Z84" s="409"/>
    </row>
    <row r="85" spans="1:27" ht="18.75" hidden="1" outlineLevel="1" x14ac:dyDescent="0.25">
      <c r="A85" s="505" t="str">
        <f>CONCATENATE(B26," ",C26)</f>
        <v xml:space="preserve"> </v>
      </c>
      <c r="B85" s="505"/>
      <c r="C85" s="506"/>
      <c r="D85" s="506"/>
      <c r="E85" s="507"/>
      <c r="F85" s="507"/>
      <c r="G85" s="507"/>
      <c r="H85" s="507"/>
      <c r="I85" s="507"/>
      <c r="J85" s="507"/>
      <c r="K85" s="507"/>
      <c r="L85" s="507"/>
      <c r="M85" s="507"/>
      <c r="N85" s="507"/>
      <c r="O85" s="507" t="s">
        <v>5</v>
      </c>
      <c r="P85" s="507"/>
      <c r="Q85" s="507"/>
      <c r="R85" s="507"/>
      <c r="S85" s="507"/>
      <c r="T85" s="507"/>
      <c r="U85" s="507"/>
      <c r="V85" s="507"/>
      <c r="W85" s="507"/>
      <c r="X85" s="507"/>
      <c r="Y85" s="507"/>
      <c r="Z85" s="507"/>
    </row>
    <row r="86" spans="1:27" ht="15.75" hidden="1" outlineLevel="1" x14ac:dyDescent="0.25">
      <c r="A86" s="494" t="s">
        <v>279</v>
      </c>
      <c r="B86" s="508"/>
      <c r="C86" s="508"/>
      <c r="D86" s="495"/>
      <c r="E86" s="999" t="s">
        <v>5</v>
      </c>
      <c r="F86" s="999" t="s">
        <v>5</v>
      </c>
      <c r="G86" s="999" t="s">
        <v>5</v>
      </c>
      <c r="H86" s="999"/>
      <c r="I86" s="999"/>
      <c r="J86" s="999"/>
      <c r="K86" s="1000" t="s">
        <v>5</v>
      </c>
      <c r="L86" s="496"/>
      <c r="M86" s="410"/>
      <c r="N86" s="409"/>
      <c r="O86" s="409" t="s">
        <v>5</v>
      </c>
      <c r="P86" s="409"/>
      <c r="Q86" s="409"/>
      <c r="R86" s="409"/>
      <c r="S86" s="409"/>
      <c r="T86" s="409"/>
      <c r="U86" s="409"/>
      <c r="V86" s="409"/>
      <c r="W86" s="409"/>
      <c r="X86" s="409"/>
      <c r="Y86" s="409"/>
      <c r="Z86" s="409"/>
    </row>
    <row r="87" spans="1:27" ht="15.75" hidden="1" outlineLevel="1" x14ac:dyDescent="0.25">
      <c r="A87" s="494" t="s">
        <v>280</v>
      </c>
      <c r="B87" s="508"/>
      <c r="C87" s="508"/>
      <c r="D87" s="495"/>
      <c r="E87" s="999" t="s">
        <v>5</v>
      </c>
      <c r="F87" s="999" t="s">
        <v>5</v>
      </c>
      <c r="G87" s="999" t="s">
        <v>5</v>
      </c>
      <c r="H87" s="999"/>
      <c r="I87" s="999"/>
      <c r="J87" s="999"/>
      <c r="K87" s="1000" t="s">
        <v>5</v>
      </c>
      <c r="L87" s="496"/>
      <c r="M87" s="410"/>
      <c r="N87" s="409"/>
      <c r="O87" s="409" t="s">
        <v>5</v>
      </c>
      <c r="P87" s="409"/>
      <c r="Q87" s="409"/>
      <c r="R87" s="409"/>
      <c r="S87" s="409"/>
      <c r="T87" s="409"/>
      <c r="U87" s="409"/>
      <c r="V87" s="409"/>
      <c r="W87" s="409"/>
      <c r="X87" s="409"/>
      <c r="Y87" s="409"/>
      <c r="Z87" s="409"/>
    </row>
    <row r="88" spans="1:27" ht="15.75" hidden="1" outlineLevel="1" x14ac:dyDescent="0.25">
      <c r="A88" s="494"/>
      <c r="B88" s="508"/>
      <c r="C88" s="508"/>
      <c r="D88" s="495"/>
      <c r="E88" s="999" t="s">
        <v>5</v>
      </c>
      <c r="F88" s="999" t="s">
        <v>5</v>
      </c>
      <c r="G88" s="999" t="s">
        <v>5</v>
      </c>
      <c r="H88" s="999"/>
      <c r="I88" s="999"/>
      <c r="J88" s="999"/>
      <c r="K88" s="1000" t="s">
        <v>5</v>
      </c>
      <c r="L88" s="496"/>
      <c r="M88" s="410"/>
      <c r="N88" s="409"/>
      <c r="O88" s="409" t="s">
        <v>5</v>
      </c>
      <c r="P88" s="409"/>
      <c r="Q88" s="409"/>
      <c r="R88" s="409"/>
      <c r="S88" s="409"/>
      <c r="T88" s="409"/>
      <c r="U88" s="409"/>
      <c r="V88" s="409"/>
      <c r="W88" s="409"/>
      <c r="X88" s="409"/>
      <c r="Y88" s="409"/>
      <c r="Z88" s="409"/>
    </row>
    <row r="89" spans="1:27" ht="15.75" hidden="1" outlineLevel="1" x14ac:dyDescent="0.25">
      <c r="A89" s="494"/>
      <c r="B89" s="508"/>
      <c r="C89" s="508"/>
      <c r="D89" s="495"/>
      <c r="E89" s="999" t="s">
        <v>5</v>
      </c>
      <c r="F89" s="999" t="s">
        <v>5</v>
      </c>
      <c r="G89" s="999" t="s">
        <v>5</v>
      </c>
      <c r="H89" s="999"/>
      <c r="I89" s="999"/>
      <c r="J89" s="999"/>
      <c r="K89" s="1000" t="s">
        <v>5</v>
      </c>
      <c r="L89" s="496"/>
      <c r="M89" s="410"/>
      <c r="N89" s="409"/>
      <c r="O89" s="409" t="s">
        <v>5</v>
      </c>
      <c r="P89" s="409"/>
      <c r="Q89" s="409"/>
      <c r="R89" s="409"/>
      <c r="S89" s="409"/>
      <c r="T89" s="409"/>
      <c r="U89" s="409"/>
      <c r="V89" s="409"/>
      <c r="W89" s="409"/>
      <c r="X89" s="409"/>
      <c r="Y89" s="409"/>
      <c r="Z89" s="409"/>
    </row>
    <row r="90" spans="1:27" ht="15.75" hidden="1" outlineLevel="1" x14ac:dyDescent="0.25">
      <c r="A90" s="494"/>
      <c r="B90" s="508"/>
      <c r="C90" s="508"/>
      <c r="D90" s="495"/>
      <c r="E90" s="999" t="s">
        <v>5</v>
      </c>
      <c r="F90" s="999" t="s">
        <v>5</v>
      </c>
      <c r="G90" s="999" t="s">
        <v>5</v>
      </c>
      <c r="H90" s="999"/>
      <c r="I90" s="999"/>
      <c r="J90" s="999"/>
      <c r="K90" s="1000" t="s">
        <v>5</v>
      </c>
      <c r="L90" s="496"/>
      <c r="M90" s="410"/>
      <c r="N90" s="409"/>
      <c r="O90" s="409" t="s">
        <v>5</v>
      </c>
      <c r="P90" s="409"/>
      <c r="Q90" s="409"/>
      <c r="R90" s="409"/>
      <c r="S90" s="409"/>
      <c r="T90" s="409"/>
      <c r="U90" s="409"/>
      <c r="V90" s="409"/>
      <c r="W90" s="409"/>
      <c r="X90" s="409"/>
      <c r="Y90" s="409"/>
      <c r="Z90" s="409"/>
    </row>
    <row r="91" spans="1:27" ht="6.75" customHeight="1" x14ac:dyDescent="0.25"/>
    <row r="92" spans="1:27" ht="18.75" x14ac:dyDescent="0.25">
      <c r="A92" s="489" t="s">
        <v>37</v>
      </c>
      <c r="B92" s="489"/>
      <c r="C92" s="490"/>
      <c r="D92" s="490"/>
      <c r="E92" s="402"/>
      <c r="F92" s="402"/>
      <c r="G92" s="402"/>
      <c r="H92" s="491"/>
      <c r="I92" s="491"/>
      <c r="J92" s="402"/>
      <c r="K92" s="402"/>
      <c r="L92" s="402"/>
      <c r="M92" s="402"/>
      <c r="N92" s="402"/>
      <c r="O92" s="402" t="s">
        <v>5</v>
      </c>
      <c r="P92" s="402"/>
      <c r="Q92" s="402"/>
      <c r="R92" s="402"/>
      <c r="S92" s="402"/>
      <c r="T92" s="402"/>
      <c r="U92" s="402"/>
      <c r="V92" s="402"/>
      <c r="W92" s="402"/>
      <c r="X92" s="402"/>
      <c r="Y92" s="402"/>
      <c r="Z92" s="402"/>
    </row>
    <row r="93" spans="1:27" ht="18.75" x14ac:dyDescent="0.25">
      <c r="A93" s="505" t="str">
        <f>CONCATENATE(B17," ",C17)</f>
        <v>Objective 1 FS Engineering</v>
      </c>
      <c r="B93" s="505"/>
      <c r="C93" s="506"/>
      <c r="D93" s="506"/>
      <c r="E93" s="507"/>
      <c r="F93" s="507"/>
      <c r="G93" s="507"/>
      <c r="H93" s="507"/>
      <c r="I93" s="507"/>
      <c r="J93" s="507"/>
      <c r="K93" s="507"/>
      <c r="L93" s="507"/>
      <c r="M93" s="507"/>
      <c r="N93" s="507"/>
      <c r="O93" s="507" t="s">
        <v>5</v>
      </c>
      <c r="P93" s="507"/>
      <c r="Q93" s="507"/>
      <c r="R93" s="507"/>
      <c r="S93" s="507"/>
      <c r="T93" s="507"/>
      <c r="U93" s="507"/>
      <c r="V93" s="507"/>
      <c r="W93" s="507"/>
      <c r="X93" s="507"/>
      <c r="Y93" s="507"/>
      <c r="Z93" s="507"/>
    </row>
    <row r="94" spans="1:27" ht="45" x14ac:dyDescent="0.25">
      <c r="A94" s="492" t="s">
        <v>261</v>
      </c>
      <c r="B94" s="492" t="s">
        <v>13</v>
      </c>
      <c r="C94" s="492" t="s">
        <v>14</v>
      </c>
      <c r="D94" s="509" t="s">
        <v>286</v>
      </c>
      <c r="E94" s="404" t="s">
        <v>16</v>
      </c>
      <c r="F94" s="404" t="s">
        <v>295</v>
      </c>
      <c r="G94" s="404" t="s">
        <v>39</v>
      </c>
      <c r="H94" s="404" t="s">
        <v>297</v>
      </c>
      <c r="I94" s="404" t="s">
        <v>298</v>
      </c>
      <c r="J94" s="404" t="s">
        <v>299</v>
      </c>
      <c r="K94" s="404" t="s">
        <v>300</v>
      </c>
      <c r="L94" s="404" t="s">
        <v>17</v>
      </c>
      <c r="M94" s="404" t="s">
        <v>18</v>
      </c>
      <c r="N94" s="404" t="s">
        <v>19</v>
      </c>
      <c r="O94" s="493">
        <v>43101</v>
      </c>
      <c r="P94" s="493">
        <v>43132</v>
      </c>
      <c r="Q94" s="493">
        <v>43160</v>
      </c>
      <c r="R94" s="493">
        <v>43191</v>
      </c>
      <c r="S94" s="493">
        <v>43221</v>
      </c>
      <c r="T94" s="493">
        <v>43252</v>
      </c>
      <c r="U94" s="493">
        <v>43282</v>
      </c>
      <c r="V94" s="493">
        <v>43313</v>
      </c>
      <c r="W94" s="493">
        <v>43344</v>
      </c>
      <c r="X94" s="493">
        <v>43374</v>
      </c>
      <c r="Y94" s="493">
        <v>43405</v>
      </c>
      <c r="Z94" s="493">
        <v>43435</v>
      </c>
    </row>
    <row r="95" spans="1:27" ht="36.6" customHeight="1" x14ac:dyDescent="0.25">
      <c r="A95" s="494" t="s">
        <v>2051</v>
      </c>
      <c r="B95" s="494" t="s">
        <v>40</v>
      </c>
      <c r="C95" s="494" t="s">
        <v>337</v>
      </c>
      <c r="D95" s="510" t="s">
        <v>365</v>
      </c>
      <c r="E95" s="496" t="s">
        <v>232</v>
      </c>
      <c r="F95" s="496" t="s">
        <v>288</v>
      </c>
      <c r="G95" s="496" t="s">
        <v>365</v>
      </c>
      <c r="H95" s="511"/>
      <c r="I95" s="496"/>
      <c r="J95" s="496"/>
      <c r="K95" s="496"/>
      <c r="L95" s="496"/>
      <c r="M95" s="496">
        <v>12</v>
      </c>
      <c r="N95" s="512">
        <f>SUM(O95:Z95)</f>
        <v>15400000</v>
      </c>
      <c r="O95" s="496">
        <v>0</v>
      </c>
      <c r="P95" s="496">
        <v>0</v>
      </c>
      <c r="Q95" s="449">
        <v>0</v>
      </c>
      <c r="R95" s="496">
        <v>300000</v>
      </c>
      <c r="S95" s="496">
        <f>200000+900000</f>
        <v>1100000</v>
      </c>
      <c r="T95" s="496">
        <v>1700000</v>
      </c>
      <c r="U95" s="496">
        <v>2200000</v>
      </c>
      <c r="V95" s="496">
        <v>2200000</v>
      </c>
      <c r="W95" s="496">
        <v>2200000</v>
      </c>
      <c r="X95" s="496">
        <v>2100000</v>
      </c>
      <c r="Y95" s="496">
        <v>2000000</v>
      </c>
      <c r="Z95" s="496">
        <v>1600000</v>
      </c>
      <c r="AA95" s="526"/>
    </row>
    <row r="96" spans="1:27" ht="15.75" x14ac:dyDescent="0.25">
      <c r="A96" s="494" t="s">
        <v>2054</v>
      </c>
      <c r="B96" s="494" t="s">
        <v>40</v>
      </c>
      <c r="C96" s="494" t="s">
        <v>355</v>
      </c>
      <c r="D96" s="510" t="s">
        <v>379</v>
      </c>
      <c r="E96" s="496" t="s">
        <v>232</v>
      </c>
      <c r="F96" s="496"/>
      <c r="G96" s="496" t="s">
        <v>379</v>
      </c>
      <c r="H96" s="496"/>
      <c r="I96" s="496"/>
      <c r="J96" s="496"/>
      <c r="K96" s="496"/>
      <c r="L96" s="496"/>
      <c r="M96" s="496"/>
      <c r="N96" s="512">
        <f t="shared" ref="N96:N102" si="5">SUM(O96:Z96)</f>
        <v>100000</v>
      </c>
      <c r="O96" s="496">
        <v>100000</v>
      </c>
      <c r="P96" s="496"/>
      <c r="Q96" s="496"/>
      <c r="R96" s="496"/>
      <c r="S96" s="496"/>
      <c r="T96" s="496"/>
      <c r="U96" s="496"/>
      <c r="V96" s="496"/>
      <c r="W96" s="496"/>
      <c r="X96" s="496"/>
      <c r="Y96" s="496"/>
      <c r="Z96" s="496"/>
    </row>
    <row r="97" spans="1:26" ht="15.75" x14ac:dyDescent="0.25">
      <c r="A97" s="494" t="s">
        <v>2055</v>
      </c>
      <c r="B97" s="494" t="s">
        <v>40</v>
      </c>
      <c r="C97" s="494" t="s">
        <v>358</v>
      </c>
      <c r="D97" s="510"/>
      <c r="E97" s="496" t="s">
        <v>232</v>
      </c>
      <c r="F97" s="496"/>
      <c r="G97" s="496"/>
      <c r="H97" s="496"/>
      <c r="I97" s="496"/>
      <c r="J97" s="496"/>
      <c r="K97" s="496"/>
      <c r="L97" s="496"/>
      <c r="M97" s="496"/>
      <c r="N97" s="512">
        <f t="shared" si="5"/>
        <v>120000</v>
      </c>
      <c r="O97" s="496"/>
      <c r="P97" s="496"/>
      <c r="Q97" s="496"/>
      <c r="R97" s="496">
        <v>30000</v>
      </c>
      <c r="S97" s="496"/>
      <c r="T97" s="496">
        <v>30000</v>
      </c>
      <c r="U97" s="496"/>
      <c r="V97" s="496">
        <v>30000</v>
      </c>
      <c r="W97" s="496"/>
      <c r="X97" s="496">
        <v>30000</v>
      </c>
      <c r="Y97" s="496"/>
      <c r="Z97" s="496"/>
    </row>
    <row r="98" spans="1:26" ht="15.75" x14ac:dyDescent="0.25">
      <c r="A98" s="494" t="s">
        <v>2056</v>
      </c>
      <c r="B98" s="494" t="s">
        <v>40</v>
      </c>
      <c r="C98" s="494" t="s">
        <v>360</v>
      </c>
      <c r="D98" s="510" t="s">
        <v>382</v>
      </c>
      <c r="E98" s="496" t="s">
        <v>232</v>
      </c>
      <c r="F98" s="496"/>
      <c r="G98" s="496" t="s">
        <v>382</v>
      </c>
      <c r="H98" s="496"/>
      <c r="I98" s="496"/>
      <c r="J98" s="496"/>
      <c r="K98" s="496"/>
      <c r="L98" s="496"/>
      <c r="M98" s="496"/>
      <c r="N98" s="512">
        <f t="shared" si="5"/>
        <v>250000</v>
      </c>
      <c r="O98" s="496">
        <v>100000</v>
      </c>
      <c r="P98" s="496">
        <v>50000</v>
      </c>
      <c r="Q98" s="496">
        <v>50000</v>
      </c>
      <c r="R98" s="496">
        <v>50000</v>
      </c>
      <c r="S98" s="496"/>
      <c r="T98" s="496"/>
      <c r="U98" s="496"/>
      <c r="V98" s="496"/>
      <c r="W98" s="496"/>
      <c r="X98" s="496"/>
      <c r="Y98" s="496"/>
      <c r="Z98" s="496"/>
    </row>
    <row r="99" spans="1:26" ht="15.75" hidden="1" x14ac:dyDescent="0.25">
      <c r="A99" s="494"/>
      <c r="B99" s="494"/>
      <c r="C99" s="494"/>
      <c r="D99" s="510"/>
      <c r="E99" s="496"/>
      <c r="F99" s="496"/>
      <c r="G99" s="496"/>
      <c r="H99" s="496"/>
      <c r="I99" s="496"/>
      <c r="J99" s="496"/>
      <c r="K99" s="496"/>
      <c r="L99" s="496"/>
      <c r="M99" s="496"/>
      <c r="N99" s="496">
        <f t="shared" si="5"/>
        <v>0</v>
      </c>
      <c r="O99" s="496"/>
      <c r="P99" s="496"/>
      <c r="Q99" s="496"/>
      <c r="R99" s="496"/>
      <c r="S99" s="496"/>
      <c r="T99" s="496"/>
      <c r="U99" s="496"/>
      <c r="V99" s="496"/>
      <c r="W99" s="496"/>
      <c r="X99" s="496"/>
      <c r="Y99" s="496"/>
      <c r="Z99" s="496"/>
    </row>
    <row r="100" spans="1:26" ht="15.75" hidden="1" x14ac:dyDescent="0.25">
      <c r="A100" s="494"/>
      <c r="B100" s="494"/>
      <c r="C100" s="494"/>
      <c r="D100" s="510"/>
      <c r="E100" s="496"/>
      <c r="F100" s="496"/>
      <c r="G100" s="496"/>
      <c r="H100" s="496"/>
      <c r="I100" s="496"/>
      <c r="J100" s="496"/>
      <c r="K100" s="496"/>
      <c r="L100" s="496"/>
      <c r="M100" s="496"/>
      <c r="N100" s="496">
        <f t="shared" si="5"/>
        <v>0</v>
      </c>
      <c r="O100" s="496"/>
      <c r="P100" s="496"/>
      <c r="Q100" s="496"/>
      <c r="R100" s="496"/>
      <c r="S100" s="496"/>
      <c r="T100" s="496"/>
      <c r="U100" s="496"/>
      <c r="V100" s="496"/>
      <c r="W100" s="496"/>
      <c r="X100" s="496"/>
      <c r="Y100" s="496"/>
      <c r="Z100" s="496"/>
    </row>
    <row r="101" spans="1:26" ht="15.75" hidden="1" x14ac:dyDescent="0.25">
      <c r="A101" s="494"/>
      <c r="B101" s="494"/>
      <c r="C101" s="494"/>
      <c r="D101" s="510"/>
      <c r="E101" s="496"/>
      <c r="F101" s="496"/>
      <c r="G101" s="496"/>
      <c r="H101" s="496"/>
      <c r="I101" s="496"/>
      <c r="J101" s="496"/>
      <c r="K101" s="496"/>
      <c r="L101" s="496"/>
      <c r="M101" s="496"/>
      <c r="N101" s="496">
        <f t="shared" si="5"/>
        <v>0</v>
      </c>
      <c r="O101" s="496"/>
      <c r="P101" s="496"/>
      <c r="Q101" s="496"/>
      <c r="R101" s="496"/>
      <c r="S101" s="496"/>
      <c r="T101" s="496"/>
      <c r="U101" s="496"/>
      <c r="V101" s="496"/>
      <c r="W101" s="496"/>
      <c r="X101" s="496"/>
      <c r="Y101" s="496"/>
      <c r="Z101" s="496"/>
    </row>
    <row r="102" spans="1:26" ht="15.75" hidden="1" x14ac:dyDescent="0.25">
      <c r="A102" s="494" t="s">
        <v>282</v>
      </c>
      <c r="B102" s="494"/>
      <c r="C102" s="494"/>
      <c r="D102" s="510"/>
      <c r="E102" s="496"/>
      <c r="F102" s="496"/>
      <c r="G102" s="496"/>
      <c r="H102" s="496"/>
      <c r="I102" s="496"/>
      <c r="J102" s="496"/>
      <c r="K102" s="496"/>
      <c r="L102" s="496"/>
      <c r="M102" s="496"/>
      <c r="N102" s="496">
        <f t="shared" si="5"/>
        <v>0</v>
      </c>
      <c r="O102" s="496"/>
      <c r="P102" s="496"/>
      <c r="Q102" s="496"/>
      <c r="R102" s="496"/>
      <c r="S102" s="496"/>
      <c r="T102" s="496"/>
      <c r="U102" s="496"/>
      <c r="V102" s="496"/>
      <c r="W102" s="496"/>
      <c r="X102" s="496"/>
      <c r="Y102" s="496"/>
      <c r="Z102" s="496"/>
    </row>
    <row r="103" spans="1:26" s="517" customFormat="1" ht="22.5" customHeight="1" x14ac:dyDescent="0.25">
      <c r="A103" s="513"/>
      <c r="B103" s="514"/>
      <c r="C103" s="514"/>
      <c r="D103" s="514"/>
      <c r="E103" s="515"/>
      <c r="F103" s="515"/>
      <c r="G103" s="515"/>
      <c r="H103" s="515"/>
      <c r="I103" s="515"/>
      <c r="J103" s="516" t="s">
        <v>20</v>
      </c>
      <c r="K103" s="515"/>
      <c r="L103" s="404">
        <f t="shared" ref="L103:Y103" si="6">SUM(L95:L102)</f>
        <v>0</v>
      </c>
      <c r="M103" s="404">
        <f t="shared" si="6"/>
        <v>12</v>
      </c>
      <c r="N103" s="404">
        <f t="shared" si="6"/>
        <v>15870000</v>
      </c>
      <c r="O103" s="404">
        <f t="shared" si="6"/>
        <v>200000</v>
      </c>
      <c r="P103" s="404">
        <f t="shared" si="6"/>
        <v>50000</v>
      </c>
      <c r="Q103" s="404">
        <f t="shared" si="6"/>
        <v>50000</v>
      </c>
      <c r="R103" s="404">
        <f t="shared" si="6"/>
        <v>380000</v>
      </c>
      <c r="S103" s="404">
        <f t="shared" si="6"/>
        <v>1100000</v>
      </c>
      <c r="T103" s="404">
        <f t="shared" si="6"/>
        <v>1730000</v>
      </c>
      <c r="U103" s="404">
        <f t="shared" si="6"/>
        <v>2200000</v>
      </c>
      <c r="V103" s="404">
        <f t="shared" si="6"/>
        <v>2230000</v>
      </c>
      <c r="W103" s="404">
        <f t="shared" si="6"/>
        <v>2200000</v>
      </c>
      <c r="X103" s="404">
        <f t="shared" si="6"/>
        <v>2130000</v>
      </c>
      <c r="Y103" s="404">
        <f t="shared" si="6"/>
        <v>2000000</v>
      </c>
      <c r="Z103" s="404">
        <f>SUM(Z95:Z102)</f>
        <v>1600000</v>
      </c>
    </row>
    <row r="104" spans="1:26" ht="18.75" x14ac:dyDescent="0.25">
      <c r="A104" s="505" t="str">
        <f>CONCATENATE(B18," ",C18)</f>
        <v>Objective 2 FS Support and general expenses</v>
      </c>
      <c r="B104" s="505"/>
      <c r="C104" s="506"/>
      <c r="D104" s="506"/>
      <c r="E104" s="507"/>
      <c r="F104" s="507"/>
      <c r="G104" s="507"/>
      <c r="H104" s="507"/>
      <c r="I104" s="507"/>
      <c r="J104" s="507"/>
      <c r="K104" s="507"/>
      <c r="L104" s="507"/>
      <c r="M104" s="507"/>
      <c r="N104" s="507"/>
      <c r="O104" s="507" t="s">
        <v>5</v>
      </c>
      <c r="P104" s="507"/>
      <c r="Q104" s="507"/>
      <c r="R104" s="507"/>
      <c r="S104" s="507"/>
      <c r="T104" s="507"/>
      <c r="U104" s="507"/>
      <c r="V104" s="507"/>
      <c r="W104" s="507"/>
      <c r="X104" s="507"/>
      <c r="Y104" s="507"/>
      <c r="Z104" s="507"/>
    </row>
    <row r="105" spans="1:26" ht="45" x14ac:dyDescent="0.25">
      <c r="A105" s="492" t="s">
        <v>261</v>
      </c>
      <c r="B105" s="492" t="s">
        <v>13</v>
      </c>
      <c r="C105" s="492" t="s">
        <v>14</v>
      </c>
      <c r="D105" s="509" t="s">
        <v>286</v>
      </c>
      <c r="E105" s="404" t="s">
        <v>16</v>
      </c>
      <c r="F105" s="404" t="s">
        <v>295</v>
      </c>
      <c r="G105" s="404" t="s">
        <v>39</v>
      </c>
      <c r="H105" s="404" t="s">
        <v>297</v>
      </c>
      <c r="I105" s="404" t="s">
        <v>298</v>
      </c>
      <c r="J105" s="404" t="s">
        <v>299</v>
      </c>
      <c r="K105" s="404" t="s">
        <v>300</v>
      </c>
      <c r="L105" s="404" t="s">
        <v>17</v>
      </c>
      <c r="M105" s="404" t="s">
        <v>18</v>
      </c>
      <c r="N105" s="404" t="s">
        <v>19</v>
      </c>
      <c r="O105" s="493">
        <v>43101</v>
      </c>
      <c r="P105" s="493">
        <v>43132</v>
      </c>
      <c r="Q105" s="493">
        <v>43160</v>
      </c>
      <c r="R105" s="493">
        <v>43191</v>
      </c>
      <c r="S105" s="493">
        <v>43221</v>
      </c>
      <c r="T105" s="493">
        <v>43252</v>
      </c>
      <c r="U105" s="493">
        <v>43282</v>
      </c>
      <c r="V105" s="493">
        <v>43313</v>
      </c>
      <c r="W105" s="493">
        <v>43344</v>
      </c>
      <c r="X105" s="493">
        <v>43374</v>
      </c>
      <c r="Y105" s="493">
        <v>43405</v>
      </c>
      <c r="Z105" s="493">
        <v>43435</v>
      </c>
    </row>
    <row r="106" spans="1:26" ht="45" x14ac:dyDescent="0.25">
      <c r="A106" s="494" t="s">
        <v>2057</v>
      </c>
      <c r="B106" s="494"/>
      <c r="C106" s="494" t="s">
        <v>338</v>
      </c>
      <c r="D106" s="510" t="s">
        <v>366</v>
      </c>
      <c r="E106" s="496" t="s">
        <v>228</v>
      </c>
      <c r="F106" s="496"/>
      <c r="G106" s="496" t="s">
        <v>366</v>
      </c>
      <c r="H106" s="496"/>
      <c r="I106" s="496"/>
      <c r="J106" s="496"/>
      <c r="K106" s="496"/>
      <c r="L106" s="496"/>
      <c r="M106" s="496"/>
      <c r="N106" s="512">
        <f>SUM(O106:Z106)</f>
        <v>1500000</v>
      </c>
      <c r="O106" s="496">
        <v>250000</v>
      </c>
      <c r="P106" s="496">
        <v>250000</v>
      </c>
      <c r="Q106" s="496">
        <v>250000</v>
      </c>
      <c r="R106" s="496">
        <v>250000</v>
      </c>
      <c r="S106" s="496">
        <v>250000</v>
      </c>
      <c r="T106" s="496">
        <v>250000</v>
      </c>
      <c r="U106" s="496"/>
      <c r="V106" s="496"/>
      <c r="W106" s="496"/>
      <c r="X106" s="496"/>
      <c r="Y106" s="496"/>
      <c r="Z106" s="496"/>
    </row>
    <row r="107" spans="1:26" ht="45" x14ac:dyDescent="0.25">
      <c r="A107" s="494" t="s">
        <v>2058</v>
      </c>
      <c r="B107" s="494"/>
      <c r="C107" s="494" t="s">
        <v>339</v>
      </c>
      <c r="D107" s="510" t="s">
        <v>367</v>
      </c>
      <c r="E107" s="496" t="s">
        <v>228</v>
      </c>
      <c r="F107" s="496"/>
      <c r="G107" s="496" t="s">
        <v>367</v>
      </c>
      <c r="H107" s="496" t="s">
        <v>42</v>
      </c>
      <c r="I107" s="496" t="s">
        <v>43</v>
      </c>
      <c r="J107" s="496" t="s">
        <v>44</v>
      </c>
      <c r="K107" s="496" t="s">
        <v>45</v>
      </c>
      <c r="L107" s="496"/>
      <c r="M107" s="496"/>
      <c r="N107" s="512">
        <f>SUM(O107:Z107)</f>
        <v>180000</v>
      </c>
      <c r="O107" s="496">
        <v>15000</v>
      </c>
      <c r="P107" s="496">
        <v>15000</v>
      </c>
      <c r="Q107" s="496">
        <v>15000</v>
      </c>
      <c r="R107" s="496">
        <v>15000</v>
      </c>
      <c r="S107" s="496">
        <v>15000</v>
      </c>
      <c r="T107" s="496">
        <v>15000</v>
      </c>
      <c r="U107" s="496">
        <v>15000</v>
      </c>
      <c r="V107" s="496">
        <v>15000</v>
      </c>
      <c r="W107" s="496">
        <v>15000</v>
      </c>
      <c r="X107" s="496">
        <v>15000</v>
      </c>
      <c r="Y107" s="496">
        <v>15000</v>
      </c>
      <c r="Z107" s="496">
        <v>15000</v>
      </c>
    </row>
    <row r="108" spans="1:26" ht="15.75" x14ac:dyDescent="0.25">
      <c r="A108" s="494" t="s">
        <v>2059</v>
      </c>
      <c r="B108" s="494"/>
      <c r="C108" s="494" t="s">
        <v>350</v>
      </c>
      <c r="D108" s="510" t="s">
        <v>371</v>
      </c>
      <c r="E108" s="496" t="s">
        <v>228</v>
      </c>
      <c r="F108" s="496"/>
      <c r="G108" s="496" t="s">
        <v>371</v>
      </c>
      <c r="H108" s="496"/>
      <c r="I108" s="496"/>
      <c r="J108" s="496"/>
      <c r="K108" s="496"/>
      <c r="L108" s="496"/>
      <c r="M108" s="496"/>
      <c r="N108" s="512">
        <f>SUM(O108:Z108)</f>
        <v>2000000</v>
      </c>
      <c r="O108" s="912">
        <v>0</v>
      </c>
      <c r="P108" s="912">
        <v>0</v>
      </c>
      <c r="Q108" s="912">
        <v>400000</v>
      </c>
      <c r="R108" s="496">
        <v>300000</v>
      </c>
      <c r="S108" s="496">
        <v>300000</v>
      </c>
      <c r="T108" s="496">
        <v>300000</v>
      </c>
      <c r="U108" s="496">
        <v>300000</v>
      </c>
      <c r="V108" s="912">
        <v>300000</v>
      </c>
      <c r="W108" s="912">
        <v>100000</v>
      </c>
      <c r="X108" s="496"/>
      <c r="Y108" s="496"/>
      <c r="Z108" s="496"/>
    </row>
    <row r="109" spans="1:26" ht="15.75" x14ac:dyDescent="0.25">
      <c r="A109" s="494" t="s">
        <v>2061</v>
      </c>
      <c r="B109" s="494"/>
      <c r="C109" s="494" t="s">
        <v>352</v>
      </c>
      <c r="D109" s="510" t="s">
        <v>377</v>
      </c>
      <c r="E109" s="496" t="s">
        <v>228</v>
      </c>
      <c r="F109" s="496"/>
      <c r="G109" s="556" t="s">
        <v>377</v>
      </c>
      <c r="H109" s="496"/>
      <c r="I109" s="496"/>
      <c r="J109" s="496"/>
      <c r="K109" s="496"/>
      <c r="L109" s="496"/>
      <c r="M109" s="496"/>
      <c r="N109" s="512">
        <f t="shared" ref="N109:N116" si="7">SUM(O109:Z109)</f>
        <v>300000</v>
      </c>
      <c r="O109" s="496"/>
      <c r="P109" s="496"/>
      <c r="Q109" s="496">
        <v>50000</v>
      </c>
      <c r="R109" s="496"/>
      <c r="S109" s="496">
        <v>50000</v>
      </c>
      <c r="T109" s="496">
        <v>50000</v>
      </c>
      <c r="U109" s="496">
        <v>50000</v>
      </c>
      <c r="V109" s="496"/>
      <c r="W109" s="496">
        <v>50000</v>
      </c>
      <c r="X109" s="496"/>
      <c r="Y109" s="496">
        <v>50000</v>
      </c>
      <c r="Z109" s="496"/>
    </row>
    <row r="110" spans="1:26" ht="15.75" x14ac:dyDescent="0.25">
      <c r="A110" s="494" t="s">
        <v>2062</v>
      </c>
      <c r="B110" s="494"/>
      <c r="C110" s="494" t="s">
        <v>353</v>
      </c>
      <c r="D110" s="510" t="s">
        <v>378</v>
      </c>
      <c r="E110" s="496" t="s">
        <v>228</v>
      </c>
      <c r="F110" s="496"/>
      <c r="G110" s="556" t="s">
        <v>378</v>
      </c>
      <c r="H110" s="496"/>
      <c r="I110" s="496"/>
      <c r="J110" s="496"/>
      <c r="K110" s="496"/>
      <c r="L110" s="496"/>
      <c r="M110" s="496"/>
      <c r="N110" s="512">
        <f t="shared" si="7"/>
        <v>300000</v>
      </c>
      <c r="O110" s="496"/>
      <c r="P110" s="496"/>
      <c r="Q110" s="496">
        <v>50000</v>
      </c>
      <c r="R110" s="496"/>
      <c r="S110" s="496">
        <v>50000</v>
      </c>
      <c r="T110" s="496">
        <v>50000</v>
      </c>
      <c r="U110" s="496">
        <v>50000</v>
      </c>
      <c r="V110" s="496"/>
      <c r="W110" s="496">
        <v>50000</v>
      </c>
      <c r="X110" s="496"/>
      <c r="Y110" s="496">
        <v>50000</v>
      </c>
      <c r="Z110" s="496"/>
    </row>
    <row r="111" spans="1:26" ht="15.75" x14ac:dyDescent="0.25">
      <c r="A111" s="494" t="s">
        <v>2063</v>
      </c>
      <c r="B111" s="494"/>
      <c r="C111" s="494" t="s">
        <v>354</v>
      </c>
      <c r="D111" s="510" t="s">
        <v>379</v>
      </c>
      <c r="E111" s="496" t="s">
        <v>228</v>
      </c>
      <c r="F111" s="496"/>
      <c r="G111" s="496" t="s">
        <v>379</v>
      </c>
      <c r="H111" s="496"/>
      <c r="I111" s="496"/>
      <c r="J111" s="496"/>
      <c r="K111" s="496"/>
      <c r="L111" s="496"/>
      <c r="M111" s="496"/>
      <c r="N111" s="512">
        <f t="shared" si="7"/>
        <v>240000</v>
      </c>
      <c r="O111" s="496"/>
      <c r="P111" s="496"/>
      <c r="Q111" s="496"/>
      <c r="R111" s="496"/>
      <c r="S111" s="496"/>
      <c r="T111" s="496"/>
      <c r="U111" s="496"/>
      <c r="V111" s="496"/>
      <c r="W111" s="496">
        <v>60000</v>
      </c>
      <c r="X111" s="496">
        <v>60000</v>
      </c>
      <c r="Y111" s="496">
        <v>60000</v>
      </c>
      <c r="Z111" s="496">
        <v>60000</v>
      </c>
    </row>
    <row r="112" spans="1:26" ht="15.75" x14ac:dyDescent="0.25">
      <c r="A112" s="494" t="s">
        <v>2064</v>
      </c>
      <c r="B112" s="494"/>
      <c r="C112" s="494" t="s">
        <v>356</v>
      </c>
      <c r="D112" s="510" t="s">
        <v>379</v>
      </c>
      <c r="E112" s="496" t="s">
        <v>228</v>
      </c>
      <c r="F112" s="496"/>
      <c r="G112" s="496" t="s">
        <v>379</v>
      </c>
      <c r="H112" s="496"/>
      <c r="I112" s="496"/>
      <c r="J112" s="496"/>
      <c r="K112" s="496"/>
      <c r="L112" s="496"/>
      <c r="M112" s="496"/>
      <c r="N112" s="512">
        <f>SUM(O112:Z112)</f>
        <v>150000</v>
      </c>
      <c r="O112" s="496"/>
      <c r="P112" s="496"/>
      <c r="Q112" s="496"/>
      <c r="R112" s="496">
        <v>50000</v>
      </c>
      <c r="S112" s="496"/>
      <c r="T112" s="496"/>
      <c r="U112" s="496">
        <v>50000</v>
      </c>
      <c r="V112" s="496"/>
      <c r="W112" s="496"/>
      <c r="X112" s="496">
        <v>50000</v>
      </c>
      <c r="Y112" s="496"/>
      <c r="Z112" s="496"/>
    </row>
    <row r="113" spans="1:27" ht="15.75" x14ac:dyDescent="0.25">
      <c r="A113" s="494" t="s">
        <v>2065</v>
      </c>
      <c r="B113" s="494"/>
      <c r="C113" s="494" t="s">
        <v>357</v>
      </c>
      <c r="D113" s="510" t="s">
        <v>380</v>
      </c>
      <c r="E113" s="496" t="s">
        <v>228</v>
      </c>
      <c r="F113" s="496"/>
      <c r="G113" s="496" t="s">
        <v>380</v>
      </c>
      <c r="H113" s="496"/>
      <c r="I113" s="496"/>
      <c r="J113" s="496"/>
      <c r="K113" s="496"/>
      <c r="L113" s="496"/>
      <c r="M113" s="496"/>
      <c r="N113" s="512">
        <f t="shared" si="7"/>
        <v>100000</v>
      </c>
      <c r="O113" s="496"/>
      <c r="P113" s="496"/>
      <c r="Q113" s="496"/>
      <c r="R113" s="496"/>
      <c r="S113" s="496"/>
      <c r="T113" s="496">
        <v>100000</v>
      </c>
      <c r="U113" s="496"/>
      <c r="V113" s="496"/>
      <c r="W113" s="496"/>
      <c r="X113" s="496"/>
      <c r="Y113" s="496"/>
      <c r="Z113" s="496"/>
    </row>
    <row r="114" spans="1:27" ht="15.75" x14ac:dyDescent="0.25">
      <c r="A114" s="494" t="s">
        <v>2066</v>
      </c>
      <c r="B114" s="494"/>
      <c r="C114" s="494" t="s">
        <v>359</v>
      </c>
      <c r="D114" s="510" t="s">
        <v>381</v>
      </c>
      <c r="E114" s="496" t="s">
        <v>228</v>
      </c>
      <c r="F114" s="496"/>
      <c r="G114" s="496" t="s">
        <v>381</v>
      </c>
      <c r="H114" s="496"/>
      <c r="I114" s="496"/>
      <c r="J114" s="496"/>
      <c r="K114" s="496"/>
      <c r="L114" s="496"/>
      <c r="M114" s="496"/>
      <c r="N114" s="512">
        <f t="shared" si="7"/>
        <v>150000</v>
      </c>
      <c r="O114" s="496"/>
      <c r="P114" s="496"/>
      <c r="Q114" s="496"/>
      <c r="R114" s="496"/>
      <c r="S114" s="496"/>
      <c r="T114" s="496">
        <v>50000</v>
      </c>
      <c r="U114" s="496">
        <v>50000</v>
      </c>
      <c r="V114" s="496">
        <v>50000</v>
      </c>
      <c r="W114" s="496"/>
      <c r="X114" s="496"/>
      <c r="Y114" s="496"/>
      <c r="Z114" s="496"/>
    </row>
    <row r="115" spans="1:27" ht="15.75" x14ac:dyDescent="0.25">
      <c r="A115" s="494" t="s">
        <v>2067</v>
      </c>
      <c r="B115" s="494"/>
      <c r="C115" s="494" t="s">
        <v>361</v>
      </c>
      <c r="D115" s="510"/>
      <c r="E115" s="496" t="s">
        <v>228</v>
      </c>
      <c r="F115" s="496"/>
      <c r="G115" s="496"/>
      <c r="H115" s="496"/>
      <c r="I115" s="496"/>
      <c r="J115" s="496"/>
      <c r="K115" s="496"/>
      <c r="L115" s="496"/>
      <c r="M115" s="496"/>
      <c r="N115" s="512">
        <f t="shared" si="7"/>
        <v>250000</v>
      </c>
      <c r="O115" s="496"/>
      <c r="P115" s="496"/>
      <c r="Q115" s="496">
        <v>50000</v>
      </c>
      <c r="R115" s="496"/>
      <c r="S115" s="496">
        <v>50000</v>
      </c>
      <c r="T115" s="496"/>
      <c r="U115" s="496">
        <v>50000</v>
      </c>
      <c r="V115" s="496"/>
      <c r="W115" s="496">
        <v>50000</v>
      </c>
      <c r="X115" s="496"/>
      <c r="Y115" s="496">
        <v>50000</v>
      </c>
      <c r="Z115" s="496"/>
    </row>
    <row r="116" spans="1:27" ht="15.75" x14ac:dyDescent="0.25">
      <c r="A116" s="494" t="s">
        <v>2068</v>
      </c>
      <c r="B116" s="494"/>
      <c r="C116" s="494" t="s">
        <v>362</v>
      </c>
      <c r="D116" s="510" t="s">
        <v>379</v>
      </c>
      <c r="E116" s="496" t="s">
        <v>228</v>
      </c>
      <c r="F116" s="496"/>
      <c r="G116" s="496" t="s">
        <v>379</v>
      </c>
      <c r="H116" s="496"/>
      <c r="I116" s="496"/>
      <c r="J116" s="496"/>
      <c r="K116" s="496"/>
      <c r="L116" s="496"/>
      <c r="M116" s="496"/>
      <c r="N116" s="512">
        <f t="shared" si="7"/>
        <v>100000</v>
      </c>
      <c r="O116" s="496"/>
      <c r="P116" s="496"/>
      <c r="Q116" s="496"/>
      <c r="R116" s="496"/>
      <c r="S116" s="496">
        <v>50000</v>
      </c>
      <c r="T116" s="496"/>
      <c r="U116" s="496"/>
      <c r="V116" s="496">
        <v>50000</v>
      </c>
      <c r="W116" s="496"/>
      <c r="X116" s="496"/>
      <c r="Y116" s="496"/>
      <c r="Z116" s="496"/>
    </row>
    <row r="117" spans="1:27" ht="27.6" customHeight="1" x14ac:dyDescent="0.25">
      <c r="A117" s="494"/>
      <c r="B117" s="494"/>
      <c r="C117" s="494"/>
      <c r="D117" s="510"/>
      <c r="E117" s="496"/>
      <c r="F117" s="496"/>
      <c r="G117" s="496"/>
      <c r="H117" s="496"/>
      <c r="I117" s="496"/>
      <c r="J117" s="496"/>
      <c r="K117" s="496"/>
      <c r="L117" s="496"/>
      <c r="M117" s="496"/>
      <c r="N117" s="511"/>
      <c r="O117" s="496"/>
      <c r="P117" s="496"/>
      <c r="Q117" s="496"/>
      <c r="R117" s="496"/>
      <c r="S117" s="496"/>
      <c r="T117" s="496"/>
      <c r="U117" s="496"/>
      <c r="V117" s="496"/>
      <c r="W117" s="496"/>
      <c r="X117" s="496"/>
      <c r="Y117" s="496"/>
      <c r="Z117" s="496"/>
    </row>
    <row r="118" spans="1:27" s="517" customFormat="1" ht="22.5" customHeight="1" x14ac:dyDescent="0.25">
      <c r="A118" s="513"/>
      <c r="B118" s="514"/>
      <c r="C118" s="514"/>
      <c r="D118" s="514"/>
      <c r="E118" s="515"/>
      <c r="F118" s="515"/>
      <c r="G118" s="515"/>
      <c r="H118" s="515"/>
      <c r="I118" s="515"/>
      <c r="J118" s="516" t="s">
        <v>20</v>
      </c>
      <c r="K118" s="515"/>
      <c r="L118" s="404">
        <f>SUM(L117:L117)</f>
        <v>0</v>
      </c>
      <c r="M118" s="404">
        <f>SUM(M117:M117)</f>
        <v>0</v>
      </c>
      <c r="N118" s="404">
        <f>SUM(N106:N117)</f>
        <v>5270000</v>
      </c>
      <c r="O118" s="404">
        <f>SUM(O106:O117)</f>
        <v>265000</v>
      </c>
      <c r="P118" s="404">
        <f t="shared" ref="P118:Z118" si="8">SUM(P106:P117)</f>
        <v>265000</v>
      </c>
      <c r="Q118" s="404">
        <f t="shared" si="8"/>
        <v>815000</v>
      </c>
      <c r="R118" s="404">
        <f t="shared" si="8"/>
        <v>615000</v>
      </c>
      <c r="S118" s="404">
        <f t="shared" si="8"/>
        <v>765000</v>
      </c>
      <c r="T118" s="404">
        <f t="shared" si="8"/>
        <v>815000</v>
      </c>
      <c r="U118" s="404">
        <f t="shared" si="8"/>
        <v>565000</v>
      </c>
      <c r="V118" s="404">
        <f t="shared" si="8"/>
        <v>415000</v>
      </c>
      <c r="W118" s="404">
        <f t="shared" si="8"/>
        <v>325000</v>
      </c>
      <c r="X118" s="404">
        <f t="shared" si="8"/>
        <v>125000</v>
      </c>
      <c r="Y118" s="404">
        <f t="shared" si="8"/>
        <v>225000</v>
      </c>
      <c r="Z118" s="404">
        <f t="shared" si="8"/>
        <v>75000</v>
      </c>
    </row>
    <row r="119" spans="1:27" ht="18.75" x14ac:dyDescent="0.25">
      <c r="A119" s="505" t="str">
        <f>CONCATENATE(B19," ",C19)</f>
        <v>Objective 3 Third Parties</v>
      </c>
      <c r="B119" s="505"/>
      <c r="C119" s="506"/>
      <c r="D119" s="506"/>
      <c r="E119" s="507"/>
      <c r="F119" s="507"/>
      <c r="G119" s="507"/>
      <c r="H119" s="507"/>
      <c r="I119" s="507"/>
      <c r="J119" s="507"/>
      <c r="K119" s="507"/>
      <c r="L119" s="507"/>
      <c r="M119" s="507"/>
      <c r="N119" s="507"/>
      <c r="O119" s="507" t="s">
        <v>5</v>
      </c>
      <c r="P119" s="507"/>
      <c r="Q119" s="507"/>
      <c r="R119" s="507"/>
      <c r="S119" s="507"/>
      <c r="T119" s="507"/>
      <c r="U119" s="507"/>
      <c r="V119" s="507"/>
      <c r="W119" s="507"/>
      <c r="X119" s="507"/>
      <c r="Y119" s="507"/>
      <c r="Z119" s="507"/>
    </row>
    <row r="120" spans="1:27" ht="45" x14ac:dyDescent="0.25">
      <c r="A120" s="492" t="s">
        <v>261</v>
      </c>
      <c r="B120" s="492" t="s">
        <v>13</v>
      </c>
      <c r="C120" s="492" t="s">
        <v>14</v>
      </c>
      <c r="D120" s="509" t="s">
        <v>286</v>
      </c>
      <c r="E120" s="404" t="s">
        <v>16</v>
      </c>
      <c r="F120" s="404" t="s">
        <v>295</v>
      </c>
      <c r="G120" s="404" t="s">
        <v>39</v>
      </c>
      <c r="H120" s="404" t="s">
        <v>297</v>
      </c>
      <c r="I120" s="404" t="s">
        <v>298</v>
      </c>
      <c r="J120" s="404" t="s">
        <v>299</v>
      </c>
      <c r="K120" s="404" t="s">
        <v>300</v>
      </c>
      <c r="L120" s="404" t="s">
        <v>17</v>
      </c>
      <c r="M120" s="404" t="s">
        <v>18</v>
      </c>
      <c r="N120" s="404" t="s">
        <v>19</v>
      </c>
      <c r="O120" s="493">
        <v>43101</v>
      </c>
      <c r="P120" s="493">
        <v>43132</v>
      </c>
      <c r="Q120" s="493">
        <v>43160</v>
      </c>
      <c r="R120" s="493">
        <v>43191</v>
      </c>
      <c r="S120" s="493">
        <v>43221</v>
      </c>
      <c r="T120" s="493">
        <v>43252</v>
      </c>
      <c r="U120" s="493">
        <v>43282</v>
      </c>
      <c r="V120" s="493">
        <v>43313</v>
      </c>
      <c r="W120" s="493">
        <v>43344</v>
      </c>
      <c r="X120" s="493">
        <v>43374</v>
      </c>
      <c r="Y120" s="493">
        <v>43405</v>
      </c>
      <c r="Z120" s="493">
        <v>43435</v>
      </c>
    </row>
    <row r="121" spans="1:27" ht="15.75" x14ac:dyDescent="0.25">
      <c r="A121" s="494" t="s">
        <v>2069</v>
      </c>
      <c r="B121" s="494"/>
      <c r="C121" s="494" t="s">
        <v>340</v>
      </c>
      <c r="D121" s="510" t="s">
        <v>368</v>
      </c>
      <c r="E121" s="496" t="s">
        <v>230</v>
      </c>
      <c r="F121" s="496"/>
      <c r="G121" s="496" t="s">
        <v>368</v>
      </c>
      <c r="H121" s="496"/>
      <c r="I121" s="496"/>
      <c r="J121" s="496"/>
      <c r="K121" s="496"/>
      <c r="L121" s="496"/>
      <c r="M121" s="496"/>
      <c r="N121" s="512">
        <f t="shared" ref="N121:N131" si="9">SUM(O121:Z121)</f>
        <v>800000</v>
      </c>
      <c r="O121" s="496"/>
      <c r="P121" s="496"/>
      <c r="Q121" s="496"/>
      <c r="R121" s="496"/>
      <c r="S121" s="496">
        <v>100000</v>
      </c>
      <c r="T121" s="496">
        <v>100000</v>
      </c>
      <c r="U121" s="496">
        <v>100000</v>
      </c>
      <c r="V121" s="496">
        <v>100000</v>
      </c>
      <c r="W121" s="496">
        <v>100000</v>
      </c>
      <c r="X121" s="496">
        <v>100000</v>
      </c>
      <c r="Y121" s="496">
        <v>100000</v>
      </c>
      <c r="Z121" s="496">
        <v>100000</v>
      </c>
      <c r="AA121" s="526">
        <f>25000*8</f>
        <v>200000</v>
      </c>
    </row>
    <row r="122" spans="1:27" ht="15.75" x14ac:dyDescent="0.25">
      <c r="A122" s="494" t="s">
        <v>2071</v>
      </c>
      <c r="B122" s="494"/>
      <c r="C122" s="494" t="s">
        <v>341</v>
      </c>
      <c r="D122" s="510" t="s">
        <v>369</v>
      </c>
      <c r="E122" s="496" t="s">
        <v>230</v>
      </c>
      <c r="F122" s="496"/>
      <c r="G122" s="496" t="s">
        <v>369</v>
      </c>
      <c r="H122" s="496"/>
      <c r="I122" s="496"/>
      <c r="J122" s="496"/>
      <c r="K122" s="496"/>
      <c r="L122" s="496"/>
      <c r="M122" s="496"/>
      <c r="N122" s="512">
        <f t="shared" si="9"/>
        <v>704000</v>
      </c>
      <c r="O122" s="496"/>
      <c r="P122" s="496"/>
      <c r="Q122" s="496"/>
      <c r="R122" s="496"/>
      <c r="S122" s="496">
        <v>88000</v>
      </c>
      <c r="T122" s="496">
        <v>88000</v>
      </c>
      <c r="U122" s="496">
        <v>88000</v>
      </c>
      <c r="V122" s="496">
        <v>88000</v>
      </c>
      <c r="W122" s="496">
        <v>88000</v>
      </c>
      <c r="X122" s="496">
        <v>88000</v>
      </c>
      <c r="Y122" s="496">
        <v>88000</v>
      </c>
      <c r="Z122" s="496">
        <v>88000</v>
      </c>
    </row>
    <row r="123" spans="1:27" ht="15.75" x14ac:dyDescent="0.25">
      <c r="A123" s="494" t="s">
        <v>2073</v>
      </c>
      <c r="B123" s="494"/>
      <c r="C123" s="494" t="s">
        <v>342</v>
      </c>
      <c r="D123" s="510" t="s">
        <v>369</v>
      </c>
      <c r="E123" s="496" t="s">
        <v>230</v>
      </c>
      <c r="F123" s="496"/>
      <c r="G123" s="496" t="s">
        <v>369</v>
      </c>
      <c r="H123" s="496"/>
      <c r="I123" s="496"/>
      <c r="J123" s="496"/>
      <c r="K123" s="496"/>
      <c r="L123" s="496"/>
      <c r="M123" s="496"/>
      <c r="N123" s="512">
        <f t="shared" si="9"/>
        <v>704000</v>
      </c>
      <c r="O123" s="496"/>
      <c r="P123" s="496"/>
      <c r="Q123" s="496"/>
      <c r="R123" s="496"/>
      <c r="S123" s="496">
        <v>88000</v>
      </c>
      <c r="T123" s="496">
        <v>88000</v>
      </c>
      <c r="U123" s="496">
        <v>88000</v>
      </c>
      <c r="V123" s="496">
        <v>88000</v>
      </c>
      <c r="W123" s="496">
        <v>88000</v>
      </c>
      <c r="X123" s="496">
        <v>88000</v>
      </c>
      <c r="Y123" s="496">
        <v>88000</v>
      </c>
      <c r="Z123" s="496">
        <v>88000</v>
      </c>
    </row>
    <row r="124" spans="1:27" ht="15.75" x14ac:dyDescent="0.25">
      <c r="A124" s="494" t="s">
        <v>2075</v>
      </c>
      <c r="B124" s="494"/>
      <c r="C124" s="494" t="s">
        <v>343</v>
      </c>
      <c r="D124" s="510" t="s">
        <v>370</v>
      </c>
      <c r="E124" s="496" t="s">
        <v>230</v>
      </c>
      <c r="F124" s="496"/>
      <c r="G124" s="496" t="s">
        <v>370</v>
      </c>
      <c r="H124" s="496"/>
      <c r="I124" s="496"/>
      <c r="J124" s="496"/>
      <c r="K124" s="496"/>
      <c r="L124" s="496"/>
      <c r="M124" s="496"/>
      <c r="N124" s="512">
        <f t="shared" si="9"/>
        <v>800000</v>
      </c>
      <c r="O124" s="496"/>
      <c r="P124" s="496"/>
      <c r="Q124" s="496"/>
      <c r="R124" s="496"/>
      <c r="S124" s="496">
        <v>100000</v>
      </c>
      <c r="T124" s="496">
        <v>100000</v>
      </c>
      <c r="U124" s="496">
        <v>100000</v>
      </c>
      <c r="V124" s="496">
        <v>100000</v>
      </c>
      <c r="W124" s="496">
        <v>100000</v>
      </c>
      <c r="X124" s="496">
        <v>100000</v>
      </c>
      <c r="Y124" s="496">
        <v>100000</v>
      </c>
      <c r="Z124" s="496">
        <v>100000</v>
      </c>
      <c r="AA124" s="526">
        <v>200000</v>
      </c>
    </row>
    <row r="125" spans="1:27" ht="15.75" x14ac:dyDescent="0.25">
      <c r="A125" s="494" t="s">
        <v>2077</v>
      </c>
      <c r="B125" s="494"/>
      <c r="C125" s="494" t="s">
        <v>344</v>
      </c>
      <c r="D125" s="510" t="s">
        <v>371</v>
      </c>
      <c r="E125" s="496" t="s">
        <v>230</v>
      </c>
      <c r="F125" s="496"/>
      <c r="G125" s="497" t="s">
        <v>371</v>
      </c>
      <c r="H125" s="496"/>
      <c r="I125" s="496"/>
      <c r="J125" s="496"/>
      <c r="K125" s="497"/>
      <c r="L125" s="496"/>
      <c r="M125" s="496"/>
      <c r="N125" s="512">
        <f t="shared" si="9"/>
        <v>625000</v>
      </c>
      <c r="O125" s="496"/>
      <c r="P125" s="496"/>
      <c r="Q125" s="496"/>
      <c r="R125" s="496"/>
      <c r="S125" s="496">
        <v>125000</v>
      </c>
      <c r="T125" s="496">
        <v>125000</v>
      </c>
      <c r="U125" s="496">
        <v>125000</v>
      </c>
      <c r="V125" s="496">
        <v>125000</v>
      </c>
      <c r="W125" s="496">
        <v>125000</v>
      </c>
      <c r="X125" s="496"/>
      <c r="Y125" s="496"/>
      <c r="Z125" s="496"/>
    </row>
    <row r="126" spans="1:27" ht="15.75" x14ac:dyDescent="0.25">
      <c r="A126" s="494" t="s">
        <v>2079</v>
      </c>
      <c r="B126" s="494"/>
      <c r="C126" s="494" t="s">
        <v>345</v>
      </c>
      <c r="D126" s="510" t="s">
        <v>372</v>
      </c>
      <c r="E126" s="496" t="s">
        <v>230</v>
      </c>
      <c r="F126" s="496"/>
      <c r="G126" s="497" t="s">
        <v>372</v>
      </c>
      <c r="H126" s="496"/>
      <c r="I126" s="496"/>
      <c r="J126" s="496"/>
      <c r="K126" s="497"/>
      <c r="L126" s="496"/>
      <c r="M126" s="496"/>
      <c r="N126" s="512">
        <f t="shared" si="9"/>
        <v>800000</v>
      </c>
      <c r="O126" s="496"/>
      <c r="P126" s="496"/>
      <c r="Q126" s="496"/>
      <c r="R126" s="496"/>
      <c r="S126" s="496">
        <v>100000</v>
      </c>
      <c r="T126" s="496">
        <v>100000</v>
      </c>
      <c r="U126" s="496">
        <v>100000</v>
      </c>
      <c r="V126" s="496">
        <v>100000</v>
      </c>
      <c r="W126" s="496">
        <v>100000</v>
      </c>
      <c r="X126" s="496">
        <v>100000</v>
      </c>
      <c r="Y126" s="496">
        <v>100000</v>
      </c>
      <c r="Z126" s="496">
        <v>100000</v>
      </c>
      <c r="AA126" s="449">
        <f>25*8</f>
        <v>200</v>
      </c>
    </row>
    <row r="127" spans="1:27" ht="15.75" x14ac:dyDescent="0.25">
      <c r="A127" s="494" t="s">
        <v>2081</v>
      </c>
      <c r="B127" s="494"/>
      <c r="C127" s="494" t="s">
        <v>346</v>
      </c>
      <c r="D127" s="510" t="s">
        <v>373</v>
      </c>
      <c r="E127" s="496" t="s">
        <v>230</v>
      </c>
      <c r="F127" s="496"/>
      <c r="G127" s="497" t="s">
        <v>373</v>
      </c>
      <c r="H127" s="496"/>
      <c r="I127" s="496"/>
      <c r="J127" s="496"/>
      <c r="K127" s="497"/>
      <c r="L127" s="496"/>
      <c r="M127" s="496"/>
      <c r="N127" s="512">
        <f t="shared" si="9"/>
        <v>1200000</v>
      </c>
      <c r="O127" s="496"/>
      <c r="P127" s="496"/>
      <c r="Q127" s="496"/>
      <c r="R127" s="496"/>
      <c r="S127" s="496">
        <v>150000</v>
      </c>
      <c r="T127" s="496">
        <v>150000</v>
      </c>
      <c r="U127" s="496">
        <v>150000</v>
      </c>
      <c r="V127" s="496">
        <v>150000</v>
      </c>
      <c r="W127" s="496">
        <v>150000</v>
      </c>
      <c r="X127" s="496">
        <v>150000</v>
      </c>
      <c r="Y127" s="496">
        <v>150000</v>
      </c>
      <c r="Z127" s="496">
        <v>150000</v>
      </c>
    </row>
    <row r="128" spans="1:27" ht="29.45" customHeight="1" x14ac:dyDescent="0.25">
      <c r="A128" s="494" t="s">
        <v>2083</v>
      </c>
      <c r="B128" s="494"/>
      <c r="C128" s="494" t="s">
        <v>347</v>
      </c>
      <c r="D128" s="510" t="s">
        <v>373</v>
      </c>
      <c r="E128" s="496" t="s">
        <v>230</v>
      </c>
      <c r="F128" s="496"/>
      <c r="G128" s="497" t="s">
        <v>373</v>
      </c>
      <c r="H128" s="496"/>
      <c r="I128" s="496"/>
      <c r="J128" s="496"/>
      <c r="K128" s="497"/>
      <c r="L128" s="496"/>
      <c r="M128" s="496"/>
      <c r="N128" s="512">
        <f t="shared" si="9"/>
        <v>396000</v>
      </c>
      <c r="O128" s="912">
        <v>0</v>
      </c>
      <c r="P128" s="912">
        <v>0</v>
      </c>
      <c r="Q128" s="912">
        <v>39600</v>
      </c>
      <c r="R128" s="912">
        <v>39600</v>
      </c>
      <c r="S128" s="912">
        <v>39600</v>
      </c>
      <c r="T128" s="912">
        <v>39600</v>
      </c>
      <c r="U128" s="912">
        <v>39600</v>
      </c>
      <c r="V128" s="912">
        <v>39600</v>
      </c>
      <c r="W128" s="912">
        <v>39600</v>
      </c>
      <c r="X128" s="912">
        <v>39600</v>
      </c>
      <c r="Y128" s="912">
        <v>39600</v>
      </c>
      <c r="Z128" s="912">
        <v>39600</v>
      </c>
    </row>
    <row r="129" spans="1:27" ht="15.75" x14ac:dyDescent="0.25">
      <c r="A129" s="494" t="s">
        <v>2085</v>
      </c>
      <c r="B129" s="494"/>
      <c r="C129" s="494" t="s">
        <v>348</v>
      </c>
      <c r="D129" s="510" t="s">
        <v>374</v>
      </c>
      <c r="E129" s="496" t="s">
        <v>230</v>
      </c>
      <c r="F129" s="496"/>
      <c r="G129" s="497" t="s">
        <v>374</v>
      </c>
      <c r="H129" s="496"/>
      <c r="I129" s="496"/>
      <c r="J129" s="496"/>
      <c r="K129" s="497"/>
      <c r="L129" s="496"/>
      <c r="M129" s="496"/>
      <c r="N129" s="512">
        <f t="shared" si="9"/>
        <v>704000</v>
      </c>
      <c r="O129" s="496"/>
      <c r="P129" s="496"/>
      <c r="Q129" s="496"/>
      <c r="R129" s="496"/>
      <c r="S129" s="496">
        <v>88000</v>
      </c>
      <c r="T129" s="496">
        <v>88000</v>
      </c>
      <c r="U129" s="496">
        <v>88000</v>
      </c>
      <c r="V129" s="496">
        <v>88000</v>
      </c>
      <c r="W129" s="496">
        <v>88000</v>
      </c>
      <c r="X129" s="496">
        <v>88000</v>
      </c>
      <c r="Y129" s="496">
        <v>88000</v>
      </c>
      <c r="Z129" s="496">
        <v>88000</v>
      </c>
    </row>
    <row r="130" spans="1:27" ht="15.75" x14ac:dyDescent="0.25">
      <c r="A130" s="494" t="s">
        <v>2087</v>
      </c>
      <c r="B130" s="494"/>
      <c r="C130" s="494" t="s">
        <v>349</v>
      </c>
      <c r="D130" s="510" t="s">
        <v>375</v>
      </c>
      <c r="E130" s="496" t="s">
        <v>230</v>
      </c>
      <c r="F130" s="496"/>
      <c r="G130" s="497" t="s">
        <v>375</v>
      </c>
      <c r="H130" s="496"/>
      <c r="I130" s="496"/>
      <c r="J130" s="496"/>
      <c r="K130" s="497"/>
      <c r="L130" s="496"/>
      <c r="M130" s="496"/>
      <c r="N130" s="512">
        <f t="shared" si="9"/>
        <v>540000</v>
      </c>
      <c r="O130" s="496"/>
      <c r="P130" s="496"/>
      <c r="Q130" s="496"/>
      <c r="R130" s="496"/>
      <c r="S130" s="496">
        <v>90000</v>
      </c>
      <c r="T130" s="496">
        <v>90000</v>
      </c>
      <c r="U130" s="496">
        <v>90000</v>
      </c>
      <c r="V130" s="496">
        <v>90000</v>
      </c>
      <c r="W130" s="496">
        <v>90000</v>
      </c>
      <c r="X130" s="496">
        <v>90000</v>
      </c>
      <c r="Y130" s="496"/>
      <c r="Z130" s="496"/>
    </row>
    <row r="131" spans="1:27" ht="15.75" x14ac:dyDescent="0.25">
      <c r="A131" s="494" t="s">
        <v>2089</v>
      </c>
      <c r="B131" s="494"/>
      <c r="C131" s="494" t="s">
        <v>351</v>
      </c>
      <c r="D131" s="510" t="s">
        <v>376</v>
      </c>
      <c r="E131" s="496" t="s">
        <v>230</v>
      </c>
      <c r="F131" s="496"/>
      <c r="G131" s="497" t="s">
        <v>376</v>
      </c>
      <c r="H131" s="496"/>
      <c r="I131" s="496"/>
      <c r="J131" s="496"/>
      <c r="K131" s="497"/>
      <c r="L131" s="496"/>
      <c r="M131" s="496"/>
      <c r="N131" s="512">
        <f t="shared" si="9"/>
        <v>450000</v>
      </c>
      <c r="O131" s="496"/>
      <c r="P131" s="496"/>
      <c r="Q131" s="496"/>
      <c r="R131" s="496"/>
      <c r="S131" s="496"/>
      <c r="T131" s="496">
        <v>150000</v>
      </c>
      <c r="U131" s="496">
        <v>150000</v>
      </c>
      <c r="V131" s="496">
        <v>150000</v>
      </c>
      <c r="W131" s="496"/>
      <c r="X131" s="496"/>
      <c r="Y131" s="496"/>
      <c r="Z131" s="496"/>
    </row>
    <row r="132" spans="1:27" ht="15.75" hidden="1" x14ac:dyDescent="0.25">
      <c r="A132" s="494"/>
      <c r="B132" s="494"/>
      <c r="C132" s="494"/>
      <c r="D132" s="510"/>
      <c r="E132" s="496"/>
      <c r="F132" s="496"/>
      <c r="G132" s="497"/>
      <c r="H132" s="496"/>
      <c r="I132" s="496"/>
      <c r="J132" s="496"/>
      <c r="K132" s="497"/>
      <c r="L132" s="496"/>
      <c r="M132" s="496"/>
      <c r="N132" s="496"/>
      <c r="O132" s="496"/>
      <c r="P132" s="496"/>
      <c r="Q132" s="496"/>
      <c r="R132" s="496"/>
      <c r="S132" s="496"/>
      <c r="T132" s="496"/>
      <c r="U132" s="496"/>
      <c r="V132" s="496"/>
      <c r="W132" s="496"/>
      <c r="X132" s="496"/>
      <c r="Y132" s="496"/>
      <c r="Z132" s="496"/>
    </row>
    <row r="133" spans="1:27" ht="15.75" hidden="1" x14ac:dyDescent="0.25">
      <c r="A133" s="494"/>
      <c r="B133" s="494"/>
      <c r="C133" s="494"/>
      <c r="D133" s="510"/>
      <c r="E133" s="496"/>
      <c r="F133" s="496"/>
      <c r="G133" s="497"/>
      <c r="H133" s="496"/>
      <c r="I133" s="496"/>
      <c r="J133" s="496"/>
      <c r="K133" s="497"/>
      <c r="L133" s="496"/>
      <c r="M133" s="496"/>
      <c r="N133" s="496"/>
      <c r="O133" s="511"/>
      <c r="P133" s="511"/>
      <c r="Q133" s="511"/>
      <c r="R133" s="511"/>
      <c r="S133" s="511"/>
      <c r="T133" s="511"/>
      <c r="U133" s="511"/>
      <c r="V133" s="511"/>
      <c r="W133" s="511"/>
      <c r="X133" s="511"/>
      <c r="Y133" s="511"/>
      <c r="Z133" s="511"/>
    </row>
    <row r="134" spans="1:27" ht="21" x14ac:dyDescent="0.25">
      <c r="A134" s="494"/>
      <c r="B134" s="494"/>
      <c r="C134" s="494"/>
      <c r="D134" s="510"/>
      <c r="E134" s="496"/>
      <c r="F134" s="496"/>
      <c r="G134" s="518"/>
      <c r="H134" s="496"/>
      <c r="I134" s="496"/>
      <c r="J134" s="496"/>
      <c r="K134" s="519" t="s">
        <v>20</v>
      </c>
      <c r="L134" s="404">
        <f>SUM(L120:L124)</f>
        <v>0</v>
      </c>
      <c r="M134" s="404">
        <f>SUM(M120:M124)</f>
        <v>0</v>
      </c>
      <c r="N134" s="496">
        <f>SUM(N121:N133)</f>
        <v>7723000</v>
      </c>
      <c r="O134" s="511">
        <f>SUM(O121:O133)</f>
        <v>0</v>
      </c>
      <c r="P134" s="511">
        <f>SUM(P121:P133)</f>
        <v>0</v>
      </c>
      <c r="Q134" s="511">
        <f t="shared" ref="Q134:Z134" si="10">SUM(Q121:Q133)</f>
        <v>39600</v>
      </c>
      <c r="R134" s="511">
        <f t="shared" si="10"/>
        <v>39600</v>
      </c>
      <c r="S134" s="511">
        <f t="shared" si="10"/>
        <v>968600</v>
      </c>
      <c r="T134" s="511">
        <f t="shared" si="10"/>
        <v>1118600</v>
      </c>
      <c r="U134" s="511">
        <f t="shared" si="10"/>
        <v>1118600</v>
      </c>
      <c r="V134" s="511">
        <f t="shared" si="10"/>
        <v>1118600</v>
      </c>
      <c r="W134" s="511">
        <f t="shared" si="10"/>
        <v>968600</v>
      </c>
      <c r="X134" s="511">
        <f t="shared" si="10"/>
        <v>843600</v>
      </c>
      <c r="Y134" s="511">
        <f t="shared" si="10"/>
        <v>753600</v>
      </c>
      <c r="Z134" s="511">
        <f t="shared" si="10"/>
        <v>753600</v>
      </c>
      <c r="AA134" s="517"/>
    </row>
    <row r="135" spans="1:27" ht="18.75" hidden="1" outlineLevel="1" x14ac:dyDescent="0.25">
      <c r="A135" s="505" t="str">
        <f>CONCATENATE(B20," ",C20)</f>
        <v xml:space="preserve">Objective 4 </v>
      </c>
      <c r="B135" s="505"/>
      <c r="C135" s="506"/>
      <c r="D135" s="506"/>
      <c r="E135" s="507"/>
      <c r="F135" s="507"/>
      <c r="G135" s="507"/>
      <c r="H135" s="507"/>
      <c r="I135" s="507"/>
      <c r="J135" s="507"/>
      <c r="K135" s="507"/>
      <c r="L135" s="507"/>
      <c r="M135" s="507"/>
      <c r="N135" s="507"/>
      <c r="O135" s="507" t="s">
        <v>5</v>
      </c>
      <c r="P135" s="507"/>
      <c r="Q135" s="507"/>
      <c r="R135" s="507"/>
      <c r="S135" s="507"/>
      <c r="T135" s="507"/>
      <c r="U135" s="507"/>
      <c r="V135" s="507"/>
      <c r="W135" s="507"/>
      <c r="X135" s="507"/>
      <c r="Y135" s="507"/>
      <c r="Z135" s="507"/>
    </row>
    <row r="136" spans="1:27" ht="41.45" hidden="1" customHeight="1" outlineLevel="1" x14ac:dyDescent="0.25">
      <c r="A136" s="492" t="s">
        <v>261</v>
      </c>
      <c r="B136" s="492" t="s">
        <v>13</v>
      </c>
      <c r="C136" s="492" t="s">
        <v>14</v>
      </c>
      <c r="D136" s="509" t="s">
        <v>286</v>
      </c>
      <c r="E136" s="404" t="s">
        <v>16</v>
      </c>
      <c r="F136" s="404" t="s">
        <v>295</v>
      </c>
      <c r="G136" s="404" t="s">
        <v>39</v>
      </c>
      <c r="H136" s="404" t="s">
        <v>297</v>
      </c>
      <c r="I136" s="404" t="s">
        <v>298</v>
      </c>
      <c r="J136" s="404" t="s">
        <v>299</v>
      </c>
      <c r="K136" s="404" t="s">
        <v>300</v>
      </c>
      <c r="L136" s="404" t="s">
        <v>17</v>
      </c>
      <c r="M136" s="404" t="s">
        <v>18</v>
      </c>
      <c r="N136" s="404" t="s">
        <v>19</v>
      </c>
      <c r="O136" s="493">
        <v>43101</v>
      </c>
      <c r="P136" s="493">
        <v>43132</v>
      </c>
      <c r="Q136" s="493">
        <v>43160</v>
      </c>
      <c r="R136" s="493">
        <v>43191</v>
      </c>
      <c r="S136" s="493">
        <v>43221</v>
      </c>
      <c r="T136" s="493">
        <v>43252</v>
      </c>
      <c r="U136" s="493">
        <v>43282</v>
      </c>
      <c r="V136" s="493">
        <v>43313</v>
      </c>
      <c r="W136" s="493">
        <v>43344</v>
      </c>
      <c r="X136" s="493">
        <v>43374</v>
      </c>
      <c r="Y136" s="493">
        <v>43405</v>
      </c>
      <c r="Z136" s="493">
        <v>43435</v>
      </c>
    </row>
    <row r="137" spans="1:27" ht="15" hidden="1" customHeight="1" outlineLevel="1" x14ac:dyDescent="0.25">
      <c r="A137" s="494" t="s">
        <v>265</v>
      </c>
      <c r="B137" s="494"/>
      <c r="C137" s="494"/>
      <c r="D137" s="510"/>
      <c r="E137" s="496"/>
      <c r="F137" s="496"/>
      <c r="G137" s="496"/>
      <c r="H137" s="496"/>
      <c r="I137" s="496"/>
      <c r="J137" s="496"/>
      <c r="K137" s="496"/>
      <c r="L137" s="496"/>
      <c r="M137" s="496"/>
      <c r="N137" s="496">
        <f t="shared" ref="N137:N141" si="11">SUM(O137:Z137)</f>
        <v>0</v>
      </c>
      <c r="O137" s="496"/>
      <c r="P137" s="496"/>
      <c r="Q137" s="496"/>
      <c r="R137" s="496"/>
      <c r="S137" s="496"/>
      <c r="T137" s="496"/>
      <c r="U137" s="496"/>
      <c r="V137" s="496"/>
      <c r="W137" s="496"/>
      <c r="X137" s="496"/>
      <c r="Y137" s="496"/>
      <c r="Z137" s="496"/>
    </row>
    <row r="138" spans="1:27" ht="15" hidden="1" customHeight="1" outlineLevel="1" x14ac:dyDescent="0.25">
      <c r="A138" s="494" t="s">
        <v>266</v>
      </c>
      <c r="B138" s="494"/>
      <c r="C138" s="494"/>
      <c r="D138" s="510"/>
      <c r="E138" s="496"/>
      <c r="F138" s="496"/>
      <c r="G138" s="496"/>
      <c r="H138" s="496"/>
      <c r="I138" s="496"/>
      <c r="J138" s="496"/>
      <c r="K138" s="496"/>
      <c r="L138" s="496"/>
      <c r="M138" s="496"/>
      <c r="N138" s="496">
        <f t="shared" si="11"/>
        <v>0</v>
      </c>
      <c r="O138" s="496"/>
      <c r="P138" s="496"/>
      <c r="Q138" s="496"/>
      <c r="R138" s="496"/>
      <c r="S138" s="496"/>
      <c r="T138" s="496"/>
      <c r="U138" s="496"/>
      <c r="V138" s="496"/>
      <c r="W138" s="496"/>
      <c r="X138" s="496"/>
      <c r="Y138" s="496"/>
      <c r="Z138" s="496"/>
    </row>
    <row r="139" spans="1:27" ht="15" hidden="1" customHeight="1" outlineLevel="1" x14ac:dyDescent="0.25">
      <c r="A139" s="494" t="s">
        <v>283</v>
      </c>
      <c r="B139" s="494"/>
      <c r="C139" s="494"/>
      <c r="D139" s="510"/>
      <c r="E139" s="496"/>
      <c r="F139" s="496"/>
      <c r="G139" s="496"/>
      <c r="H139" s="496"/>
      <c r="I139" s="496"/>
      <c r="J139" s="496"/>
      <c r="K139" s="496"/>
      <c r="L139" s="496"/>
      <c r="M139" s="496"/>
      <c r="N139" s="496">
        <f t="shared" si="11"/>
        <v>0</v>
      </c>
      <c r="O139" s="496"/>
      <c r="P139" s="496"/>
      <c r="Q139" s="496"/>
      <c r="R139" s="496"/>
      <c r="S139" s="496"/>
      <c r="T139" s="496"/>
      <c r="U139" s="496"/>
      <c r="V139" s="496"/>
      <c r="W139" s="496"/>
      <c r="X139" s="496"/>
      <c r="Y139" s="496"/>
      <c r="Z139" s="496"/>
    </row>
    <row r="140" spans="1:27" ht="15" hidden="1" customHeight="1" outlineLevel="1" x14ac:dyDescent="0.25">
      <c r="A140" s="494" t="s">
        <v>284</v>
      </c>
      <c r="B140" s="494"/>
      <c r="C140" s="494"/>
      <c r="D140" s="510"/>
      <c r="E140" s="496"/>
      <c r="F140" s="496"/>
      <c r="G140" s="496"/>
      <c r="H140" s="496"/>
      <c r="I140" s="496"/>
      <c r="J140" s="496"/>
      <c r="K140" s="496"/>
      <c r="L140" s="496"/>
      <c r="M140" s="496"/>
      <c r="N140" s="496">
        <f t="shared" si="11"/>
        <v>0</v>
      </c>
      <c r="O140" s="496"/>
      <c r="P140" s="496"/>
      <c r="Q140" s="496"/>
      <c r="R140" s="496"/>
      <c r="S140" s="496"/>
      <c r="T140" s="496"/>
      <c r="U140" s="496"/>
      <c r="V140" s="496"/>
      <c r="W140" s="496"/>
      <c r="X140" s="496"/>
      <c r="Y140" s="496"/>
      <c r="Z140" s="496"/>
    </row>
    <row r="141" spans="1:27" ht="21" hidden="1" customHeight="1" outlineLevel="1" x14ac:dyDescent="0.25">
      <c r="A141" s="494" t="s">
        <v>285</v>
      </c>
      <c r="B141" s="494"/>
      <c r="C141" s="494"/>
      <c r="D141" s="510"/>
      <c r="E141" s="496"/>
      <c r="F141" s="496"/>
      <c r="G141" s="518"/>
      <c r="H141" s="496"/>
      <c r="I141" s="496"/>
      <c r="J141" s="496"/>
      <c r="K141" s="519" t="s">
        <v>20</v>
      </c>
      <c r="L141" s="404">
        <f>SUM(L136:L140)</f>
        <v>0</v>
      </c>
      <c r="M141" s="404">
        <f>SUM(M136:M140)</f>
        <v>0</v>
      </c>
      <c r="N141" s="496">
        <f t="shared" si="11"/>
        <v>0</v>
      </c>
      <c r="O141" s="496"/>
      <c r="P141" s="496"/>
      <c r="Q141" s="496"/>
      <c r="R141" s="496"/>
      <c r="S141" s="496"/>
      <c r="T141" s="496"/>
      <c r="U141" s="496"/>
      <c r="V141" s="496"/>
      <c r="W141" s="496"/>
      <c r="X141" s="496"/>
      <c r="Y141" s="496"/>
      <c r="Z141" s="496"/>
      <c r="AA141" s="517"/>
    </row>
    <row r="142" spans="1:27" ht="18.75" hidden="1" outlineLevel="1" x14ac:dyDescent="0.25">
      <c r="A142" s="505" t="str">
        <f>CONCATENATE(B21," ",C21)</f>
        <v xml:space="preserve">Objective 5 </v>
      </c>
      <c r="B142" s="505"/>
      <c r="C142" s="506"/>
      <c r="D142" s="506"/>
      <c r="E142" s="507"/>
      <c r="F142" s="507"/>
      <c r="G142" s="507"/>
      <c r="H142" s="507"/>
      <c r="I142" s="507"/>
      <c r="J142" s="507"/>
      <c r="K142" s="507"/>
      <c r="L142" s="507"/>
      <c r="M142" s="507"/>
      <c r="N142" s="507"/>
      <c r="O142" s="507" t="s">
        <v>5</v>
      </c>
      <c r="P142" s="507"/>
      <c r="Q142" s="507"/>
      <c r="R142" s="507"/>
      <c r="S142" s="507"/>
      <c r="T142" s="507"/>
      <c r="U142" s="507"/>
      <c r="V142" s="507"/>
      <c r="W142" s="507"/>
      <c r="X142" s="507"/>
      <c r="Y142" s="507"/>
      <c r="Z142" s="507"/>
    </row>
    <row r="143" spans="1:27" ht="41.45" hidden="1" customHeight="1" outlineLevel="1" x14ac:dyDescent="0.25">
      <c r="A143" s="492" t="s">
        <v>261</v>
      </c>
      <c r="B143" s="492" t="s">
        <v>13</v>
      </c>
      <c r="C143" s="492" t="s">
        <v>14</v>
      </c>
      <c r="D143" s="509" t="s">
        <v>286</v>
      </c>
      <c r="E143" s="404" t="s">
        <v>16</v>
      </c>
      <c r="F143" s="404" t="s">
        <v>295</v>
      </c>
      <c r="G143" s="404" t="s">
        <v>39</v>
      </c>
      <c r="H143" s="404" t="s">
        <v>297</v>
      </c>
      <c r="I143" s="404" t="s">
        <v>298</v>
      </c>
      <c r="J143" s="404" t="s">
        <v>299</v>
      </c>
      <c r="K143" s="404" t="s">
        <v>300</v>
      </c>
      <c r="L143" s="404" t="s">
        <v>17</v>
      </c>
      <c r="M143" s="404" t="s">
        <v>18</v>
      </c>
      <c r="N143" s="404" t="s">
        <v>19</v>
      </c>
      <c r="O143" s="493">
        <v>43101</v>
      </c>
      <c r="P143" s="493">
        <v>43132</v>
      </c>
      <c r="Q143" s="493">
        <v>43160</v>
      </c>
      <c r="R143" s="493">
        <v>43191</v>
      </c>
      <c r="S143" s="493">
        <v>43221</v>
      </c>
      <c r="T143" s="493">
        <v>43252</v>
      </c>
      <c r="U143" s="493">
        <v>43282</v>
      </c>
      <c r="V143" s="493">
        <v>43313</v>
      </c>
      <c r="W143" s="493">
        <v>43344</v>
      </c>
      <c r="X143" s="493">
        <v>43374</v>
      </c>
      <c r="Y143" s="493">
        <v>43405</v>
      </c>
      <c r="Z143" s="493">
        <v>43435</v>
      </c>
    </row>
    <row r="144" spans="1:27" ht="15" hidden="1" customHeight="1" outlineLevel="1" x14ac:dyDescent="0.25">
      <c r="A144" s="494" t="s">
        <v>265</v>
      </c>
      <c r="B144" s="494"/>
      <c r="C144" s="494"/>
      <c r="D144" s="510"/>
      <c r="E144" s="496"/>
      <c r="F144" s="496"/>
      <c r="G144" s="496"/>
      <c r="H144" s="496"/>
      <c r="I144" s="496"/>
      <c r="J144" s="496"/>
      <c r="K144" s="496"/>
      <c r="L144" s="496"/>
      <c r="M144" s="496"/>
      <c r="N144" s="496">
        <f t="shared" ref="N144:N148" si="12">SUM(O144:Z144)</f>
        <v>0</v>
      </c>
      <c r="O144" s="496"/>
      <c r="P144" s="496"/>
      <c r="Q144" s="496"/>
      <c r="R144" s="496"/>
      <c r="S144" s="496"/>
      <c r="T144" s="496"/>
      <c r="U144" s="496"/>
      <c r="V144" s="496"/>
      <c r="W144" s="496"/>
      <c r="X144" s="496"/>
      <c r="Y144" s="496"/>
      <c r="Z144" s="496"/>
    </row>
    <row r="145" spans="1:27" ht="15" hidden="1" customHeight="1" outlineLevel="1" x14ac:dyDescent="0.25">
      <c r="A145" s="494" t="s">
        <v>266</v>
      </c>
      <c r="B145" s="494"/>
      <c r="C145" s="494"/>
      <c r="D145" s="510"/>
      <c r="E145" s="496"/>
      <c r="F145" s="496"/>
      <c r="G145" s="496"/>
      <c r="H145" s="496"/>
      <c r="I145" s="496"/>
      <c r="J145" s="496"/>
      <c r="K145" s="496"/>
      <c r="L145" s="496"/>
      <c r="M145" s="496"/>
      <c r="N145" s="496">
        <f t="shared" si="12"/>
        <v>0</v>
      </c>
      <c r="O145" s="496"/>
      <c r="P145" s="496"/>
      <c r="Q145" s="496"/>
      <c r="R145" s="496"/>
      <c r="S145" s="496"/>
      <c r="T145" s="496"/>
      <c r="U145" s="496"/>
      <c r="V145" s="496"/>
      <c r="W145" s="496"/>
      <c r="X145" s="496"/>
      <c r="Y145" s="496"/>
      <c r="Z145" s="496"/>
    </row>
    <row r="146" spans="1:27" ht="15" hidden="1" customHeight="1" outlineLevel="1" x14ac:dyDescent="0.25">
      <c r="A146" s="494" t="s">
        <v>283</v>
      </c>
      <c r="B146" s="494"/>
      <c r="C146" s="494"/>
      <c r="D146" s="510"/>
      <c r="E146" s="496"/>
      <c r="F146" s="496"/>
      <c r="G146" s="496"/>
      <c r="H146" s="496"/>
      <c r="I146" s="496"/>
      <c r="J146" s="496"/>
      <c r="K146" s="496"/>
      <c r="L146" s="496"/>
      <c r="M146" s="496"/>
      <c r="N146" s="496">
        <f t="shared" si="12"/>
        <v>0</v>
      </c>
      <c r="O146" s="496"/>
      <c r="P146" s="496"/>
      <c r="Q146" s="496"/>
      <c r="R146" s="496"/>
      <c r="S146" s="496"/>
      <c r="T146" s="496"/>
      <c r="U146" s="496"/>
      <c r="V146" s="496"/>
      <c r="W146" s="496"/>
      <c r="X146" s="496"/>
      <c r="Y146" s="496"/>
      <c r="Z146" s="496"/>
    </row>
    <row r="147" spans="1:27" ht="15" hidden="1" customHeight="1" outlineLevel="1" x14ac:dyDescent="0.25">
      <c r="A147" s="494" t="s">
        <v>284</v>
      </c>
      <c r="B147" s="494"/>
      <c r="C147" s="494"/>
      <c r="D147" s="510"/>
      <c r="E147" s="496"/>
      <c r="F147" s="496"/>
      <c r="G147" s="496"/>
      <c r="H147" s="496"/>
      <c r="I147" s="496"/>
      <c r="J147" s="496"/>
      <c r="K147" s="496"/>
      <c r="L147" s="496"/>
      <c r="M147" s="496"/>
      <c r="N147" s="496">
        <f t="shared" si="12"/>
        <v>0</v>
      </c>
      <c r="O147" s="496"/>
      <c r="P147" s="496"/>
      <c r="Q147" s="496"/>
      <c r="R147" s="496"/>
      <c r="S147" s="496"/>
      <c r="T147" s="496"/>
      <c r="U147" s="496"/>
      <c r="V147" s="496"/>
      <c r="W147" s="496"/>
      <c r="X147" s="496"/>
      <c r="Y147" s="496"/>
      <c r="Z147" s="496"/>
    </row>
    <row r="148" spans="1:27" ht="21" hidden="1" customHeight="1" outlineLevel="1" x14ac:dyDescent="0.25">
      <c r="A148" s="494" t="s">
        <v>285</v>
      </c>
      <c r="B148" s="494"/>
      <c r="C148" s="494"/>
      <c r="D148" s="510"/>
      <c r="E148" s="496"/>
      <c r="F148" s="496"/>
      <c r="G148" s="518"/>
      <c r="H148" s="496"/>
      <c r="I148" s="496"/>
      <c r="J148" s="496"/>
      <c r="K148" s="519" t="s">
        <v>20</v>
      </c>
      <c r="L148" s="404">
        <f>SUM(L143:L147)</f>
        <v>0</v>
      </c>
      <c r="M148" s="404">
        <f>SUM(M143:M147)</f>
        <v>0</v>
      </c>
      <c r="N148" s="496">
        <f t="shared" si="12"/>
        <v>0</v>
      </c>
      <c r="O148" s="496"/>
      <c r="P148" s="496"/>
      <c r="Q148" s="496"/>
      <c r="R148" s="496"/>
      <c r="S148" s="496"/>
      <c r="T148" s="496"/>
      <c r="U148" s="496"/>
      <c r="V148" s="496"/>
      <c r="W148" s="496"/>
      <c r="X148" s="496"/>
      <c r="Y148" s="496"/>
      <c r="Z148" s="496"/>
      <c r="AA148" s="517"/>
    </row>
    <row r="149" spans="1:27" ht="18.75" hidden="1" outlineLevel="1" x14ac:dyDescent="0.25">
      <c r="A149" s="505" t="str">
        <f>CONCATENATE(B22," ",C22)</f>
        <v xml:space="preserve">Objective 6 </v>
      </c>
      <c r="B149" s="505"/>
      <c r="C149" s="506"/>
      <c r="D149" s="506"/>
      <c r="E149" s="507"/>
      <c r="F149" s="507"/>
      <c r="G149" s="507"/>
      <c r="H149" s="507"/>
      <c r="I149" s="507"/>
      <c r="J149" s="507"/>
      <c r="K149" s="507"/>
      <c r="L149" s="507"/>
      <c r="M149" s="507"/>
      <c r="N149" s="507"/>
      <c r="O149" s="507" t="s">
        <v>5</v>
      </c>
      <c r="P149" s="507"/>
      <c r="Q149" s="507"/>
      <c r="R149" s="507"/>
      <c r="S149" s="507"/>
      <c r="T149" s="507"/>
      <c r="U149" s="507"/>
      <c r="V149" s="507"/>
      <c r="W149" s="507"/>
      <c r="X149" s="507"/>
      <c r="Y149" s="507"/>
      <c r="Z149" s="507"/>
    </row>
    <row r="150" spans="1:27" ht="41.45" hidden="1" customHeight="1" outlineLevel="1" x14ac:dyDescent="0.25">
      <c r="A150" s="492" t="s">
        <v>261</v>
      </c>
      <c r="B150" s="492" t="s">
        <v>13</v>
      </c>
      <c r="C150" s="492" t="s">
        <v>14</v>
      </c>
      <c r="D150" s="509" t="s">
        <v>286</v>
      </c>
      <c r="E150" s="404" t="s">
        <v>16</v>
      </c>
      <c r="F150" s="404" t="s">
        <v>295</v>
      </c>
      <c r="G150" s="404" t="s">
        <v>39</v>
      </c>
      <c r="H150" s="404" t="s">
        <v>297</v>
      </c>
      <c r="I150" s="404" t="s">
        <v>298</v>
      </c>
      <c r="J150" s="404" t="s">
        <v>299</v>
      </c>
      <c r="K150" s="404" t="s">
        <v>300</v>
      </c>
      <c r="L150" s="404" t="s">
        <v>17</v>
      </c>
      <c r="M150" s="404" t="s">
        <v>18</v>
      </c>
      <c r="N150" s="404" t="s">
        <v>19</v>
      </c>
      <c r="O150" s="493">
        <v>43101</v>
      </c>
      <c r="P150" s="493">
        <v>43132</v>
      </c>
      <c r="Q150" s="493">
        <v>43160</v>
      </c>
      <c r="R150" s="493">
        <v>43191</v>
      </c>
      <c r="S150" s="493">
        <v>43221</v>
      </c>
      <c r="T150" s="493">
        <v>43252</v>
      </c>
      <c r="U150" s="493">
        <v>43282</v>
      </c>
      <c r="V150" s="493">
        <v>43313</v>
      </c>
      <c r="W150" s="493">
        <v>43344</v>
      </c>
      <c r="X150" s="493">
        <v>43374</v>
      </c>
      <c r="Y150" s="493">
        <v>43405</v>
      </c>
      <c r="Z150" s="493">
        <v>43435</v>
      </c>
    </row>
    <row r="151" spans="1:27" ht="15" hidden="1" customHeight="1" outlineLevel="1" x14ac:dyDescent="0.25">
      <c r="A151" s="494" t="s">
        <v>265</v>
      </c>
      <c r="B151" s="494"/>
      <c r="C151" s="494"/>
      <c r="D151" s="510"/>
      <c r="E151" s="496"/>
      <c r="F151" s="496"/>
      <c r="G151" s="496"/>
      <c r="H151" s="496"/>
      <c r="I151" s="496"/>
      <c r="J151" s="496"/>
      <c r="K151" s="496"/>
      <c r="L151" s="496"/>
      <c r="M151" s="496"/>
      <c r="N151" s="496">
        <f t="shared" ref="N151:N155" si="13">SUM(O151:Z151)</f>
        <v>0</v>
      </c>
      <c r="O151" s="496"/>
      <c r="P151" s="496"/>
      <c r="Q151" s="496"/>
      <c r="R151" s="496"/>
      <c r="S151" s="496"/>
      <c r="T151" s="496"/>
      <c r="U151" s="496"/>
      <c r="V151" s="496"/>
      <c r="W151" s="496"/>
      <c r="X151" s="496"/>
      <c r="Y151" s="496"/>
      <c r="Z151" s="496"/>
    </row>
    <row r="152" spans="1:27" ht="15" hidden="1" customHeight="1" outlineLevel="1" x14ac:dyDescent="0.25">
      <c r="A152" s="494" t="s">
        <v>266</v>
      </c>
      <c r="B152" s="494"/>
      <c r="C152" s="494"/>
      <c r="D152" s="510"/>
      <c r="E152" s="496"/>
      <c r="F152" s="496"/>
      <c r="G152" s="496"/>
      <c r="H152" s="496"/>
      <c r="I152" s="496"/>
      <c r="J152" s="496"/>
      <c r="K152" s="496"/>
      <c r="L152" s="496"/>
      <c r="M152" s="496"/>
      <c r="N152" s="496">
        <f t="shared" si="13"/>
        <v>0</v>
      </c>
      <c r="O152" s="496"/>
      <c r="P152" s="496"/>
      <c r="Q152" s="496"/>
      <c r="R152" s="496"/>
      <c r="S152" s="496"/>
      <c r="T152" s="496"/>
      <c r="U152" s="496"/>
      <c r="V152" s="496"/>
      <c r="W152" s="496"/>
      <c r="X152" s="496"/>
      <c r="Y152" s="496"/>
      <c r="Z152" s="496"/>
    </row>
    <row r="153" spans="1:27" ht="15" hidden="1" customHeight="1" outlineLevel="1" x14ac:dyDescent="0.25">
      <c r="A153" s="494" t="s">
        <v>283</v>
      </c>
      <c r="B153" s="494"/>
      <c r="C153" s="494"/>
      <c r="D153" s="510"/>
      <c r="E153" s="496"/>
      <c r="F153" s="496"/>
      <c r="G153" s="496"/>
      <c r="H153" s="496"/>
      <c r="I153" s="496"/>
      <c r="J153" s="496"/>
      <c r="K153" s="496"/>
      <c r="L153" s="496"/>
      <c r="M153" s="496"/>
      <c r="N153" s="496">
        <f t="shared" si="13"/>
        <v>0</v>
      </c>
      <c r="O153" s="496"/>
      <c r="P153" s="496"/>
      <c r="Q153" s="496"/>
      <c r="R153" s="496"/>
      <c r="S153" s="496"/>
      <c r="T153" s="496"/>
      <c r="U153" s="496"/>
      <c r="V153" s="496"/>
      <c r="W153" s="496"/>
      <c r="X153" s="496"/>
      <c r="Y153" s="496"/>
      <c r="Z153" s="496"/>
    </row>
    <row r="154" spans="1:27" ht="15" hidden="1" customHeight="1" outlineLevel="1" x14ac:dyDescent="0.25">
      <c r="A154" s="494" t="s">
        <v>284</v>
      </c>
      <c r="B154" s="494"/>
      <c r="C154" s="494"/>
      <c r="D154" s="510"/>
      <c r="E154" s="496"/>
      <c r="F154" s="496"/>
      <c r="G154" s="496"/>
      <c r="H154" s="496"/>
      <c r="I154" s="496"/>
      <c r="J154" s="496"/>
      <c r="K154" s="496"/>
      <c r="L154" s="496"/>
      <c r="M154" s="496"/>
      <c r="N154" s="496">
        <f t="shared" si="13"/>
        <v>0</v>
      </c>
      <c r="O154" s="496"/>
      <c r="P154" s="496"/>
      <c r="Q154" s="496"/>
      <c r="R154" s="496"/>
      <c r="S154" s="496"/>
      <c r="T154" s="496"/>
      <c r="U154" s="496"/>
      <c r="V154" s="496"/>
      <c r="W154" s="496"/>
      <c r="X154" s="496"/>
      <c r="Y154" s="496"/>
      <c r="Z154" s="496"/>
    </row>
    <row r="155" spans="1:27" ht="21" hidden="1" customHeight="1" outlineLevel="1" x14ac:dyDescent="0.25">
      <c r="A155" s="494" t="s">
        <v>285</v>
      </c>
      <c r="B155" s="494"/>
      <c r="C155" s="494"/>
      <c r="D155" s="510"/>
      <c r="E155" s="496"/>
      <c r="F155" s="496"/>
      <c r="G155" s="518"/>
      <c r="H155" s="496"/>
      <c r="I155" s="496"/>
      <c r="J155" s="496"/>
      <c r="K155" s="519" t="s">
        <v>20</v>
      </c>
      <c r="L155" s="404">
        <f>SUM(L150:L154)</f>
        <v>0</v>
      </c>
      <c r="M155" s="404">
        <f>SUM(M150:M154)</f>
        <v>0</v>
      </c>
      <c r="N155" s="496">
        <f t="shared" si="13"/>
        <v>0</v>
      </c>
      <c r="O155" s="496"/>
      <c r="P155" s="496"/>
      <c r="Q155" s="496"/>
      <c r="R155" s="496"/>
      <c r="S155" s="496"/>
      <c r="T155" s="496"/>
      <c r="U155" s="496"/>
      <c r="V155" s="496"/>
      <c r="W155" s="496"/>
      <c r="X155" s="496"/>
      <c r="Y155" s="496"/>
      <c r="Z155" s="496"/>
      <c r="AA155" s="517"/>
    </row>
    <row r="156" spans="1:27" ht="18.75" hidden="1" outlineLevel="1" x14ac:dyDescent="0.25">
      <c r="A156" s="505" t="str">
        <f>CONCATENATE(B23," ",C23)</f>
        <v xml:space="preserve">Objective 7 </v>
      </c>
      <c r="B156" s="505"/>
      <c r="C156" s="506"/>
      <c r="D156" s="506"/>
      <c r="E156" s="507"/>
      <c r="F156" s="507"/>
      <c r="G156" s="507"/>
      <c r="H156" s="507"/>
      <c r="I156" s="507"/>
      <c r="J156" s="507"/>
      <c r="K156" s="507"/>
      <c r="L156" s="507"/>
      <c r="M156" s="507"/>
      <c r="N156" s="507"/>
      <c r="O156" s="507" t="s">
        <v>5</v>
      </c>
      <c r="P156" s="507"/>
      <c r="Q156" s="507"/>
      <c r="R156" s="507"/>
      <c r="S156" s="507"/>
      <c r="T156" s="507"/>
      <c r="U156" s="507"/>
      <c r="V156" s="507"/>
      <c r="W156" s="507"/>
      <c r="X156" s="507"/>
      <c r="Y156" s="507"/>
      <c r="Z156" s="507"/>
    </row>
    <row r="157" spans="1:27" ht="41.45" hidden="1" customHeight="1" outlineLevel="1" x14ac:dyDescent="0.25">
      <c r="A157" s="492" t="s">
        <v>261</v>
      </c>
      <c r="B157" s="492" t="s">
        <v>13</v>
      </c>
      <c r="C157" s="492" t="s">
        <v>14</v>
      </c>
      <c r="D157" s="509" t="s">
        <v>286</v>
      </c>
      <c r="E157" s="404" t="s">
        <v>16</v>
      </c>
      <c r="F157" s="404" t="s">
        <v>295</v>
      </c>
      <c r="G157" s="404" t="s">
        <v>39</v>
      </c>
      <c r="H157" s="404" t="s">
        <v>297</v>
      </c>
      <c r="I157" s="404" t="s">
        <v>298</v>
      </c>
      <c r="J157" s="404" t="s">
        <v>299</v>
      </c>
      <c r="K157" s="404" t="s">
        <v>300</v>
      </c>
      <c r="L157" s="404" t="s">
        <v>17</v>
      </c>
      <c r="M157" s="404" t="s">
        <v>18</v>
      </c>
      <c r="N157" s="404" t="s">
        <v>19</v>
      </c>
      <c r="O157" s="493">
        <v>43101</v>
      </c>
      <c r="P157" s="493">
        <v>43132</v>
      </c>
      <c r="Q157" s="493">
        <v>43160</v>
      </c>
      <c r="R157" s="493">
        <v>43191</v>
      </c>
      <c r="S157" s="493">
        <v>43221</v>
      </c>
      <c r="T157" s="493">
        <v>43252</v>
      </c>
      <c r="U157" s="493">
        <v>43282</v>
      </c>
      <c r="V157" s="493">
        <v>43313</v>
      </c>
      <c r="W157" s="493">
        <v>43344</v>
      </c>
      <c r="X157" s="493">
        <v>43374</v>
      </c>
      <c r="Y157" s="493">
        <v>43405</v>
      </c>
      <c r="Z157" s="493">
        <v>43435</v>
      </c>
    </row>
    <row r="158" spans="1:27" ht="15" hidden="1" customHeight="1" outlineLevel="1" x14ac:dyDescent="0.25">
      <c r="A158" s="494" t="s">
        <v>265</v>
      </c>
      <c r="B158" s="494"/>
      <c r="C158" s="494"/>
      <c r="D158" s="510"/>
      <c r="E158" s="496"/>
      <c r="F158" s="496"/>
      <c r="G158" s="496"/>
      <c r="H158" s="496"/>
      <c r="I158" s="496"/>
      <c r="J158" s="496"/>
      <c r="K158" s="496"/>
      <c r="L158" s="496"/>
      <c r="M158" s="496"/>
      <c r="N158" s="496">
        <f t="shared" ref="N158:N162" si="14">SUM(O158:Z158)</f>
        <v>0</v>
      </c>
      <c r="O158" s="496"/>
      <c r="P158" s="496"/>
      <c r="Q158" s="496"/>
      <c r="R158" s="496"/>
      <c r="S158" s="496"/>
      <c r="T158" s="496"/>
      <c r="U158" s="496"/>
      <c r="V158" s="496"/>
      <c r="W158" s="496"/>
      <c r="X158" s="496"/>
      <c r="Y158" s="496"/>
      <c r="Z158" s="496"/>
    </row>
    <row r="159" spans="1:27" ht="15" hidden="1" customHeight="1" outlineLevel="1" x14ac:dyDescent="0.25">
      <c r="A159" s="494" t="s">
        <v>266</v>
      </c>
      <c r="B159" s="494"/>
      <c r="C159" s="494"/>
      <c r="D159" s="510"/>
      <c r="E159" s="496"/>
      <c r="F159" s="496"/>
      <c r="G159" s="496"/>
      <c r="H159" s="496"/>
      <c r="I159" s="496"/>
      <c r="J159" s="496"/>
      <c r="K159" s="496"/>
      <c r="L159" s="496"/>
      <c r="M159" s="496"/>
      <c r="N159" s="496">
        <f t="shared" si="14"/>
        <v>0</v>
      </c>
      <c r="O159" s="496"/>
      <c r="P159" s="496"/>
      <c r="Q159" s="496"/>
      <c r="R159" s="496"/>
      <c r="S159" s="496"/>
      <c r="T159" s="496"/>
      <c r="U159" s="496"/>
      <c r="V159" s="496"/>
      <c r="W159" s="496"/>
      <c r="X159" s="496"/>
      <c r="Y159" s="496"/>
      <c r="Z159" s="496"/>
    </row>
    <row r="160" spans="1:27" ht="15" hidden="1" customHeight="1" outlineLevel="1" x14ac:dyDescent="0.25">
      <c r="A160" s="494" t="s">
        <v>283</v>
      </c>
      <c r="B160" s="494"/>
      <c r="C160" s="494"/>
      <c r="D160" s="510"/>
      <c r="E160" s="496"/>
      <c r="F160" s="496"/>
      <c r="G160" s="496"/>
      <c r="H160" s="496"/>
      <c r="I160" s="496"/>
      <c r="J160" s="496"/>
      <c r="K160" s="496"/>
      <c r="L160" s="496"/>
      <c r="M160" s="496"/>
      <c r="N160" s="496">
        <f t="shared" si="14"/>
        <v>0</v>
      </c>
      <c r="O160" s="496"/>
      <c r="P160" s="496"/>
      <c r="Q160" s="496"/>
      <c r="R160" s="496"/>
      <c r="S160" s="496"/>
      <c r="T160" s="496"/>
      <c r="U160" s="496"/>
      <c r="V160" s="496"/>
      <c r="W160" s="496"/>
      <c r="X160" s="496"/>
      <c r="Y160" s="496"/>
      <c r="Z160" s="496"/>
    </row>
    <row r="161" spans="1:27" ht="15" hidden="1" customHeight="1" outlineLevel="1" x14ac:dyDescent="0.25">
      <c r="A161" s="494" t="s">
        <v>284</v>
      </c>
      <c r="B161" s="494"/>
      <c r="C161" s="494"/>
      <c r="D161" s="510"/>
      <c r="E161" s="496"/>
      <c r="F161" s="496"/>
      <c r="G161" s="496"/>
      <c r="H161" s="496"/>
      <c r="I161" s="496"/>
      <c r="J161" s="496"/>
      <c r="K161" s="496"/>
      <c r="L161" s="496"/>
      <c r="M161" s="496"/>
      <c r="N161" s="496">
        <f t="shared" si="14"/>
        <v>0</v>
      </c>
      <c r="O161" s="496"/>
      <c r="P161" s="496"/>
      <c r="Q161" s="496"/>
      <c r="R161" s="496"/>
      <c r="S161" s="496"/>
      <c r="T161" s="496"/>
      <c r="U161" s="496"/>
      <c r="V161" s="496"/>
      <c r="W161" s="496"/>
      <c r="X161" s="496"/>
      <c r="Y161" s="496"/>
      <c r="Z161" s="496"/>
    </row>
    <row r="162" spans="1:27" ht="21" hidden="1" customHeight="1" outlineLevel="1" x14ac:dyDescent="0.25">
      <c r="A162" s="494" t="s">
        <v>285</v>
      </c>
      <c r="B162" s="494"/>
      <c r="C162" s="494"/>
      <c r="D162" s="510"/>
      <c r="E162" s="496"/>
      <c r="F162" s="496"/>
      <c r="G162" s="518"/>
      <c r="H162" s="496"/>
      <c r="I162" s="496"/>
      <c r="J162" s="496"/>
      <c r="K162" s="519" t="s">
        <v>20</v>
      </c>
      <c r="L162" s="404">
        <f>SUM(L157:L161)</f>
        <v>0</v>
      </c>
      <c r="M162" s="404">
        <f>SUM(M157:M161)</f>
        <v>0</v>
      </c>
      <c r="N162" s="496">
        <f t="shared" si="14"/>
        <v>0</v>
      </c>
      <c r="O162" s="496"/>
      <c r="P162" s="496"/>
      <c r="Q162" s="496"/>
      <c r="R162" s="496"/>
      <c r="S162" s="496"/>
      <c r="T162" s="496"/>
      <c r="U162" s="496"/>
      <c r="V162" s="496"/>
      <c r="W162" s="496"/>
      <c r="X162" s="496"/>
      <c r="Y162" s="496"/>
      <c r="Z162" s="496"/>
      <c r="AA162" s="517"/>
    </row>
    <row r="163" spans="1:27" ht="18.75" hidden="1" outlineLevel="1" x14ac:dyDescent="0.25">
      <c r="A163" s="505" t="str">
        <f>CONCATENATE(B24," ",C24)</f>
        <v xml:space="preserve">Objective 8 </v>
      </c>
      <c r="B163" s="505"/>
      <c r="C163" s="506"/>
      <c r="D163" s="506"/>
      <c r="E163" s="507"/>
      <c r="F163" s="507"/>
      <c r="G163" s="507"/>
      <c r="H163" s="507"/>
      <c r="I163" s="507"/>
      <c r="J163" s="507"/>
      <c r="K163" s="507"/>
      <c r="L163" s="507"/>
      <c r="M163" s="507"/>
      <c r="N163" s="507"/>
      <c r="O163" s="507" t="s">
        <v>5</v>
      </c>
      <c r="P163" s="507"/>
      <c r="Q163" s="507"/>
      <c r="R163" s="507"/>
      <c r="S163" s="507"/>
      <c r="T163" s="507"/>
      <c r="U163" s="507"/>
      <c r="V163" s="507"/>
      <c r="W163" s="507"/>
      <c r="X163" s="507"/>
      <c r="Y163" s="507"/>
      <c r="Z163" s="507"/>
    </row>
    <row r="164" spans="1:27" ht="41.45" hidden="1" customHeight="1" outlineLevel="1" x14ac:dyDescent="0.25">
      <c r="A164" s="492" t="s">
        <v>261</v>
      </c>
      <c r="B164" s="492" t="s">
        <v>13</v>
      </c>
      <c r="C164" s="492" t="s">
        <v>14</v>
      </c>
      <c r="D164" s="509" t="s">
        <v>286</v>
      </c>
      <c r="E164" s="404" t="s">
        <v>16</v>
      </c>
      <c r="F164" s="404" t="s">
        <v>295</v>
      </c>
      <c r="G164" s="404" t="s">
        <v>39</v>
      </c>
      <c r="H164" s="404" t="s">
        <v>297</v>
      </c>
      <c r="I164" s="404" t="s">
        <v>298</v>
      </c>
      <c r="J164" s="404" t="s">
        <v>299</v>
      </c>
      <c r="K164" s="404" t="s">
        <v>300</v>
      </c>
      <c r="L164" s="404" t="s">
        <v>17</v>
      </c>
      <c r="M164" s="404" t="s">
        <v>18</v>
      </c>
      <c r="N164" s="404" t="s">
        <v>19</v>
      </c>
      <c r="O164" s="493">
        <v>43101</v>
      </c>
      <c r="P164" s="493">
        <v>43132</v>
      </c>
      <c r="Q164" s="493">
        <v>43160</v>
      </c>
      <c r="R164" s="493">
        <v>43191</v>
      </c>
      <c r="S164" s="493">
        <v>43221</v>
      </c>
      <c r="T164" s="493">
        <v>43252</v>
      </c>
      <c r="U164" s="493">
        <v>43282</v>
      </c>
      <c r="V164" s="493">
        <v>43313</v>
      </c>
      <c r="W164" s="493">
        <v>43344</v>
      </c>
      <c r="X164" s="493">
        <v>43374</v>
      </c>
      <c r="Y164" s="493">
        <v>43405</v>
      </c>
      <c r="Z164" s="493">
        <v>43435</v>
      </c>
    </row>
    <row r="165" spans="1:27" ht="15" hidden="1" customHeight="1" outlineLevel="1" x14ac:dyDescent="0.25">
      <c r="A165" s="494" t="s">
        <v>265</v>
      </c>
      <c r="B165" s="494"/>
      <c r="C165" s="494"/>
      <c r="D165" s="510"/>
      <c r="E165" s="496"/>
      <c r="F165" s="496"/>
      <c r="G165" s="496"/>
      <c r="H165" s="496"/>
      <c r="I165" s="496"/>
      <c r="J165" s="496"/>
      <c r="K165" s="496"/>
      <c r="L165" s="496"/>
      <c r="M165" s="496"/>
      <c r="N165" s="496">
        <f t="shared" ref="N165:N169" si="15">SUM(O165:Z165)</f>
        <v>0</v>
      </c>
      <c r="O165" s="496"/>
      <c r="P165" s="496"/>
      <c r="Q165" s="496"/>
      <c r="R165" s="496"/>
      <c r="S165" s="496"/>
      <c r="T165" s="496"/>
      <c r="U165" s="496"/>
      <c r="V165" s="496"/>
      <c r="W165" s="496"/>
      <c r="X165" s="496"/>
      <c r="Y165" s="496"/>
      <c r="Z165" s="496"/>
    </row>
    <row r="166" spans="1:27" ht="15" hidden="1" customHeight="1" outlineLevel="1" x14ac:dyDescent="0.25">
      <c r="A166" s="494" t="s">
        <v>266</v>
      </c>
      <c r="B166" s="494"/>
      <c r="C166" s="494"/>
      <c r="D166" s="510"/>
      <c r="E166" s="496"/>
      <c r="F166" s="496"/>
      <c r="G166" s="496"/>
      <c r="H166" s="496"/>
      <c r="I166" s="496"/>
      <c r="J166" s="496"/>
      <c r="K166" s="496"/>
      <c r="L166" s="496"/>
      <c r="M166" s="496"/>
      <c r="N166" s="496">
        <f t="shared" si="15"/>
        <v>0</v>
      </c>
      <c r="O166" s="496"/>
      <c r="P166" s="496"/>
      <c r="Q166" s="496"/>
      <c r="R166" s="496"/>
      <c r="S166" s="496"/>
      <c r="T166" s="496"/>
      <c r="U166" s="496"/>
      <c r="V166" s="496"/>
      <c r="W166" s="496"/>
      <c r="X166" s="496"/>
      <c r="Y166" s="496"/>
      <c r="Z166" s="496"/>
    </row>
    <row r="167" spans="1:27" ht="15" hidden="1" customHeight="1" outlineLevel="1" x14ac:dyDescent="0.25">
      <c r="A167" s="494" t="s">
        <v>283</v>
      </c>
      <c r="B167" s="494"/>
      <c r="C167" s="494"/>
      <c r="D167" s="510"/>
      <c r="E167" s="496"/>
      <c r="F167" s="496"/>
      <c r="G167" s="496"/>
      <c r="H167" s="496"/>
      <c r="I167" s="496"/>
      <c r="J167" s="496"/>
      <c r="K167" s="496"/>
      <c r="L167" s="496"/>
      <c r="M167" s="496"/>
      <c r="N167" s="496">
        <f t="shared" si="15"/>
        <v>0</v>
      </c>
      <c r="O167" s="496"/>
      <c r="P167" s="496"/>
      <c r="Q167" s="496"/>
      <c r="R167" s="496"/>
      <c r="S167" s="496"/>
      <c r="T167" s="496"/>
      <c r="U167" s="496"/>
      <c r="V167" s="496"/>
      <c r="W167" s="496"/>
      <c r="X167" s="496"/>
      <c r="Y167" s="496"/>
      <c r="Z167" s="496"/>
    </row>
    <row r="168" spans="1:27" ht="15" hidden="1" customHeight="1" outlineLevel="1" x14ac:dyDescent="0.25">
      <c r="A168" s="494" t="s">
        <v>284</v>
      </c>
      <c r="B168" s="494"/>
      <c r="C168" s="494"/>
      <c r="D168" s="510"/>
      <c r="E168" s="496"/>
      <c r="F168" s="496"/>
      <c r="G168" s="496"/>
      <c r="H168" s="496"/>
      <c r="I168" s="496"/>
      <c r="J168" s="496"/>
      <c r="K168" s="496"/>
      <c r="L168" s="496"/>
      <c r="M168" s="496"/>
      <c r="N168" s="496">
        <f t="shared" si="15"/>
        <v>0</v>
      </c>
      <c r="O168" s="496"/>
      <c r="P168" s="496"/>
      <c r="Q168" s="496"/>
      <c r="R168" s="496"/>
      <c r="S168" s="496"/>
      <c r="T168" s="496"/>
      <c r="U168" s="496"/>
      <c r="V168" s="496"/>
      <c r="W168" s="496"/>
      <c r="X168" s="496"/>
      <c r="Y168" s="496"/>
      <c r="Z168" s="496"/>
    </row>
    <row r="169" spans="1:27" ht="21" hidden="1" customHeight="1" outlineLevel="1" x14ac:dyDescent="0.25">
      <c r="A169" s="494" t="s">
        <v>285</v>
      </c>
      <c r="B169" s="494"/>
      <c r="C169" s="494"/>
      <c r="D169" s="510"/>
      <c r="E169" s="496"/>
      <c r="F169" s="496"/>
      <c r="G169" s="518"/>
      <c r="H169" s="496"/>
      <c r="I169" s="496"/>
      <c r="J169" s="496"/>
      <c r="K169" s="519" t="s">
        <v>20</v>
      </c>
      <c r="L169" s="404">
        <f>SUM(L164:L168)</f>
        <v>0</v>
      </c>
      <c r="M169" s="404">
        <f>SUM(M164:M168)</f>
        <v>0</v>
      </c>
      <c r="N169" s="496">
        <f t="shared" si="15"/>
        <v>0</v>
      </c>
      <c r="O169" s="496"/>
      <c r="P169" s="496"/>
      <c r="Q169" s="496"/>
      <c r="R169" s="496"/>
      <c r="S169" s="496"/>
      <c r="T169" s="496"/>
      <c r="U169" s="496"/>
      <c r="V169" s="496"/>
      <c r="W169" s="496"/>
      <c r="X169" s="496"/>
      <c r="Y169" s="496"/>
      <c r="Z169" s="496"/>
      <c r="AA169" s="517"/>
    </row>
    <row r="170" spans="1:27" ht="18.75" hidden="1" outlineLevel="1" x14ac:dyDescent="0.25">
      <c r="A170" s="505" t="str">
        <f>CONCATENATE(B25," ",C25)</f>
        <v xml:space="preserve">Objective 9 </v>
      </c>
      <c r="B170" s="505"/>
      <c r="C170" s="506"/>
      <c r="D170" s="506"/>
      <c r="E170" s="507"/>
      <c r="F170" s="507"/>
      <c r="G170" s="507"/>
      <c r="H170" s="507"/>
      <c r="I170" s="507"/>
      <c r="J170" s="507"/>
      <c r="K170" s="507"/>
      <c r="L170" s="507"/>
      <c r="M170" s="507"/>
      <c r="N170" s="507"/>
      <c r="O170" s="507" t="s">
        <v>5</v>
      </c>
      <c r="P170" s="507"/>
      <c r="Q170" s="507"/>
      <c r="R170" s="507"/>
      <c r="S170" s="507"/>
      <c r="T170" s="507"/>
      <c r="U170" s="507"/>
      <c r="V170" s="507"/>
      <c r="W170" s="507"/>
      <c r="X170" s="507"/>
      <c r="Y170" s="507"/>
      <c r="Z170" s="507"/>
    </row>
    <row r="171" spans="1:27" ht="41.45" hidden="1" customHeight="1" outlineLevel="1" x14ac:dyDescent="0.25">
      <c r="A171" s="492" t="s">
        <v>261</v>
      </c>
      <c r="B171" s="492" t="s">
        <v>13</v>
      </c>
      <c r="C171" s="492" t="s">
        <v>14</v>
      </c>
      <c r="D171" s="509" t="s">
        <v>286</v>
      </c>
      <c r="E171" s="404" t="s">
        <v>16</v>
      </c>
      <c r="F171" s="404" t="s">
        <v>295</v>
      </c>
      <c r="G171" s="404" t="s">
        <v>39</v>
      </c>
      <c r="H171" s="404" t="s">
        <v>297</v>
      </c>
      <c r="I171" s="404" t="s">
        <v>298</v>
      </c>
      <c r="J171" s="404" t="s">
        <v>299</v>
      </c>
      <c r="K171" s="404" t="s">
        <v>300</v>
      </c>
      <c r="L171" s="404" t="s">
        <v>17</v>
      </c>
      <c r="M171" s="404" t="s">
        <v>18</v>
      </c>
      <c r="N171" s="404" t="s">
        <v>19</v>
      </c>
      <c r="O171" s="493">
        <v>43101</v>
      </c>
      <c r="P171" s="493">
        <v>43132</v>
      </c>
      <c r="Q171" s="493">
        <v>43160</v>
      </c>
      <c r="R171" s="493">
        <v>43191</v>
      </c>
      <c r="S171" s="493">
        <v>43221</v>
      </c>
      <c r="T171" s="493">
        <v>43252</v>
      </c>
      <c r="U171" s="493">
        <v>43282</v>
      </c>
      <c r="V171" s="493">
        <v>43313</v>
      </c>
      <c r="W171" s="493">
        <v>43344</v>
      </c>
      <c r="X171" s="493">
        <v>43374</v>
      </c>
      <c r="Y171" s="493">
        <v>43405</v>
      </c>
      <c r="Z171" s="493">
        <v>43435</v>
      </c>
    </row>
    <row r="172" spans="1:27" ht="15" hidden="1" customHeight="1" outlineLevel="1" x14ac:dyDescent="0.25">
      <c r="A172" s="494" t="s">
        <v>265</v>
      </c>
      <c r="B172" s="494"/>
      <c r="C172" s="494"/>
      <c r="D172" s="510"/>
      <c r="E172" s="496"/>
      <c r="F172" s="496"/>
      <c r="G172" s="496"/>
      <c r="H172" s="496"/>
      <c r="I172" s="496"/>
      <c r="J172" s="496"/>
      <c r="K172" s="496"/>
      <c r="L172" s="496"/>
      <c r="M172" s="496"/>
      <c r="N172" s="496">
        <f t="shared" ref="N172:N176" si="16">SUM(O172:Z172)</f>
        <v>0</v>
      </c>
      <c r="O172" s="496"/>
      <c r="P172" s="496"/>
      <c r="Q172" s="496"/>
      <c r="R172" s="496"/>
      <c r="S172" s="496"/>
      <c r="T172" s="496"/>
      <c r="U172" s="496"/>
      <c r="V172" s="496"/>
      <c r="W172" s="496"/>
      <c r="X172" s="496"/>
      <c r="Y172" s="496"/>
      <c r="Z172" s="496"/>
    </row>
    <row r="173" spans="1:27" ht="15" hidden="1" customHeight="1" outlineLevel="1" x14ac:dyDescent="0.25">
      <c r="A173" s="494" t="s">
        <v>266</v>
      </c>
      <c r="B173" s="494"/>
      <c r="C173" s="494"/>
      <c r="D173" s="510"/>
      <c r="E173" s="496"/>
      <c r="F173" s="496"/>
      <c r="G173" s="496"/>
      <c r="H173" s="496"/>
      <c r="I173" s="496"/>
      <c r="J173" s="496"/>
      <c r="K173" s="496"/>
      <c r="L173" s="496"/>
      <c r="M173" s="496"/>
      <c r="N173" s="496">
        <f t="shared" si="16"/>
        <v>0</v>
      </c>
      <c r="O173" s="496"/>
      <c r="P173" s="496"/>
      <c r="Q173" s="496"/>
      <c r="R173" s="496"/>
      <c r="S173" s="496"/>
      <c r="T173" s="496"/>
      <c r="U173" s="496"/>
      <c r="V173" s="496"/>
      <c r="W173" s="496"/>
      <c r="X173" s="496"/>
      <c r="Y173" s="496"/>
      <c r="Z173" s="496"/>
    </row>
    <row r="174" spans="1:27" ht="15" hidden="1" customHeight="1" outlineLevel="1" x14ac:dyDescent="0.25">
      <c r="A174" s="494" t="s">
        <v>283</v>
      </c>
      <c r="B174" s="494"/>
      <c r="C174" s="494"/>
      <c r="D174" s="510"/>
      <c r="E174" s="496"/>
      <c r="F174" s="496"/>
      <c r="G174" s="496"/>
      <c r="H174" s="496"/>
      <c r="I174" s="496"/>
      <c r="J174" s="496"/>
      <c r="K174" s="496"/>
      <c r="L174" s="496"/>
      <c r="M174" s="496"/>
      <c r="N174" s="496">
        <f t="shared" si="16"/>
        <v>0</v>
      </c>
      <c r="O174" s="496"/>
      <c r="P174" s="496"/>
      <c r="Q174" s="496"/>
      <c r="R174" s="496"/>
      <c r="S174" s="496"/>
      <c r="T174" s="496"/>
      <c r="U174" s="496"/>
      <c r="V174" s="496"/>
      <c r="W174" s="496"/>
      <c r="X174" s="496"/>
      <c r="Y174" s="496"/>
      <c r="Z174" s="496"/>
    </row>
    <row r="175" spans="1:27" ht="15" hidden="1" customHeight="1" outlineLevel="1" x14ac:dyDescent="0.25">
      <c r="A175" s="494" t="s">
        <v>284</v>
      </c>
      <c r="B175" s="494"/>
      <c r="C175" s="494"/>
      <c r="D175" s="510"/>
      <c r="E175" s="496"/>
      <c r="F175" s="496"/>
      <c r="G175" s="496"/>
      <c r="H175" s="496"/>
      <c r="I175" s="496"/>
      <c r="J175" s="496"/>
      <c r="K175" s="496"/>
      <c r="L175" s="496"/>
      <c r="M175" s="496"/>
      <c r="N175" s="496">
        <f t="shared" si="16"/>
        <v>0</v>
      </c>
      <c r="O175" s="496"/>
      <c r="P175" s="496"/>
      <c r="Q175" s="496"/>
      <c r="R175" s="496"/>
      <c r="S175" s="496"/>
      <c r="T175" s="496"/>
      <c r="U175" s="496"/>
      <c r="V175" s="496"/>
      <c r="W175" s="496"/>
      <c r="X175" s="496"/>
      <c r="Y175" s="496"/>
      <c r="Z175" s="496"/>
    </row>
    <row r="176" spans="1:27" ht="21" hidden="1" customHeight="1" outlineLevel="1" x14ac:dyDescent="0.25">
      <c r="A176" s="494" t="s">
        <v>285</v>
      </c>
      <c r="B176" s="494"/>
      <c r="C176" s="494"/>
      <c r="D176" s="510"/>
      <c r="E176" s="496"/>
      <c r="F176" s="496"/>
      <c r="G176" s="518"/>
      <c r="H176" s="496"/>
      <c r="I176" s="496"/>
      <c r="J176" s="496"/>
      <c r="K176" s="519" t="s">
        <v>20</v>
      </c>
      <c r="L176" s="404">
        <f>SUM(L171:L175)</f>
        <v>0</v>
      </c>
      <c r="M176" s="404">
        <f>SUM(M171:M175)</f>
        <v>0</v>
      </c>
      <c r="N176" s="496">
        <f t="shared" si="16"/>
        <v>0</v>
      </c>
      <c r="O176" s="496"/>
      <c r="P176" s="496"/>
      <c r="Q176" s="496"/>
      <c r="R176" s="496"/>
      <c r="S176" s="496"/>
      <c r="T176" s="496"/>
      <c r="U176" s="496"/>
      <c r="V176" s="496"/>
      <c r="W176" s="496"/>
      <c r="X176" s="496"/>
      <c r="Y176" s="496"/>
      <c r="Z176" s="496"/>
      <c r="AA176" s="517"/>
    </row>
    <row r="177" spans="1:26" ht="18.75" hidden="1" outlineLevel="1" x14ac:dyDescent="0.25">
      <c r="A177" s="505" t="str">
        <f>CONCATENATE(B26," ",C26)</f>
        <v xml:space="preserve"> </v>
      </c>
      <c r="B177" s="505"/>
      <c r="C177" s="506"/>
      <c r="D177" s="506"/>
      <c r="E177" s="507"/>
      <c r="F177" s="507"/>
      <c r="G177" s="507"/>
      <c r="H177" s="507"/>
      <c r="I177" s="507"/>
      <c r="J177" s="507"/>
      <c r="K177" s="507"/>
      <c r="L177" s="507"/>
      <c r="M177" s="507"/>
      <c r="N177" s="507"/>
      <c r="O177" s="507" t="s">
        <v>5</v>
      </c>
      <c r="P177" s="507"/>
      <c r="Q177" s="507"/>
      <c r="R177" s="507"/>
      <c r="S177" s="507"/>
      <c r="T177" s="507"/>
      <c r="U177" s="507"/>
      <c r="V177" s="507"/>
      <c r="W177" s="507"/>
      <c r="X177" s="507"/>
      <c r="Y177" s="507"/>
      <c r="Z177" s="507"/>
    </row>
    <row r="178" spans="1:26" ht="6.75" customHeight="1" collapsed="1" x14ac:dyDescent="0.25"/>
    <row r="179" spans="1:26" ht="18.75" x14ac:dyDescent="0.25">
      <c r="A179" s="489" t="s">
        <v>324</v>
      </c>
      <c r="B179" s="489"/>
      <c r="C179" s="490"/>
      <c r="D179" s="490"/>
      <c r="E179" s="402"/>
      <c r="F179" s="402"/>
      <c r="G179" s="402"/>
      <c r="H179" s="491"/>
      <c r="I179" s="491"/>
      <c r="J179" s="402"/>
      <c r="K179" s="402"/>
      <c r="L179" s="402"/>
      <c r="M179" s="402"/>
      <c r="N179" s="402"/>
      <c r="O179" s="402" t="s">
        <v>5</v>
      </c>
      <c r="P179" s="402"/>
      <c r="Q179" s="402"/>
      <c r="R179" s="402"/>
      <c r="S179" s="402"/>
      <c r="T179" s="402"/>
      <c r="U179" s="402"/>
      <c r="V179" s="402"/>
      <c r="W179" s="402"/>
      <c r="X179" s="402"/>
      <c r="Y179" s="402"/>
      <c r="Z179" s="402"/>
    </row>
    <row r="180" spans="1:26" ht="15.75" hidden="1" outlineLevel="1" x14ac:dyDescent="0.25">
      <c r="A180" s="492" t="s">
        <v>261</v>
      </c>
      <c r="B180" s="492" t="s">
        <v>13</v>
      </c>
      <c r="C180" s="492" t="s">
        <v>14</v>
      </c>
      <c r="D180" s="403" t="s">
        <v>15</v>
      </c>
      <c r="E180" s="520"/>
      <c r="F180" s="520"/>
      <c r="G180" s="520"/>
      <c r="H180" s="520"/>
      <c r="I180" s="520"/>
      <c r="J180" s="410"/>
      <c r="K180" s="409"/>
      <c r="L180" s="404" t="s">
        <v>52</v>
      </c>
      <c r="M180" s="404" t="s">
        <v>53</v>
      </c>
      <c r="N180" s="404" t="s">
        <v>54</v>
      </c>
      <c r="O180" s="493">
        <v>43101</v>
      </c>
      <c r="P180" s="493">
        <v>43132</v>
      </c>
      <c r="Q180" s="493">
        <v>43160</v>
      </c>
      <c r="R180" s="493">
        <v>43191</v>
      </c>
      <c r="S180" s="493">
        <v>43221</v>
      </c>
      <c r="T180" s="493">
        <v>43252</v>
      </c>
      <c r="U180" s="493">
        <v>43282</v>
      </c>
      <c r="V180" s="493">
        <v>43313</v>
      </c>
      <c r="W180" s="493">
        <v>43344</v>
      </c>
      <c r="X180" s="493">
        <v>43374</v>
      </c>
      <c r="Y180" s="493">
        <v>43405</v>
      </c>
      <c r="Z180" s="493">
        <v>43435</v>
      </c>
    </row>
    <row r="181" spans="1:26" ht="15.75" hidden="1" outlineLevel="1" x14ac:dyDescent="0.25">
      <c r="A181" s="494" t="str">
        <f>+A17</f>
        <v>5.1</v>
      </c>
      <c r="B181" s="494" t="s">
        <v>27</v>
      </c>
      <c r="C181" s="494" t="str">
        <f t="shared" ref="C181:D184" si="17">C17</f>
        <v>FS Engineering</v>
      </c>
      <c r="D181" s="508">
        <f t="shared" si="17"/>
        <v>0</v>
      </c>
      <c r="E181" s="520"/>
      <c r="F181" s="520"/>
      <c r="G181" s="520"/>
      <c r="H181" s="520"/>
      <c r="I181" s="520"/>
      <c r="J181" s="410"/>
      <c r="K181" s="409" t="s">
        <v>5</v>
      </c>
      <c r="L181" s="496" t="s">
        <v>48</v>
      </c>
      <c r="M181" s="496" t="s">
        <v>55</v>
      </c>
      <c r="N181" s="496">
        <v>6</v>
      </c>
      <c r="O181" s="521">
        <f t="shared" ref="O181:Z181" si="18">+O17/SUM($O17:$Z17)</f>
        <v>1.2602394454946439E-2</v>
      </c>
      <c r="P181" s="521">
        <f t="shared" si="18"/>
        <v>3.1505986137366098E-3</v>
      </c>
      <c r="Q181" s="521">
        <f t="shared" si="18"/>
        <v>3.1505986137366098E-3</v>
      </c>
      <c r="R181" s="521">
        <f t="shared" si="18"/>
        <v>2.3944549464398234E-2</v>
      </c>
      <c r="S181" s="521">
        <f t="shared" si="18"/>
        <v>6.9313169502205424E-2</v>
      </c>
      <c r="T181" s="521">
        <f t="shared" si="18"/>
        <v>0.1090107120352867</v>
      </c>
      <c r="U181" s="521">
        <f t="shared" si="18"/>
        <v>0.13862633900441085</v>
      </c>
      <c r="V181" s="521">
        <f t="shared" si="18"/>
        <v>0.1405166981726528</v>
      </c>
      <c r="W181" s="521">
        <f t="shared" si="18"/>
        <v>0.13862633900441085</v>
      </c>
      <c r="X181" s="521">
        <f t="shared" si="18"/>
        <v>0.13421550094517959</v>
      </c>
      <c r="Y181" s="521">
        <f t="shared" si="18"/>
        <v>0.12602394454946439</v>
      </c>
      <c r="Z181" s="521">
        <f t="shared" si="18"/>
        <v>0.10081915563957151</v>
      </c>
    </row>
    <row r="182" spans="1:26" ht="15.75" hidden="1" outlineLevel="1" x14ac:dyDescent="0.25">
      <c r="A182" s="494" t="str">
        <f>+A18</f>
        <v>5.2</v>
      </c>
      <c r="B182" s="494" t="s">
        <v>29</v>
      </c>
      <c r="C182" s="494" t="str">
        <f t="shared" si="17"/>
        <v>FS Support and general expenses</v>
      </c>
      <c r="D182" s="508">
        <f t="shared" si="17"/>
        <v>0</v>
      </c>
      <c r="E182" s="520"/>
      <c r="F182" s="520"/>
      <c r="G182" s="520"/>
      <c r="H182" s="520"/>
      <c r="I182" s="520"/>
      <c r="J182" s="410"/>
      <c r="K182" s="409" t="s">
        <v>5</v>
      </c>
      <c r="L182" s="496" t="s">
        <v>48</v>
      </c>
      <c r="M182" s="496" t="s">
        <v>55</v>
      </c>
      <c r="N182" s="496">
        <v>6</v>
      </c>
      <c r="O182" s="521">
        <f t="shared" ref="O182:Z182" si="19">+O18/SUM($O18:$Z18)</f>
        <v>5.0284629981024669E-2</v>
      </c>
      <c r="P182" s="521">
        <f t="shared" si="19"/>
        <v>5.0284629981024669E-2</v>
      </c>
      <c r="Q182" s="521">
        <f t="shared" si="19"/>
        <v>0.15464895635673626</v>
      </c>
      <c r="R182" s="521">
        <f t="shared" si="19"/>
        <v>0.11669829222011385</v>
      </c>
      <c r="S182" s="521">
        <f t="shared" si="19"/>
        <v>0.14516129032258066</v>
      </c>
      <c r="T182" s="521">
        <f t="shared" si="19"/>
        <v>0.15464895635673626</v>
      </c>
      <c r="U182" s="521">
        <f t="shared" si="19"/>
        <v>0.10721062618595825</v>
      </c>
      <c r="V182" s="521">
        <f t="shared" si="19"/>
        <v>7.8747628083491464E-2</v>
      </c>
      <c r="W182" s="521">
        <f t="shared" si="19"/>
        <v>6.1669829222011384E-2</v>
      </c>
      <c r="X182" s="521">
        <f t="shared" si="19"/>
        <v>2.3719165085388995E-2</v>
      </c>
      <c r="Y182" s="521">
        <f t="shared" si="19"/>
        <v>4.2694497153700189E-2</v>
      </c>
      <c r="Z182" s="521">
        <f t="shared" si="19"/>
        <v>1.4231499051233396E-2</v>
      </c>
    </row>
    <row r="183" spans="1:26" ht="15.75" hidden="1" outlineLevel="1" x14ac:dyDescent="0.25">
      <c r="A183" s="494" t="str">
        <f>+A19</f>
        <v>5.3</v>
      </c>
      <c r="B183" s="494" t="s">
        <v>30</v>
      </c>
      <c r="C183" s="494" t="str">
        <f t="shared" si="17"/>
        <v>Third Parties</v>
      </c>
      <c r="D183" s="508">
        <f t="shared" si="17"/>
        <v>0</v>
      </c>
      <c r="E183" s="520"/>
      <c r="F183" s="520"/>
      <c r="G183" s="520"/>
      <c r="H183" s="520"/>
      <c r="I183" s="520"/>
      <c r="J183" s="410"/>
      <c r="K183" s="409" t="s">
        <v>5</v>
      </c>
      <c r="L183" s="496"/>
      <c r="M183" s="496"/>
      <c r="N183" s="496"/>
      <c r="O183" s="521">
        <f t="shared" ref="O183:Z183" si="20">+O19/SUM($O19:$Z19)</f>
        <v>0</v>
      </c>
      <c r="P183" s="521">
        <f t="shared" si="20"/>
        <v>0</v>
      </c>
      <c r="Q183" s="521">
        <f t="shared" si="20"/>
        <v>5.1275411109672408E-3</v>
      </c>
      <c r="R183" s="521">
        <f t="shared" si="20"/>
        <v>5.1275411109672408E-3</v>
      </c>
      <c r="S183" s="521">
        <f t="shared" si="20"/>
        <v>0.12541758384047649</v>
      </c>
      <c r="T183" s="521">
        <f t="shared" si="20"/>
        <v>0.14484008804868576</v>
      </c>
      <c r="U183" s="521">
        <f t="shared" si="20"/>
        <v>0.14484008804868576</v>
      </c>
      <c r="V183" s="521">
        <f t="shared" si="20"/>
        <v>0.14484008804868576</v>
      </c>
      <c r="W183" s="521">
        <f t="shared" si="20"/>
        <v>0.12541758384047649</v>
      </c>
      <c r="X183" s="521">
        <f t="shared" si="20"/>
        <v>0.10923216366696879</v>
      </c>
      <c r="Y183" s="521">
        <f t="shared" si="20"/>
        <v>9.7578661142043249E-2</v>
      </c>
      <c r="Z183" s="521">
        <f t="shared" si="20"/>
        <v>9.7578661142043249E-2</v>
      </c>
    </row>
    <row r="184" spans="1:26" ht="15.75" hidden="1" outlineLevel="1" x14ac:dyDescent="0.25">
      <c r="A184" s="494" t="str">
        <f>+A20</f>
        <v>5.4</v>
      </c>
      <c r="B184" s="494" t="s">
        <v>31</v>
      </c>
      <c r="C184" s="494">
        <f t="shared" si="17"/>
        <v>0</v>
      </c>
      <c r="D184" s="510">
        <f t="shared" si="17"/>
        <v>0</v>
      </c>
      <c r="E184" s="520"/>
      <c r="F184" s="520"/>
      <c r="G184" s="520"/>
      <c r="H184" s="520"/>
      <c r="I184" s="520"/>
      <c r="J184" s="410"/>
      <c r="K184" s="409" t="s">
        <v>5</v>
      </c>
      <c r="L184" s="496"/>
      <c r="M184" s="496"/>
      <c r="N184" s="496"/>
      <c r="O184" s="521" t="e">
        <f t="shared" ref="O184:Z184" si="21">+O20/SUM($O20:$Z20)</f>
        <v>#VALUE!</v>
      </c>
      <c r="P184" s="521" t="e">
        <f t="shared" si="21"/>
        <v>#DIV/0!</v>
      </c>
      <c r="Q184" s="521" t="e">
        <f t="shared" si="21"/>
        <v>#DIV/0!</v>
      </c>
      <c r="R184" s="521" t="e">
        <f t="shared" si="21"/>
        <v>#DIV/0!</v>
      </c>
      <c r="S184" s="521" t="e">
        <f t="shared" si="21"/>
        <v>#DIV/0!</v>
      </c>
      <c r="T184" s="521" t="e">
        <f t="shared" si="21"/>
        <v>#DIV/0!</v>
      </c>
      <c r="U184" s="521" t="e">
        <f t="shared" si="21"/>
        <v>#DIV/0!</v>
      </c>
      <c r="V184" s="521" t="e">
        <f t="shared" si="21"/>
        <v>#DIV/0!</v>
      </c>
      <c r="W184" s="521" t="e">
        <f t="shared" si="21"/>
        <v>#DIV/0!</v>
      </c>
      <c r="X184" s="521" t="e">
        <f t="shared" si="21"/>
        <v>#DIV/0!</v>
      </c>
      <c r="Y184" s="521" t="e">
        <f t="shared" si="21"/>
        <v>#DIV/0!</v>
      </c>
      <c r="Z184" s="521" t="e">
        <f t="shared" si="21"/>
        <v>#DIV/0!</v>
      </c>
    </row>
    <row r="185" spans="1:26" ht="15.75" hidden="1" outlineLevel="1" x14ac:dyDescent="0.25">
      <c r="A185" s="494">
        <f t="shared" ref="A185:A189" si="22">+A21</f>
        <v>0</v>
      </c>
      <c r="B185" s="494" t="s">
        <v>32</v>
      </c>
      <c r="C185" s="494">
        <f t="shared" ref="C185:C190" si="23">C21</f>
        <v>0</v>
      </c>
      <c r="D185" s="510">
        <f t="shared" ref="D185:D190" si="24">D21</f>
        <v>0</v>
      </c>
      <c r="E185" s="520"/>
      <c r="F185" s="520"/>
      <c r="G185" s="520"/>
      <c r="H185" s="520"/>
      <c r="I185" s="520"/>
      <c r="J185" s="410"/>
      <c r="K185" s="409"/>
      <c r="L185" s="496"/>
      <c r="M185" s="496"/>
      <c r="N185" s="496"/>
      <c r="O185" s="521" t="e">
        <f t="shared" ref="O185:Z185" si="25">+O21/SUM($O21:$Z21)</f>
        <v>#DIV/0!</v>
      </c>
      <c r="P185" s="521" t="e">
        <f t="shared" si="25"/>
        <v>#DIV/0!</v>
      </c>
      <c r="Q185" s="521" t="e">
        <f t="shared" si="25"/>
        <v>#DIV/0!</v>
      </c>
      <c r="R185" s="521" t="e">
        <f t="shared" si="25"/>
        <v>#DIV/0!</v>
      </c>
      <c r="S185" s="521" t="e">
        <f t="shared" si="25"/>
        <v>#DIV/0!</v>
      </c>
      <c r="T185" s="521" t="e">
        <f t="shared" si="25"/>
        <v>#DIV/0!</v>
      </c>
      <c r="U185" s="521" t="e">
        <f t="shared" si="25"/>
        <v>#DIV/0!</v>
      </c>
      <c r="V185" s="521" t="e">
        <f t="shared" si="25"/>
        <v>#DIV/0!</v>
      </c>
      <c r="W185" s="521" t="e">
        <f t="shared" si="25"/>
        <v>#DIV/0!</v>
      </c>
      <c r="X185" s="521" t="e">
        <f t="shared" si="25"/>
        <v>#DIV/0!</v>
      </c>
      <c r="Y185" s="521" t="e">
        <f t="shared" si="25"/>
        <v>#DIV/0!</v>
      </c>
      <c r="Z185" s="521" t="e">
        <f t="shared" si="25"/>
        <v>#DIV/0!</v>
      </c>
    </row>
    <row r="186" spans="1:26" ht="15.75" hidden="1" outlineLevel="1" x14ac:dyDescent="0.25">
      <c r="A186" s="494">
        <f t="shared" si="22"/>
        <v>0</v>
      </c>
      <c r="B186" s="494" t="s">
        <v>256</v>
      </c>
      <c r="C186" s="494">
        <f t="shared" si="23"/>
        <v>0</v>
      </c>
      <c r="D186" s="510">
        <f t="shared" si="24"/>
        <v>0</v>
      </c>
      <c r="E186" s="520"/>
      <c r="F186" s="520"/>
      <c r="G186" s="520"/>
      <c r="H186" s="520"/>
      <c r="I186" s="520"/>
      <c r="J186" s="410"/>
      <c r="K186" s="409"/>
      <c r="L186" s="496"/>
      <c r="M186" s="496"/>
      <c r="N186" s="496"/>
      <c r="O186" s="521" t="e">
        <f t="shared" ref="O186:Z186" si="26">+O22/SUM($O22:$Z22)</f>
        <v>#DIV/0!</v>
      </c>
      <c r="P186" s="521" t="e">
        <f t="shared" si="26"/>
        <v>#DIV/0!</v>
      </c>
      <c r="Q186" s="521" t="e">
        <f t="shared" si="26"/>
        <v>#DIV/0!</v>
      </c>
      <c r="R186" s="521" t="e">
        <f t="shared" si="26"/>
        <v>#DIV/0!</v>
      </c>
      <c r="S186" s="521" t="e">
        <f t="shared" si="26"/>
        <v>#DIV/0!</v>
      </c>
      <c r="T186" s="521" t="e">
        <f t="shared" si="26"/>
        <v>#DIV/0!</v>
      </c>
      <c r="U186" s="521" t="e">
        <f t="shared" si="26"/>
        <v>#DIV/0!</v>
      </c>
      <c r="V186" s="521" t="e">
        <f t="shared" si="26"/>
        <v>#DIV/0!</v>
      </c>
      <c r="W186" s="521" t="e">
        <f t="shared" si="26"/>
        <v>#DIV/0!</v>
      </c>
      <c r="X186" s="521" t="e">
        <f t="shared" si="26"/>
        <v>#DIV/0!</v>
      </c>
      <c r="Y186" s="521" t="e">
        <f t="shared" si="26"/>
        <v>#DIV/0!</v>
      </c>
      <c r="Z186" s="521" t="e">
        <f t="shared" si="26"/>
        <v>#DIV/0!</v>
      </c>
    </row>
    <row r="187" spans="1:26" ht="15.75" hidden="1" outlineLevel="1" x14ac:dyDescent="0.25">
      <c r="A187" s="494">
        <f t="shared" si="22"/>
        <v>0</v>
      </c>
      <c r="B187" s="494" t="s">
        <v>257</v>
      </c>
      <c r="C187" s="494">
        <f t="shared" si="23"/>
        <v>0</v>
      </c>
      <c r="D187" s="510">
        <f t="shared" si="24"/>
        <v>0</v>
      </c>
      <c r="E187" s="520"/>
      <c r="F187" s="520"/>
      <c r="G187" s="520"/>
      <c r="H187" s="520"/>
      <c r="I187" s="520"/>
      <c r="J187" s="410"/>
      <c r="K187" s="409"/>
      <c r="L187" s="496"/>
      <c r="M187" s="496"/>
      <c r="N187" s="496"/>
      <c r="O187" s="521" t="e">
        <f t="shared" ref="O187:Z187" si="27">+O23/SUM($O23:$Z23)</f>
        <v>#DIV/0!</v>
      </c>
      <c r="P187" s="521" t="e">
        <f t="shared" si="27"/>
        <v>#DIV/0!</v>
      </c>
      <c r="Q187" s="521" t="e">
        <f t="shared" si="27"/>
        <v>#DIV/0!</v>
      </c>
      <c r="R187" s="521" t="e">
        <f t="shared" si="27"/>
        <v>#DIV/0!</v>
      </c>
      <c r="S187" s="521" t="e">
        <f t="shared" si="27"/>
        <v>#DIV/0!</v>
      </c>
      <c r="T187" s="521" t="e">
        <f t="shared" si="27"/>
        <v>#DIV/0!</v>
      </c>
      <c r="U187" s="521" t="e">
        <f t="shared" si="27"/>
        <v>#DIV/0!</v>
      </c>
      <c r="V187" s="521" t="e">
        <f t="shared" si="27"/>
        <v>#DIV/0!</v>
      </c>
      <c r="W187" s="521" t="e">
        <f t="shared" si="27"/>
        <v>#DIV/0!</v>
      </c>
      <c r="X187" s="521" t="e">
        <f t="shared" si="27"/>
        <v>#DIV/0!</v>
      </c>
      <c r="Y187" s="521" t="e">
        <f t="shared" si="27"/>
        <v>#DIV/0!</v>
      </c>
      <c r="Z187" s="521" t="e">
        <f t="shared" si="27"/>
        <v>#DIV/0!</v>
      </c>
    </row>
    <row r="188" spans="1:26" ht="15.75" hidden="1" outlineLevel="1" x14ac:dyDescent="0.25">
      <c r="A188" s="494">
        <f t="shared" si="22"/>
        <v>0</v>
      </c>
      <c r="B188" s="494" t="s">
        <v>258</v>
      </c>
      <c r="C188" s="494">
        <f t="shared" si="23"/>
        <v>0</v>
      </c>
      <c r="D188" s="510">
        <f t="shared" si="24"/>
        <v>0</v>
      </c>
      <c r="E188" s="520"/>
      <c r="F188" s="520"/>
      <c r="G188" s="520"/>
      <c r="H188" s="520"/>
      <c r="I188" s="520"/>
      <c r="J188" s="410"/>
      <c r="K188" s="409"/>
      <c r="L188" s="496"/>
      <c r="M188" s="496"/>
      <c r="N188" s="496"/>
      <c r="O188" s="521" t="e">
        <f t="shared" ref="O188:Z188" si="28">+O24/SUM($O24:$Z24)</f>
        <v>#DIV/0!</v>
      </c>
      <c r="P188" s="521" t="e">
        <f t="shared" si="28"/>
        <v>#DIV/0!</v>
      </c>
      <c r="Q188" s="521" t="e">
        <f t="shared" si="28"/>
        <v>#DIV/0!</v>
      </c>
      <c r="R188" s="521" t="e">
        <f t="shared" si="28"/>
        <v>#DIV/0!</v>
      </c>
      <c r="S188" s="521" t="e">
        <f t="shared" si="28"/>
        <v>#DIV/0!</v>
      </c>
      <c r="T188" s="521" t="e">
        <f t="shared" si="28"/>
        <v>#DIV/0!</v>
      </c>
      <c r="U188" s="521" t="e">
        <f t="shared" si="28"/>
        <v>#DIV/0!</v>
      </c>
      <c r="V188" s="521" t="e">
        <f t="shared" si="28"/>
        <v>#DIV/0!</v>
      </c>
      <c r="W188" s="521" t="e">
        <f t="shared" si="28"/>
        <v>#DIV/0!</v>
      </c>
      <c r="X188" s="521" t="e">
        <f t="shared" si="28"/>
        <v>#DIV/0!</v>
      </c>
      <c r="Y188" s="521" t="e">
        <f t="shared" si="28"/>
        <v>#DIV/0!</v>
      </c>
      <c r="Z188" s="521" t="e">
        <f t="shared" si="28"/>
        <v>#DIV/0!</v>
      </c>
    </row>
    <row r="189" spans="1:26" ht="15.75" hidden="1" outlineLevel="1" x14ac:dyDescent="0.25">
      <c r="A189" s="494">
        <f t="shared" si="22"/>
        <v>0</v>
      </c>
      <c r="B189" s="494" t="s">
        <v>259</v>
      </c>
      <c r="C189" s="494">
        <f t="shared" si="23"/>
        <v>0</v>
      </c>
      <c r="D189" s="510">
        <f t="shared" si="24"/>
        <v>0</v>
      </c>
      <c r="E189" s="520"/>
      <c r="F189" s="520"/>
      <c r="G189" s="520"/>
      <c r="H189" s="520"/>
      <c r="I189" s="520"/>
      <c r="J189" s="410"/>
      <c r="K189" s="409"/>
      <c r="L189" s="496"/>
      <c r="M189" s="496"/>
      <c r="N189" s="496"/>
      <c r="O189" s="521" t="e">
        <f t="shared" ref="O189:Z189" si="29">+O25/SUM($O25:$Z25)</f>
        <v>#DIV/0!</v>
      </c>
      <c r="P189" s="521" t="e">
        <f t="shared" si="29"/>
        <v>#DIV/0!</v>
      </c>
      <c r="Q189" s="521" t="e">
        <f t="shared" si="29"/>
        <v>#DIV/0!</v>
      </c>
      <c r="R189" s="521" t="e">
        <f t="shared" si="29"/>
        <v>#DIV/0!</v>
      </c>
      <c r="S189" s="521" t="e">
        <f t="shared" si="29"/>
        <v>#DIV/0!</v>
      </c>
      <c r="T189" s="521" t="e">
        <f t="shared" si="29"/>
        <v>#DIV/0!</v>
      </c>
      <c r="U189" s="521" t="e">
        <f t="shared" si="29"/>
        <v>#DIV/0!</v>
      </c>
      <c r="V189" s="521" t="e">
        <f t="shared" si="29"/>
        <v>#DIV/0!</v>
      </c>
      <c r="W189" s="521" t="e">
        <f t="shared" si="29"/>
        <v>#DIV/0!</v>
      </c>
      <c r="X189" s="521" t="e">
        <f t="shared" si="29"/>
        <v>#DIV/0!</v>
      </c>
      <c r="Y189" s="521" t="e">
        <f t="shared" si="29"/>
        <v>#DIV/0!</v>
      </c>
      <c r="Z189" s="521" t="e">
        <f t="shared" si="29"/>
        <v>#DIV/0!</v>
      </c>
    </row>
    <row r="190" spans="1:26" ht="15.75" hidden="1" outlineLevel="1" x14ac:dyDescent="0.25">
      <c r="A190" s="494">
        <f t="shared" ref="A190" si="30">+A26</f>
        <v>0</v>
      </c>
      <c r="B190" s="494" t="s">
        <v>260</v>
      </c>
      <c r="C190" s="494">
        <f t="shared" si="23"/>
        <v>0</v>
      </c>
      <c r="D190" s="510">
        <f t="shared" si="24"/>
        <v>0</v>
      </c>
      <c r="E190" s="520"/>
      <c r="F190" s="520"/>
      <c r="G190" s="520"/>
      <c r="H190" s="520"/>
      <c r="I190" s="520"/>
      <c r="J190" s="410"/>
      <c r="K190" s="409" t="s">
        <v>5</v>
      </c>
      <c r="L190" s="496"/>
      <c r="M190" s="496"/>
      <c r="N190" s="496"/>
      <c r="O190" s="521" t="e">
        <f t="shared" ref="O190:Z190" si="31">+O26/SUM($O26:$Z26)</f>
        <v>#VALUE!</v>
      </c>
      <c r="P190" s="521" t="e">
        <f t="shared" si="31"/>
        <v>#DIV/0!</v>
      </c>
      <c r="Q190" s="521" t="e">
        <f t="shared" si="31"/>
        <v>#DIV/0!</v>
      </c>
      <c r="R190" s="521" t="e">
        <f t="shared" si="31"/>
        <v>#DIV/0!</v>
      </c>
      <c r="S190" s="521" t="e">
        <f t="shared" si="31"/>
        <v>#DIV/0!</v>
      </c>
      <c r="T190" s="521" t="e">
        <f t="shared" si="31"/>
        <v>#DIV/0!</v>
      </c>
      <c r="U190" s="521" t="e">
        <f t="shared" si="31"/>
        <v>#DIV/0!</v>
      </c>
      <c r="V190" s="521" t="e">
        <f t="shared" si="31"/>
        <v>#DIV/0!</v>
      </c>
      <c r="W190" s="521" t="e">
        <f t="shared" si="31"/>
        <v>#DIV/0!</v>
      </c>
      <c r="X190" s="521" t="e">
        <f t="shared" si="31"/>
        <v>#DIV/0!</v>
      </c>
      <c r="Y190" s="521" t="e">
        <f t="shared" si="31"/>
        <v>#DIV/0!</v>
      </c>
      <c r="Z190" s="521" t="e">
        <f t="shared" si="31"/>
        <v>#DIV/0!</v>
      </c>
    </row>
    <row r="191" spans="1:26" s="517" customFormat="1" ht="22.5" hidden="1" customHeight="1" outlineLevel="1" x14ac:dyDescent="0.25">
      <c r="A191" s="513"/>
      <c r="B191" s="514"/>
      <c r="C191" s="514"/>
      <c r="D191" s="514"/>
      <c r="E191" s="515"/>
      <c r="F191" s="515"/>
      <c r="G191" s="515"/>
      <c r="H191" s="515"/>
      <c r="I191" s="515"/>
      <c r="J191" s="516" t="s">
        <v>20</v>
      </c>
      <c r="K191" s="519"/>
      <c r="L191" s="404" t="s">
        <v>48</v>
      </c>
      <c r="M191" s="404" t="s">
        <v>55</v>
      </c>
      <c r="N191" s="522">
        <f>SUM(N181:N190)</f>
        <v>12</v>
      </c>
      <c r="O191" s="521">
        <f t="shared" ref="O191:Z191" si="32">+O27/SUM($O27:$Z27)</f>
        <v>1.6110591414613865E-2</v>
      </c>
      <c r="P191" s="521">
        <f t="shared" si="32"/>
        <v>1.091362644215778E-2</v>
      </c>
      <c r="Q191" s="521">
        <f t="shared" si="32"/>
        <v>3.134116342722517E-2</v>
      </c>
      <c r="R191" s="521">
        <f t="shared" si="32"/>
        <v>3.5845199736687108E-2</v>
      </c>
      <c r="S191" s="521">
        <f t="shared" si="32"/>
        <v>9.8174132973010433E-2</v>
      </c>
      <c r="T191" s="521">
        <f t="shared" si="32"/>
        <v>0.12693067248726744</v>
      </c>
      <c r="U191" s="521">
        <f t="shared" si="32"/>
        <v>0.13455288778020302</v>
      </c>
      <c r="V191" s="521">
        <f t="shared" si="32"/>
        <v>0.13039531580223815</v>
      </c>
      <c r="W191" s="521">
        <f t="shared" si="32"/>
        <v>0.1210407788518172</v>
      </c>
      <c r="X191" s="521">
        <f t="shared" si="32"/>
        <v>0.10735543775768285</v>
      </c>
      <c r="Y191" s="521">
        <f t="shared" si="32"/>
        <v>0.10319786577971798</v>
      </c>
      <c r="Z191" s="521">
        <f t="shared" si="32"/>
        <v>8.4142327547378992E-2</v>
      </c>
    </row>
    <row r="192" spans="1:26" collapsed="1" x14ac:dyDescent="0.25"/>
    <row r="193" spans="1:3" x14ac:dyDescent="0.25">
      <c r="B193" s="523" t="s">
        <v>21</v>
      </c>
      <c r="C193" s="524">
        <v>43102</v>
      </c>
    </row>
    <row r="194" spans="1:3" x14ac:dyDescent="0.25">
      <c r="B194" s="523" t="s">
        <v>23</v>
      </c>
      <c r="C194" s="524">
        <v>42917</v>
      </c>
    </row>
    <row r="196" spans="1:3" ht="18.75" x14ac:dyDescent="0.25">
      <c r="A196" s="527" t="s">
        <v>262</v>
      </c>
    </row>
    <row r="197" spans="1:3" ht="18.75" x14ac:dyDescent="0.25">
      <c r="A197" s="528" t="s">
        <v>1398</v>
      </c>
      <c r="B197" s="529"/>
    </row>
    <row r="198" spans="1:3" ht="18.75" x14ac:dyDescent="0.25">
      <c r="A198" s="528" t="s">
        <v>323</v>
      </c>
      <c r="B198" s="529"/>
    </row>
    <row r="200" spans="1:3" ht="18.75" x14ac:dyDescent="0.25">
      <c r="A200" s="529" t="s">
        <v>1399</v>
      </c>
      <c r="B200" s="530" t="s">
        <v>288</v>
      </c>
      <c r="C200" s="530" t="s">
        <v>320</v>
      </c>
    </row>
    <row r="201" spans="1:3" ht="37.5" x14ac:dyDescent="0.25">
      <c r="A201" s="531" t="s">
        <v>310</v>
      </c>
      <c r="B201" s="530" t="s">
        <v>289</v>
      </c>
      <c r="C201" s="530" t="s">
        <v>321</v>
      </c>
    </row>
    <row r="202" spans="1:3" ht="56.25" x14ac:dyDescent="0.25">
      <c r="A202" s="531" t="s">
        <v>311</v>
      </c>
      <c r="B202" s="530" t="s">
        <v>290</v>
      </c>
      <c r="C202" s="530" t="s">
        <v>319</v>
      </c>
    </row>
    <row r="203" spans="1:3" ht="37.5" x14ac:dyDescent="0.25">
      <c r="A203" s="531" t="s">
        <v>312</v>
      </c>
      <c r="B203" s="530" t="s">
        <v>291</v>
      </c>
      <c r="C203" s="530" t="s">
        <v>322</v>
      </c>
    </row>
    <row r="204" spans="1:3" ht="56.25" x14ac:dyDescent="0.25">
      <c r="A204" s="531" t="s">
        <v>313</v>
      </c>
      <c r="B204" s="530" t="s">
        <v>292</v>
      </c>
      <c r="C204" s="530" t="s">
        <v>327</v>
      </c>
    </row>
    <row r="205" spans="1:3" ht="37.5" x14ac:dyDescent="0.25">
      <c r="A205" s="531" t="s">
        <v>314</v>
      </c>
      <c r="B205" s="530" t="s">
        <v>293</v>
      </c>
      <c r="C205" s="530" t="s">
        <v>317</v>
      </c>
    </row>
    <row r="206" spans="1:3" ht="56.25" x14ac:dyDescent="0.25">
      <c r="A206" s="531" t="s">
        <v>315</v>
      </c>
      <c r="B206" s="530" t="s">
        <v>296</v>
      </c>
      <c r="C206" s="530" t="s">
        <v>318</v>
      </c>
    </row>
    <row r="208" spans="1:3" ht="75" x14ac:dyDescent="0.25">
      <c r="A208" s="532" t="s">
        <v>301</v>
      </c>
      <c r="B208" s="529" t="s">
        <v>1400</v>
      </c>
    </row>
    <row r="210" spans="1:2" ht="56.25" x14ac:dyDescent="0.25">
      <c r="A210" s="532" t="s">
        <v>303</v>
      </c>
      <c r="B210" s="529" t="s">
        <v>1401</v>
      </c>
    </row>
    <row r="211" spans="1:2" ht="18.75" x14ac:dyDescent="0.25">
      <c r="A211" s="529"/>
    </row>
    <row r="212" spans="1:2" ht="56.25" x14ac:dyDescent="0.25">
      <c r="A212" s="532" t="s">
        <v>304</v>
      </c>
      <c r="B212" s="449" t="s">
        <v>1402</v>
      </c>
    </row>
    <row r="213" spans="1:2" ht="18.75" x14ac:dyDescent="0.25">
      <c r="A213" s="529"/>
    </row>
    <row r="214" spans="1:2" ht="37.5" x14ac:dyDescent="0.25">
      <c r="A214" s="529" t="s">
        <v>308</v>
      </c>
      <c r="B214" s="529" t="s">
        <v>1403</v>
      </c>
    </row>
  </sheetData>
  <mergeCells count="50">
    <mergeCell ref="E81:K81"/>
    <mergeCell ref="E75:K75"/>
    <mergeCell ref="E76:K76"/>
    <mergeCell ref="E77:K77"/>
    <mergeCell ref="E78:K78"/>
    <mergeCell ref="E80:K80"/>
    <mergeCell ref="E89:K89"/>
    <mergeCell ref="E90:K90"/>
    <mergeCell ref="E82:K82"/>
    <mergeCell ref="E83:K83"/>
    <mergeCell ref="E84:K84"/>
    <mergeCell ref="E86:K86"/>
    <mergeCell ref="E87:K87"/>
    <mergeCell ref="E88:K88"/>
    <mergeCell ref="E74:K74"/>
    <mergeCell ref="E60:K60"/>
    <mergeCell ref="E62:K62"/>
    <mergeCell ref="E63:K63"/>
    <mergeCell ref="E64:K64"/>
    <mergeCell ref="E65:K65"/>
    <mergeCell ref="E66:K66"/>
    <mergeCell ref="E68:K68"/>
    <mergeCell ref="E69:K69"/>
    <mergeCell ref="E70:K70"/>
    <mergeCell ref="E71:K71"/>
    <mergeCell ref="E72:K72"/>
    <mergeCell ref="E59:K59"/>
    <mergeCell ref="E46:K46"/>
    <mergeCell ref="E47:K47"/>
    <mergeCell ref="E48:K48"/>
    <mergeCell ref="E50:K50"/>
    <mergeCell ref="E51:K51"/>
    <mergeCell ref="E52:K52"/>
    <mergeCell ref="E53:K53"/>
    <mergeCell ref="E54:K54"/>
    <mergeCell ref="E56:K56"/>
    <mergeCell ref="E57:K57"/>
    <mergeCell ref="E58:K58"/>
    <mergeCell ref="E45:K45"/>
    <mergeCell ref="E32:K32"/>
    <mergeCell ref="E33:K33"/>
    <mergeCell ref="E34:K34"/>
    <mergeCell ref="E35:K35"/>
    <mergeCell ref="E36:K36"/>
    <mergeCell ref="E38:K38"/>
    <mergeCell ref="E39:K39"/>
    <mergeCell ref="E40:K40"/>
    <mergeCell ref="E41:K41"/>
    <mergeCell ref="E42:K42"/>
    <mergeCell ref="E44:K44"/>
  </mergeCells>
  <dataValidations count="5">
    <dataValidation type="list" allowBlank="1" showInputMessage="1" showErrorMessage="1" sqref="L38:L42 L44:L48 L50:L54 L56:L60 L62:L66 L68:L72 L74:L78 L80:L84 L86:L90">
      <formula1>$G$2:$G$8</formula1>
    </dataValidation>
    <dataValidation type="list" allowBlank="1" showInputMessage="1" showErrorMessage="1" sqref="K121:K133 J144:J148 K158:K161 K144:K147 K137:K140 K151:K154 L191 K172:K175 K165:K168 J108:J116 J96:J102">
      <formula1>$C$3:$C$14</formula1>
    </dataValidation>
    <dataValidation type="list" allowBlank="1" showInputMessage="1" showErrorMessage="1" sqref="L121:L133 L172:L175 L165:L168 L158:L161 L151:L154 L144:L147 L137:L140 L17:L19 L27 L106:L117">
      <formula1>$D$4:$D$15</formula1>
    </dataValidation>
    <dataValidation type="list" allowBlank="1" showInputMessage="1" showErrorMessage="1" sqref="M181:M191 L181:L190 H172:J176 H165:J169 H158:J162 H151:J155 H144:I148 H137:J141 H121:J134 H117:K117 K96:K102 J106:K107 K108:K116">
      <formula1>$C$3:$C$15</formula1>
    </dataValidation>
    <dataValidation type="list" allowBlank="1" showInputMessage="1" showErrorMessage="1" sqref="F117 F172:F176 F165:F169 F158:F162 F151:F155 F144:F148 F137:F141 F121:F134">
      <formula1>$A$3:$A$9</formula1>
    </dataValidation>
  </dataValidations>
  <printOptions horizontalCentered="1"/>
  <pageMargins left="0.31496062992125984" right="0.31496062992125984" top="1.1811023622047245" bottom="1.1811023622047245" header="0.31496062992125984" footer="0.31496062992125984"/>
  <pageSetup paperSize="17" scale="38"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'CCs &amp; Accounts'!$I$2:$I$34</xm:f>
          </x14:formula1>
          <xm:sqref>E17:E26 E106:E117 E137:E141 E144:E148 E151:E155 E158:E162 E165:E169 E172:E176 E121:E134 E95:E102</xm:sqref>
        </x14:dataValidation>
        <x14:dataValidation type="list" allowBlank="1" showInputMessage="1" showErrorMessage="1">
          <x14:formula1>
            <xm:f>Lists!$E$3:$E$41</xm:f>
          </x14:formula1>
          <xm:sqref>B8</xm:sqref>
        </x14:dataValidation>
        <x14:dataValidation type="list" allowBlank="1" showInputMessage="1" showErrorMessage="1">
          <x14:formula1>
            <xm:f>Lists!$D$2:$D$13</xm:f>
          </x14:formula1>
          <xm:sqref>N181:N190</xm:sqref>
        </x14:dataValidation>
        <x14:dataValidation type="list" allowBlank="1" showInputMessage="1" showErrorMessage="1">
          <x14:formula1>
            <xm:f>Lists!$H$2:$H$8</xm:f>
          </x14:formula1>
          <xm:sqref>L32:L36</xm:sqref>
        </x14:dataValidation>
        <x14:dataValidation type="list" allowBlank="1" showInputMessage="1" showErrorMessage="1">
          <x14:formula1>
            <xm:f>Lists!$C$2:$C$14</xm:f>
          </x14:formula1>
          <xm:sqref>H106:I107 H95:K95</xm:sqref>
        </x14:dataValidation>
        <x14:dataValidation type="list" allowBlank="1" showInputMessage="1" showErrorMessage="1">
          <x14:formula1>
            <xm:f>Lists!$A$2:$A$8</xm:f>
          </x14:formula1>
          <xm:sqref>F106:F116 F95:F102</xm:sqref>
        </x14:dataValidation>
        <x14:dataValidation type="list" allowBlank="1" showInputMessage="1" showErrorMessage="1">
          <x14:formula1>
            <xm:f>Lists!$C$2:$C$13</xm:f>
          </x14:formula1>
          <xm:sqref>H108:I116 H96:I102</xm:sqref>
        </x14:dataValidation>
        <x14:dataValidation type="list" allowBlank="1" showInputMessage="1" showErrorMessage="1">
          <x14:formula1>
            <xm:f>Lists!$D$2:$D$14</xm:f>
          </x14:formula1>
          <xm:sqref>L95:L102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pageSetUpPr fitToPage="1"/>
  </sheetPr>
  <dimension ref="A1:Z214"/>
  <sheetViews>
    <sheetView showGridLines="0" zoomScale="60" zoomScaleNormal="60" zoomScalePageLayoutView="60" workbookViewId="0">
      <selection activeCell="A95" sqref="A95"/>
    </sheetView>
  </sheetViews>
  <sheetFormatPr baseColWidth="10" defaultColWidth="11.42578125" defaultRowHeight="15" outlineLevelRow="1" outlineLevelCol="1" x14ac:dyDescent="0.25"/>
  <cols>
    <col min="1" max="1" width="24" style="449" customWidth="1"/>
    <col min="2" max="2" width="32" style="449" customWidth="1"/>
    <col min="3" max="3" width="43.7109375" style="449" customWidth="1"/>
    <col min="4" max="4" width="79.42578125" style="449" hidden="1" customWidth="1"/>
    <col min="5" max="5" width="17.5703125" style="449" hidden="1" customWidth="1"/>
    <col min="6" max="6" width="23" style="449" hidden="1" customWidth="1"/>
    <col min="7" max="8" width="17.5703125" style="449" hidden="1" customWidth="1"/>
    <col min="9" max="10" width="11.5703125" style="449" hidden="1" customWidth="1"/>
    <col min="11" max="11" width="17.5703125" style="449" hidden="1" customWidth="1"/>
    <col min="12" max="13" width="17.7109375" style="449" hidden="1"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customHeight="1" x14ac:dyDescent="0.25"/>
    <row r="2" spans="1:26" s="416" customFormat="1" ht="24.75" customHeight="1" x14ac:dyDescent="0.25">
      <c r="B2" s="533"/>
    </row>
    <row r="3" spans="1:26" s="416" customFormat="1" ht="24.75" customHeight="1" x14ac:dyDescent="0.25">
      <c r="B3" s="534"/>
    </row>
    <row r="4" spans="1:26" s="416" customFormat="1" ht="36.6" customHeight="1" x14ac:dyDescent="0.25"/>
    <row r="5" spans="1:26" ht="24.75" customHeight="1" x14ac:dyDescent="0.25"/>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235</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VLOOKUP(B8,Lists!E2:G41,3,)</f>
        <v>685 Engineering</v>
      </c>
      <c r="C10" s="433"/>
      <c r="D10" s="423" t="str">
        <f>VLOOKUP(B8,Lists!$E$3:$F$41,2,)</f>
        <v>Walter Droppelmann</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x14ac:dyDescent="0.25">
      <c r="A16" s="442" t="s">
        <v>261</v>
      </c>
      <c r="B16" s="442" t="s">
        <v>13</v>
      </c>
      <c r="C16" s="442" t="s">
        <v>14</v>
      </c>
      <c r="D16" s="403" t="s">
        <v>15</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x14ac:dyDescent="0.25">
      <c r="A17" s="508"/>
      <c r="B17" s="508" t="s">
        <v>27</v>
      </c>
      <c r="C17" s="508" t="s">
        <v>364</v>
      </c>
      <c r="D17" s="495"/>
      <c r="E17" s="496" t="s">
        <v>234</v>
      </c>
      <c r="F17" s="410"/>
      <c r="G17" s="410"/>
      <c r="H17" s="410"/>
      <c r="I17" s="410"/>
      <c r="J17" s="410"/>
      <c r="K17" s="410"/>
      <c r="L17" s="496">
        <v>6</v>
      </c>
      <c r="M17" s="497">
        <f>+M103</f>
        <v>12</v>
      </c>
      <c r="N17" s="496">
        <f>SUM(O17:Z17)</f>
        <v>100000</v>
      </c>
      <c r="O17" s="498">
        <f t="shared" ref="O17:Z17" si="0">+O103</f>
        <v>6600</v>
      </c>
      <c r="P17" s="498">
        <f t="shared" si="0"/>
        <v>5800</v>
      </c>
      <c r="Q17" s="498">
        <f t="shared" si="0"/>
        <v>6600</v>
      </c>
      <c r="R17" s="498">
        <f t="shared" si="0"/>
        <v>12800</v>
      </c>
      <c r="S17" s="498">
        <f t="shared" si="0"/>
        <v>12000</v>
      </c>
      <c r="T17" s="498">
        <f t="shared" si="0"/>
        <v>14800</v>
      </c>
      <c r="U17" s="498">
        <f t="shared" si="0"/>
        <v>7400</v>
      </c>
      <c r="V17" s="498">
        <f t="shared" si="0"/>
        <v>6000</v>
      </c>
      <c r="W17" s="498">
        <f t="shared" si="0"/>
        <v>5800</v>
      </c>
      <c r="X17" s="498">
        <f t="shared" si="0"/>
        <v>7400</v>
      </c>
      <c r="Y17" s="498">
        <f t="shared" si="0"/>
        <v>8800</v>
      </c>
      <c r="Z17" s="498">
        <f t="shared" si="0"/>
        <v>6000</v>
      </c>
    </row>
    <row r="18" spans="1:26" x14ac:dyDescent="0.25">
      <c r="A18" s="508"/>
      <c r="B18" s="508"/>
      <c r="C18" s="508"/>
      <c r="D18" s="495"/>
      <c r="E18" s="496"/>
      <c r="F18" s="410"/>
      <c r="G18" s="410"/>
      <c r="H18" s="410"/>
      <c r="I18" s="410"/>
      <c r="J18" s="410"/>
      <c r="K18" s="410"/>
      <c r="L18" s="496"/>
      <c r="M18" s="497"/>
      <c r="N18" s="496"/>
      <c r="O18" s="498"/>
      <c r="P18" s="498"/>
      <c r="Q18" s="498"/>
      <c r="R18" s="498"/>
      <c r="S18" s="498"/>
      <c r="T18" s="498"/>
      <c r="U18" s="498"/>
      <c r="V18" s="498"/>
      <c r="W18" s="498"/>
      <c r="X18" s="498"/>
      <c r="Y18" s="498"/>
      <c r="Z18" s="498"/>
    </row>
    <row r="19" spans="1:26" hidden="1" x14ac:dyDescent="0.25">
      <c r="A19" s="508"/>
      <c r="B19" s="508"/>
      <c r="C19" s="508"/>
      <c r="D19" s="495"/>
      <c r="E19" s="496"/>
      <c r="F19" s="410"/>
      <c r="G19" s="410"/>
      <c r="H19" s="410"/>
      <c r="I19" s="410"/>
      <c r="J19" s="410"/>
      <c r="K19" s="410"/>
      <c r="L19" s="496"/>
      <c r="M19" s="497"/>
      <c r="N19" s="496"/>
      <c r="O19" s="498"/>
      <c r="P19" s="498"/>
      <c r="Q19" s="498"/>
      <c r="R19" s="498"/>
      <c r="S19" s="498"/>
      <c r="T19" s="498"/>
      <c r="U19" s="498"/>
      <c r="V19" s="498"/>
      <c r="W19" s="498"/>
      <c r="X19" s="498"/>
      <c r="Y19" s="498"/>
      <c r="Z19" s="498"/>
    </row>
    <row r="20" spans="1:26" hidden="1" x14ac:dyDescent="0.25">
      <c r="A20" s="508"/>
      <c r="B20" s="508"/>
      <c r="C20" s="508"/>
      <c r="D20" s="495"/>
      <c r="E20" s="496"/>
      <c r="F20" s="410"/>
      <c r="G20" s="410"/>
      <c r="H20" s="410"/>
      <c r="I20" s="410"/>
      <c r="J20" s="410"/>
      <c r="K20" s="410"/>
      <c r="L20" s="496"/>
      <c r="M20" s="497"/>
      <c r="N20" s="409"/>
      <c r="O20" s="409"/>
      <c r="P20" s="409"/>
      <c r="Q20" s="409"/>
      <c r="R20" s="409"/>
      <c r="S20" s="409"/>
      <c r="T20" s="409"/>
      <c r="U20" s="409"/>
      <c r="V20" s="409"/>
      <c r="W20" s="409"/>
      <c r="X20" s="409"/>
      <c r="Y20" s="409"/>
      <c r="Z20" s="409"/>
    </row>
    <row r="21" spans="1:26" hidden="1" x14ac:dyDescent="0.25">
      <c r="A21" s="508"/>
      <c r="B21" s="508"/>
      <c r="C21" s="508"/>
      <c r="D21" s="495"/>
      <c r="E21" s="496"/>
      <c r="F21" s="410"/>
      <c r="G21" s="410"/>
      <c r="H21" s="410"/>
      <c r="I21" s="410"/>
      <c r="J21" s="410"/>
      <c r="K21" s="410"/>
      <c r="L21" s="496"/>
      <c r="M21" s="497"/>
      <c r="N21" s="409"/>
      <c r="O21" s="409"/>
      <c r="P21" s="409"/>
      <c r="Q21" s="409"/>
      <c r="R21" s="409"/>
      <c r="S21" s="409"/>
      <c r="T21" s="409"/>
      <c r="U21" s="409"/>
      <c r="V21" s="409"/>
      <c r="W21" s="409"/>
      <c r="X21" s="409"/>
      <c r="Y21" s="409"/>
      <c r="Z21" s="409"/>
    </row>
    <row r="22" spans="1:26" hidden="1" x14ac:dyDescent="0.25">
      <c r="A22" s="508"/>
      <c r="B22" s="508"/>
      <c r="C22" s="508"/>
      <c r="D22" s="495"/>
      <c r="E22" s="496"/>
      <c r="F22" s="410"/>
      <c r="G22" s="410"/>
      <c r="H22" s="410"/>
      <c r="I22" s="410"/>
      <c r="J22" s="410"/>
      <c r="K22" s="410"/>
      <c r="L22" s="496"/>
      <c r="M22" s="497"/>
      <c r="N22" s="409"/>
      <c r="O22" s="409"/>
      <c r="P22" s="409"/>
      <c r="Q22" s="409"/>
      <c r="R22" s="409"/>
      <c r="S22" s="409"/>
      <c r="T22" s="409"/>
      <c r="U22" s="409"/>
      <c r="V22" s="409"/>
      <c r="W22" s="409"/>
      <c r="X22" s="409"/>
      <c r="Y22" s="409"/>
      <c r="Z22" s="409"/>
    </row>
    <row r="23" spans="1:26" hidden="1" x14ac:dyDescent="0.25">
      <c r="A23" s="508"/>
      <c r="B23" s="508"/>
      <c r="C23" s="508"/>
      <c r="D23" s="495"/>
      <c r="E23" s="496"/>
      <c r="F23" s="410"/>
      <c r="G23" s="410"/>
      <c r="H23" s="410"/>
      <c r="I23" s="410"/>
      <c r="J23" s="410"/>
      <c r="K23" s="410"/>
      <c r="L23" s="496"/>
      <c r="M23" s="497"/>
      <c r="N23" s="409"/>
      <c r="O23" s="409"/>
      <c r="P23" s="409"/>
      <c r="Q23" s="409"/>
      <c r="R23" s="409"/>
      <c r="S23" s="409"/>
      <c r="T23" s="409"/>
      <c r="U23" s="409"/>
      <c r="V23" s="409"/>
      <c r="W23" s="409"/>
      <c r="X23" s="409"/>
      <c r="Y23" s="409"/>
      <c r="Z23" s="409"/>
    </row>
    <row r="24" spans="1:26" hidden="1" x14ac:dyDescent="0.25">
      <c r="A24" s="508"/>
      <c r="B24" s="508"/>
      <c r="C24" s="508"/>
      <c r="D24" s="495"/>
      <c r="E24" s="496"/>
      <c r="F24" s="410"/>
      <c r="G24" s="410"/>
      <c r="H24" s="410"/>
      <c r="I24" s="410"/>
      <c r="J24" s="410"/>
      <c r="K24" s="410"/>
      <c r="L24" s="496"/>
      <c r="M24" s="497"/>
      <c r="N24" s="409"/>
      <c r="O24" s="409"/>
      <c r="P24" s="409"/>
      <c r="Q24" s="409"/>
      <c r="R24" s="409"/>
      <c r="S24" s="409"/>
      <c r="T24" s="409"/>
      <c r="U24" s="409"/>
      <c r="V24" s="409"/>
      <c r="W24" s="409"/>
      <c r="X24" s="409"/>
      <c r="Y24" s="409"/>
      <c r="Z24" s="409"/>
    </row>
    <row r="25" spans="1:26" hidden="1" x14ac:dyDescent="0.25">
      <c r="A25" s="508"/>
      <c r="B25" s="508"/>
      <c r="C25" s="508"/>
      <c r="D25" s="495"/>
      <c r="E25" s="496"/>
      <c r="F25" s="410"/>
      <c r="G25" s="410"/>
      <c r="H25" s="410"/>
      <c r="I25" s="410"/>
      <c r="J25" s="410"/>
      <c r="K25" s="410"/>
      <c r="L25" s="496"/>
      <c r="M25" s="497"/>
      <c r="N25" s="409"/>
      <c r="O25" s="409"/>
      <c r="P25" s="409"/>
      <c r="Q25" s="409"/>
      <c r="R25" s="409"/>
      <c r="S25" s="409"/>
      <c r="T25" s="409"/>
      <c r="U25" s="409"/>
      <c r="V25" s="409"/>
      <c r="W25" s="409"/>
      <c r="X25" s="409"/>
      <c r="Y25" s="409"/>
      <c r="Z25" s="409"/>
    </row>
    <row r="26" spans="1:26" hidden="1" x14ac:dyDescent="0.25">
      <c r="A26" s="508"/>
      <c r="B26" s="508"/>
      <c r="C26" s="508"/>
      <c r="D26" s="495"/>
      <c r="E26" s="496"/>
      <c r="F26" s="410"/>
      <c r="G26" s="410"/>
      <c r="H26" s="410"/>
      <c r="I26" s="410"/>
      <c r="J26" s="410"/>
      <c r="K26" s="410"/>
      <c r="L26" s="496"/>
      <c r="M26" s="497"/>
      <c r="N26" s="409"/>
      <c r="O26" s="409" t="s">
        <v>5</v>
      </c>
      <c r="P26" s="409"/>
      <c r="Q26" s="409"/>
      <c r="R26" s="409"/>
      <c r="S26" s="409"/>
      <c r="T26" s="409"/>
      <c r="U26" s="409"/>
      <c r="V26" s="409"/>
      <c r="W26" s="409"/>
      <c r="X26" s="409"/>
      <c r="Y26" s="409"/>
      <c r="Z26" s="409"/>
    </row>
    <row r="27" spans="1:26" x14ac:dyDescent="0.25">
      <c r="A27" s="499"/>
      <c r="B27" s="500"/>
      <c r="C27" s="500"/>
      <c r="D27" s="501"/>
      <c r="E27" s="415"/>
      <c r="F27" s="415"/>
      <c r="G27" s="415"/>
      <c r="H27" s="415"/>
      <c r="I27" s="415"/>
      <c r="J27" s="502" t="s">
        <v>20</v>
      </c>
      <c r="K27" s="503"/>
      <c r="L27" s="404">
        <v>12</v>
      </c>
      <c r="M27" s="404">
        <f>SUM(M2:M26)</f>
        <v>12</v>
      </c>
      <c r="N27" s="404">
        <f>SUM(N16:N26)</f>
        <v>100000</v>
      </c>
      <c r="O27" s="404">
        <f>SUM(O17:O26)</f>
        <v>6600</v>
      </c>
      <c r="P27" s="404">
        <f t="shared" ref="P27:Z27" si="1">SUM(P17:P26)</f>
        <v>5800</v>
      </c>
      <c r="Q27" s="404">
        <f t="shared" si="1"/>
        <v>6600</v>
      </c>
      <c r="R27" s="404">
        <f t="shared" si="1"/>
        <v>12800</v>
      </c>
      <c r="S27" s="404">
        <f t="shared" si="1"/>
        <v>12000</v>
      </c>
      <c r="T27" s="404">
        <f t="shared" si="1"/>
        <v>14800</v>
      </c>
      <c r="U27" s="404">
        <f t="shared" si="1"/>
        <v>7400</v>
      </c>
      <c r="V27" s="404">
        <f t="shared" si="1"/>
        <v>6000</v>
      </c>
      <c r="W27" s="404">
        <f t="shared" si="1"/>
        <v>5800</v>
      </c>
      <c r="X27" s="404">
        <f t="shared" si="1"/>
        <v>7400</v>
      </c>
      <c r="Y27" s="404">
        <f t="shared" si="1"/>
        <v>8800</v>
      </c>
      <c r="Z27" s="404">
        <f t="shared" si="1"/>
        <v>6000</v>
      </c>
    </row>
    <row r="28" spans="1:26" ht="6.75" customHeight="1" x14ac:dyDescent="0.25">
      <c r="A28" s="501"/>
      <c r="B28" s="501"/>
      <c r="C28" s="501"/>
      <c r="D28" s="501"/>
      <c r="E28" s="501"/>
      <c r="F28" s="501"/>
      <c r="G28" s="501"/>
      <c r="H28" s="501"/>
      <c r="I28" s="501"/>
      <c r="J28" s="501"/>
      <c r="K28" s="501"/>
    </row>
    <row r="29" spans="1:26" x14ac:dyDescent="0.25">
      <c r="A29" s="441" t="s">
        <v>33</v>
      </c>
      <c r="B29" s="441"/>
      <c r="C29" s="402"/>
      <c r="D29" s="402"/>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x14ac:dyDescent="0.25">
      <c r="A30" s="442" t="s">
        <v>261</v>
      </c>
      <c r="B30" s="442" t="s">
        <v>13</v>
      </c>
      <c r="C30" s="442" t="s">
        <v>14</v>
      </c>
      <c r="D30" s="403" t="s">
        <v>15</v>
      </c>
      <c r="E30" s="410" t="s">
        <v>5</v>
      </c>
      <c r="F30" s="410" t="s">
        <v>5</v>
      </c>
      <c r="G30" s="410" t="s">
        <v>5</v>
      </c>
      <c r="H30" s="410"/>
      <c r="I30" s="410"/>
      <c r="J30" s="410"/>
      <c r="K30" s="410" t="s">
        <v>5</v>
      </c>
      <c r="L30" s="504" t="s">
        <v>287</v>
      </c>
      <c r="M30" s="410"/>
      <c r="N30" s="409"/>
      <c r="O30" s="409" t="s">
        <v>5</v>
      </c>
      <c r="P30" s="409"/>
      <c r="Q30" s="409"/>
      <c r="R30" s="409"/>
      <c r="S30" s="409"/>
      <c r="T30" s="409"/>
      <c r="U30" s="409"/>
      <c r="V30" s="409"/>
      <c r="W30" s="409"/>
      <c r="X30" s="409"/>
      <c r="Y30" s="409"/>
      <c r="Z30" s="409"/>
    </row>
    <row r="31" spans="1:26" x14ac:dyDescent="0.25">
      <c r="A31" s="535" t="str">
        <f>CONCATENATE(B17," ",C17)</f>
        <v>Objective 1 Heath and Satety</v>
      </c>
      <c r="B31" s="535"/>
      <c r="C31" s="536"/>
      <c r="D31" s="53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t="27.6" customHeight="1" x14ac:dyDescent="0.25">
      <c r="A32" s="508"/>
      <c r="B32" s="508" t="s">
        <v>34</v>
      </c>
      <c r="C32" s="508" t="s">
        <v>395</v>
      </c>
      <c r="D32" s="1018" t="s">
        <v>396</v>
      </c>
      <c r="E32" s="999"/>
      <c r="F32" s="999"/>
      <c r="G32" s="999"/>
      <c r="H32" s="999"/>
      <c r="I32" s="999"/>
      <c r="J32" s="999"/>
      <c r="K32" s="578"/>
      <c r="L32" s="496" t="s">
        <v>60</v>
      </c>
      <c r="M32" s="410"/>
      <c r="N32" s="409"/>
      <c r="O32" s="409" t="s">
        <v>5</v>
      </c>
      <c r="P32" s="409"/>
      <c r="Q32" s="409"/>
      <c r="R32" s="409"/>
      <c r="S32" s="409"/>
      <c r="T32" s="409"/>
      <c r="U32" s="409"/>
      <c r="V32" s="409"/>
      <c r="W32" s="409"/>
      <c r="X32" s="409"/>
      <c r="Y32" s="409"/>
      <c r="Z32" s="409"/>
    </row>
    <row r="33" spans="1:26" hidden="1" x14ac:dyDescent="0.25">
      <c r="A33" s="508" t="s">
        <v>263</v>
      </c>
      <c r="B33" s="508"/>
      <c r="C33" s="508"/>
      <c r="D33" s="495"/>
      <c r="E33" s="999"/>
      <c r="F33" s="999"/>
      <c r="G33" s="999"/>
      <c r="H33" s="999"/>
      <c r="I33" s="999"/>
      <c r="J33" s="999"/>
      <c r="K33" s="1000"/>
      <c r="L33" s="496"/>
      <c r="M33" s="410"/>
      <c r="N33" s="409"/>
      <c r="O33" s="409" t="s">
        <v>5</v>
      </c>
      <c r="P33" s="409"/>
      <c r="Q33" s="409"/>
      <c r="R33" s="409"/>
      <c r="S33" s="409"/>
      <c r="T33" s="409"/>
      <c r="U33" s="409"/>
      <c r="V33" s="409"/>
      <c r="W33" s="409"/>
      <c r="X33" s="409"/>
      <c r="Y33" s="409"/>
      <c r="Z33" s="409"/>
    </row>
    <row r="34" spans="1:26" hidden="1" x14ac:dyDescent="0.25">
      <c r="A34" s="508"/>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hidden="1" x14ac:dyDescent="0.25">
      <c r="A35" s="508"/>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x14ac:dyDescent="0.25">
      <c r="A36" s="508"/>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idden="1" x14ac:dyDescent="0.25">
      <c r="A37" s="535" t="str">
        <f>CONCATENATE(B18," ",C18)</f>
        <v xml:space="preserve"> </v>
      </c>
      <c r="B37" s="535"/>
      <c r="C37" s="536"/>
      <c r="D37" s="53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idden="1" x14ac:dyDescent="0.25">
      <c r="A38" s="508" t="s">
        <v>264</v>
      </c>
      <c r="B38" s="508" t="s">
        <v>36</v>
      </c>
      <c r="C38" s="508"/>
      <c r="D38" s="495"/>
      <c r="E38" s="999"/>
      <c r="F38" s="999"/>
      <c r="G38" s="999"/>
      <c r="H38" s="999"/>
      <c r="I38" s="999"/>
      <c r="J38" s="999"/>
      <c r="K38" s="1000"/>
      <c r="L38" s="496" t="s">
        <v>60</v>
      </c>
      <c r="M38" s="410"/>
      <c r="N38" s="409"/>
      <c r="O38" s="409" t="s">
        <v>5</v>
      </c>
      <c r="P38" s="409"/>
      <c r="Q38" s="409"/>
      <c r="R38" s="409"/>
      <c r="S38" s="409"/>
      <c r="T38" s="409"/>
      <c r="U38" s="409"/>
      <c r="V38" s="409"/>
      <c r="W38" s="409"/>
      <c r="X38" s="409"/>
      <c r="Y38" s="409"/>
      <c r="Z38" s="409"/>
    </row>
    <row r="39" spans="1:26" hidden="1" x14ac:dyDescent="0.25">
      <c r="A39" s="508" t="s">
        <v>253</v>
      </c>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idden="1" x14ac:dyDescent="0.25">
      <c r="A40" s="508"/>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idden="1" x14ac:dyDescent="0.25">
      <c r="A41" s="508"/>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idden="1" x14ac:dyDescent="0.25">
      <c r="A42" s="508"/>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idden="1" x14ac:dyDescent="0.25">
      <c r="A43" s="535" t="str">
        <f>CONCATENATE(B19," ",C19)</f>
        <v xml:space="preserve"> </v>
      </c>
      <c r="B43" s="535"/>
      <c r="C43" s="536"/>
      <c r="D43" s="53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idden="1" x14ac:dyDescent="0.25">
      <c r="A44" s="508" t="s">
        <v>265</v>
      </c>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idden="1" x14ac:dyDescent="0.25">
      <c r="A45" s="508" t="s">
        <v>266</v>
      </c>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idden="1" x14ac:dyDescent="0.25">
      <c r="A46" s="508"/>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idden="1" x14ac:dyDescent="0.25">
      <c r="A47" s="508"/>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idden="1" x14ac:dyDescent="0.25">
      <c r="A48" s="508"/>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idden="1" outlineLevel="1" x14ac:dyDescent="0.25">
      <c r="A49" s="535" t="str">
        <f>CONCATENATE(B20," ",C20)</f>
        <v xml:space="preserve"> </v>
      </c>
      <c r="B49" s="535"/>
      <c r="C49" s="536"/>
      <c r="D49" s="53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idden="1" outlineLevel="1" x14ac:dyDescent="0.25">
      <c r="A50" s="508" t="s">
        <v>267</v>
      </c>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idden="1" outlineLevel="1" x14ac:dyDescent="0.25">
      <c r="A51" s="508" t="s">
        <v>268</v>
      </c>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idden="1" outlineLevel="1" x14ac:dyDescent="0.25">
      <c r="A52" s="508"/>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idden="1" outlineLevel="1" x14ac:dyDescent="0.25">
      <c r="A53" s="508"/>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idden="1" outlineLevel="1" x14ac:dyDescent="0.25">
      <c r="A54" s="508"/>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idden="1" outlineLevel="1" x14ac:dyDescent="0.25">
      <c r="A55" s="535" t="str">
        <f>CONCATENATE(B21," ",C21)</f>
        <v xml:space="preserve"> </v>
      </c>
      <c r="B55" s="535"/>
      <c r="C55" s="536"/>
      <c r="D55" s="53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idden="1" outlineLevel="1" x14ac:dyDescent="0.25">
      <c r="A56" s="508" t="s">
        <v>269</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idden="1" outlineLevel="1" x14ac:dyDescent="0.25">
      <c r="A57" s="508" t="s">
        <v>270</v>
      </c>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idden="1" outlineLevel="1" x14ac:dyDescent="0.25">
      <c r="A58" s="508"/>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idden="1" outlineLevel="1" x14ac:dyDescent="0.25">
      <c r="A59" s="508"/>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idden="1" outlineLevel="1" x14ac:dyDescent="0.25">
      <c r="A60" s="508"/>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idden="1" outlineLevel="1" x14ac:dyDescent="0.25">
      <c r="A61" s="535" t="str">
        <f>CONCATENATE(B22," ",C22)</f>
        <v xml:space="preserve"> </v>
      </c>
      <c r="B61" s="535"/>
      <c r="C61" s="536"/>
      <c r="D61" s="53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idden="1" outlineLevel="1" x14ac:dyDescent="0.25">
      <c r="A62" s="508" t="s">
        <v>271</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idden="1" outlineLevel="1" x14ac:dyDescent="0.25">
      <c r="A63" s="508" t="s">
        <v>272</v>
      </c>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idden="1" outlineLevel="1" x14ac:dyDescent="0.25">
      <c r="A64" s="508"/>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idden="1" outlineLevel="1" x14ac:dyDescent="0.25">
      <c r="A65" s="508"/>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idden="1" outlineLevel="1" x14ac:dyDescent="0.25">
      <c r="A66" s="508"/>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idden="1" outlineLevel="1" x14ac:dyDescent="0.25">
      <c r="A67" s="535" t="str">
        <f>CONCATENATE(B23," ",C23)</f>
        <v xml:space="preserve"> </v>
      </c>
      <c r="B67" s="535"/>
      <c r="C67" s="536"/>
      <c r="D67" s="53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idden="1" outlineLevel="1" x14ac:dyDescent="0.25">
      <c r="A68" s="508" t="s">
        <v>273</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idden="1" outlineLevel="1" x14ac:dyDescent="0.25">
      <c r="A69" s="508" t="s">
        <v>274</v>
      </c>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idden="1" outlineLevel="1" x14ac:dyDescent="0.25">
      <c r="A70" s="508"/>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idden="1" outlineLevel="1" x14ac:dyDescent="0.25">
      <c r="A71" s="508"/>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idden="1" outlineLevel="1" x14ac:dyDescent="0.25">
      <c r="A72" s="508"/>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idden="1" outlineLevel="1" x14ac:dyDescent="0.25">
      <c r="A73" s="535" t="str">
        <f>CONCATENATE(B24," ",C24)</f>
        <v xml:space="preserve"> </v>
      </c>
      <c r="B73" s="535"/>
      <c r="C73" s="536"/>
      <c r="D73" s="53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idden="1" outlineLevel="1" x14ac:dyDescent="0.25">
      <c r="A74" s="508" t="s">
        <v>275</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idden="1" outlineLevel="1" x14ac:dyDescent="0.25">
      <c r="A75" s="508" t="s">
        <v>276</v>
      </c>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idden="1" outlineLevel="1" x14ac:dyDescent="0.25">
      <c r="A76" s="508"/>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idden="1" outlineLevel="1" x14ac:dyDescent="0.25">
      <c r="A77" s="508"/>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idden="1" outlineLevel="1" x14ac:dyDescent="0.25">
      <c r="A78" s="508"/>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79" spans="1:26" hidden="1" outlineLevel="1" x14ac:dyDescent="0.25">
      <c r="A79" s="535" t="str">
        <f>CONCATENATE(B25," ",C25)</f>
        <v xml:space="preserve"> </v>
      </c>
      <c r="B79" s="535"/>
      <c r="C79" s="536"/>
      <c r="D79" s="536"/>
      <c r="E79" s="507"/>
      <c r="F79" s="507"/>
      <c r="G79" s="507"/>
      <c r="H79" s="507"/>
      <c r="I79" s="507"/>
      <c r="J79" s="507"/>
      <c r="K79" s="507"/>
      <c r="L79" s="507"/>
      <c r="M79" s="507"/>
      <c r="N79" s="507"/>
      <c r="O79" s="507" t="s">
        <v>5</v>
      </c>
      <c r="P79" s="507"/>
      <c r="Q79" s="507"/>
      <c r="R79" s="507"/>
      <c r="S79" s="507"/>
      <c r="T79" s="507"/>
      <c r="U79" s="507"/>
      <c r="V79" s="507"/>
      <c r="W79" s="507"/>
      <c r="X79" s="507"/>
      <c r="Y79" s="507"/>
      <c r="Z79" s="507"/>
    </row>
    <row r="80" spans="1:26" hidden="1" outlineLevel="1" x14ac:dyDescent="0.25">
      <c r="A80" s="508" t="s">
        <v>277</v>
      </c>
      <c r="B80" s="508"/>
      <c r="C80" s="508"/>
      <c r="D80" s="495"/>
      <c r="E80" s="999" t="s">
        <v>5</v>
      </c>
      <c r="F80" s="999" t="s">
        <v>5</v>
      </c>
      <c r="G80" s="999" t="s">
        <v>5</v>
      </c>
      <c r="H80" s="999"/>
      <c r="I80" s="999"/>
      <c r="J80" s="999"/>
      <c r="K80" s="1000" t="s">
        <v>5</v>
      </c>
      <c r="L80" s="496"/>
      <c r="M80" s="410"/>
      <c r="N80" s="409"/>
      <c r="O80" s="409" t="s">
        <v>5</v>
      </c>
      <c r="P80" s="409"/>
      <c r="Q80" s="409"/>
      <c r="R80" s="409"/>
      <c r="S80" s="409"/>
      <c r="T80" s="409"/>
      <c r="U80" s="409"/>
      <c r="V80" s="409"/>
      <c r="W80" s="409"/>
      <c r="X80" s="409"/>
      <c r="Y80" s="409"/>
      <c r="Z80" s="409"/>
    </row>
    <row r="81" spans="1:26" hidden="1" outlineLevel="1" x14ac:dyDescent="0.25">
      <c r="A81" s="508" t="s">
        <v>278</v>
      </c>
      <c r="B81" s="508"/>
      <c r="C81" s="508"/>
      <c r="D81" s="495"/>
      <c r="E81" s="999" t="s">
        <v>5</v>
      </c>
      <c r="F81" s="999" t="s">
        <v>5</v>
      </c>
      <c r="G81" s="999" t="s">
        <v>5</v>
      </c>
      <c r="H81" s="999"/>
      <c r="I81" s="999"/>
      <c r="J81" s="999"/>
      <c r="K81" s="1000" t="s">
        <v>5</v>
      </c>
      <c r="L81" s="496"/>
      <c r="M81" s="410"/>
      <c r="N81" s="409"/>
      <c r="O81" s="409" t="s">
        <v>5</v>
      </c>
      <c r="P81" s="409"/>
      <c r="Q81" s="409"/>
      <c r="R81" s="409"/>
      <c r="S81" s="409"/>
      <c r="T81" s="409"/>
      <c r="U81" s="409"/>
      <c r="V81" s="409"/>
      <c r="W81" s="409"/>
      <c r="X81" s="409"/>
      <c r="Y81" s="409"/>
      <c r="Z81" s="409"/>
    </row>
    <row r="82" spans="1:26" hidden="1" outlineLevel="1" x14ac:dyDescent="0.25">
      <c r="A82" s="508"/>
      <c r="B82" s="508"/>
      <c r="C82" s="508"/>
      <c r="D82" s="495"/>
      <c r="E82" s="999" t="s">
        <v>5</v>
      </c>
      <c r="F82" s="999" t="s">
        <v>5</v>
      </c>
      <c r="G82" s="999" t="s">
        <v>5</v>
      </c>
      <c r="H82" s="999"/>
      <c r="I82" s="999"/>
      <c r="J82" s="999"/>
      <c r="K82" s="1000" t="s">
        <v>5</v>
      </c>
      <c r="L82" s="496"/>
      <c r="M82" s="410"/>
      <c r="N82" s="409"/>
      <c r="O82" s="409" t="s">
        <v>5</v>
      </c>
      <c r="P82" s="409"/>
      <c r="Q82" s="409"/>
      <c r="R82" s="409"/>
      <c r="S82" s="409"/>
      <c r="T82" s="409"/>
      <c r="U82" s="409"/>
      <c r="V82" s="409"/>
      <c r="W82" s="409"/>
      <c r="X82" s="409"/>
      <c r="Y82" s="409"/>
      <c r="Z82" s="409"/>
    </row>
    <row r="83" spans="1:26" hidden="1" outlineLevel="1" x14ac:dyDescent="0.25">
      <c r="A83" s="508"/>
      <c r="B83" s="508"/>
      <c r="C83" s="508"/>
      <c r="D83" s="495"/>
      <c r="E83" s="999" t="s">
        <v>5</v>
      </c>
      <c r="F83" s="999" t="s">
        <v>5</v>
      </c>
      <c r="G83" s="999" t="s">
        <v>5</v>
      </c>
      <c r="H83" s="999"/>
      <c r="I83" s="999"/>
      <c r="J83" s="999"/>
      <c r="K83" s="1000" t="s">
        <v>5</v>
      </c>
      <c r="L83" s="496"/>
      <c r="M83" s="410"/>
      <c r="N83" s="409"/>
      <c r="O83" s="409" t="s">
        <v>5</v>
      </c>
      <c r="P83" s="409"/>
      <c r="Q83" s="409"/>
      <c r="R83" s="409"/>
      <c r="S83" s="409"/>
      <c r="T83" s="409"/>
      <c r="U83" s="409"/>
      <c r="V83" s="409"/>
      <c r="W83" s="409"/>
      <c r="X83" s="409"/>
      <c r="Y83" s="409"/>
      <c r="Z83" s="409"/>
    </row>
    <row r="84" spans="1:26" hidden="1" outlineLevel="1" x14ac:dyDescent="0.25">
      <c r="A84" s="508"/>
      <c r="B84" s="508"/>
      <c r="C84" s="508"/>
      <c r="D84" s="495"/>
      <c r="E84" s="999" t="s">
        <v>5</v>
      </c>
      <c r="F84" s="999" t="s">
        <v>5</v>
      </c>
      <c r="G84" s="999" t="s">
        <v>5</v>
      </c>
      <c r="H84" s="999"/>
      <c r="I84" s="999"/>
      <c r="J84" s="999"/>
      <c r="K84" s="1000" t="s">
        <v>5</v>
      </c>
      <c r="L84" s="496"/>
      <c r="M84" s="410"/>
      <c r="N84" s="409"/>
      <c r="O84" s="409" t="s">
        <v>5</v>
      </c>
      <c r="P84" s="409"/>
      <c r="Q84" s="409"/>
      <c r="R84" s="409"/>
      <c r="S84" s="409"/>
      <c r="T84" s="409"/>
      <c r="U84" s="409"/>
      <c r="V84" s="409"/>
      <c r="W84" s="409"/>
      <c r="X84" s="409"/>
      <c r="Y84" s="409"/>
      <c r="Z84" s="409"/>
    </row>
    <row r="85" spans="1:26" hidden="1" outlineLevel="1" x14ac:dyDescent="0.25">
      <c r="A85" s="535" t="str">
        <f>CONCATENATE(B26," ",C26)</f>
        <v xml:space="preserve"> </v>
      </c>
      <c r="B85" s="535"/>
      <c r="C85" s="536"/>
      <c r="D85" s="536"/>
      <c r="E85" s="507"/>
      <c r="F85" s="507"/>
      <c r="G85" s="507"/>
      <c r="H85" s="507"/>
      <c r="I85" s="507"/>
      <c r="J85" s="507"/>
      <c r="K85" s="507"/>
      <c r="L85" s="507"/>
      <c r="M85" s="507"/>
      <c r="N85" s="507"/>
      <c r="O85" s="507" t="s">
        <v>5</v>
      </c>
      <c r="P85" s="507"/>
      <c r="Q85" s="507"/>
      <c r="R85" s="507"/>
      <c r="S85" s="507"/>
      <c r="T85" s="507"/>
      <c r="U85" s="507"/>
      <c r="V85" s="507"/>
      <c r="W85" s="507"/>
      <c r="X85" s="507"/>
      <c r="Y85" s="507"/>
      <c r="Z85" s="507"/>
    </row>
    <row r="86" spans="1:26" hidden="1" outlineLevel="1" x14ac:dyDescent="0.25">
      <c r="A86" s="508" t="s">
        <v>279</v>
      </c>
      <c r="B86" s="508"/>
      <c r="C86" s="508"/>
      <c r="D86" s="495"/>
      <c r="E86" s="999" t="s">
        <v>5</v>
      </c>
      <c r="F86" s="999" t="s">
        <v>5</v>
      </c>
      <c r="G86" s="999" t="s">
        <v>5</v>
      </c>
      <c r="H86" s="999"/>
      <c r="I86" s="999"/>
      <c r="J86" s="999"/>
      <c r="K86" s="1000" t="s">
        <v>5</v>
      </c>
      <c r="L86" s="496"/>
      <c r="M86" s="410"/>
      <c r="N86" s="409"/>
      <c r="O86" s="409" t="s">
        <v>5</v>
      </c>
      <c r="P86" s="409"/>
      <c r="Q86" s="409"/>
      <c r="R86" s="409"/>
      <c r="S86" s="409"/>
      <c r="T86" s="409"/>
      <c r="U86" s="409"/>
      <c r="V86" s="409"/>
      <c r="W86" s="409"/>
      <c r="X86" s="409"/>
      <c r="Y86" s="409"/>
      <c r="Z86" s="409"/>
    </row>
    <row r="87" spans="1:26" hidden="1" outlineLevel="1" x14ac:dyDescent="0.25">
      <c r="A87" s="508" t="s">
        <v>280</v>
      </c>
      <c r="B87" s="508"/>
      <c r="C87" s="508"/>
      <c r="D87" s="495"/>
      <c r="E87" s="999" t="s">
        <v>5</v>
      </c>
      <c r="F87" s="999" t="s">
        <v>5</v>
      </c>
      <c r="G87" s="999" t="s">
        <v>5</v>
      </c>
      <c r="H87" s="999"/>
      <c r="I87" s="999"/>
      <c r="J87" s="999"/>
      <c r="K87" s="1000" t="s">
        <v>5</v>
      </c>
      <c r="L87" s="496"/>
      <c r="M87" s="410"/>
      <c r="N87" s="409"/>
      <c r="O87" s="409" t="s">
        <v>5</v>
      </c>
      <c r="P87" s="409"/>
      <c r="Q87" s="409"/>
      <c r="R87" s="409"/>
      <c r="S87" s="409"/>
      <c r="T87" s="409"/>
      <c r="U87" s="409"/>
      <c r="V87" s="409"/>
      <c r="W87" s="409"/>
      <c r="X87" s="409"/>
      <c r="Y87" s="409"/>
      <c r="Z87" s="409"/>
    </row>
    <row r="88" spans="1:26" hidden="1" outlineLevel="1" x14ac:dyDescent="0.25">
      <c r="A88" s="508"/>
      <c r="B88" s="508"/>
      <c r="C88" s="508"/>
      <c r="D88" s="495"/>
      <c r="E88" s="999" t="s">
        <v>5</v>
      </c>
      <c r="F88" s="999" t="s">
        <v>5</v>
      </c>
      <c r="G88" s="999" t="s">
        <v>5</v>
      </c>
      <c r="H88" s="999"/>
      <c r="I88" s="999"/>
      <c r="J88" s="999"/>
      <c r="K88" s="1000" t="s">
        <v>5</v>
      </c>
      <c r="L88" s="496"/>
      <c r="M88" s="410"/>
      <c r="N88" s="409"/>
      <c r="O88" s="409" t="s">
        <v>5</v>
      </c>
      <c r="P88" s="409"/>
      <c r="Q88" s="409"/>
      <c r="R88" s="409"/>
      <c r="S88" s="409"/>
      <c r="T88" s="409"/>
      <c r="U88" s="409"/>
      <c r="V88" s="409"/>
      <c r="W88" s="409"/>
      <c r="X88" s="409"/>
      <c r="Y88" s="409"/>
      <c r="Z88" s="409"/>
    </row>
    <row r="89" spans="1:26" hidden="1" outlineLevel="1" x14ac:dyDescent="0.25">
      <c r="A89" s="508"/>
      <c r="B89" s="508"/>
      <c r="C89" s="508"/>
      <c r="D89" s="495"/>
      <c r="E89" s="999" t="s">
        <v>5</v>
      </c>
      <c r="F89" s="999" t="s">
        <v>5</v>
      </c>
      <c r="G89" s="999" t="s">
        <v>5</v>
      </c>
      <c r="H89" s="999"/>
      <c r="I89" s="999"/>
      <c r="J89" s="999"/>
      <c r="K89" s="1000" t="s">
        <v>5</v>
      </c>
      <c r="L89" s="496"/>
      <c r="M89" s="410"/>
      <c r="N89" s="409"/>
      <c r="O89" s="409" t="s">
        <v>5</v>
      </c>
      <c r="P89" s="409"/>
      <c r="Q89" s="409"/>
      <c r="R89" s="409"/>
      <c r="S89" s="409"/>
      <c r="T89" s="409"/>
      <c r="U89" s="409"/>
      <c r="V89" s="409"/>
      <c r="W89" s="409"/>
      <c r="X89" s="409"/>
      <c r="Y89" s="409"/>
      <c r="Z89" s="409"/>
    </row>
    <row r="90" spans="1:26" hidden="1" outlineLevel="1" x14ac:dyDescent="0.25">
      <c r="A90" s="508"/>
      <c r="B90" s="508"/>
      <c r="C90" s="508"/>
      <c r="D90" s="495"/>
      <c r="E90" s="999" t="s">
        <v>5</v>
      </c>
      <c r="F90" s="999" t="s">
        <v>5</v>
      </c>
      <c r="G90" s="999" t="s">
        <v>5</v>
      </c>
      <c r="H90" s="999"/>
      <c r="I90" s="999"/>
      <c r="J90" s="999"/>
      <c r="K90" s="1000" t="s">
        <v>5</v>
      </c>
      <c r="L90" s="496"/>
      <c r="M90" s="410"/>
      <c r="N90" s="409"/>
      <c r="O90" s="409" t="s">
        <v>5</v>
      </c>
      <c r="P90" s="409"/>
      <c r="Q90" s="409"/>
      <c r="R90" s="409"/>
      <c r="S90" s="409"/>
      <c r="T90" s="409"/>
      <c r="U90" s="409"/>
      <c r="V90" s="409"/>
      <c r="W90" s="409"/>
      <c r="X90" s="409"/>
      <c r="Y90" s="409"/>
      <c r="Z90" s="409"/>
    </row>
    <row r="91" spans="1:26" ht="6.75" customHeight="1" collapsed="1" x14ac:dyDescent="0.25"/>
    <row r="92" spans="1:26" x14ac:dyDescent="0.25">
      <c r="A92" s="441" t="s">
        <v>37</v>
      </c>
      <c r="B92" s="441"/>
      <c r="C92" s="402"/>
      <c r="D92" s="402"/>
      <c r="E92" s="402"/>
      <c r="F92" s="402"/>
      <c r="G92" s="402"/>
      <c r="H92" s="491"/>
      <c r="I92" s="491"/>
      <c r="J92" s="402"/>
      <c r="K92" s="402"/>
      <c r="L92" s="402"/>
      <c r="M92" s="402"/>
      <c r="N92" s="402"/>
      <c r="O92" s="402" t="s">
        <v>5</v>
      </c>
      <c r="P92" s="402"/>
      <c r="Q92" s="402"/>
      <c r="R92" s="402"/>
      <c r="S92" s="402"/>
      <c r="T92" s="402"/>
      <c r="U92" s="402"/>
      <c r="V92" s="402"/>
      <c r="W92" s="402"/>
      <c r="X92" s="402"/>
      <c r="Y92" s="402"/>
      <c r="Z92" s="402"/>
    </row>
    <row r="93" spans="1:26" x14ac:dyDescent="0.25">
      <c r="A93" s="535" t="str">
        <f>CONCATENATE(B17," ",C17)</f>
        <v>Objective 1 Heath and Satety</v>
      </c>
      <c r="B93" s="535"/>
      <c r="C93" s="536"/>
      <c r="D93" s="536"/>
      <c r="E93" s="507"/>
      <c r="F93" s="507"/>
      <c r="G93" s="507"/>
      <c r="H93" s="507"/>
      <c r="I93" s="507"/>
      <c r="J93" s="507"/>
      <c r="K93" s="507"/>
      <c r="L93" s="507"/>
      <c r="M93" s="507"/>
      <c r="N93" s="507"/>
      <c r="O93" s="507" t="s">
        <v>5</v>
      </c>
      <c r="P93" s="507"/>
      <c r="Q93" s="507"/>
      <c r="R93" s="507"/>
      <c r="S93" s="507"/>
      <c r="T93" s="507"/>
      <c r="U93" s="507"/>
      <c r="V93" s="507"/>
      <c r="W93" s="507"/>
      <c r="X93" s="507"/>
      <c r="Y93" s="507"/>
      <c r="Z93" s="507"/>
    </row>
    <row r="94" spans="1:26" ht="45" x14ac:dyDescent="0.25">
      <c r="A94" s="442" t="s">
        <v>261</v>
      </c>
      <c r="B94" s="442" t="s">
        <v>13</v>
      </c>
      <c r="C94" s="442" t="s">
        <v>14</v>
      </c>
      <c r="D94" s="509" t="s">
        <v>286</v>
      </c>
      <c r="E94" s="404" t="s">
        <v>16</v>
      </c>
      <c r="F94" s="404" t="s">
        <v>295</v>
      </c>
      <c r="G94" s="404" t="s">
        <v>39</v>
      </c>
      <c r="H94" s="404" t="s">
        <v>297</v>
      </c>
      <c r="I94" s="404" t="s">
        <v>298</v>
      </c>
      <c r="J94" s="404" t="s">
        <v>299</v>
      </c>
      <c r="K94" s="404" t="s">
        <v>300</v>
      </c>
      <c r="L94" s="404" t="s">
        <v>17</v>
      </c>
      <c r="M94" s="404" t="s">
        <v>18</v>
      </c>
      <c r="N94" s="404" t="s">
        <v>19</v>
      </c>
      <c r="O94" s="443">
        <v>43101</v>
      </c>
      <c r="P94" s="443">
        <v>43132</v>
      </c>
      <c r="Q94" s="443">
        <v>43160</v>
      </c>
      <c r="R94" s="443">
        <v>43191</v>
      </c>
      <c r="S94" s="443">
        <v>43221</v>
      </c>
      <c r="T94" s="443">
        <v>43252</v>
      </c>
      <c r="U94" s="443">
        <v>43282</v>
      </c>
      <c r="V94" s="443">
        <v>43313</v>
      </c>
      <c r="W94" s="443">
        <v>43344</v>
      </c>
      <c r="X94" s="443">
        <v>43374</v>
      </c>
      <c r="Y94" s="443">
        <v>43405</v>
      </c>
      <c r="Z94" s="443">
        <v>43435</v>
      </c>
    </row>
    <row r="95" spans="1:26" ht="36.6" customHeight="1" x14ac:dyDescent="0.25">
      <c r="A95" s="508" t="s">
        <v>2091</v>
      </c>
      <c r="B95" s="508"/>
      <c r="C95" s="508" t="s">
        <v>388</v>
      </c>
      <c r="D95" s="510"/>
      <c r="E95" s="496" t="s">
        <v>234</v>
      </c>
      <c r="F95" s="496"/>
      <c r="G95" s="496"/>
      <c r="H95" s="511"/>
      <c r="I95" s="511"/>
      <c r="J95" s="511"/>
      <c r="K95" s="511"/>
      <c r="L95" s="511">
        <v>12</v>
      </c>
      <c r="M95" s="496">
        <v>12</v>
      </c>
      <c r="N95" s="512">
        <f t="shared" ref="N95:N102" si="2">SUM(O95:Z95)</f>
        <v>66000</v>
      </c>
      <c r="O95" s="496">
        <v>5500</v>
      </c>
      <c r="P95" s="496">
        <v>5500</v>
      </c>
      <c r="Q95" s="496">
        <v>5500</v>
      </c>
      <c r="R95" s="496">
        <v>5500</v>
      </c>
      <c r="S95" s="496">
        <v>5500</v>
      </c>
      <c r="T95" s="496">
        <v>5500</v>
      </c>
      <c r="U95" s="496">
        <v>5500</v>
      </c>
      <c r="V95" s="496">
        <v>5500</v>
      </c>
      <c r="W95" s="496">
        <v>5500</v>
      </c>
      <c r="X95" s="496">
        <v>5500</v>
      </c>
      <c r="Y95" s="496">
        <v>5500</v>
      </c>
      <c r="Z95" s="496">
        <v>5500</v>
      </c>
    </row>
    <row r="96" spans="1:26" x14ac:dyDescent="0.25">
      <c r="A96" s="508" t="s">
        <v>2093</v>
      </c>
      <c r="B96" s="508"/>
      <c r="C96" s="508" t="s">
        <v>389</v>
      </c>
      <c r="D96" s="510"/>
      <c r="E96" s="496" t="s">
        <v>234</v>
      </c>
      <c r="F96" s="496"/>
      <c r="G96" s="496"/>
      <c r="H96" s="511"/>
      <c r="I96" s="511"/>
      <c r="J96" s="511"/>
      <c r="K96" s="511"/>
      <c r="L96" s="511">
        <v>3</v>
      </c>
      <c r="M96" s="496"/>
      <c r="N96" s="512">
        <f t="shared" si="2"/>
        <v>2400</v>
      </c>
      <c r="O96" s="496">
        <v>600</v>
      </c>
      <c r="P96" s="496"/>
      <c r="Q96" s="496">
        <v>600</v>
      </c>
      <c r="R96" s="496"/>
      <c r="S96" s="496"/>
      <c r="T96" s="496"/>
      <c r="U96" s="496">
        <v>600</v>
      </c>
      <c r="V96" s="496"/>
      <c r="W96" s="496"/>
      <c r="X96" s="496">
        <v>600</v>
      </c>
      <c r="Y96" s="496"/>
      <c r="Z96" s="496"/>
    </row>
    <row r="97" spans="1:26" x14ac:dyDescent="0.25">
      <c r="A97" s="508" t="s">
        <v>2094</v>
      </c>
      <c r="B97" s="508"/>
      <c r="C97" s="508" t="s">
        <v>390</v>
      </c>
      <c r="D97" s="510"/>
      <c r="E97" s="496" t="s">
        <v>234</v>
      </c>
      <c r="F97" s="496"/>
      <c r="G97" s="496"/>
      <c r="H97" s="511"/>
      <c r="I97" s="511"/>
      <c r="J97" s="511"/>
      <c r="K97" s="511"/>
      <c r="L97" s="511">
        <v>3</v>
      </c>
      <c r="M97" s="496"/>
      <c r="N97" s="512">
        <f t="shared" si="2"/>
        <v>18000</v>
      </c>
      <c r="O97" s="496"/>
      <c r="P97" s="496"/>
      <c r="Q97" s="496"/>
      <c r="R97" s="496">
        <v>6000</v>
      </c>
      <c r="S97" s="496">
        <v>6000</v>
      </c>
      <c r="T97" s="496">
        <v>6000</v>
      </c>
      <c r="U97" s="496"/>
      <c r="V97" s="496"/>
      <c r="W97" s="496"/>
      <c r="X97" s="496"/>
      <c r="Y97" s="496"/>
      <c r="Z97" s="496"/>
    </row>
    <row r="98" spans="1:26" x14ac:dyDescent="0.25">
      <c r="A98" s="508" t="s">
        <v>2095</v>
      </c>
      <c r="B98" s="508"/>
      <c r="C98" s="508" t="s">
        <v>391</v>
      </c>
      <c r="D98" s="510"/>
      <c r="E98" s="496" t="s">
        <v>234</v>
      </c>
      <c r="F98" s="496"/>
      <c r="G98" s="496"/>
      <c r="H98" s="511"/>
      <c r="I98" s="511"/>
      <c r="J98" s="511"/>
      <c r="K98" s="511"/>
      <c r="L98" s="511">
        <v>12</v>
      </c>
      <c r="M98" s="496"/>
      <c r="N98" s="512">
        <f t="shared" si="2"/>
        <v>3600</v>
      </c>
      <c r="O98" s="496">
        <v>300</v>
      </c>
      <c r="P98" s="496">
        <v>300</v>
      </c>
      <c r="Q98" s="496">
        <v>300</v>
      </c>
      <c r="R98" s="496">
        <v>300</v>
      </c>
      <c r="S98" s="496">
        <v>300</v>
      </c>
      <c r="T98" s="496">
        <v>300</v>
      </c>
      <c r="U98" s="496">
        <v>300</v>
      </c>
      <c r="V98" s="496">
        <v>300</v>
      </c>
      <c r="W98" s="496">
        <v>300</v>
      </c>
      <c r="X98" s="496">
        <v>300</v>
      </c>
      <c r="Y98" s="496">
        <v>300</v>
      </c>
      <c r="Z98" s="496">
        <v>300</v>
      </c>
    </row>
    <row r="99" spans="1:26" x14ac:dyDescent="0.25">
      <c r="A99" s="508" t="s">
        <v>2096</v>
      </c>
      <c r="B99" s="508"/>
      <c r="C99" s="508" t="s">
        <v>392</v>
      </c>
      <c r="D99" s="510"/>
      <c r="E99" s="496" t="s">
        <v>234</v>
      </c>
      <c r="F99" s="496"/>
      <c r="G99" s="496"/>
      <c r="H99" s="511"/>
      <c r="I99" s="511"/>
      <c r="J99" s="511"/>
      <c r="K99" s="511"/>
      <c r="L99" s="511">
        <v>2</v>
      </c>
      <c r="M99" s="496"/>
      <c r="N99" s="496">
        <f t="shared" si="2"/>
        <v>6000</v>
      </c>
      <c r="O99" s="496"/>
      <c r="P99" s="496"/>
      <c r="Q99" s="496"/>
      <c r="R99" s="496"/>
      <c r="S99" s="496"/>
      <c r="T99" s="496">
        <v>3000</v>
      </c>
      <c r="U99" s="496"/>
      <c r="V99" s="496"/>
      <c r="W99" s="496"/>
      <c r="X99" s="496"/>
      <c r="Y99" s="496">
        <v>3000</v>
      </c>
      <c r="Z99" s="496"/>
    </row>
    <row r="100" spans="1:26" x14ac:dyDescent="0.25">
      <c r="A100" s="508" t="s">
        <v>2097</v>
      </c>
      <c r="B100" s="508"/>
      <c r="C100" s="508" t="s">
        <v>393</v>
      </c>
      <c r="D100" s="510"/>
      <c r="E100" s="496" t="s">
        <v>234</v>
      </c>
      <c r="F100" s="496"/>
      <c r="G100" s="496"/>
      <c r="H100" s="511"/>
      <c r="I100" s="511"/>
      <c r="J100" s="511"/>
      <c r="K100" s="511"/>
      <c r="L100" s="511">
        <v>3</v>
      </c>
      <c r="M100" s="496"/>
      <c r="N100" s="496">
        <f t="shared" si="2"/>
        <v>3000</v>
      </c>
      <c r="O100" s="496"/>
      <c r="P100" s="496"/>
      <c r="Q100" s="496"/>
      <c r="R100" s="496">
        <v>1000</v>
      </c>
      <c r="S100" s="496"/>
      <c r="T100" s="496"/>
      <c r="U100" s="496">
        <v>1000</v>
      </c>
      <c r="V100" s="496"/>
      <c r="W100" s="496"/>
      <c r="X100" s="496">
        <v>1000</v>
      </c>
      <c r="Y100" s="496"/>
      <c r="Z100" s="496"/>
    </row>
    <row r="101" spans="1:26" ht="30" x14ac:dyDescent="0.25">
      <c r="A101" s="508" t="s">
        <v>2098</v>
      </c>
      <c r="B101" s="508"/>
      <c r="C101" s="508" t="s">
        <v>394</v>
      </c>
      <c r="D101" s="510"/>
      <c r="E101" s="496" t="s">
        <v>234</v>
      </c>
      <c r="F101" s="496"/>
      <c r="G101" s="496"/>
      <c r="H101" s="511"/>
      <c r="I101" s="511"/>
      <c r="J101" s="511"/>
      <c r="K101" s="511"/>
      <c r="L101" s="511">
        <v>5</v>
      </c>
      <c r="M101" s="496"/>
      <c r="N101" s="496">
        <f t="shared" si="2"/>
        <v>1000</v>
      </c>
      <c r="O101" s="496">
        <v>200</v>
      </c>
      <c r="P101" s="496"/>
      <c r="Q101" s="496">
        <v>200</v>
      </c>
      <c r="R101" s="496"/>
      <c r="S101" s="496">
        <v>200</v>
      </c>
      <c r="T101" s="496"/>
      <c r="U101" s="496"/>
      <c r="V101" s="496">
        <v>200</v>
      </c>
      <c r="W101" s="496"/>
      <c r="X101" s="496"/>
      <c r="Y101" s="496"/>
      <c r="Z101" s="496">
        <v>200</v>
      </c>
    </row>
    <row r="102" spans="1:26" x14ac:dyDescent="0.25">
      <c r="A102" s="508"/>
      <c r="B102" s="508"/>
      <c r="C102" s="508"/>
      <c r="D102" s="510"/>
      <c r="E102" s="496"/>
      <c r="F102" s="496"/>
      <c r="G102" s="496"/>
      <c r="H102" s="511"/>
      <c r="I102" s="511"/>
      <c r="J102" s="511"/>
      <c r="K102" s="511"/>
      <c r="L102" s="511"/>
      <c r="M102" s="496"/>
      <c r="N102" s="496">
        <f t="shared" si="2"/>
        <v>0</v>
      </c>
      <c r="O102" s="496"/>
      <c r="P102" s="496"/>
      <c r="Q102" s="496"/>
      <c r="R102" s="496"/>
      <c r="S102" s="496"/>
      <c r="T102" s="496"/>
      <c r="U102" s="496"/>
      <c r="V102" s="496"/>
      <c r="W102" s="496"/>
      <c r="X102" s="496"/>
      <c r="Y102" s="496"/>
      <c r="Z102" s="496"/>
    </row>
    <row r="103" spans="1:26" ht="22.5" customHeight="1" x14ac:dyDescent="0.25">
      <c r="A103" s="537"/>
      <c r="B103" s="538"/>
      <c r="C103" s="538"/>
      <c r="D103" s="538"/>
      <c r="E103" s="519"/>
      <c r="F103" s="519"/>
      <c r="G103" s="519"/>
      <c r="H103" s="519"/>
      <c r="I103" s="519"/>
      <c r="J103" s="516" t="s">
        <v>20</v>
      </c>
      <c r="K103" s="519"/>
      <c r="L103" s="404">
        <v>12</v>
      </c>
      <c r="M103" s="404">
        <f t="shared" ref="M103:Z103" si="3">SUM(M95:M102)</f>
        <v>12</v>
      </c>
      <c r="N103" s="404">
        <f t="shared" si="3"/>
        <v>100000</v>
      </c>
      <c r="O103" s="404">
        <f t="shared" si="3"/>
        <v>6600</v>
      </c>
      <c r="P103" s="404">
        <f t="shared" si="3"/>
        <v>5800</v>
      </c>
      <c r="Q103" s="404">
        <f t="shared" si="3"/>
        <v>6600</v>
      </c>
      <c r="R103" s="404">
        <f t="shared" si="3"/>
        <v>12800</v>
      </c>
      <c r="S103" s="404">
        <f t="shared" si="3"/>
        <v>12000</v>
      </c>
      <c r="T103" s="404">
        <f t="shared" si="3"/>
        <v>14800</v>
      </c>
      <c r="U103" s="404">
        <f t="shared" si="3"/>
        <v>7400</v>
      </c>
      <c r="V103" s="404">
        <f t="shared" si="3"/>
        <v>6000</v>
      </c>
      <c r="W103" s="404">
        <f t="shared" si="3"/>
        <v>5800</v>
      </c>
      <c r="X103" s="404">
        <f t="shared" si="3"/>
        <v>7400</v>
      </c>
      <c r="Y103" s="404">
        <f t="shared" si="3"/>
        <v>8800</v>
      </c>
      <c r="Z103" s="404">
        <f t="shared" si="3"/>
        <v>6000</v>
      </c>
    </row>
    <row r="104" spans="1:26" hidden="1" x14ac:dyDescent="0.25">
      <c r="A104" s="535" t="str">
        <f>CONCATENATE(B18," ",C18)</f>
        <v xml:space="preserve"> </v>
      </c>
      <c r="B104" s="535"/>
      <c r="C104" s="536"/>
      <c r="D104" s="536"/>
      <c r="E104" s="507"/>
      <c r="F104" s="507"/>
      <c r="G104" s="507"/>
      <c r="H104" s="507"/>
      <c r="I104" s="507"/>
      <c r="J104" s="507"/>
      <c r="K104" s="507"/>
      <c r="L104" s="507"/>
      <c r="M104" s="507"/>
      <c r="N104" s="507"/>
      <c r="O104" s="507" t="s">
        <v>5</v>
      </c>
      <c r="P104" s="507"/>
      <c r="Q104" s="507"/>
      <c r="R104" s="507"/>
      <c r="S104" s="507"/>
      <c r="T104" s="507"/>
      <c r="U104" s="507"/>
      <c r="V104" s="507"/>
      <c r="W104" s="507"/>
      <c r="X104" s="507"/>
      <c r="Y104" s="507"/>
      <c r="Z104" s="507"/>
    </row>
    <row r="105" spans="1:26" ht="45" hidden="1" x14ac:dyDescent="0.25">
      <c r="A105" s="442" t="s">
        <v>261</v>
      </c>
      <c r="B105" s="442" t="s">
        <v>13</v>
      </c>
      <c r="C105" s="442" t="s">
        <v>14</v>
      </c>
      <c r="D105" s="509" t="s">
        <v>286</v>
      </c>
      <c r="E105" s="404" t="s">
        <v>16</v>
      </c>
      <c r="F105" s="404" t="s">
        <v>295</v>
      </c>
      <c r="G105" s="404" t="s">
        <v>39</v>
      </c>
      <c r="H105" s="404" t="s">
        <v>297</v>
      </c>
      <c r="I105" s="404" t="s">
        <v>298</v>
      </c>
      <c r="J105" s="404" t="s">
        <v>299</v>
      </c>
      <c r="K105" s="404" t="s">
        <v>300</v>
      </c>
      <c r="L105" s="404" t="s">
        <v>17</v>
      </c>
      <c r="M105" s="404" t="s">
        <v>18</v>
      </c>
      <c r="N105" s="404" t="s">
        <v>19</v>
      </c>
      <c r="O105" s="443">
        <v>43101</v>
      </c>
      <c r="P105" s="443">
        <v>43132</v>
      </c>
      <c r="Q105" s="443">
        <v>43160</v>
      </c>
      <c r="R105" s="443">
        <v>43191</v>
      </c>
      <c r="S105" s="443">
        <v>43221</v>
      </c>
      <c r="T105" s="443">
        <v>43252</v>
      </c>
      <c r="U105" s="443">
        <v>43282</v>
      </c>
      <c r="V105" s="443">
        <v>43313</v>
      </c>
      <c r="W105" s="443">
        <v>43344</v>
      </c>
      <c r="X105" s="443">
        <v>43374</v>
      </c>
      <c r="Y105" s="443">
        <v>43405</v>
      </c>
      <c r="Z105" s="443">
        <v>43435</v>
      </c>
    </row>
    <row r="106" spans="1:26" hidden="1" x14ac:dyDescent="0.25">
      <c r="A106" s="508"/>
      <c r="B106" s="508"/>
      <c r="C106" s="508"/>
      <c r="D106" s="510"/>
      <c r="E106" s="496"/>
      <c r="F106" s="496"/>
      <c r="G106" s="496"/>
      <c r="H106" s="496"/>
      <c r="I106" s="496"/>
      <c r="J106" s="496"/>
      <c r="K106" s="496"/>
      <c r="L106" s="496"/>
      <c r="M106" s="496"/>
      <c r="N106" s="512"/>
      <c r="O106" s="496"/>
      <c r="P106" s="496"/>
      <c r="Q106" s="496"/>
      <c r="R106" s="496"/>
      <c r="S106" s="496"/>
      <c r="T106" s="496"/>
      <c r="U106" s="496"/>
      <c r="V106" s="496"/>
      <c r="W106" s="496"/>
      <c r="X106" s="496"/>
      <c r="Y106" s="496"/>
      <c r="Z106" s="496"/>
    </row>
    <row r="107" spans="1:26" hidden="1" x14ac:dyDescent="0.25">
      <c r="A107" s="508"/>
      <c r="B107" s="508"/>
      <c r="C107" s="508"/>
      <c r="D107" s="510"/>
      <c r="E107" s="496"/>
      <c r="F107" s="496"/>
      <c r="G107" s="496"/>
      <c r="H107" s="496"/>
      <c r="I107" s="496"/>
      <c r="J107" s="496"/>
      <c r="K107" s="496"/>
      <c r="L107" s="496"/>
      <c r="M107" s="496"/>
      <c r="N107" s="512"/>
      <c r="O107" s="496"/>
      <c r="P107" s="496"/>
      <c r="Q107" s="496"/>
      <c r="R107" s="496"/>
      <c r="S107" s="496"/>
      <c r="T107" s="496"/>
      <c r="U107" s="496"/>
      <c r="V107" s="496"/>
      <c r="W107" s="496"/>
      <c r="X107" s="496"/>
      <c r="Y107" s="496"/>
      <c r="Z107" s="496"/>
    </row>
    <row r="108" spans="1:26" hidden="1" x14ac:dyDescent="0.25">
      <c r="A108" s="508"/>
      <c r="B108" s="508"/>
      <c r="C108" s="508"/>
      <c r="D108" s="510"/>
      <c r="E108" s="496"/>
      <c r="F108" s="496"/>
      <c r="G108" s="496"/>
      <c r="H108" s="496"/>
      <c r="I108" s="496"/>
      <c r="J108" s="496"/>
      <c r="K108" s="496"/>
      <c r="L108" s="496"/>
      <c r="M108" s="496"/>
      <c r="N108" s="512"/>
      <c r="O108" s="496"/>
      <c r="P108" s="496"/>
      <c r="Q108" s="496"/>
      <c r="R108" s="496"/>
      <c r="S108" s="496"/>
      <c r="T108" s="496"/>
      <c r="U108" s="496"/>
      <c r="V108" s="496"/>
      <c r="W108" s="496"/>
      <c r="X108" s="496"/>
      <c r="Y108" s="496"/>
      <c r="Z108" s="496"/>
    </row>
    <row r="109" spans="1:26" hidden="1" x14ac:dyDescent="0.25">
      <c r="A109" s="508"/>
      <c r="B109" s="508"/>
      <c r="C109" s="508"/>
      <c r="D109" s="510"/>
      <c r="E109" s="496"/>
      <c r="F109" s="496"/>
      <c r="G109" s="556"/>
      <c r="H109" s="496"/>
      <c r="I109" s="496"/>
      <c r="J109" s="496"/>
      <c r="K109" s="496"/>
      <c r="L109" s="496"/>
      <c r="M109" s="496"/>
      <c r="N109" s="512"/>
      <c r="O109" s="496"/>
      <c r="P109" s="496"/>
      <c r="Q109" s="496"/>
      <c r="R109" s="496"/>
      <c r="S109" s="496"/>
      <c r="T109" s="496"/>
      <c r="U109" s="496"/>
      <c r="V109" s="496"/>
      <c r="W109" s="496"/>
      <c r="X109" s="496"/>
      <c r="Y109" s="496"/>
      <c r="Z109" s="496"/>
    </row>
    <row r="110" spans="1:26" hidden="1" x14ac:dyDescent="0.25">
      <c r="A110" s="508"/>
      <c r="B110" s="508"/>
      <c r="C110" s="508"/>
      <c r="D110" s="510"/>
      <c r="E110" s="496"/>
      <c r="F110" s="496"/>
      <c r="G110" s="556"/>
      <c r="H110" s="496"/>
      <c r="I110" s="496"/>
      <c r="J110" s="496"/>
      <c r="K110" s="496"/>
      <c r="L110" s="496"/>
      <c r="M110" s="496"/>
      <c r="N110" s="512"/>
      <c r="O110" s="496"/>
      <c r="P110" s="496"/>
      <c r="Q110" s="496"/>
      <c r="R110" s="496"/>
      <c r="S110" s="496"/>
      <c r="T110" s="496"/>
      <c r="U110" s="496"/>
      <c r="V110" s="496"/>
      <c r="W110" s="496"/>
      <c r="X110" s="496"/>
      <c r="Y110" s="496"/>
      <c r="Z110" s="496"/>
    </row>
    <row r="111" spans="1:26" hidden="1" x14ac:dyDescent="0.25">
      <c r="A111" s="508"/>
      <c r="B111" s="508"/>
      <c r="C111" s="508"/>
      <c r="D111" s="510"/>
      <c r="E111" s="496"/>
      <c r="F111" s="496"/>
      <c r="G111" s="496"/>
      <c r="H111" s="496"/>
      <c r="I111" s="496"/>
      <c r="J111" s="496"/>
      <c r="K111" s="496"/>
      <c r="L111" s="496"/>
      <c r="M111" s="496"/>
      <c r="N111" s="512"/>
      <c r="O111" s="496"/>
      <c r="P111" s="496"/>
      <c r="Q111" s="496"/>
      <c r="R111" s="496"/>
      <c r="S111" s="496"/>
      <c r="T111" s="496"/>
      <c r="U111" s="496"/>
      <c r="V111" s="496"/>
      <c r="W111" s="496"/>
      <c r="X111" s="496"/>
      <c r="Y111" s="496"/>
      <c r="Z111" s="496"/>
    </row>
    <row r="112" spans="1:26" hidden="1" x14ac:dyDescent="0.25">
      <c r="A112" s="508"/>
      <c r="B112" s="508"/>
      <c r="C112" s="508"/>
      <c r="D112" s="510"/>
      <c r="E112" s="496"/>
      <c r="F112" s="496"/>
      <c r="G112" s="496"/>
      <c r="H112" s="496"/>
      <c r="I112" s="496"/>
      <c r="J112" s="496"/>
      <c r="K112" s="496"/>
      <c r="L112" s="496"/>
      <c r="M112" s="496"/>
      <c r="N112" s="512"/>
      <c r="O112" s="496"/>
      <c r="P112" s="496"/>
      <c r="Q112" s="496"/>
      <c r="R112" s="496"/>
      <c r="S112" s="496"/>
      <c r="T112" s="496"/>
      <c r="U112" s="496"/>
      <c r="V112" s="496"/>
      <c r="W112" s="496"/>
      <c r="X112" s="496"/>
      <c r="Y112" s="496"/>
      <c r="Z112" s="496"/>
    </row>
    <row r="113" spans="1:26" hidden="1" x14ac:dyDescent="0.25">
      <c r="A113" s="508"/>
      <c r="B113" s="508"/>
      <c r="C113" s="508"/>
      <c r="D113" s="510"/>
      <c r="E113" s="496"/>
      <c r="F113" s="496"/>
      <c r="G113" s="496"/>
      <c r="H113" s="496"/>
      <c r="I113" s="496"/>
      <c r="J113" s="496"/>
      <c r="K113" s="496"/>
      <c r="L113" s="496"/>
      <c r="M113" s="496"/>
      <c r="N113" s="512"/>
      <c r="O113" s="496"/>
      <c r="P113" s="496"/>
      <c r="Q113" s="496"/>
      <c r="R113" s="496"/>
      <c r="S113" s="496"/>
      <c r="T113" s="496"/>
      <c r="U113" s="496"/>
      <c r="V113" s="496"/>
      <c r="W113" s="496"/>
      <c r="X113" s="496"/>
      <c r="Y113" s="496"/>
      <c r="Z113" s="496"/>
    </row>
    <row r="114" spans="1:26" hidden="1" x14ac:dyDescent="0.25">
      <c r="A114" s="508"/>
      <c r="B114" s="508"/>
      <c r="C114" s="508"/>
      <c r="D114" s="510"/>
      <c r="E114" s="496"/>
      <c r="F114" s="496"/>
      <c r="G114" s="496"/>
      <c r="H114" s="496"/>
      <c r="I114" s="496"/>
      <c r="J114" s="496"/>
      <c r="K114" s="496"/>
      <c r="L114" s="496"/>
      <c r="M114" s="496"/>
      <c r="N114" s="512"/>
      <c r="O114" s="496"/>
      <c r="P114" s="496"/>
      <c r="Q114" s="496"/>
      <c r="R114" s="496"/>
      <c r="S114" s="496"/>
      <c r="T114" s="496"/>
      <c r="U114" s="496"/>
      <c r="V114" s="496"/>
      <c r="W114" s="496"/>
      <c r="X114" s="496"/>
      <c r="Y114" s="496"/>
      <c r="Z114" s="496"/>
    </row>
    <row r="115" spans="1:26" hidden="1" x14ac:dyDescent="0.25">
      <c r="A115" s="508"/>
      <c r="B115" s="508"/>
      <c r="C115" s="508"/>
      <c r="D115" s="510"/>
      <c r="E115" s="496"/>
      <c r="F115" s="496"/>
      <c r="G115" s="496"/>
      <c r="H115" s="496"/>
      <c r="I115" s="496"/>
      <c r="J115" s="496"/>
      <c r="K115" s="496"/>
      <c r="L115" s="496"/>
      <c r="M115" s="496"/>
      <c r="N115" s="512"/>
      <c r="O115" s="496"/>
      <c r="P115" s="496"/>
      <c r="Q115" s="496"/>
      <c r="R115" s="496"/>
      <c r="S115" s="496"/>
      <c r="T115" s="496"/>
      <c r="U115" s="496"/>
      <c r="V115" s="496"/>
      <c r="W115" s="496"/>
      <c r="X115" s="496"/>
      <c r="Y115" s="496"/>
      <c r="Z115" s="496"/>
    </row>
    <row r="116" spans="1:26" hidden="1" x14ac:dyDescent="0.25">
      <c r="A116" s="508"/>
      <c r="B116" s="508"/>
      <c r="C116" s="508"/>
      <c r="D116" s="510"/>
      <c r="E116" s="496"/>
      <c r="F116" s="496"/>
      <c r="G116" s="496"/>
      <c r="H116" s="496"/>
      <c r="I116" s="496"/>
      <c r="J116" s="496"/>
      <c r="K116" s="496"/>
      <c r="L116" s="496"/>
      <c r="M116" s="496"/>
      <c r="N116" s="512"/>
      <c r="O116" s="496"/>
      <c r="P116" s="496"/>
      <c r="Q116" s="496"/>
      <c r="R116" s="496"/>
      <c r="S116" s="496"/>
      <c r="T116" s="496"/>
      <c r="U116" s="496"/>
      <c r="V116" s="496"/>
      <c r="W116" s="496"/>
      <c r="X116" s="496"/>
      <c r="Y116" s="496"/>
      <c r="Z116" s="496"/>
    </row>
    <row r="117" spans="1:26" ht="27.6" hidden="1" customHeight="1" x14ac:dyDescent="0.25">
      <c r="A117" s="508"/>
      <c r="B117" s="508"/>
      <c r="C117" s="508"/>
      <c r="D117" s="510"/>
      <c r="E117" s="496"/>
      <c r="F117" s="496"/>
      <c r="G117" s="496"/>
      <c r="H117" s="496"/>
      <c r="I117" s="496"/>
      <c r="J117" s="496"/>
      <c r="K117" s="496"/>
      <c r="L117" s="496"/>
      <c r="M117" s="496"/>
      <c r="N117" s="511"/>
      <c r="O117" s="496"/>
      <c r="P117" s="496"/>
      <c r="Q117" s="496"/>
      <c r="R117" s="496"/>
      <c r="S117" s="496"/>
      <c r="T117" s="496"/>
      <c r="U117" s="496"/>
      <c r="V117" s="496"/>
      <c r="W117" s="496"/>
      <c r="X117" s="496"/>
      <c r="Y117" s="496"/>
      <c r="Z117" s="496"/>
    </row>
    <row r="118" spans="1:26" ht="22.5" hidden="1" customHeight="1" x14ac:dyDescent="0.25">
      <c r="A118" s="537"/>
      <c r="B118" s="538"/>
      <c r="C118" s="538"/>
      <c r="D118" s="538"/>
      <c r="E118" s="519"/>
      <c r="F118" s="519"/>
      <c r="G118" s="519"/>
      <c r="H118" s="519"/>
      <c r="I118" s="519"/>
      <c r="J118" s="516" t="s">
        <v>20</v>
      </c>
      <c r="K118" s="519"/>
      <c r="L118" s="404">
        <f>SUM(L117:L117)</f>
        <v>0</v>
      </c>
      <c r="M118" s="404">
        <f>SUM(M117:M117)</f>
        <v>0</v>
      </c>
      <c r="N118" s="404">
        <f>SUM(N106:N117)</f>
        <v>0</v>
      </c>
      <c r="O118" s="404">
        <f>SUM(O106:O117)</f>
        <v>0</v>
      </c>
      <c r="P118" s="404">
        <f t="shared" ref="P118:Z118" si="4">SUM(P106:P117)</f>
        <v>0</v>
      </c>
      <c r="Q118" s="404">
        <f t="shared" si="4"/>
        <v>0</v>
      </c>
      <c r="R118" s="404">
        <f t="shared" si="4"/>
        <v>0</v>
      </c>
      <c r="S118" s="404">
        <f t="shared" si="4"/>
        <v>0</v>
      </c>
      <c r="T118" s="404">
        <f t="shared" si="4"/>
        <v>0</v>
      </c>
      <c r="U118" s="404">
        <f t="shared" si="4"/>
        <v>0</v>
      </c>
      <c r="V118" s="404">
        <f t="shared" si="4"/>
        <v>0</v>
      </c>
      <c r="W118" s="404">
        <f t="shared" si="4"/>
        <v>0</v>
      </c>
      <c r="X118" s="404">
        <f t="shared" si="4"/>
        <v>0</v>
      </c>
      <c r="Y118" s="404">
        <f t="shared" si="4"/>
        <v>0</v>
      </c>
      <c r="Z118" s="404">
        <f t="shared" si="4"/>
        <v>0</v>
      </c>
    </row>
    <row r="119" spans="1:26" x14ac:dyDescent="0.25">
      <c r="A119" s="535" t="str">
        <f>CONCATENATE(B19," ",C19)</f>
        <v xml:space="preserve"> </v>
      </c>
      <c r="B119" s="535"/>
      <c r="C119" s="536"/>
      <c r="D119" s="536"/>
      <c r="E119" s="507"/>
      <c r="F119" s="507"/>
      <c r="G119" s="507"/>
      <c r="H119" s="507"/>
      <c r="I119" s="507"/>
      <c r="J119" s="507"/>
      <c r="K119" s="507"/>
      <c r="L119" s="507"/>
      <c r="M119" s="507"/>
      <c r="N119" s="507"/>
      <c r="O119" s="507" t="s">
        <v>5</v>
      </c>
      <c r="P119" s="507"/>
      <c r="Q119" s="507"/>
      <c r="R119" s="507"/>
      <c r="S119" s="507"/>
      <c r="T119" s="507"/>
      <c r="U119" s="507"/>
      <c r="V119" s="507"/>
      <c r="W119" s="507"/>
      <c r="X119" s="507"/>
      <c r="Y119" s="507"/>
      <c r="Z119" s="507"/>
    </row>
    <row r="120" spans="1:26" ht="45" hidden="1" x14ac:dyDescent="0.25">
      <c r="A120" s="442" t="s">
        <v>261</v>
      </c>
      <c r="B120" s="442" t="s">
        <v>13</v>
      </c>
      <c r="C120" s="442" t="s">
        <v>14</v>
      </c>
      <c r="D120" s="509" t="s">
        <v>286</v>
      </c>
      <c r="E120" s="404" t="s">
        <v>16</v>
      </c>
      <c r="F120" s="404" t="s">
        <v>295</v>
      </c>
      <c r="G120" s="404" t="s">
        <v>39</v>
      </c>
      <c r="H120" s="404" t="s">
        <v>297</v>
      </c>
      <c r="I120" s="404" t="s">
        <v>298</v>
      </c>
      <c r="J120" s="404" t="s">
        <v>299</v>
      </c>
      <c r="K120" s="404" t="s">
        <v>300</v>
      </c>
      <c r="L120" s="404" t="s">
        <v>17</v>
      </c>
      <c r="M120" s="404" t="s">
        <v>18</v>
      </c>
      <c r="N120" s="404" t="s">
        <v>19</v>
      </c>
      <c r="O120" s="443">
        <v>43101</v>
      </c>
      <c r="P120" s="443">
        <v>43132</v>
      </c>
      <c r="Q120" s="443">
        <v>43160</v>
      </c>
      <c r="R120" s="443">
        <v>43191</v>
      </c>
      <c r="S120" s="443">
        <v>43221</v>
      </c>
      <c r="T120" s="443">
        <v>43252</v>
      </c>
      <c r="U120" s="443">
        <v>43282</v>
      </c>
      <c r="V120" s="443">
        <v>43313</v>
      </c>
      <c r="W120" s="443">
        <v>43344</v>
      </c>
      <c r="X120" s="443">
        <v>43374</v>
      </c>
      <c r="Y120" s="443">
        <v>43405</v>
      </c>
      <c r="Z120" s="443">
        <v>43435</v>
      </c>
    </row>
    <row r="121" spans="1:26" hidden="1" x14ac:dyDescent="0.25">
      <c r="A121" s="508"/>
      <c r="B121" s="508"/>
      <c r="C121" s="508"/>
      <c r="D121" s="510"/>
      <c r="E121" s="496"/>
      <c r="F121" s="496"/>
      <c r="G121" s="496"/>
      <c r="H121" s="496"/>
      <c r="I121" s="496"/>
      <c r="J121" s="496"/>
      <c r="K121" s="496"/>
      <c r="L121" s="496"/>
      <c r="M121" s="496"/>
      <c r="N121" s="512"/>
      <c r="O121" s="496"/>
      <c r="P121" s="496"/>
      <c r="Q121" s="496"/>
      <c r="R121" s="496"/>
      <c r="S121" s="496"/>
      <c r="T121" s="496"/>
      <c r="U121" s="496"/>
      <c r="V121" s="496"/>
      <c r="W121" s="496"/>
      <c r="X121" s="496"/>
      <c r="Y121" s="496"/>
      <c r="Z121" s="496"/>
    </row>
    <row r="122" spans="1:26" hidden="1" x14ac:dyDescent="0.25">
      <c r="A122" s="508"/>
      <c r="B122" s="508"/>
      <c r="C122" s="508"/>
      <c r="D122" s="510"/>
      <c r="E122" s="496"/>
      <c r="F122" s="496"/>
      <c r="G122" s="496"/>
      <c r="H122" s="496"/>
      <c r="I122" s="496"/>
      <c r="J122" s="496"/>
      <c r="K122" s="496"/>
      <c r="L122" s="496"/>
      <c r="M122" s="496"/>
      <c r="N122" s="512"/>
      <c r="O122" s="496"/>
      <c r="P122" s="496"/>
      <c r="Q122" s="496"/>
      <c r="R122" s="496"/>
      <c r="S122" s="496"/>
      <c r="T122" s="496"/>
      <c r="U122" s="496"/>
      <c r="V122" s="496"/>
      <c r="W122" s="496"/>
      <c r="X122" s="496"/>
      <c r="Y122" s="496"/>
      <c r="Z122" s="496"/>
    </row>
    <row r="123" spans="1:26" hidden="1" x14ac:dyDescent="0.25">
      <c r="A123" s="508"/>
      <c r="B123" s="508"/>
      <c r="C123" s="508"/>
      <c r="D123" s="510"/>
      <c r="E123" s="496"/>
      <c r="F123" s="496"/>
      <c r="G123" s="496"/>
      <c r="H123" s="496"/>
      <c r="I123" s="496"/>
      <c r="J123" s="496"/>
      <c r="K123" s="496"/>
      <c r="L123" s="496"/>
      <c r="M123" s="496"/>
      <c r="N123" s="512"/>
      <c r="O123" s="496"/>
      <c r="P123" s="496"/>
      <c r="Q123" s="496"/>
      <c r="R123" s="496"/>
      <c r="S123" s="496"/>
      <c r="T123" s="496"/>
      <c r="U123" s="496"/>
      <c r="V123" s="496"/>
      <c r="W123" s="496"/>
      <c r="X123" s="496"/>
      <c r="Y123" s="496"/>
      <c r="Z123" s="496"/>
    </row>
    <row r="124" spans="1:26" hidden="1" x14ac:dyDescent="0.25">
      <c r="A124" s="508"/>
      <c r="B124" s="508"/>
      <c r="C124" s="508"/>
      <c r="D124" s="510"/>
      <c r="E124" s="496"/>
      <c r="F124" s="496"/>
      <c r="G124" s="496"/>
      <c r="H124" s="496"/>
      <c r="I124" s="496"/>
      <c r="J124" s="496"/>
      <c r="K124" s="496"/>
      <c r="L124" s="496"/>
      <c r="M124" s="496"/>
      <c r="N124" s="512"/>
      <c r="O124" s="496"/>
      <c r="P124" s="496"/>
      <c r="Q124" s="496"/>
      <c r="R124" s="496"/>
      <c r="S124" s="496"/>
      <c r="T124" s="496"/>
      <c r="U124" s="496"/>
      <c r="V124" s="496"/>
      <c r="W124" s="496"/>
      <c r="X124" s="496"/>
      <c r="Y124" s="496"/>
      <c r="Z124" s="496"/>
    </row>
    <row r="125" spans="1:26" hidden="1" x14ac:dyDescent="0.25">
      <c r="A125" s="508"/>
      <c r="B125" s="508"/>
      <c r="C125" s="508"/>
      <c r="D125" s="510"/>
      <c r="E125" s="496"/>
      <c r="F125" s="496"/>
      <c r="G125" s="497"/>
      <c r="H125" s="496"/>
      <c r="I125" s="496"/>
      <c r="J125" s="496"/>
      <c r="K125" s="497"/>
      <c r="L125" s="496"/>
      <c r="M125" s="496"/>
      <c r="N125" s="512"/>
      <c r="O125" s="496"/>
      <c r="P125" s="496"/>
      <c r="Q125" s="496"/>
      <c r="R125" s="496"/>
      <c r="S125" s="496"/>
      <c r="T125" s="496"/>
      <c r="U125" s="496"/>
      <c r="V125" s="496"/>
      <c r="W125" s="496"/>
      <c r="X125" s="496"/>
      <c r="Y125" s="496"/>
      <c r="Z125" s="496"/>
    </row>
    <row r="126" spans="1:26" hidden="1" x14ac:dyDescent="0.25">
      <c r="A126" s="508"/>
      <c r="B126" s="508"/>
      <c r="C126" s="508"/>
      <c r="D126" s="510"/>
      <c r="E126" s="496"/>
      <c r="F126" s="496"/>
      <c r="G126" s="497"/>
      <c r="H126" s="496"/>
      <c r="I126" s="496"/>
      <c r="J126" s="496"/>
      <c r="K126" s="497"/>
      <c r="L126" s="496"/>
      <c r="M126" s="496"/>
      <c r="N126" s="512"/>
      <c r="O126" s="496"/>
      <c r="P126" s="496"/>
      <c r="Q126" s="496"/>
      <c r="R126" s="496"/>
      <c r="S126" s="496"/>
      <c r="T126" s="496"/>
      <c r="U126" s="496"/>
      <c r="V126" s="496"/>
      <c r="W126" s="496"/>
      <c r="X126" s="496"/>
      <c r="Y126" s="496"/>
      <c r="Z126" s="496"/>
    </row>
    <row r="127" spans="1:26" hidden="1" x14ac:dyDescent="0.25">
      <c r="A127" s="508"/>
      <c r="B127" s="508"/>
      <c r="C127" s="508"/>
      <c r="D127" s="510"/>
      <c r="E127" s="496"/>
      <c r="F127" s="496"/>
      <c r="G127" s="497"/>
      <c r="H127" s="496"/>
      <c r="I127" s="496"/>
      <c r="J127" s="496"/>
      <c r="K127" s="497"/>
      <c r="L127" s="496"/>
      <c r="M127" s="496"/>
      <c r="N127" s="512"/>
      <c r="O127" s="496"/>
      <c r="P127" s="496"/>
      <c r="Q127" s="496"/>
      <c r="R127" s="496"/>
      <c r="S127" s="496"/>
      <c r="T127" s="496"/>
      <c r="U127" s="496"/>
      <c r="V127" s="496"/>
      <c r="W127" s="496"/>
      <c r="X127" s="496"/>
      <c r="Y127" s="496"/>
      <c r="Z127" s="496"/>
    </row>
    <row r="128" spans="1:26" ht="29.45" hidden="1" customHeight="1" x14ac:dyDescent="0.25">
      <c r="A128" s="508"/>
      <c r="B128" s="508"/>
      <c r="C128" s="508"/>
      <c r="D128" s="510"/>
      <c r="E128" s="496"/>
      <c r="F128" s="496"/>
      <c r="G128" s="497"/>
      <c r="H128" s="496"/>
      <c r="I128" s="496"/>
      <c r="J128" s="496"/>
      <c r="K128" s="497"/>
      <c r="L128" s="496"/>
      <c r="M128" s="496"/>
      <c r="N128" s="512"/>
      <c r="O128" s="496"/>
      <c r="P128" s="496"/>
      <c r="Q128" s="496"/>
      <c r="R128" s="496"/>
      <c r="S128" s="496"/>
      <c r="T128" s="496"/>
      <c r="U128" s="496"/>
      <c r="V128" s="496"/>
      <c r="W128" s="496"/>
      <c r="X128" s="496"/>
      <c r="Y128" s="496"/>
      <c r="Z128" s="496"/>
    </row>
    <row r="129" spans="1:26" hidden="1" x14ac:dyDescent="0.25">
      <c r="A129" s="508"/>
      <c r="B129" s="508"/>
      <c r="C129" s="508"/>
      <c r="D129" s="510"/>
      <c r="E129" s="496"/>
      <c r="F129" s="496"/>
      <c r="G129" s="497"/>
      <c r="H129" s="496"/>
      <c r="I129" s="496"/>
      <c r="J129" s="496"/>
      <c r="K129" s="497"/>
      <c r="L129" s="496"/>
      <c r="M129" s="496"/>
      <c r="N129" s="512"/>
      <c r="O129" s="496"/>
      <c r="P129" s="496"/>
      <c r="Q129" s="496"/>
      <c r="R129" s="496"/>
      <c r="S129" s="496"/>
      <c r="T129" s="496"/>
      <c r="U129" s="496"/>
      <c r="V129" s="496"/>
      <c r="W129" s="496"/>
      <c r="X129" s="496"/>
      <c r="Y129" s="496"/>
      <c r="Z129" s="496"/>
    </row>
    <row r="130" spans="1:26" hidden="1" x14ac:dyDescent="0.25">
      <c r="A130" s="508"/>
      <c r="B130" s="508"/>
      <c r="C130" s="508"/>
      <c r="D130" s="510"/>
      <c r="E130" s="496"/>
      <c r="F130" s="496"/>
      <c r="G130" s="497"/>
      <c r="H130" s="496"/>
      <c r="I130" s="496"/>
      <c r="J130" s="496"/>
      <c r="K130" s="497"/>
      <c r="L130" s="496"/>
      <c r="M130" s="496"/>
      <c r="N130" s="512"/>
      <c r="O130" s="496"/>
      <c r="P130" s="496"/>
      <c r="Q130" s="496"/>
      <c r="R130" s="496"/>
      <c r="S130" s="496"/>
      <c r="T130" s="496"/>
      <c r="U130" s="496"/>
      <c r="V130" s="496"/>
      <c r="W130" s="496"/>
      <c r="X130" s="496"/>
      <c r="Y130" s="496"/>
      <c r="Z130" s="496"/>
    </row>
    <row r="131" spans="1:26" hidden="1" x14ac:dyDescent="0.25">
      <c r="A131" s="508"/>
      <c r="B131" s="508"/>
      <c r="C131" s="508"/>
      <c r="D131" s="510"/>
      <c r="E131" s="496"/>
      <c r="F131" s="496"/>
      <c r="G131" s="497"/>
      <c r="H131" s="496"/>
      <c r="I131" s="496"/>
      <c r="J131" s="496"/>
      <c r="K131" s="497"/>
      <c r="L131" s="496"/>
      <c r="M131" s="496"/>
      <c r="N131" s="512"/>
      <c r="O131" s="496"/>
      <c r="P131" s="496"/>
      <c r="Q131" s="496"/>
      <c r="R131" s="496"/>
      <c r="S131" s="496"/>
      <c r="T131" s="496"/>
      <c r="U131" s="496"/>
      <c r="V131" s="496"/>
      <c r="W131" s="496"/>
      <c r="X131" s="496"/>
      <c r="Y131" s="496"/>
      <c r="Z131" s="496"/>
    </row>
    <row r="132" spans="1:26" hidden="1" x14ac:dyDescent="0.25">
      <c r="A132" s="508"/>
      <c r="B132" s="508"/>
      <c r="C132" s="508"/>
      <c r="D132" s="510"/>
      <c r="E132" s="496"/>
      <c r="F132" s="496"/>
      <c r="G132" s="497"/>
      <c r="H132" s="496"/>
      <c r="I132" s="496"/>
      <c r="J132" s="496"/>
      <c r="K132" s="497"/>
      <c r="L132" s="496"/>
      <c r="M132" s="496"/>
      <c r="N132" s="496"/>
      <c r="O132" s="496"/>
      <c r="P132" s="496"/>
      <c r="Q132" s="496"/>
      <c r="R132" s="496"/>
      <c r="S132" s="496"/>
      <c r="T132" s="496"/>
      <c r="U132" s="496"/>
      <c r="V132" s="496"/>
      <c r="W132" s="496"/>
      <c r="X132" s="496"/>
      <c r="Y132" s="496"/>
      <c r="Z132" s="496"/>
    </row>
    <row r="133" spans="1:26" hidden="1" x14ac:dyDescent="0.25">
      <c r="A133" s="508"/>
      <c r="B133" s="508"/>
      <c r="C133" s="508"/>
      <c r="D133" s="510"/>
      <c r="E133" s="496"/>
      <c r="F133" s="496"/>
      <c r="G133" s="497"/>
      <c r="H133" s="496"/>
      <c r="I133" s="496"/>
      <c r="J133" s="496"/>
      <c r="K133" s="497"/>
      <c r="L133" s="496"/>
      <c r="M133" s="496"/>
      <c r="N133" s="496"/>
      <c r="O133" s="511"/>
      <c r="P133" s="511"/>
      <c r="Q133" s="511"/>
      <c r="R133" s="511"/>
      <c r="S133" s="511"/>
      <c r="T133" s="511"/>
      <c r="U133" s="511"/>
      <c r="V133" s="511"/>
      <c r="W133" s="511"/>
      <c r="X133" s="511"/>
      <c r="Y133" s="511"/>
      <c r="Z133" s="511"/>
    </row>
    <row r="134" spans="1:26" hidden="1" x14ac:dyDescent="0.25">
      <c r="A134" s="508" t="s">
        <v>285</v>
      </c>
      <c r="B134" s="508"/>
      <c r="C134" s="508"/>
      <c r="D134" s="510"/>
      <c r="E134" s="496"/>
      <c r="F134" s="496"/>
      <c r="G134" s="410"/>
      <c r="H134" s="496"/>
      <c r="I134" s="496"/>
      <c r="J134" s="496"/>
      <c r="K134" s="519" t="s">
        <v>20</v>
      </c>
      <c r="L134" s="404">
        <f>SUM(L120:L124)</f>
        <v>0</v>
      </c>
      <c r="M134" s="404">
        <f>SUM(M120:M124)</f>
        <v>0</v>
      </c>
      <c r="N134" s="496">
        <f>SUM(N121:N133)</f>
        <v>0</v>
      </c>
      <c r="O134" s="511">
        <f>SUM(O121:O133)</f>
        <v>0</v>
      </c>
      <c r="P134" s="511">
        <f>SUM(P121:P133)</f>
        <v>0</v>
      </c>
      <c r="Q134" s="511">
        <f t="shared" ref="Q134:Z134" si="5">SUM(Q121:Q133)</f>
        <v>0</v>
      </c>
      <c r="R134" s="511">
        <f t="shared" si="5"/>
        <v>0</v>
      </c>
      <c r="S134" s="511">
        <f t="shared" si="5"/>
        <v>0</v>
      </c>
      <c r="T134" s="511">
        <f t="shared" si="5"/>
        <v>0</v>
      </c>
      <c r="U134" s="511">
        <f t="shared" si="5"/>
        <v>0</v>
      </c>
      <c r="V134" s="511">
        <f t="shared" si="5"/>
        <v>0</v>
      </c>
      <c r="W134" s="511">
        <f t="shared" si="5"/>
        <v>0</v>
      </c>
      <c r="X134" s="511">
        <f t="shared" si="5"/>
        <v>0</v>
      </c>
      <c r="Y134" s="511">
        <f t="shared" si="5"/>
        <v>0</v>
      </c>
      <c r="Z134" s="511">
        <f t="shared" si="5"/>
        <v>0</v>
      </c>
    </row>
    <row r="135" spans="1:26" hidden="1" outlineLevel="1" x14ac:dyDescent="0.25">
      <c r="A135" s="535" t="str">
        <f>CONCATENATE(B20," ",C20)</f>
        <v xml:space="preserve"> </v>
      </c>
      <c r="B135" s="535"/>
      <c r="C135" s="536"/>
      <c r="D135" s="536"/>
      <c r="E135" s="507"/>
      <c r="F135" s="507"/>
      <c r="G135" s="507"/>
      <c r="H135" s="507"/>
      <c r="I135" s="507"/>
      <c r="J135" s="507"/>
      <c r="K135" s="507"/>
      <c r="L135" s="507"/>
      <c r="M135" s="507"/>
      <c r="N135" s="507"/>
      <c r="O135" s="507" t="s">
        <v>5</v>
      </c>
      <c r="P135" s="507"/>
      <c r="Q135" s="507"/>
      <c r="R135" s="507"/>
      <c r="S135" s="507"/>
      <c r="T135" s="507"/>
      <c r="U135" s="507"/>
      <c r="V135" s="507"/>
      <c r="W135" s="507"/>
      <c r="X135" s="507"/>
      <c r="Y135" s="507"/>
      <c r="Z135" s="507"/>
    </row>
    <row r="136" spans="1:26" ht="41.45" hidden="1" customHeight="1" outlineLevel="1" x14ac:dyDescent="0.25">
      <c r="A136" s="442" t="s">
        <v>261</v>
      </c>
      <c r="B136" s="442" t="s">
        <v>13</v>
      </c>
      <c r="C136" s="442" t="s">
        <v>14</v>
      </c>
      <c r="D136" s="509" t="s">
        <v>286</v>
      </c>
      <c r="E136" s="404" t="s">
        <v>16</v>
      </c>
      <c r="F136" s="404" t="s">
        <v>295</v>
      </c>
      <c r="G136" s="404" t="s">
        <v>39</v>
      </c>
      <c r="H136" s="404" t="s">
        <v>297</v>
      </c>
      <c r="I136" s="404" t="s">
        <v>298</v>
      </c>
      <c r="J136" s="404" t="s">
        <v>299</v>
      </c>
      <c r="K136" s="404" t="s">
        <v>300</v>
      </c>
      <c r="L136" s="404" t="s">
        <v>17</v>
      </c>
      <c r="M136" s="404" t="s">
        <v>18</v>
      </c>
      <c r="N136" s="404" t="s">
        <v>19</v>
      </c>
      <c r="O136" s="443">
        <v>43101</v>
      </c>
      <c r="P136" s="443">
        <v>43132</v>
      </c>
      <c r="Q136" s="443">
        <v>43160</v>
      </c>
      <c r="R136" s="443">
        <v>43191</v>
      </c>
      <c r="S136" s="443">
        <v>43221</v>
      </c>
      <c r="T136" s="443">
        <v>43252</v>
      </c>
      <c r="U136" s="443">
        <v>43282</v>
      </c>
      <c r="V136" s="443">
        <v>43313</v>
      </c>
      <c r="W136" s="443">
        <v>43344</v>
      </c>
      <c r="X136" s="443">
        <v>43374</v>
      </c>
      <c r="Y136" s="443">
        <v>43405</v>
      </c>
      <c r="Z136" s="443">
        <v>43435</v>
      </c>
    </row>
    <row r="137" spans="1:26" ht="15" hidden="1" customHeight="1" outlineLevel="1" x14ac:dyDescent="0.25">
      <c r="A137" s="508" t="s">
        <v>265</v>
      </c>
      <c r="B137" s="508"/>
      <c r="C137" s="508"/>
      <c r="D137" s="510"/>
      <c r="E137" s="496"/>
      <c r="F137" s="496"/>
      <c r="G137" s="496"/>
      <c r="H137" s="496"/>
      <c r="I137" s="496"/>
      <c r="J137" s="496"/>
      <c r="K137" s="496"/>
      <c r="L137" s="496"/>
      <c r="M137" s="496"/>
      <c r="N137" s="496">
        <f t="shared" ref="N137:N141" si="6">SUM(O137:Z137)</f>
        <v>0</v>
      </c>
      <c r="O137" s="496"/>
      <c r="P137" s="496"/>
      <c r="Q137" s="496"/>
      <c r="R137" s="496"/>
      <c r="S137" s="496"/>
      <c r="T137" s="496"/>
      <c r="U137" s="496"/>
      <c r="V137" s="496"/>
      <c r="W137" s="496"/>
      <c r="X137" s="496"/>
      <c r="Y137" s="496"/>
      <c r="Z137" s="496"/>
    </row>
    <row r="138" spans="1:26" ht="15" hidden="1" customHeight="1" outlineLevel="1" x14ac:dyDescent="0.25">
      <c r="A138" s="508" t="s">
        <v>266</v>
      </c>
      <c r="B138" s="508"/>
      <c r="C138" s="508"/>
      <c r="D138" s="510"/>
      <c r="E138" s="496"/>
      <c r="F138" s="496"/>
      <c r="G138" s="496"/>
      <c r="H138" s="496"/>
      <c r="I138" s="496"/>
      <c r="J138" s="496"/>
      <c r="K138" s="496"/>
      <c r="L138" s="496"/>
      <c r="M138" s="496"/>
      <c r="N138" s="496">
        <f t="shared" si="6"/>
        <v>0</v>
      </c>
      <c r="O138" s="496"/>
      <c r="P138" s="496"/>
      <c r="Q138" s="496"/>
      <c r="R138" s="496"/>
      <c r="S138" s="496"/>
      <c r="T138" s="496"/>
      <c r="U138" s="496"/>
      <c r="V138" s="496"/>
      <c r="W138" s="496"/>
      <c r="X138" s="496"/>
      <c r="Y138" s="496"/>
      <c r="Z138" s="496"/>
    </row>
    <row r="139" spans="1:26" ht="15" hidden="1" customHeight="1" outlineLevel="1" x14ac:dyDescent="0.25">
      <c r="A139" s="508" t="s">
        <v>283</v>
      </c>
      <c r="B139" s="508"/>
      <c r="C139" s="508"/>
      <c r="D139" s="510"/>
      <c r="E139" s="496"/>
      <c r="F139" s="496"/>
      <c r="G139" s="496"/>
      <c r="H139" s="496"/>
      <c r="I139" s="496"/>
      <c r="J139" s="496"/>
      <c r="K139" s="496"/>
      <c r="L139" s="496"/>
      <c r="M139" s="496"/>
      <c r="N139" s="496">
        <f t="shared" si="6"/>
        <v>0</v>
      </c>
      <c r="O139" s="496"/>
      <c r="P139" s="496"/>
      <c r="Q139" s="496"/>
      <c r="R139" s="496"/>
      <c r="S139" s="496"/>
      <c r="T139" s="496"/>
      <c r="U139" s="496"/>
      <c r="V139" s="496"/>
      <c r="W139" s="496"/>
      <c r="X139" s="496"/>
      <c r="Y139" s="496"/>
      <c r="Z139" s="496"/>
    </row>
    <row r="140" spans="1:26" ht="15" hidden="1" customHeight="1" outlineLevel="1" x14ac:dyDescent="0.25">
      <c r="A140" s="508" t="s">
        <v>284</v>
      </c>
      <c r="B140" s="508"/>
      <c r="C140" s="508"/>
      <c r="D140" s="510"/>
      <c r="E140" s="496"/>
      <c r="F140" s="496"/>
      <c r="G140" s="496"/>
      <c r="H140" s="496"/>
      <c r="I140" s="496"/>
      <c r="J140" s="496"/>
      <c r="K140" s="496"/>
      <c r="L140" s="496"/>
      <c r="M140" s="496"/>
      <c r="N140" s="496">
        <f t="shared" si="6"/>
        <v>0</v>
      </c>
      <c r="O140" s="496"/>
      <c r="P140" s="496"/>
      <c r="Q140" s="496"/>
      <c r="R140" s="496"/>
      <c r="S140" s="496"/>
      <c r="T140" s="496"/>
      <c r="U140" s="496"/>
      <c r="V140" s="496"/>
      <c r="W140" s="496"/>
      <c r="X140" s="496"/>
      <c r="Y140" s="496"/>
      <c r="Z140" s="496"/>
    </row>
    <row r="141" spans="1:26" ht="21" hidden="1" customHeight="1" outlineLevel="1" x14ac:dyDescent="0.25">
      <c r="A141" s="508" t="s">
        <v>285</v>
      </c>
      <c r="B141" s="508"/>
      <c r="C141" s="508"/>
      <c r="D141" s="510"/>
      <c r="E141" s="496"/>
      <c r="F141" s="496"/>
      <c r="G141" s="410"/>
      <c r="H141" s="496"/>
      <c r="I141" s="496"/>
      <c r="J141" s="496"/>
      <c r="K141" s="519" t="s">
        <v>20</v>
      </c>
      <c r="L141" s="404">
        <f>SUM(L136:L140)</f>
        <v>0</v>
      </c>
      <c r="M141" s="404">
        <f>SUM(M136:M140)</f>
        <v>0</v>
      </c>
      <c r="N141" s="496">
        <f t="shared" si="6"/>
        <v>0</v>
      </c>
      <c r="O141" s="496"/>
      <c r="P141" s="496"/>
      <c r="Q141" s="496"/>
      <c r="R141" s="496"/>
      <c r="S141" s="496"/>
      <c r="T141" s="496"/>
      <c r="U141" s="496"/>
      <c r="V141" s="496"/>
      <c r="W141" s="496"/>
      <c r="X141" s="496"/>
      <c r="Y141" s="496"/>
      <c r="Z141" s="496"/>
    </row>
    <row r="142" spans="1:26" hidden="1" outlineLevel="1" x14ac:dyDescent="0.25">
      <c r="A142" s="535" t="str">
        <f>CONCATENATE(B21," ",C21)</f>
        <v xml:space="preserve"> </v>
      </c>
      <c r="B142" s="535"/>
      <c r="C142" s="536"/>
      <c r="D142" s="536"/>
      <c r="E142" s="507"/>
      <c r="F142" s="507"/>
      <c r="G142" s="507"/>
      <c r="H142" s="507"/>
      <c r="I142" s="507"/>
      <c r="J142" s="507"/>
      <c r="K142" s="507"/>
      <c r="L142" s="507"/>
      <c r="M142" s="507"/>
      <c r="N142" s="507"/>
      <c r="O142" s="507" t="s">
        <v>5</v>
      </c>
      <c r="P142" s="507"/>
      <c r="Q142" s="507"/>
      <c r="R142" s="507"/>
      <c r="S142" s="507"/>
      <c r="T142" s="507"/>
      <c r="U142" s="507"/>
      <c r="V142" s="507"/>
      <c r="W142" s="507"/>
      <c r="X142" s="507"/>
      <c r="Y142" s="507"/>
      <c r="Z142" s="507"/>
    </row>
    <row r="143" spans="1:26" ht="41.45" hidden="1" customHeight="1" outlineLevel="1" x14ac:dyDescent="0.25">
      <c r="A143" s="442" t="s">
        <v>261</v>
      </c>
      <c r="B143" s="442" t="s">
        <v>13</v>
      </c>
      <c r="C143" s="442" t="s">
        <v>14</v>
      </c>
      <c r="D143" s="509" t="s">
        <v>286</v>
      </c>
      <c r="E143" s="404" t="s">
        <v>16</v>
      </c>
      <c r="F143" s="404" t="s">
        <v>295</v>
      </c>
      <c r="G143" s="404" t="s">
        <v>39</v>
      </c>
      <c r="H143" s="404" t="s">
        <v>297</v>
      </c>
      <c r="I143" s="404" t="s">
        <v>298</v>
      </c>
      <c r="J143" s="404" t="s">
        <v>299</v>
      </c>
      <c r="K143" s="404" t="s">
        <v>300</v>
      </c>
      <c r="L143" s="404" t="s">
        <v>17</v>
      </c>
      <c r="M143" s="404" t="s">
        <v>18</v>
      </c>
      <c r="N143" s="404" t="s">
        <v>19</v>
      </c>
      <c r="O143" s="443">
        <v>43101</v>
      </c>
      <c r="P143" s="443">
        <v>43132</v>
      </c>
      <c r="Q143" s="443">
        <v>43160</v>
      </c>
      <c r="R143" s="443">
        <v>43191</v>
      </c>
      <c r="S143" s="443">
        <v>43221</v>
      </c>
      <c r="T143" s="443">
        <v>43252</v>
      </c>
      <c r="U143" s="443">
        <v>43282</v>
      </c>
      <c r="V143" s="443">
        <v>43313</v>
      </c>
      <c r="W143" s="443">
        <v>43344</v>
      </c>
      <c r="X143" s="443">
        <v>43374</v>
      </c>
      <c r="Y143" s="443">
        <v>43405</v>
      </c>
      <c r="Z143" s="443">
        <v>43435</v>
      </c>
    </row>
    <row r="144" spans="1:26" ht="15" hidden="1" customHeight="1" outlineLevel="1" x14ac:dyDescent="0.25">
      <c r="A144" s="508" t="s">
        <v>265</v>
      </c>
      <c r="B144" s="508"/>
      <c r="C144" s="508"/>
      <c r="D144" s="510"/>
      <c r="E144" s="496"/>
      <c r="F144" s="496"/>
      <c r="G144" s="496"/>
      <c r="H144" s="496"/>
      <c r="I144" s="496"/>
      <c r="J144" s="496"/>
      <c r="K144" s="496"/>
      <c r="L144" s="496"/>
      <c r="M144" s="496"/>
      <c r="N144" s="496">
        <f t="shared" ref="N144:N148" si="7">SUM(O144:Z144)</f>
        <v>0</v>
      </c>
      <c r="O144" s="496"/>
      <c r="P144" s="496"/>
      <c r="Q144" s="496"/>
      <c r="R144" s="496"/>
      <c r="S144" s="496"/>
      <c r="T144" s="496"/>
      <c r="U144" s="496"/>
      <c r="V144" s="496"/>
      <c r="W144" s="496"/>
      <c r="X144" s="496"/>
      <c r="Y144" s="496"/>
      <c r="Z144" s="496"/>
    </row>
    <row r="145" spans="1:26" ht="15" hidden="1" customHeight="1" outlineLevel="1" x14ac:dyDescent="0.25">
      <c r="A145" s="508" t="s">
        <v>266</v>
      </c>
      <c r="B145" s="508"/>
      <c r="C145" s="508"/>
      <c r="D145" s="510"/>
      <c r="E145" s="496"/>
      <c r="F145" s="496"/>
      <c r="G145" s="496"/>
      <c r="H145" s="496"/>
      <c r="I145" s="496"/>
      <c r="J145" s="496"/>
      <c r="K145" s="496"/>
      <c r="L145" s="496"/>
      <c r="M145" s="496"/>
      <c r="N145" s="496">
        <f t="shared" si="7"/>
        <v>0</v>
      </c>
      <c r="O145" s="496"/>
      <c r="P145" s="496"/>
      <c r="Q145" s="496"/>
      <c r="R145" s="496"/>
      <c r="S145" s="496"/>
      <c r="T145" s="496"/>
      <c r="U145" s="496"/>
      <c r="V145" s="496"/>
      <c r="W145" s="496"/>
      <c r="X145" s="496"/>
      <c r="Y145" s="496"/>
      <c r="Z145" s="496"/>
    </row>
    <row r="146" spans="1:26" ht="15" hidden="1" customHeight="1" outlineLevel="1" x14ac:dyDescent="0.25">
      <c r="A146" s="508" t="s">
        <v>283</v>
      </c>
      <c r="B146" s="508"/>
      <c r="C146" s="508"/>
      <c r="D146" s="510"/>
      <c r="E146" s="496"/>
      <c r="F146" s="496"/>
      <c r="G146" s="496"/>
      <c r="H146" s="496"/>
      <c r="I146" s="496"/>
      <c r="J146" s="496"/>
      <c r="K146" s="496"/>
      <c r="L146" s="496"/>
      <c r="M146" s="496"/>
      <c r="N146" s="496">
        <f t="shared" si="7"/>
        <v>0</v>
      </c>
      <c r="O146" s="496"/>
      <c r="P146" s="496"/>
      <c r="Q146" s="496"/>
      <c r="R146" s="496"/>
      <c r="S146" s="496"/>
      <c r="T146" s="496"/>
      <c r="U146" s="496"/>
      <c r="V146" s="496"/>
      <c r="W146" s="496"/>
      <c r="X146" s="496"/>
      <c r="Y146" s="496"/>
      <c r="Z146" s="496"/>
    </row>
    <row r="147" spans="1:26" ht="15" hidden="1" customHeight="1" outlineLevel="1" x14ac:dyDescent="0.25">
      <c r="A147" s="508" t="s">
        <v>284</v>
      </c>
      <c r="B147" s="508"/>
      <c r="C147" s="508"/>
      <c r="D147" s="510"/>
      <c r="E147" s="496"/>
      <c r="F147" s="496"/>
      <c r="G147" s="496"/>
      <c r="H147" s="496"/>
      <c r="I147" s="496"/>
      <c r="J147" s="496"/>
      <c r="K147" s="496"/>
      <c r="L147" s="496"/>
      <c r="M147" s="496"/>
      <c r="N147" s="496">
        <f t="shared" si="7"/>
        <v>0</v>
      </c>
      <c r="O147" s="496"/>
      <c r="P147" s="496"/>
      <c r="Q147" s="496"/>
      <c r="R147" s="496"/>
      <c r="S147" s="496"/>
      <c r="T147" s="496"/>
      <c r="U147" s="496"/>
      <c r="V147" s="496"/>
      <c r="W147" s="496"/>
      <c r="X147" s="496"/>
      <c r="Y147" s="496"/>
      <c r="Z147" s="496"/>
    </row>
    <row r="148" spans="1:26" ht="21" hidden="1" customHeight="1" outlineLevel="1" x14ac:dyDescent="0.25">
      <c r="A148" s="508" t="s">
        <v>285</v>
      </c>
      <c r="B148" s="508"/>
      <c r="C148" s="508"/>
      <c r="D148" s="510"/>
      <c r="E148" s="496"/>
      <c r="F148" s="496"/>
      <c r="G148" s="410"/>
      <c r="H148" s="496"/>
      <c r="I148" s="496"/>
      <c r="J148" s="496"/>
      <c r="K148" s="519" t="s">
        <v>20</v>
      </c>
      <c r="L148" s="404">
        <f>SUM(L143:L147)</f>
        <v>0</v>
      </c>
      <c r="M148" s="404">
        <f>SUM(M143:M147)</f>
        <v>0</v>
      </c>
      <c r="N148" s="496">
        <f t="shared" si="7"/>
        <v>0</v>
      </c>
      <c r="O148" s="496"/>
      <c r="P148" s="496"/>
      <c r="Q148" s="496"/>
      <c r="R148" s="496"/>
      <c r="S148" s="496"/>
      <c r="T148" s="496"/>
      <c r="U148" s="496"/>
      <c r="V148" s="496"/>
      <c r="W148" s="496"/>
      <c r="X148" s="496"/>
      <c r="Y148" s="496"/>
      <c r="Z148" s="496"/>
    </row>
    <row r="149" spans="1:26" hidden="1" outlineLevel="1" x14ac:dyDescent="0.25">
      <c r="A149" s="535" t="str">
        <f>CONCATENATE(B22," ",C22)</f>
        <v xml:space="preserve"> </v>
      </c>
      <c r="B149" s="535"/>
      <c r="C149" s="536"/>
      <c r="D149" s="536"/>
      <c r="E149" s="507"/>
      <c r="F149" s="507"/>
      <c r="G149" s="507"/>
      <c r="H149" s="507"/>
      <c r="I149" s="507"/>
      <c r="J149" s="507"/>
      <c r="K149" s="507"/>
      <c r="L149" s="507"/>
      <c r="M149" s="507"/>
      <c r="N149" s="507"/>
      <c r="O149" s="507" t="s">
        <v>5</v>
      </c>
      <c r="P149" s="507"/>
      <c r="Q149" s="507"/>
      <c r="R149" s="507"/>
      <c r="S149" s="507"/>
      <c r="T149" s="507"/>
      <c r="U149" s="507"/>
      <c r="V149" s="507"/>
      <c r="W149" s="507"/>
      <c r="X149" s="507"/>
      <c r="Y149" s="507"/>
      <c r="Z149" s="507"/>
    </row>
    <row r="150" spans="1:26" ht="41.45" hidden="1" customHeight="1" outlineLevel="1" x14ac:dyDescent="0.25">
      <c r="A150" s="442" t="s">
        <v>261</v>
      </c>
      <c r="B150" s="442" t="s">
        <v>13</v>
      </c>
      <c r="C150" s="442" t="s">
        <v>14</v>
      </c>
      <c r="D150" s="509" t="s">
        <v>286</v>
      </c>
      <c r="E150" s="404" t="s">
        <v>16</v>
      </c>
      <c r="F150" s="404" t="s">
        <v>295</v>
      </c>
      <c r="G150" s="404" t="s">
        <v>39</v>
      </c>
      <c r="H150" s="404" t="s">
        <v>297</v>
      </c>
      <c r="I150" s="404" t="s">
        <v>298</v>
      </c>
      <c r="J150" s="404" t="s">
        <v>299</v>
      </c>
      <c r="K150" s="404" t="s">
        <v>300</v>
      </c>
      <c r="L150" s="404" t="s">
        <v>17</v>
      </c>
      <c r="M150" s="404" t="s">
        <v>18</v>
      </c>
      <c r="N150" s="404" t="s">
        <v>19</v>
      </c>
      <c r="O150" s="443">
        <v>43101</v>
      </c>
      <c r="P150" s="443">
        <v>43132</v>
      </c>
      <c r="Q150" s="443">
        <v>43160</v>
      </c>
      <c r="R150" s="443">
        <v>43191</v>
      </c>
      <c r="S150" s="443">
        <v>43221</v>
      </c>
      <c r="T150" s="443">
        <v>43252</v>
      </c>
      <c r="U150" s="443">
        <v>43282</v>
      </c>
      <c r="V150" s="443">
        <v>43313</v>
      </c>
      <c r="W150" s="443">
        <v>43344</v>
      </c>
      <c r="X150" s="443">
        <v>43374</v>
      </c>
      <c r="Y150" s="443">
        <v>43405</v>
      </c>
      <c r="Z150" s="443">
        <v>43435</v>
      </c>
    </row>
    <row r="151" spans="1:26" ht="15" hidden="1" customHeight="1" outlineLevel="1" x14ac:dyDescent="0.25">
      <c r="A151" s="508" t="s">
        <v>265</v>
      </c>
      <c r="B151" s="508"/>
      <c r="C151" s="508"/>
      <c r="D151" s="510"/>
      <c r="E151" s="496"/>
      <c r="F151" s="496"/>
      <c r="G151" s="496"/>
      <c r="H151" s="496"/>
      <c r="I151" s="496"/>
      <c r="J151" s="496"/>
      <c r="K151" s="496"/>
      <c r="L151" s="496"/>
      <c r="M151" s="496"/>
      <c r="N151" s="496">
        <f t="shared" ref="N151:N155" si="8">SUM(O151:Z151)</f>
        <v>0</v>
      </c>
      <c r="O151" s="496"/>
      <c r="P151" s="496"/>
      <c r="Q151" s="496"/>
      <c r="R151" s="496"/>
      <c r="S151" s="496"/>
      <c r="T151" s="496"/>
      <c r="U151" s="496"/>
      <c r="V151" s="496"/>
      <c r="W151" s="496"/>
      <c r="X151" s="496"/>
      <c r="Y151" s="496"/>
      <c r="Z151" s="496"/>
    </row>
    <row r="152" spans="1:26" ht="15" hidden="1" customHeight="1" outlineLevel="1" x14ac:dyDescent="0.25">
      <c r="A152" s="508" t="s">
        <v>266</v>
      </c>
      <c r="B152" s="508"/>
      <c r="C152" s="508"/>
      <c r="D152" s="510"/>
      <c r="E152" s="496"/>
      <c r="F152" s="496"/>
      <c r="G152" s="496"/>
      <c r="H152" s="496"/>
      <c r="I152" s="496"/>
      <c r="J152" s="496"/>
      <c r="K152" s="496"/>
      <c r="L152" s="496"/>
      <c r="M152" s="496"/>
      <c r="N152" s="496">
        <f t="shared" si="8"/>
        <v>0</v>
      </c>
      <c r="O152" s="496"/>
      <c r="P152" s="496"/>
      <c r="Q152" s="496"/>
      <c r="R152" s="496"/>
      <c r="S152" s="496"/>
      <c r="T152" s="496"/>
      <c r="U152" s="496"/>
      <c r="V152" s="496"/>
      <c r="W152" s="496"/>
      <c r="X152" s="496"/>
      <c r="Y152" s="496"/>
      <c r="Z152" s="496"/>
    </row>
    <row r="153" spans="1:26" ht="15" hidden="1" customHeight="1" outlineLevel="1" x14ac:dyDescent="0.25">
      <c r="A153" s="508" t="s">
        <v>283</v>
      </c>
      <c r="B153" s="508"/>
      <c r="C153" s="508"/>
      <c r="D153" s="510"/>
      <c r="E153" s="496"/>
      <c r="F153" s="496"/>
      <c r="G153" s="496"/>
      <c r="H153" s="496"/>
      <c r="I153" s="496"/>
      <c r="J153" s="496"/>
      <c r="K153" s="496"/>
      <c r="L153" s="496"/>
      <c r="M153" s="496"/>
      <c r="N153" s="496">
        <f t="shared" si="8"/>
        <v>0</v>
      </c>
      <c r="O153" s="496"/>
      <c r="P153" s="496"/>
      <c r="Q153" s="496"/>
      <c r="R153" s="496"/>
      <c r="S153" s="496"/>
      <c r="T153" s="496"/>
      <c r="U153" s="496"/>
      <c r="V153" s="496"/>
      <c r="W153" s="496"/>
      <c r="X153" s="496"/>
      <c r="Y153" s="496"/>
      <c r="Z153" s="496"/>
    </row>
    <row r="154" spans="1:26" ht="15" hidden="1" customHeight="1" outlineLevel="1" x14ac:dyDescent="0.25">
      <c r="A154" s="508" t="s">
        <v>284</v>
      </c>
      <c r="B154" s="508"/>
      <c r="C154" s="508"/>
      <c r="D154" s="510"/>
      <c r="E154" s="496"/>
      <c r="F154" s="496"/>
      <c r="G154" s="496"/>
      <c r="H154" s="496"/>
      <c r="I154" s="496"/>
      <c r="J154" s="496"/>
      <c r="K154" s="496"/>
      <c r="L154" s="496"/>
      <c r="M154" s="496"/>
      <c r="N154" s="496">
        <f t="shared" si="8"/>
        <v>0</v>
      </c>
      <c r="O154" s="496"/>
      <c r="P154" s="496"/>
      <c r="Q154" s="496"/>
      <c r="R154" s="496"/>
      <c r="S154" s="496"/>
      <c r="T154" s="496"/>
      <c r="U154" s="496"/>
      <c r="V154" s="496"/>
      <c r="W154" s="496"/>
      <c r="X154" s="496"/>
      <c r="Y154" s="496"/>
      <c r="Z154" s="496"/>
    </row>
    <row r="155" spans="1:26" ht="21" hidden="1" customHeight="1" outlineLevel="1" x14ac:dyDescent="0.25">
      <c r="A155" s="508" t="s">
        <v>285</v>
      </c>
      <c r="B155" s="508"/>
      <c r="C155" s="508"/>
      <c r="D155" s="510"/>
      <c r="E155" s="496"/>
      <c r="F155" s="496"/>
      <c r="G155" s="410"/>
      <c r="H155" s="496"/>
      <c r="I155" s="496"/>
      <c r="J155" s="496"/>
      <c r="K155" s="519" t="s">
        <v>20</v>
      </c>
      <c r="L155" s="404">
        <f>SUM(L150:L154)</f>
        <v>0</v>
      </c>
      <c r="M155" s="404">
        <f>SUM(M150:M154)</f>
        <v>0</v>
      </c>
      <c r="N155" s="496">
        <f t="shared" si="8"/>
        <v>0</v>
      </c>
      <c r="O155" s="496"/>
      <c r="P155" s="496"/>
      <c r="Q155" s="496"/>
      <c r="R155" s="496"/>
      <c r="S155" s="496"/>
      <c r="T155" s="496"/>
      <c r="U155" s="496"/>
      <c r="V155" s="496"/>
      <c r="W155" s="496"/>
      <c r="X155" s="496"/>
      <c r="Y155" s="496"/>
      <c r="Z155" s="496"/>
    </row>
    <row r="156" spans="1:26" hidden="1" outlineLevel="1" x14ac:dyDescent="0.25">
      <c r="A156" s="535" t="str">
        <f>CONCATENATE(B23," ",C23)</f>
        <v xml:space="preserve"> </v>
      </c>
      <c r="B156" s="535"/>
      <c r="C156" s="536"/>
      <c r="D156" s="536"/>
      <c r="E156" s="507"/>
      <c r="F156" s="507"/>
      <c r="G156" s="507"/>
      <c r="H156" s="507"/>
      <c r="I156" s="507"/>
      <c r="J156" s="507"/>
      <c r="K156" s="507"/>
      <c r="L156" s="507"/>
      <c r="M156" s="507"/>
      <c r="N156" s="507"/>
      <c r="O156" s="507" t="s">
        <v>5</v>
      </c>
      <c r="P156" s="507"/>
      <c r="Q156" s="507"/>
      <c r="R156" s="507"/>
      <c r="S156" s="507"/>
      <c r="T156" s="507"/>
      <c r="U156" s="507"/>
      <c r="V156" s="507"/>
      <c r="W156" s="507"/>
      <c r="X156" s="507"/>
      <c r="Y156" s="507"/>
      <c r="Z156" s="507"/>
    </row>
    <row r="157" spans="1:26" ht="41.45" hidden="1" customHeight="1" outlineLevel="1" x14ac:dyDescent="0.25">
      <c r="A157" s="442" t="s">
        <v>261</v>
      </c>
      <c r="B157" s="442" t="s">
        <v>13</v>
      </c>
      <c r="C157" s="442" t="s">
        <v>14</v>
      </c>
      <c r="D157" s="509" t="s">
        <v>286</v>
      </c>
      <c r="E157" s="404" t="s">
        <v>16</v>
      </c>
      <c r="F157" s="404" t="s">
        <v>295</v>
      </c>
      <c r="G157" s="404" t="s">
        <v>39</v>
      </c>
      <c r="H157" s="404" t="s">
        <v>297</v>
      </c>
      <c r="I157" s="404" t="s">
        <v>298</v>
      </c>
      <c r="J157" s="404" t="s">
        <v>299</v>
      </c>
      <c r="K157" s="404" t="s">
        <v>300</v>
      </c>
      <c r="L157" s="404" t="s">
        <v>17</v>
      </c>
      <c r="M157" s="404" t="s">
        <v>18</v>
      </c>
      <c r="N157" s="404" t="s">
        <v>19</v>
      </c>
      <c r="O157" s="443">
        <v>43101</v>
      </c>
      <c r="P157" s="443">
        <v>43132</v>
      </c>
      <c r="Q157" s="443">
        <v>43160</v>
      </c>
      <c r="R157" s="443">
        <v>43191</v>
      </c>
      <c r="S157" s="443">
        <v>43221</v>
      </c>
      <c r="T157" s="443">
        <v>43252</v>
      </c>
      <c r="U157" s="443">
        <v>43282</v>
      </c>
      <c r="V157" s="443">
        <v>43313</v>
      </c>
      <c r="W157" s="443">
        <v>43344</v>
      </c>
      <c r="X157" s="443">
        <v>43374</v>
      </c>
      <c r="Y157" s="443">
        <v>43405</v>
      </c>
      <c r="Z157" s="443">
        <v>43435</v>
      </c>
    </row>
    <row r="158" spans="1:26" ht="15" hidden="1" customHeight="1" outlineLevel="1" x14ac:dyDescent="0.25">
      <c r="A158" s="508" t="s">
        <v>265</v>
      </c>
      <c r="B158" s="508"/>
      <c r="C158" s="508"/>
      <c r="D158" s="510"/>
      <c r="E158" s="496"/>
      <c r="F158" s="496"/>
      <c r="G158" s="496"/>
      <c r="H158" s="496"/>
      <c r="I158" s="496"/>
      <c r="J158" s="496"/>
      <c r="K158" s="496"/>
      <c r="L158" s="496"/>
      <c r="M158" s="496"/>
      <c r="N158" s="496">
        <f t="shared" ref="N158:N162" si="9">SUM(O158:Z158)</f>
        <v>0</v>
      </c>
      <c r="O158" s="496"/>
      <c r="P158" s="496"/>
      <c r="Q158" s="496"/>
      <c r="R158" s="496"/>
      <c r="S158" s="496"/>
      <c r="T158" s="496"/>
      <c r="U158" s="496"/>
      <c r="V158" s="496"/>
      <c r="W158" s="496"/>
      <c r="X158" s="496"/>
      <c r="Y158" s="496"/>
      <c r="Z158" s="496"/>
    </row>
    <row r="159" spans="1:26" ht="15" hidden="1" customHeight="1" outlineLevel="1" x14ac:dyDescent="0.25">
      <c r="A159" s="508" t="s">
        <v>266</v>
      </c>
      <c r="B159" s="508"/>
      <c r="C159" s="508"/>
      <c r="D159" s="510"/>
      <c r="E159" s="496"/>
      <c r="F159" s="496"/>
      <c r="G159" s="496"/>
      <c r="H159" s="496"/>
      <c r="I159" s="496"/>
      <c r="J159" s="496"/>
      <c r="K159" s="496"/>
      <c r="L159" s="496"/>
      <c r="M159" s="496"/>
      <c r="N159" s="496">
        <f t="shared" si="9"/>
        <v>0</v>
      </c>
      <c r="O159" s="496"/>
      <c r="P159" s="496"/>
      <c r="Q159" s="496"/>
      <c r="R159" s="496"/>
      <c r="S159" s="496"/>
      <c r="T159" s="496"/>
      <c r="U159" s="496"/>
      <c r="V159" s="496"/>
      <c r="W159" s="496"/>
      <c r="X159" s="496"/>
      <c r="Y159" s="496"/>
      <c r="Z159" s="496"/>
    </row>
    <row r="160" spans="1:26" ht="15" hidden="1" customHeight="1" outlineLevel="1" x14ac:dyDescent="0.25">
      <c r="A160" s="508" t="s">
        <v>283</v>
      </c>
      <c r="B160" s="508"/>
      <c r="C160" s="508"/>
      <c r="D160" s="510"/>
      <c r="E160" s="496"/>
      <c r="F160" s="496"/>
      <c r="G160" s="496"/>
      <c r="H160" s="496"/>
      <c r="I160" s="496"/>
      <c r="J160" s="496"/>
      <c r="K160" s="496"/>
      <c r="L160" s="496"/>
      <c r="M160" s="496"/>
      <c r="N160" s="496">
        <f t="shared" si="9"/>
        <v>0</v>
      </c>
      <c r="O160" s="496"/>
      <c r="P160" s="496"/>
      <c r="Q160" s="496"/>
      <c r="R160" s="496"/>
      <c r="S160" s="496"/>
      <c r="T160" s="496"/>
      <c r="U160" s="496"/>
      <c r="V160" s="496"/>
      <c r="W160" s="496"/>
      <c r="X160" s="496"/>
      <c r="Y160" s="496"/>
      <c r="Z160" s="496"/>
    </row>
    <row r="161" spans="1:26" ht="15" hidden="1" customHeight="1" outlineLevel="1" x14ac:dyDescent="0.25">
      <c r="A161" s="508" t="s">
        <v>284</v>
      </c>
      <c r="B161" s="508"/>
      <c r="C161" s="508"/>
      <c r="D161" s="510"/>
      <c r="E161" s="496"/>
      <c r="F161" s="496"/>
      <c r="G161" s="496"/>
      <c r="H161" s="496"/>
      <c r="I161" s="496"/>
      <c r="J161" s="496"/>
      <c r="K161" s="496"/>
      <c r="L161" s="496"/>
      <c r="M161" s="496"/>
      <c r="N161" s="496">
        <f t="shared" si="9"/>
        <v>0</v>
      </c>
      <c r="O161" s="496"/>
      <c r="P161" s="496"/>
      <c r="Q161" s="496"/>
      <c r="R161" s="496"/>
      <c r="S161" s="496"/>
      <c r="T161" s="496"/>
      <c r="U161" s="496"/>
      <c r="V161" s="496"/>
      <c r="W161" s="496"/>
      <c r="X161" s="496"/>
      <c r="Y161" s="496"/>
      <c r="Z161" s="496"/>
    </row>
    <row r="162" spans="1:26" ht="21" hidden="1" customHeight="1" outlineLevel="1" x14ac:dyDescent="0.25">
      <c r="A162" s="508" t="s">
        <v>285</v>
      </c>
      <c r="B162" s="508"/>
      <c r="C162" s="508"/>
      <c r="D162" s="510"/>
      <c r="E162" s="496"/>
      <c r="F162" s="496"/>
      <c r="G162" s="410"/>
      <c r="H162" s="496"/>
      <c r="I162" s="496"/>
      <c r="J162" s="496"/>
      <c r="K162" s="519" t="s">
        <v>20</v>
      </c>
      <c r="L162" s="404">
        <f>SUM(L157:L161)</f>
        <v>0</v>
      </c>
      <c r="M162" s="404">
        <f>SUM(M157:M161)</f>
        <v>0</v>
      </c>
      <c r="N162" s="496">
        <f t="shared" si="9"/>
        <v>0</v>
      </c>
      <c r="O162" s="496"/>
      <c r="P162" s="496"/>
      <c r="Q162" s="496"/>
      <c r="R162" s="496"/>
      <c r="S162" s="496"/>
      <c r="T162" s="496"/>
      <c r="U162" s="496"/>
      <c r="V162" s="496"/>
      <c r="W162" s="496"/>
      <c r="X162" s="496"/>
      <c r="Y162" s="496"/>
      <c r="Z162" s="496"/>
    </row>
    <row r="163" spans="1:26" hidden="1" outlineLevel="1" x14ac:dyDescent="0.25">
      <c r="A163" s="535" t="str">
        <f>CONCATENATE(B24," ",C24)</f>
        <v xml:space="preserve"> </v>
      </c>
      <c r="B163" s="535"/>
      <c r="C163" s="536"/>
      <c r="D163" s="536"/>
      <c r="E163" s="507"/>
      <c r="F163" s="507"/>
      <c r="G163" s="507"/>
      <c r="H163" s="507"/>
      <c r="I163" s="507"/>
      <c r="J163" s="507"/>
      <c r="K163" s="507"/>
      <c r="L163" s="507"/>
      <c r="M163" s="507"/>
      <c r="N163" s="507"/>
      <c r="O163" s="507" t="s">
        <v>5</v>
      </c>
      <c r="P163" s="507"/>
      <c r="Q163" s="507"/>
      <c r="R163" s="507"/>
      <c r="S163" s="507"/>
      <c r="T163" s="507"/>
      <c r="U163" s="507"/>
      <c r="V163" s="507"/>
      <c r="W163" s="507"/>
      <c r="X163" s="507"/>
      <c r="Y163" s="507"/>
      <c r="Z163" s="507"/>
    </row>
    <row r="164" spans="1:26" ht="41.45" hidden="1" customHeight="1" outlineLevel="1" x14ac:dyDescent="0.25">
      <c r="A164" s="442" t="s">
        <v>261</v>
      </c>
      <c r="B164" s="442" t="s">
        <v>13</v>
      </c>
      <c r="C164" s="442" t="s">
        <v>14</v>
      </c>
      <c r="D164" s="509" t="s">
        <v>286</v>
      </c>
      <c r="E164" s="404" t="s">
        <v>16</v>
      </c>
      <c r="F164" s="404" t="s">
        <v>295</v>
      </c>
      <c r="G164" s="404" t="s">
        <v>39</v>
      </c>
      <c r="H164" s="404" t="s">
        <v>297</v>
      </c>
      <c r="I164" s="404" t="s">
        <v>298</v>
      </c>
      <c r="J164" s="404" t="s">
        <v>299</v>
      </c>
      <c r="K164" s="404" t="s">
        <v>300</v>
      </c>
      <c r="L164" s="404" t="s">
        <v>17</v>
      </c>
      <c r="M164" s="404" t="s">
        <v>18</v>
      </c>
      <c r="N164" s="404" t="s">
        <v>19</v>
      </c>
      <c r="O164" s="443">
        <v>43101</v>
      </c>
      <c r="P164" s="443">
        <v>43132</v>
      </c>
      <c r="Q164" s="443">
        <v>43160</v>
      </c>
      <c r="R164" s="443">
        <v>43191</v>
      </c>
      <c r="S164" s="443">
        <v>43221</v>
      </c>
      <c r="T164" s="443">
        <v>43252</v>
      </c>
      <c r="U164" s="443">
        <v>43282</v>
      </c>
      <c r="V164" s="443">
        <v>43313</v>
      </c>
      <c r="W164" s="443">
        <v>43344</v>
      </c>
      <c r="X164" s="443">
        <v>43374</v>
      </c>
      <c r="Y164" s="443">
        <v>43405</v>
      </c>
      <c r="Z164" s="443">
        <v>43435</v>
      </c>
    </row>
    <row r="165" spans="1:26" ht="15" hidden="1" customHeight="1" outlineLevel="1" x14ac:dyDescent="0.25">
      <c r="A165" s="508" t="s">
        <v>265</v>
      </c>
      <c r="B165" s="508"/>
      <c r="C165" s="508"/>
      <c r="D165" s="510"/>
      <c r="E165" s="496"/>
      <c r="F165" s="496"/>
      <c r="G165" s="496"/>
      <c r="H165" s="496"/>
      <c r="I165" s="496"/>
      <c r="J165" s="496"/>
      <c r="K165" s="496"/>
      <c r="L165" s="496"/>
      <c r="M165" s="496"/>
      <c r="N165" s="496">
        <f t="shared" ref="N165:N169" si="10">SUM(O165:Z165)</f>
        <v>0</v>
      </c>
      <c r="O165" s="496"/>
      <c r="P165" s="496"/>
      <c r="Q165" s="496"/>
      <c r="R165" s="496"/>
      <c r="S165" s="496"/>
      <c r="T165" s="496"/>
      <c r="U165" s="496"/>
      <c r="V165" s="496"/>
      <c r="W165" s="496"/>
      <c r="X165" s="496"/>
      <c r="Y165" s="496"/>
      <c r="Z165" s="496"/>
    </row>
    <row r="166" spans="1:26" ht="15" hidden="1" customHeight="1" outlineLevel="1" x14ac:dyDescent="0.25">
      <c r="A166" s="508" t="s">
        <v>266</v>
      </c>
      <c r="B166" s="508"/>
      <c r="C166" s="508"/>
      <c r="D166" s="510"/>
      <c r="E166" s="496"/>
      <c r="F166" s="496"/>
      <c r="G166" s="496"/>
      <c r="H166" s="496"/>
      <c r="I166" s="496"/>
      <c r="J166" s="496"/>
      <c r="K166" s="496"/>
      <c r="L166" s="496"/>
      <c r="M166" s="496"/>
      <c r="N166" s="496">
        <f t="shared" si="10"/>
        <v>0</v>
      </c>
      <c r="O166" s="496"/>
      <c r="P166" s="496"/>
      <c r="Q166" s="496"/>
      <c r="R166" s="496"/>
      <c r="S166" s="496"/>
      <c r="T166" s="496"/>
      <c r="U166" s="496"/>
      <c r="V166" s="496"/>
      <c r="W166" s="496"/>
      <c r="X166" s="496"/>
      <c r="Y166" s="496"/>
      <c r="Z166" s="496"/>
    </row>
    <row r="167" spans="1:26" ht="15" hidden="1" customHeight="1" outlineLevel="1" x14ac:dyDescent="0.25">
      <c r="A167" s="508" t="s">
        <v>283</v>
      </c>
      <c r="B167" s="508"/>
      <c r="C167" s="508"/>
      <c r="D167" s="510"/>
      <c r="E167" s="496"/>
      <c r="F167" s="496"/>
      <c r="G167" s="496"/>
      <c r="H167" s="496"/>
      <c r="I167" s="496"/>
      <c r="J167" s="496"/>
      <c r="K167" s="496"/>
      <c r="L167" s="496"/>
      <c r="M167" s="496"/>
      <c r="N167" s="496">
        <f t="shared" si="10"/>
        <v>0</v>
      </c>
      <c r="O167" s="496"/>
      <c r="P167" s="496"/>
      <c r="Q167" s="496"/>
      <c r="R167" s="496"/>
      <c r="S167" s="496"/>
      <c r="T167" s="496"/>
      <c r="U167" s="496"/>
      <c r="V167" s="496"/>
      <c r="W167" s="496"/>
      <c r="X167" s="496"/>
      <c r="Y167" s="496"/>
      <c r="Z167" s="496"/>
    </row>
    <row r="168" spans="1:26" ht="15" hidden="1" customHeight="1" outlineLevel="1" x14ac:dyDescent="0.25">
      <c r="A168" s="508" t="s">
        <v>284</v>
      </c>
      <c r="B168" s="508"/>
      <c r="C168" s="508"/>
      <c r="D168" s="510"/>
      <c r="E168" s="496"/>
      <c r="F168" s="496"/>
      <c r="G168" s="496"/>
      <c r="H168" s="496"/>
      <c r="I168" s="496"/>
      <c r="J168" s="496"/>
      <c r="K168" s="496"/>
      <c r="L168" s="496"/>
      <c r="M168" s="496"/>
      <c r="N168" s="496">
        <f t="shared" si="10"/>
        <v>0</v>
      </c>
      <c r="O168" s="496"/>
      <c r="P168" s="496"/>
      <c r="Q168" s="496"/>
      <c r="R168" s="496"/>
      <c r="S168" s="496"/>
      <c r="T168" s="496"/>
      <c r="U168" s="496"/>
      <c r="V168" s="496"/>
      <c r="W168" s="496"/>
      <c r="X168" s="496"/>
      <c r="Y168" s="496"/>
      <c r="Z168" s="496"/>
    </row>
    <row r="169" spans="1:26" ht="21" hidden="1" customHeight="1" outlineLevel="1" x14ac:dyDescent="0.25">
      <c r="A169" s="508" t="s">
        <v>285</v>
      </c>
      <c r="B169" s="508"/>
      <c r="C169" s="508"/>
      <c r="D169" s="510"/>
      <c r="E169" s="496"/>
      <c r="F169" s="496"/>
      <c r="G169" s="410"/>
      <c r="H169" s="496"/>
      <c r="I169" s="496"/>
      <c r="J169" s="496"/>
      <c r="K169" s="519" t="s">
        <v>20</v>
      </c>
      <c r="L169" s="404">
        <f>SUM(L164:L168)</f>
        <v>0</v>
      </c>
      <c r="M169" s="404">
        <f>SUM(M164:M168)</f>
        <v>0</v>
      </c>
      <c r="N169" s="496">
        <f t="shared" si="10"/>
        <v>0</v>
      </c>
      <c r="O169" s="496"/>
      <c r="P169" s="496"/>
      <c r="Q169" s="496"/>
      <c r="R169" s="496"/>
      <c r="S169" s="496"/>
      <c r="T169" s="496"/>
      <c r="U169" s="496"/>
      <c r="V169" s="496"/>
      <c r="W169" s="496"/>
      <c r="X169" s="496"/>
      <c r="Y169" s="496"/>
      <c r="Z169" s="496"/>
    </row>
    <row r="170" spans="1:26" hidden="1" outlineLevel="1" x14ac:dyDescent="0.25">
      <c r="A170" s="535" t="str">
        <f>CONCATENATE(B25," ",C25)</f>
        <v xml:space="preserve"> </v>
      </c>
      <c r="B170" s="535"/>
      <c r="C170" s="536"/>
      <c r="D170" s="536"/>
      <c r="E170" s="507"/>
      <c r="F170" s="507"/>
      <c r="G170" s="507"/>
      <c r="H170" s="507"/>
      <c r="I170" s="507"/>
      <c r="J170" s="507"/>
      <c r="K170" s="507"/>
      <c r="L170" s="507"/>
      <c r="M170" s="507"/>
      <c r="N170" s="507"/>
      <c r="O170" s="507" t="s">
        <v>5</v>
      </c>
      <c r="P170" s="507"/>
      <c r="Q170" s="507"/>
      <c r="R170" s="507"/>
      <c r="S170" s="507"/>
      <c r="T170" s="507"/>
      <c r="U170" s="507"/>
      <c r="V170" s="507"/>
      <c r="W170" s="507"/>
      <c r="X170" s="507"/>
      <c r="Y170" s="507"/>
      <c r="Z170" s="507"/>
    </row>
    <row r="171" spans="1:26" ht="41.45" hidden="1" customHeight="1" outlineLevel="1" x14ac:dyDescent="0.25">
      <c r="A171" s="442" t="s">
        <v>261</v>
      </c>
      <c r="B171" s="442" t="s">
        <v>13</v>
      </c>
      <c r="C171" s="442" t="s">
        <v>14</v>
      </c>
      <c r="D171" s="509" t="s">
        <v>286</v>
      </c>
      <c r="E171" s="404" t="s">
        <v>16</v>
      </c>
      <c r="F171" s="404" t="s">
        <v>295</v>
      </c>
      <c r="G171" s="404" t="s">
        <v>39</v>
      </c>
      <c r="H171" s="404" t="s">
        <v>297</v>
      </c>
      <c r="I171" s="404" t="s">
        <v>298</v>
      </c>
      <c r="J171" s="404" t="s">
        <v>299</v>
      </c>
      <c r="K171" s="404" t="s">
        <v>300</v>
      </c>
      <c r="L171" s="404" t="s">
        <v>17</v>
      </c>
      <c r="M171" s="404" t="s">
        <v>18</v>
      </c>
      <c r="N171" s="404" t="s">
        <v>19</v>
      </c>
      <c r="O171" s="443">
        <v>43101</v>
      </c>
      <c r="P171" s="443">
        <v>43132</v>
      </c>
      <c r="Q171" s="443">
        <v>43160</v>
      </c>
      <c r="R171" s="443">
        <v>43191</v>
      </c>
      <c r="S171" s="443">
        <v>43221</v>
      </c>
      <c r="T171" s="443">
        <v>43252</v>
      </c>
      <c r="U171" s="443">
        <v>43282</v>
      </c>
      <c r="V171" s="443">
        <v>43313</v>
      </c>
      <c r="W171" s="443">
        <v>43344</v>
      </c>
      <c r="X171" s="443">
        <v>43374</v>
      </c>
      <c r="Y171" s="443">
        <v>43405</v>
      </c>
      <c r="Z171" s="443">
        <v>43435</v>
      </c>
    </row>
    <row r="172" spans="1:26" ht="15" hidden="1" customHeight="1" outlineLevel="1" x14ac:dyDescent="0.25">
      <c r="A172" s="508" t="s">
        <v>265</v>
      </c>
      <c r="B172" s="508"/>
      <c r="C172" s="508"/>
      <c r="D172" s="510"/>
      <c r="E172" s="496"/>
      <c r="F172" s="496"/>
      <c r="G172" s="496"/>
      <c r="H172" s="496"/>
      <c r="I172" s="496"/>
      <c r="J172" s="496"/>
      <c r="K172" s="496"/>
      <c r="L172" s="496"/>
      <c r="M172" s="496"/>
      <c r="N172" s="496">
        <f t="shared" ref="N172:N176" si="11">SUM(O172:Z172)</f>
        <v>0</v>
      </c>
      <c r="O172" s="496"/>
      <c r="P172" s="496"/>
      <c r="Q172" s="496"/>
      <c r="R172" s="496"/>
      <c r="S172" s="496"/>
      <c r="T172" s="496"/>
      <c r="U172" s="496"/>
      <c r="V172" s="496"/>
      <c r="W172" s="496"/>
      <c r="X172" s="496"/>
      <c r="Y172" s="496"/>
      <c r="Z172" s="496"/>
    </row>
    <row r="173" spans="1:26" ht="15" hidden="1" customHeight="1" outlineLevel="1" x14ac:dyDescent="0.25">
      <c r="A173" s="508" t="s">
        <v>266</v>
      </c>
      <c r="B173" s="508"/>
      <c r="C173" s="508"/>
      <c r="D173" s="510"/>
      <c r="E173" s="496"/>
      <c r="F173" s="496"/>
      <c r="G173" s="496"/>
      <c r="H173" s="496"/>
      <c r="I173" s="496"/>
      <c r="J173" s="496"/>
      <c r="K173" s="496"/>
      <c r="L173" s="496"/>
      <c r="M173" s="496"/>
      <c r="N173" s="496">
        <f t="shared" si="11"/>
        <v>0</v>
      </c>
      <c r="O173" s="496"/>
      <c r="P173" s="496"/>
      <c r="Q173" s="496"/>
      <c r="R173" s="496"/>
      <c r="S173" s="496"/>
      <c r="T173" s="496"/>
      <c r="U173" s="496"/>
      <c r="V173" s="496"/>
      <c r="W173" s="496"/>
      <c r="X173" s="496"/>
      <c r="Y173" s="496"/>
      <c r="Z173" s="496"/>
    </row>
    <row r="174" spans="1:26" ht="15" hidden="1" customHeight="1" outlineLevel="1" x14ac:dyDescent="0.25">
      <c r="A174" s="508" t="s">
        <v>283</v>
      </c>
      <c r="B174" s="508"/>
      <c r="C174" s="508"/>
      <c r="D174" s="510"/>
      <c r="E174" s="496"/>
      <c r="F174" s="496"/>
      <c r="G174" s="496"/>
      <c r="H174" s="496"/>
      <c r="I174" s="496"/>
      <c r="J174" s="496"/>
      <c r="K174" s="496"/>
      <c r="L174" s="496"/>
      <c r="M174" s="496"/>
      <c r="N174" s="496">
        <f t="shared" si="11"/>
        <v>0</v>
      </c>
      <c r="O174" s="496"/>
      <c r="P174" s="496"/>
      <c r="Q174" s="496"/>
      <c r="R174" s="496"/>
      <c r="S174" s="496"/>
      <c r="T174" s="496"/>
      <c r="U174" s="496"/>
      <c r="V174" s="496"/>
      <c r="W174" s="496"/>
      <c r="X174" s="496"/>
      <c r="Y174" s="496"/>
      <c r="Z174" s="496"/>
    </row>
    <row r="175" spans="1:26" ht="15" hidden="1" customHeight="1" outlineLevel="1" x14ac:dyDescent="0.25">
      <c r="A175" s="508" t="s">
        <v>284</v>
      </c>
      <c r="B175" s="508"/>
      <c r="C175" s="508"/>
      <c r="D175" s="510"/>
      <c r="E175" s="496"/>
      <c r="F175" s="496"/>
      <c r="G175" s="496"/>
      <c r="H175" s="496"/>
      <c r="I175" s="496"/>
      <c r="J175" s="496"/>
      <c r="K175" s="496"/>
      <c r="L175" s="496"/>
      <c r="M175" s="496"/>
      <c r="N175" s="496">
        <f t="shared" si="11"/>
        <v>0</v>
      </c>
      <c r="O175" s="496"/>
      <c r="P175" s="496"/>
      <c r="Q175" s="496"/>
      <c r="R175" s="496"/>
      <c r="S175" s="496"/>
      <c r="T175" s="496"/>
      <c r="U175" s="496"/>
      <c r="V175" s="496"/>
      <c r="W175" s="496"/>
      <c r="X175" s="496"/>
      <c r="Y175" s="496"/>
      <c r="Z175" s="496"/>
    </row>
    <row r="176" spans="1:26" ht="21" hidden="1" customHeight="1" outlineLevel="1" x14ac:dyDescent="0.25">
      <c r="A176" s="508" t="s">
        <v>285</v>
      </c>
      <c r="B176" s="508"/>
      <c r="C176" s="508"/>
      <c r="D176" s="510"/>
      <c r="E176" s="496"/>
      <c r="F176" s="496"/>
      <c r="G176" s="410"/>
      <c r="H176" s="496"/>
      <c r="I176" s="496"/>
      <c r="J176" s="496"/>
      <c r="K176" s="519" t="s">
        <v>20</v>
      </c>
      <c r="L176" s="404">
        <f>SUM(L171:L175)</f>
        <v>0</v>
      </c>
      <c r="M176" s="404">
        <f>SUM(M171:M175)</f>
        <v>0</v>
      </c>
      <c r="N176" s="496">
        <f t="shared" si="11"/>
        <v>0</v>
      </c>
      <c r="O176" s="496"/>
      <c r="P176" s="496"/>
      <c r="Q176" s="496"/>
      <c r="R176" s="496"/>
      <c r="S176" s="496"/>
      <c r="T176" s="496"/>
      <c r="U176" s="496"/>
      <c r="V176" s="496"/>
      <c r="W176" s="496"/>
      <c r="X176" s="496"/>
      <c r="Y176" s="496"/>
      <c r="Z176" s="496"/>
    </row>
    <row r="177" spans="1:26" hidden="1" outlineLevel="1" x14ac:dyDescent="0.25">
      <c r="A177" s="535" t="str">
        <f>CONCATENATE(B26," ",C26)</f>
        <v xml:space="preserve"> </v>
      </c>
      <c r="B177" s="535"/>
      <c r="C177" s="536"/>
      <c r="D177" s="536"/>
      <c r="E177" s="507"/>
      <c r="F177" s="507"/>
      <c r="G177" s="507"/>
      <c r="H177" s="507"/>
      <c r="I177" s="507"/>
      <c r="J177" s="507"/>
      <c r="K177" s="507"/>
      <c r="L177" s="507"/>
      <c r="M177" s="507"/>
      <c r="N177" s="507"/>
      <c r="O177" s="507" t="s">
        <v>5</v>
      </c>
      <c r="P177" s="507"/>
      <c r="Q177" s="507"/>
      <c r="R177" s="507"/>
      <c r="S177" s="507"/>
      <c r="T177" s="507"/>
      <c r="U177" s="507"/>
      <c r="V177" s="507"/>
      <c r="W177" s="507"/>
      <c r="X177" s="507"/>
      <c r="Y177" s="507"/>
      <c r="Z177" s="507"/>
    </row>
    <row r="178" spans="1:26" ht="6.75" customHeight="1" collapsed="1" x14ac:dyDescent="0.25"/>
    <row r="179" spans="1:26" x14ac:dyDescent="0.25">
      <c r="A179" s="441" t="s">
        <v>324</v>
      </c>
      <c r="B179" s="441"/>
      <c r="C179" s="402"/>
      <c r="D179" s="402"/>
      <c r="E179" s="402"/>
      <c r="F179" s="402"/>
      <c r="G179" s="402"/>
      <c r="H179" s="491"/>
      <c r="I179" s="491"/>
      <c r="J179" s="402"/>
      <c r="K179" s="402"/>
      <c r="L179" s="402"/>
      <c r="M179" s="402"/>
      <c r="N179" s="402"/>
      <c r="O179" s="402" t="s">
        <v>5</v>
      </c>
      <c r="P179" s="402"/>
      <c r="Q179" s="402"/>
      <c r="R179" s="402"/>
      <c r="S179" s="402"/>
      <c r="T179" s="402"/>
      <c r="U179" s="402"/>
      <c r="V179" s="402"/>
      <c r="W179" s="402"/>
      <c r="X179" s="402"/>
      <c r="Y179" s="402"/>
      <c r="Z179" s="402"/>
    </row>
    <row r="180" spans="1:26" hidden="1" outlineLevel="1" x14ac:dyDescent="0.25">
      <c r="A180" s="442" t="s">
        <v>261</v>
      </c>
      <c r="B180" s="442" t="s">
        <v>13</v>
      </c>
      <c r="C180" s="442" t="s">
        <v>14</v>
      </c>
      <c r="D180" s="403" t="s">
        <v>15</v>
      </c>
      <c r="E180" s="520"/>
      <c r="F180" s="520"/>
      <c r="G180" s="520"/>
      <c r="H180" s="520"/>
      <c r="I180" s="520"/>
      <c r="J180" s="410"/>
      <c r="K180" s="409"/>
      <c r="L180" s="404" t="s">
        <v>52</v>
      </c>
      <c r="M180" s="404" t="s">
        <v>53</v>
      </c>
      <c r="N180" s="404" t="s">
        <v>54</v>
      </c>
      <c r="O180" s="443">
        <v>43101</v>
      </c>
      <c r="P180" s="443">
        <v>43132</v>
      </c>
      <c r="Q180" s="443">
        <v>43160</v>
      </c>
      <c r="R180" s="443">
        <v>43191</v>
      </c>
      <c r="S180" s="443">
        <v>43221</v>
      </c>
      <c r="T180" s="443">
        <v>43252</v>
      </c>
      <c r="U180" s="443">
        <v>43282</v>
      </c>
      <c r="V180" s="443">
        <v>43313</v>
      </c>
      <c r="W180" s="443">
        <v>43344</v>
      </c>
      <c r="X180" s="443">
        <v>43374</v>
      </c>
      <c r="Y180" s="443">
        <v>43405</v>
      </c>
      <c r="Z180" s="443">
        <v>43435</v>
      </c>
    </row>
    <row r="181" spans="1:26" hidden="1" outlineLevel="1" x14ac:dyDescent="0.25">
      <c r="A181" s="508">
        <f>+A17</f>
        <v>0</v>
      </c>
      <c r="B181" s="508" t="s">
        <v>27</v>
      </c>
      <c r="C181" s="508" t="str">
        <f t="shared" ref="C181:D190" si="12">C17</f>
        <v>Heath and Satety</v>
      </c>
      <c r="D181" s="508">
        <f t="shared" si="12"/>
        <v>0</v>
      </c>
      <c r="E181" s="520"/>
      <c r="F181" s="520"/>
      <c r="G181" s="520"/>
      <c r="H181" s="520"/>
      <c r="I181" s="520"/>
      <c r="J181" s="410"/>
      <c r="K181" s="409" t="s">
        <v>5</v>
      </c>
      <c r="L181" s="496" t="s">
        <v>48</v>
      </c>
      <c r="M181" s="496" t="s">
        <v>55</v>
      </c>
      <c r="N181" s="496">
        <v>6</v>
      </c>
      <c r="O181" s="521">
        <f t="shared" ref="O181:Z181" si="13">+O17/SUM($O17:$Z17)</f>
        <v>6.6000000000000003E-2</v>
      </c>
      <c r="P181" s="521">
        <f t="shared" si="13"/>
        <v>5.8000000000000003E-2</v>
      </c>
      <c r="Q181" s="521">
        <f t="shared" si="13"/>
        <v>6.6000000000000003E-2</v>
      </c>
      <c r="R181" s="521">
        <f t="shared" si="13"/>
        <v>0.128</v>
      </c>
      <c r="S181" s="521">
        <f t="shared" si="13"/>
        <v>0.12</v>
      </c>
      <c r="T181" s="521">
        <f t="shared" si="13"/>
        <v>0.14799999999999999</v>
      </c>
      <c r="U181" s="521">
        <f t="shared" si="13"/>
        <v>7.3999999999999996E-2</v>
      </c>
      <c r="V181" s="521">
        <f t="shared" si="13"/>
        <v>0.06</v>
      </c>
      <c r="W181" s="521">
        <f t="shared" si="13"/>
        <v>5.8000000000000003E-2</v>
      </c>
      <c r="X181" s="521">
        <f t="shared" si="13"/>
        <v>7.3999999999999996E-2</v>
      </c>
      <c r="Y181" s="521">
        <f t="shared" si="13"/>
        <v>8.7999999999999995E-2</v>
      </c>
      <c r="Z181" s="521">
        <f t="shared" si="13"/>
        <v>0.06</v>
      </c>
    </row>
    <row r="182" spans="1:26" hidden="1" outlineLevel="1" x14ac:dyDescent="0.25">
      <c r="A182" s="508">
        <f>+A18</f>
        <v>0</v>
      </c>
      <c r="B182" s="508" t="s">
        <v>29</v>
      </c>
      <c r="C182" s="508">
        <f t="shared" si="12"/>
        <v>0</v>
      </c>
      <c r="D182" s="508">
        <f t="shared" si="12"/>
        <v>0</v>
      </c>
      <c r="E182" s="520"/>
      <c r="F182" s="520"/>
      <c r="G182" s="520"/>
      <c r="H182" s="520"/>
      <c r="I182" s="520"/>
      <c r="J182" s="410"/>
      <c r="K182" s="409" t="s">
        <v>5</v>
      </c>
      <c r="L182" s="496" t="s">
        <v>48</v>
      </c>
      <c r="M182" s="496" t="s">
        <v>55</v>
      </c>
      <c r="N182" s="496">
        <v>6</v>
      </c>
      <c r="O182" s="521" t="e">
        <f t="shared" ref="O182:Z182" si="14">+O18/SUM($O18:$Z18)</f>
        <v>#DIV/0!</v>
      </c>
      <c r="P182" s="521" t="e">
        <f t="shared" si="14"/>
        <v>#DIV/0!</v>
      </c>
      <c r="Q182" s="521" t="e">
        <f t="shared" si="14"/>
        <v>#DIV/0!</v>
      </c>
      <c r="R182" s="521" t="e">
        <f t="shared" si="14"/>
        <v>#DIV/0!</v>
      </c>
      <c r="S182" s="521" t="e">
        <f t="shared" si="14"/>
        <v>#DIV/0!</v>
      </c>
      <c r="T182" s="521" t="e">
        <f t="shared" si="14"/>
        <v>#DIV/0!</v>
      </c>
      <c r="U182" s="521" t="e">
        <f t="shared" si="14"/>
        <v>#DIV/0!</v>
      </c>
      <c r="V182" s="521" t="e">
        <f t="shared" si="14"/>
        <v>#DIV/0!</v>
      </c>
      <c r="W182" s="521" t="e">
        <f t="shared" si="14"/>
        <v>#DIV/0!</v>
      </c>
      <c r="X182" s="521" t="e">
        <f t="shared" si="14"/>
        <v>#DIV/0!</v>
      </c>
      <c r="Y182" s="521" t="e">
        <f t="shared" si="14"/>
        <v>#DIV/0!</v>
      </c>
      <c r="Z182" s="521" t="e">
        <f t="shared" si="14"/>
        <v>#DIV/0!</v>
      </c>
    </row>
    <row r="183" spans="1:26" hidden="1" outlineLevel="1" x14ac:dyDescent="0.25">
      <c r="A183" s="508">
        <f>+A19</f>
        <v>0</v>
      </c>
      <c r="B183" s="508" t="s">
        <v>30</v>
      </c>
      <c r="C183" s="508">
        <f t="shared" si="12"/>
        <v>0</v>
      </c>
      <c r="D183" s="508">
        <f t="shared" si="12"/>
        <v>0</v>
      </c>
      <c r="E183" s="520"/>
      <c r="F183" s="520"/>
      <c r="G183" s="520"/>
      <c r="H183" s="520"/>
      <c r="I183" s="520"/>
      <c r="J183" s="410"/>
      <c r="K183" s="409" t="s">
        <v>5</v>
      </c>
      <c r="L183" s="496"/>
      <c r="M183" s="496"/>
      <c r="N183" s="496"/>
      <c r="O183" s="521" t="e">
        <f t="shared" ref="O183:Z191" si="15">+O19/SUM($O19:$Z19)</f>
        <v>#DIV/0!</v>
      </c>
      <c r="P183" s="521" t="e">
        <f t="shared" si="15"/>
        <v>#DIV/0!</v>
      </c>
      <c r="Q183" s="521" t="e">
        <f t="shared" si="15"/>
        <v>#DIV/0!</v>
      </c>
      <c r="R183" s="521" t="e">
        <f t="shared" si="15"/>
        <v>#DIV/0!</v>
      </c>
      <c r="S183" s="521" t="e">
        <f t="shared" si="15"/>
        <v>#DIV/0!</v>
      </c>
      <c r="T183" s="521" t="e">
        <f t="shared" si="15"/>
        <v>#DIV/0!</v>
      </c>
      <c r="U183" s="521" t="e">
        <f t="shared" si="15"/>
        <v>#DIV/0!</v>
      </c>
      <c r="V183" s="521" t="e">
        <f t="shared" si="15"/>
        <v>#DIV/0!</v>
      </c>
      <c r="W183" s="521" t="e">
        <f t="shared" si="15"/>
        <v>#DIV/0!</v>
      </c>
      <c r="X183" s="521" t="e">
        <f t="shared" si="15"/>
        <v>#DIV/0!</v>
      </c>
      <c r="Y183" s="521" t="e">
        <f t="shared" si="15"/>
        <v>#DIV/0!</v>
      </c>
      <c r="Z183" s="521" t="e">
        <f t="shared" si="15"/>
        <v>#DIV/0!</v>
      </c>
    </row>
    <row r="184" spans="1:26" hidden="1" outlineLevel="1" x14ac:dyDescent="0.25">
      <c r="A184" s="508">
        <f>+A20</f>
        <v>0</v>
      </c>
      <c r="B184" s="508" t="s">
        <v>31</v>
      </c>
      <c r="C184" s="508">
        <f t="shared" si="12"/>
        <v>0</v>
      </c>
      <c r="D184" s="510">
        <f t="shared" si="12"/>
        <v>0</v>
      </c>
      <c r="E184" s="520"/>
      <c r="F184" s="520"/>
      <c r="G184" s="520"/>
      <c r="H184" s="520"/>
      <c r="I184" s="520"/>
      <c r="J184" s="410"/>
      <c r="K184" s="409" t="s">
        <v>5</v>
      </c>
      <c r="L184" s="496"/>
      <c r="M184" s="496"/>
      <c r="N184" s="496"/>
      <c r="O184" s="521" t="e">
        <f t="shared" si="15"/>
        <v>#DIV/0!</v>
      </c>
      <c r="P184" s="521" t="e">
        <f t="shared" si="15"/>
        <v>#DIV/0!</v>
      </c>
      <c r="Q184" s="521" t="e">
        <f t="shared" si="15"/>
        <v>#DIV/0!</v>
      </c>
      <c r="R184" s="521" t="e">
        <f t="shared" si="15"/>
        <v>#DIV/0!</v>
      </c>
      <c r="S184" s="521" t="e">
        <f t="shared" si="15"/>
        <v>#DIV/0!</v>
      </c>
      <c r="T184" s="521" t="e">
        <f t="shared" si="15"/>
        <v>#DIV/0!</v>
      </c>
      <c r="U184" s="521" t="e">
        <f t="shared" si="15"/>
        <v>#DIV/0!</v>
      </c>
      <c r="V184" s="521" t="e">
        <f t="shared" si="15"/>
        <v>#DIV/0!</v>
      </c>
      <c r="W184" s="521" t="e">
        <f t="shared" si="15"/>
        <v>#DIV/0!</v>
      </c>
      <c r="X184" s="521" t="e">
        <f t="shared" si="15"/>
        <v>#DIV/0!</v>
      </c>
      <c r="Y184" s="521" t="e">
        <f t="shared" si="15"/>
        <v>#DIV/0!</v>
      </c>
      <c r="Z184" s="521" t="e">
        <f t="shared" si="15"/>
        <v>#DIV/0!</v>
      </c>
    </row>
    <row r="185" spans="1:26" hidden="1" outlineLevel="1" x14ac:dyDescent="0.25">
      <c r="A185" s="508">
        <f t="shared" ref="A185:A190" si="16">+A21</f>
        <v>0</v>
      </c>
      <c r="B185" s="508" t="s">
        <v>32</v>
      </c>
      <c r="C185" s="508">
        <f t="shared" si="12"/>
        <v>0</v>
      </c>
      <c r="D185" s="510">
        <f t="shared" si="12"/>
        <v>0</v>
      </c>
      <c r="E185" s="520"/>
      <c r="F185" s="520"/>
      <c r="G185" s="520"/>
      <c r="H185" s="520"/>
      <c r="I185" s="520"/>
      <c r="J185" s="410"/>
      <c r="K185" s="409"/>
      <c r="L185" s="496"/>
      <c r="M185" s="496"/>
      <c r="N185" s="496"/>
      <c r="O185" s="521" t="e">
        <f t="shared" si="15"/>
        <v>#DIV/0!</v>
      </c>
      <c r="P185" s="521" t="e">
        <f t="shared" si="15"/>
        <v>#DIV/0!</v>
      </c>
      <c r="Q185" s="521" t="e">
        <f t="shared" si="15"/>
        <v>#DIV/0!</v>
      </c>
      <c r="R185" s="521" t="e">
        <f t="shared" si="15"/>
        <v>#DIV/0!</v>
      </c>
      <c r="S185" s="521" t="e">
        <f t="shared" si="15"/>
        <v>#DIV/0!</v>
      </c>
      <c r="T185" s="521" t="e">
        <f t="shared" si="15"/>
        <v>#DIV/0!</v>
      </c>
      <c r="U185" s="521" t="e">
        <f t="shared" si="15"/>
        <v>#DIV/0!</v>
      </c>
      <c r="V185" s="521" t="e">
        <f t="shared" si="15"/>
        <v>#DIV/0!</v>
      </c>
      <c r="W185" s="521" t="e">
        <f t="shared" si="15"/>
        <v>#DIV/0!</v>
      </c>
      <c r="X185" s="521" t="e">
        <f t="shared" si="15"/>
        <v>#DIV/0!</v>
      </c>
      <c r="Y185" s="521" t="e">
        <f t="shared" si="15"/>
        <v>#DIV/0!</v>
      </c>
      <c r="Z185" s="521" t="e">
        <f t="shared" si="15"/>
        <v>#DIV/0!</v>
      </c>
    </row>
    <row r="186" spans="1:26" hidden="1" outlineLevel="1" x14ac:dyDescent="0.25">
      <c r="A186" s="508">
        <f t="shared" si="16"/>
        <v>0</v>
      </c>
      <c r="B186" s="508" t="s">
        <v>256</v>
      </c>
      <c r="C186" s="508">
        <f t="shared" si="12"/>
        <v>0</v>
      </c>
      <c r="D186" s="510">
        <f t="shared" si="12"/>
        <v>0</v>
      </c>
      <c r="E186" s="520"/>
      <c r="F186" s="520"/>
      <c r="G186" s="520"/>
      <c r="H186" s="520"/>
      <c r="I186" s="520"/>
      <c r="J186" s="410"/>
      <c r="K186" s="409"/>
      <c r="L186" s="496"/>
      <c r="M186" s="496"/>
      <c r="N186" s="496"/>
      <c r="O186" s="521" t="e">
        <f t="shared" si="15"/>
        <v>#DIV/0!</v>
      </c>
      <c r="P186" s="521" t="e">
        <f t="shared" si="15"/>
        <v>#DIV/0!</v>
      </c>
      <c r="Q186" s="521" t="e">
        <f t="shared" si="15"/>
        <v>#DIV/0!</v>
      </c>
      <c r="R186" s="521" t="e">
        <f t="shared" si="15"/>
        <v>#DIV/0!</v>
      </c>
      <c r="S186" s="521" t="e">
        <f t="shared" si="15"/>
        <v>#DIV/0!</v>
      </c>
      <c r="T186" s="521" t="e">
        <f t="shared" si="15"/>
        <v>#DIV/0!</v>
      </c>
      <c r="U186" s="521" t="e">
        <f t="shared" si="15"/>
        <v>#DIV/0!</v>
      </c>
      <c r="V186" s="521" t="e">
        <f t="shared" si="15"/>
        <v>#DIV/0!</v>
      </c>
      <c r="W186" s="521" t="e">
        <f t="shared" si="15"/>
        <v>#DIV/0!</v>
      </c>
      <c r="X186" s="521" t="e">
        <f t="shared" si="15"/>
        <v>#DIV/0!</v>
      </c>
      <c r="Y186" s="521" t="e">
        <f t="shared" si="15"/>
        <v>#DIV/0!</v>
      </c>
      <c r="Z186" s="521" t="e">
        <f t="shared" si="15"/>
        <v>#DIV/0!</v>
      </c>
    </row>
    <row r="187" spans="1:26" hidden="1" outlineLevel="1" x14ac:dyDescent="0.25">
      <c r="A187" s="508">
        <f t="shared" si="16"/>
        <v>0</v>
      </c>
      <c r="B187" s="508" t="s">
        <v>257</v>
      </c>
      <c r="C187" s="508">
        <f t="shared" si="12"/>
        <v>0</v>
      </c>
      <c r="D187" s="510">
        <f t="shared" si="12"/>
        <v>0</v>
      </c>
      <c r="E187" s="520"/>
      <c r="F187" s="520"/>
      <c r="G187" s="520"/>
      <c r="H187" s="520"/>
      <c r="I187" s="520"/>
      <c r="J187" s="410"/>
      <c r="K187" s="409"/>
      <c r="L187" s="496"/>
      <c r="M187" s="496"/>
      <c r="N187" s="496"/>
      <c r="O187" s="521" t="e">
        <f t="shared" si="15"/>
        <v>#DIV/0!</v>
      </c>
      <c r="P187" s="521" t="e">
        <f t="shared" si="15"/>
        <v>#DIV/0!</v>
      </c>
      <c r="Q187" s="521" t="e">
        <f t="shared" si="15"/>
        <v>#DIV/0!</v>
      </c>
      <c r="R187" s="521" t="e">
        <f t="shared" si="15"/>
        <v>#DIV/0!</v>
      </c>
      <c r="S187" s="521" t="e">
        <f t="shared" si="15"/>
        <v>#DIV/0!</v>
      </c>
      <c r="T187" s="521" t="e">
        <f t="shared" si="15"/>
        <v>#DIV/0!</v>
      </c>
      <c r="U187" s="521" t="e">
        <f t="shared" si="15"/>
        <v>#DIV/0!</v>
      </c>
      <c r="V187" s="521" t="e">
        <f t="shared" si="15"/>
        <v>#DIV/0!</v>
      </c>
      <c r="W187" s="521" t="e">
        <f t="shared" si="15"/>
        <v>#DIV/0!</v>
      </c>
      <c r="X187" s="521" t="e">
        <f t="shared" si="15"/>
        <v>#DIV/0!</v>
      </c>
      <c r="Y187" s="521" t="e">
        <f t="shared" si="15"/>
        <v>#DIV/0!</v>
      </c>
      <c r="Z187" s="521" t="e">
        <f t="shared" si="15"/>
        <v>#DIV/0!</v>
      </c>
    </row>
    <row r="188" spans="1:26" hidden="1" outlineLevel="1" x14ac:dyDescent="0.25">
      <c r="A188" s="508">
        <f t="shared" si="16"/>
        <v>0</v>
      </c>
      <c r="B188" s="508" t="s">
        <v>258</v>
      </c>
      <c r="C188" s="508">
        <f t="shared" si="12"/>
        <v>0</v>
      </c>
      <c r="D188" s="510">
        <f t="shared" si="12"/>
        <v>0</v>
      </c>
      <c r="E188" s="520"/>
      <c r="F188" s="520"/>
      <c r="G188" s="520"/>
      <c r="H188" s="520"/>
      <c r="I188" s="520"/>
      <c r="J188" s="410"/>
      <c r="K188" s="409"/>
      <c r="L188" s="496"/>
      <c r="M188" s="496"/>
      <c r="N188" s="496"/>
      <c r="O188" s="521" t="e">
        <f t="shared" si="15"/>
        <v>#DIV/0!</v>
      </c>
      <c r="P188" s="521" t="e">
        <f t="shared" si="15"/>
        <v>#DIV/0!</v>
      </c>
      <c r="Q188" s="521" t="e">
        <f t="shared" si="15"/>
        <v>#DIV/0!</v>
      </c>
      <c r="R188" s="521" t="e">
        <f t="shared" si="15"/>
        <v>#DIV/0!</v>
      </c>
      <c r="S188" s="521" t="e">
        <f t="shared" si="15"/>
        <v>#DIV/0!</v>
      </c>
      <c r="T188" s="521" t="e">
        <f t="shared" si="15"/>
        <v>#DIV/0!</v>
      </c>
      <c r="U188" s="521" t="e">
        <f t="shared" si="15"/>
        <v>#DIV/0!</v>
      </c>
      <c r="V188" s="521" t="e">
        <f t="shared" si="15"/>
        <v>#DIV/0!</v>
      </c>
      <c r="W188" s="521" t="e">
        <f t="shared" si="15"/>
        <v>#DIV/0!</v>
      </c>
      <c r="X188" s="521" t="e">
        <f t="shared" si="15"/>
        <v>#DIV/0!</v>
      </c>
      <c r="Y188" s="521" t="e">
        <f t="shared" si="15"/>
        <v>#DIV/0!</v>
      </c>
      <c r="Z188" s="521" t="e">
        <f t="shared" si="15"/>
        <v>#DIV/0!</v>
      </c>
    </row>
    <row r="189" spans="1:26" hidden="1" outlineLevel="1" x14ac:dyDescent="0.25">
      <c r="A189" s="508">
        <f t="shared" si="16"/>
        <v>0</v>
      </c>
      <c r="B189" s="508" t="s">
        <v>259</v>
      </c>
      <c r="C189" s="508">
        <f t="shared" si="12"/>
        <v>0</v>
      </c>
      <c r="D189" s="510">
        <f t="shared" si="12"/>
        <v>0</v>
      </c>
      <c r="E189" s="520"/>
      <c r="F189" s="520"/>
      <c r="G189" s="520"/>
      <c r="H189" s="520"/>
      <c r="I189" s="520"/>
      <c r="J189" s="410"/>
      <c r="K189" s="409"/>
      <c r="L189" s="496"/>
      <c r="M189" s="496"/>
      <c r="N189" s="496"/>
      <c r="O189" s="521" t="e">
        <f t="shared" si="15"/>
        <v>#DIV/0!</v>
      </c>
      <c r="P189" s="521" t="e">
        <f t="shared" si="15"/>
        <v>#DIV/0!</v>
      </c>
      <c r="Q189" s="521" t="e">
        <f t="shared" si="15"/>
        <v>#DIV/0!</v>
      </c>
      <c r="R189" s="521" t="e">
        <f t="shared" si="15"/>
        <v>#DIV/0!</v>
      </c>
      <c r="S189" s="521" t="e">
        <f t="shared" si="15"/>
        <v>#DIV/0!</v>
      </c>
      <c r="T189" s="521" t="e">
        <f t="shared" si="15"/>
        <v>#DIV/0!</v>
      </c>
      <c r="U189" s="521" t="e">
        <f t="shared" si="15"/>
        <v>#DIV/0!</v>
      </c>
      <c r="V189" s="521" t="e">
        <f t="shared" si="15"/>
        <v>#DIV/0!</v>
      </c>
      <c r="W189" s="521" t="e">
        <f t="shared" si="15"/>
        <v>#DIV/0!</v>
      </c>
      <c r="X189" s="521" t="e">
        <f t="shared" si="15"/>
        <v>#DIV/0!</v>
      </c>
      <c r="Y189" s="521" t="e">
        <f t="shared" si="15"/>
        <v>#DIV/0!</v>
      </c>
      <c r="Z189" s="521" t="e">
        <f t="shared" si="15"/>
        <v>#DIV/0!</v>
      </c>
    </row>
    <row r="190" spans="1:26" hidden="1" outlineLevel="1" x14ac:dyDescent="0.25">
      <c r="A190" s="508">
        <f t="shared" si="16"/>
        <v>0</v>
      </c>
      <c r="B190" s="508" t="s">
        <v>260</v>
      </c>
      <c r="C190" s="508">
        <f t="shared" si="12"/>
        <v>0</v>
      </c>
      <c r="D190" s="510">
        <f t="shared" si="12"/>
        <v>0</v>
      </c>
      <c r="E190" s="520"/>
      <c r="F190" s="520"/>
      <c r="G190" s="520"/>
      <c r="H190" s="520"/>
      <c r="I190" s="520"/>
      <c r="J190" s="410"/>
      <c r="K190" s="409" t="s">
        <v>5</v>
      </c>
      <c r="L190" s="496"/>
      <c r="M190" s="496"/>
      <c r="N190" s="496"/>
      <c r="O190" s="521" t="e">
        <f t="shared" si="15"/>
        <v>#VALUE!</v>
      </c>
      <c r="P190" s="521" t="e">
        <f t="shared" si="15"/>
        <v>#DIV/0!</v>
      </c>
      <c r="Q190" s="521" t="e">
        <f t="shared" si="15"/>
        <v>#DIV/0!</v>
      </c>
      <c r="R190" s="521" t="e">
        <f t="shared" si="15"/>
        <v>#DIV/0!</v>
      </c>
      <c r="S190" s="521" t="e">
        <f t="shared" si="15"/>
        <v>#DIV/0!</v>
      </c>
      <c r="T190" s="521" t="e">
        <f t="shared" si="15"/>
        <v>#DIV/0!</v>
      </c>
      <c r="U190" s="521" t="e">
        <f t="shared" si="15"/>
        <v>#DIV/0!</v>
      </c>
      <c r="V190" s="521" t="e">
        <f t="shared" si="15"/>
        <v>#DIV/0!</v>
      </c>
      <c r="W190" s="521" t="e">
        <f t="shared" si="15"/>
        <v>#DIV/0!</v>
      </c>
      <c r="X190" s="521" t="e">
        <f t="shared" si="15"/>
        <v>#DIV/0!</v>
      </c>
      <c r="Y190" s="521" t="e">
        <f t="shared" si="15"/>
        <v>#DIV/0!</v>
      </c>
      <c r="Z190" s="521" t="e">
        <f t="shared" si="15"/>
        <v>#DIV/0!</v>
      </c>
    </row>
    <row r="191" spans="1:26" ht="22.5" hidden="1" customHeight="1" outlineLevel="1" x14ac:dyDescent="0.25">
      <c r="A191" s="537"/>
      <c r="B191" s="538"/>
      <c r="C191" s="538"/>
      <c r="D191" s="538"/>
      <c r="E191" s="519"/>
      <c r="F191" s="519"/>
      <c r="G191" s="519"/>
      <c r="H191" s="519"/>
      <c r="I191" s="519"/>
      <c r="J191" s="516" t="s">
        <v>20</v>
      </c>
      <c r="K191" s="519"/>
      <c r="L191" s="404" t="s">
        <v>48</v>
      </c>
      <c r="M191" s="404" t="s">
        <v>55</v>
      </c>
      <c r="N191" s="522">
        <f>SUM(N181:N190)</f>
        <v>12</v>
      </c>
      <c r="O191" s="521">
        <f t="shared" si="15"/>
        <v>6.6000000000000003E-2</v>
      </c>
      <c r="P191" s="521">
        <f t="shared" si="15"/>
        <v>5.8000000000000003E-2</v>
      </c>
      <c r="Q191" s="521">
        <f t="shared" si="15"/>
        <v>6.6000000000000003E-2</v>
      </c>
      <c r="R191" s="521">
        <f t="shared" si="15"/>
        <v>0.128</v>
      </c>
      <c r="S191" s="521">
        <f t="shared" si="15"/>
        <v>0.12</v>
      </c>
      <c r="T191" s="521">
        <f t="shared" si="15"/>
        <v>0.14799999999999999</v>
      </c>
      <c r="U191" s="521">
        <f t="shared" si="15"/>
        <v>7.3999999999999996E-2</v>
      </c>
      <c r="V191" s="521">
        <f t="shared" si="15"/>
        <v>0.06</v>
      </c>
      <c r="W191" s="521">
        <f t="shared" si="15"/>
        <v>5.8000000000000003E-2</v>
      </c>
      <c r="X191" s="521">
        <f t="shared" si="15"/>
        <v>7.3999999999999996E-2</v>
      </c>
      <c r="Y191" s="521">
        <f t="shared" si="15"/>
        <v>8.7999999999999995E-2</v>
      </c>
      <c r="Z191" s="521">
        <f t="shared" si="15"/>
        <v>0.06</v>
      </c>
    </row>
    <row r="192" spans="1:26" collapsed="1" x14ac:dyDescent="0.25"/>
    <row r="193" spans="1:3" x14ac:dyDescent="0.25">
      <c r="B193" s="445" t="s">
        <v>21</v>
      </c>
      <c r="C193" s="446">
        <v>43102</v>
      </c>
    </row>
    <row r="194" spans="1:3" x14ac:dyDescent="0.25">
      <c r="B194" s="445" t="s">
        <v>23</v>
      </c>
      <c r="C194" s="446">
        <v>42917</v>
      </c>
    </row>
    <row r="196" spans="1:3" x14ac:dyDescent="0.25">
      <c r="A196" s="539" t="s">
        <v>262</v>
      </c>
    </row>
    <row r="197" spans="1:3" x14ac:dyDescent="0.25">
      <c r="A197" s="540" t="s">
        <v>1404</v>
      </c>
    </row>
    <row r="198" spans="1:3" x14ac:dyDescent="0.25">
      <c r="A198" s="540" t="s">
        <v>323</v>
      </c>
    </row>
    <row r="200" spans="1:3" x14ac:dyDescent="0.25">
      <c r="A200" s="449" t="s">
        <v>1405</v>
      </c>
      <c r="B200" s="541" t="s">
        <v>288</v>
      </c>
      <c r="C200" s="541" t="s">
        <v>320</v>
      </c>
    </row>
    <row r="201" spans="1:3" ht="30" x14ac:dyDescent="0.25">
      <c r="A201" s="542" t="s">
        <v>310</v>
      </c>
      <c r="B201" s="541" t="s">
        <v>289</v>
      </c>
      <c r="C201" s="541" t="s">
        <v>321</v>
      </c>
    </row>
    <row r="202" spans="1:3" ht="30" x14ac:dyDescent="0.25">
      <c r="A202" s="542" t="s">
        <v>311</v>
      </c>
      <c r="B202" s="541" t="s">
        <v>290</v>
      </c>
      <c r="C202" s="541" t="s">
        <v>319</v>
      </c>
    </row>
    <row r="203" spans="1:3" ht="30" x14ac:dyDescent="0.25">
      <c r="A203" s="542" t="s">
        <v>312</v>
      </c>
      <c r="B203" s="541" t="s">
        <v>291</v>
      </c>
      <c r="C203" s="541" t="s">
        <v>322</v>
      </c>
    </row>
    <row r="204" spans="1:3" ht="30" x14ac:dyDescent="0.25">
      <c r="A204" s="542" t="s">
        <v>313</v>
      </c>
      <c r="B204" s="541" t="s">
        <v>292</v>
      </c>
      <c r="C204" s="541" t="s">
        <v>327</v>
      </c>
    </row>
    <row r="205" spans="1:3" ht="30" x14ac:dyDescent="0.25">
      <c r="A205" s="542" t="s">
        <v>314</v>
      </c>
      <c r="B205" s="541" t="s">
        <v>293</v>
      </c>
      <c r="C205" s="541" t="s">
        <v>317</v>
      </c>
    </row>
    <row r="206" spans="1:3" ht="30" x14ac:dyDescent="0.25">
      <c r="A206" s="542" t="s">
        <v>315</v>
      </c>
      <c r="B206" s="541" t="s">
        <v>296</v>
      </c>
      <c r="C206" s="541" t="s">
        <v>318</v>
      </c>
    </row>
    <row r="208" spans="1:3" ht="45" x14ac:dyDescent="0.25">
      <c r="A208" s="543" t="s">
        <v>301</v>
      </c>
      <c r="B208" s="449" t="s">
        <v>1406</v>
      </c>
    </row>
    <row r="210" spans="1:2" ht="30" x14ac:dyDescent="0.25">
      <c r="A210" s="543" t="s">
        <v>303</v>
      </c>
      <c r="B210" s="449" t="s">
        <v>1407</v>
      </c>
    </row>
    <row r="212" spans="1:2" ht="45" x14ac:dyDescent="0.25">
      <c r="A212" s="543" t="s">
        <v>304</v>
      </c>
      <c r="B212" s="449" t="s">
        <v>1408</v>
      </c>
    </row>
    <row r="214" spans="1:2" ht="30" x14ac:dyDescent="0.25">
      <c r="A214" s="449" t="s">
        <v>308</v>
      </c>
      <c r="B214" s="449" t="s">
        <v>1409</v>
      </c>
    </row>
  </sheetData>
  <mergeCells count="50">
    <mergeCell ref="E33:K33"/>
    <mergeCell ref="E34:K34"/>
    <mergeCell ref="E35:K35"/>
    <mergeCell ref="E36:K36"/>
    <mergeCell ref="E38:K38"/>
    <mergeCell ref="E52:K52"/>
    <mergeCell ref="E39:K39"/>
    <mergeCell ref="E40:K40"/>
    <mergeCell ref="E41:K41"/>
    <mergeCell ref="E42:K42"/>
    <mergeCell ref="E44:K44"/>
    <mergeCell ref="E45:K45"/>
    <mergeCell ref="E46:K46"/>
    <mergeCell ref="E47:K47"/>
    <mergeCell ref="E48:K48"/>
    <mergeCell ref="E50:K50"/>
    <mergeCell ref="E51:K51"/>
    <mergeCell ref="E66:K66"/>
    <mergeCell ref="E53:K53"/>
    <mergeCell ref="E54:K54"/>
    <mergeCell ref="E56:K56"/>
    <mergeCell ref="E57:K57"/>
    <mergeCell ref="E58:K58"/>
    <mergeCell ref="E59:K59"/>
    <mergeCell ref="E60:K60"/>
    <mergeCell ref="E62:K62"/>
    <mergeCell ref="E63:K63"/>
    <mergeCell ref="E64:K64"/>
    <mergeCell ref="E65:K65"/>
    <mergeCell ref="E69:K69"/>
    <mergeCell ref="E70:K70"/>
    <mergeCell ref="E71:K71"/>
    <mergeCell ref="E72:K72"/>
    <mergeCell ref="E74:K74"/>
    <mergeCell ref="E89:K89"/>
    <mergeCell ref="E90:K90"/>
    <mergeCell ref="D32:J32"/>
    <mergeCell ref="E82:K82"/>
    <mergeCell ref="E83:K83"/>
    <mergeCell ref="E84:K84"/>
    <mergeCell ref="E86:K86"/>
    <mergeCell ref="E87:K87"/>
    <mergeCell ref="E88:K88"/>
    <mergeCell ref="E75:K75"/>
    <mergeCell ref="E76:K76"/>
    <mergeCell ref="E77:K77"/>
    <mergeCell ref="E78:K78"/>
    <mergeCell ref="E80:K80"/>
    <mergeCell ref="E81:K81"/>
    <mergeCell ref="E68:K68"/>
  </mergeCells>
  <dataValidations count="5">
    <dataValidation type="list" allowBlank="1" showInputMessage="1" showErrorMessage="1" sqref="F117 F172:F176 F165:F169 F158:F162 F151:F155 F144:F148 F137:F141 F121:F134">
      <formula1>$A$3:$A$9</formula1>
    </dataValidation>
    <dataValidation type="list" allowBlank="1" showInputMessage="1" showErrorMessage="1" sqref="M181:M191 L181:L190 H172:J176 H165:J169 H158:J162 H151:J155 H144:I148 H137:J141 H121:J134 H117:K117 K108:K116 J106:K107">
      <formula1>$C$3:$C$15</formula1>
    </dataValidation>
    <dataValidation type="list" allowBlank="1" showInputMessage="1" showErrorMessage="1" sqref="L121:L133 L172:L175 L165:L168 L158:L161 L151:L154 L144:L147 L137:L140 L17:L19 L27 L106:L117">
      <formula1>$D$4:$D$15</formula1>
    </dataValidation>
    <dataValidation type="list" allowBlank="1" showInputMessage="1" showErrorMessage="1" sqref="K121:K133 J144:J148 K158:K161 K144:K147 K137:K140 K151:K154 L191 K172:K175 K165:K168 J108:J116">
      <formula1>$C$3:$C$14</formula1>
    </dataValidation>
    <dataValidation type="list" allowBlank="1" showInputMessage="1" showErrorMessage="1" sqref="L38:L42 L44:L48 L50:L54 L56:L60 L62:L66 L68:L72 L74:L78 L80:L84 L86:L90">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Lists!$D$2:$D$14</xm:f>
          </x14:formula1>
          <xm:sqref>L95:L102</xm:sqref>
        </x14:dataValidation>
        <x14:dataValidation type="list" allowBlank="1" showInputMessage="1" showErrorMessage="1">
          <x14:formula1>
            <xm:f>Lists!$C$2:$C$13</xm:f>
          </x14:formula1>
          <xm:sqref>H108:I116</xm:sqref>
        </x14:dataValidation>
        <x14:dataValidation type="list" allowBlank="1" showInputMessage="1" showErrorMessage="1">
          <x14:formula1>
            <xm:f>Lists!$A$2:$A$8</xm:f>
          </x14:formula1>
          <xm:sqref>F106:F116 F95:F102</xm:sqref>
        </x14:dataValidation>
        <x14:dataValidation type="list" allowBlank="1" showInputMessage="1" showErrorMessage="1">
          <x14:formula1>
            <xm:f>Lists!$C$2:$C$14</xm:f>
          </x14:formula1>
          <xm:sqref>H106:I107 H95:K102</xm:sqref>
        </x14:dataValidation>
        <x14:dataValidation type="list" allowBlank="1" showInputMessage="1" showErrorMessage="1">
          <x14:formula1>
            <xm:f>Lists!$H$2:$H$8</xm:f>
          </x14:formula1>
          <xm:sqref>L32:L36</xm:sqref>
        </x14:dataValidation>
        <x14:dataValidation type="list" allowBlank="1" showInputMessage="1" showErrorMessage="1">
          <x14:formula1>
            <xm:f>Lists!$D$2:$D$13</xm:f>
          </x14:formula1>
          <xm:sqref>N181:N190</xm:sqref>
        </x14:dataValidation>
        <x14:dataValidation type="list" allowBlank="1" showInputMessage="1" showErrorMessage="1">
          <x14:formula1>
            <xm:f>Lists!$E$3:$E$41</xm:f>
          </x14:formula1>
          <xm:sqref>B8</xm:sqref>
        </x14:dataValidation>
        <x14:dataValidation type="list" allowBlank="1" showInputMessage="1" showErrorMessage="1">
          <x14:formula1>
            <xm:f>'CCs &amp; Accounts'!$I$2:$I$34</xm:f>
          </x14:formula1>
          <xm:sqref>E17:E26 E106:E117 E137:E141 E144:E148 E151:E155 E158:E162 E165:E169 E172:E176 E121:E134 E95:E102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pageSetUpPr fitToPage="1"/>
  </sheetPr>
  <dimension ref="A1:AA231"/>
  <sheetViews>
    <sheetView showGridLines="0" topLeftCell="A12" zoomScale="60" zoomScaleNormal="60" workbookViewId="0">
      <selection activeCell="A108" sqref="A108"/>
    </sheetView>
  </sheetViews>
  <sheetFormatPr baseColWidth="10" defaultColWidth="11.42578125" defaultRowHeight="15" outlineLevelRow="1" outlineLevelCol="1" x14ac:dyDescent="0.25"/>
  <cols>
    <col min="1" max="1" width="46.140625" style="449" customWidth="1"/>
    <col min="2" max="2" width="32" style="449" customWidth="1"/>
    <col min="3" max="3" width="43.7109375" style="449" customWidth="1"/>
    <col min="4" max="4" width="79.42578125" style="449" customWidth="1"/>
    <col min="5" max="5" width="17.5703125" style="449" customWidth="1"/>
    <col min="6" max="6" width="23" style="449" customWidth="1"/>
    <col min="7" max="8" width="17.5703125" style="449" customWidth="1"/>
    <col min="9" max="10" width="11.5703125" style="449" customWidth="1"/>
    <col min="11" max="11" width="17.5703125" style="449" customWidth="1"/>
    <col min="12" max="13" width="17.7109375" style="449" customWidth="1"/>
    <col min="14" max="14" width="16.1406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hidden="1" customHeight="1" x14ac:dyDescent="0.25"/>
    <row r="2" spans="1:26" s="450" customFormat="1" ht="24.75" hidden="1" customHeight="1" x14ac:dyDescent="0.2">
      <c r="B2" s="451"/>
    </row>
    <row r="3" spans="1:26" s="450" customFormat="1" ht="24.75" hidden="1" customHeight="1" x14ac:dyDescent="0.3">
      <c r="B3" s="452"/>
    </row>
    <row r="4" spans="1:26" s="450" customFormat="1" ht="36.6" hidden="1" customHeight="1" x14ac:dyDescent="0.2"/>
    <row r="5" spans="1:26" ht="24.75" customHeight="1" x14ac:dyDescent="0.25"/>
    <row r="6" spans="1:26" ht="36.6" customHeight="1" x14ac:dyDescent="0.25">
      <c r="A6" s="453" t="s">
        <v>25</v>
      </c>
      <c r="B6" s="454"/>
      <c r="C6" s="455"/>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ht="18.75" x14ac:dyDescent="0.3">
      <c r="A7" s="458"/>
      <c r="B7" s="459" t="s">
        <v>6</v>
      </c>
      <c r="C7" s="459"/>
      <c r="D7" s="459"/>
      <c r="E7" s="459"/>
      <c r="F7" s="459"/>
      <c r="G7" s="459"/>
      <c r="H7" s="459"/>
      <c r="I7" s="459"/>
      <c r="J7" s="459"/>
      <c r="K7" s="459"/>
      <c r="L7" s="459"/>
      <c r="M7" s="459"/>
      <c r="N7" s="460"/>
      <c r="O7" s="461"/>
      <c r="P7" s="461"/>
      <c r="Q7" s="461"/>
      <c r="R7" s="461"/>
      <c r="S7" s="461"/>
      <c r="T7" s="461"/>
      <c r="U7" s="461"/>
      <c r="V7" s="461"/>
      <c r="W7" s="461"/>
      <c r="X7" s="461"/>
      <c r="Y7" s="461"/>
      <c r="Z7" s="462"/>
    </row>
    <row r="8" spans="1:26" ht="18.75" x14ac:dyDescent="0.3">
      <c r="A8" s="463"/>
      <c r="B8" s="464" t="s">
        <v>237</v>
      </c>
      <c r="C8" s="465"/>
      <c r="D8" s="465"/>
      <c r="E8" s="466"/>
      <c r="F8" s="466"/>
      <c r="G8" s="466"/>
      <c r="H8" s="466"/>
      <c r="I8" s="466"/>
      <c r="J8" s="466"/>
      <c r="K8" s="466"/>
      <c r="L8" s="466"/>
      <c r="M8" s="466"/>
      <c r="N8" s="467" t="s">
        <v>7</v>
      </c>
      <c r="O8" s="468"/>
      <c r="P8" s="468"/>
      <c r="Q8" s="468"/>
      <c r="R8" s="468"/>
      <c r="S8" s="468"/>
      <c r="T8" s="468"/>
      <c r="U8" s="468"/>
      <c r="V8" s="468"/>
      <c r="W8" s="468"/>
      <c r="X8" s="468"/>
      <c r="Y8" s="468"/>
      <c r="Z8" s="469"/>
    </row>
    <row r="9" spans="1:26" ht="18.75" x14ac:dyDescent="0.3">
      <c r="A9" s="463"/>
      <c r="B9" s="470" t="s">
        <v>8</v>
      </c>
      <c r="C9" s="466"/>
      <c r="D9" s="470" t="s">
        <v>9</v>
      </c>
      <c r="E9" s="470"/>
      <c r="F9" s="470"/>
      <c r="G9" s="470"/>
      <c r="H9" s="470"/>
      <c r="I9" s="470"/>
      <c r="J9" s="470"/>
      <c r="K9" s="470"/>
      <c r="L9" s="470"/>
      <c r="M9" s="470"/>
      <c r="N9" s="471">
        <v>43102</v>
      </c>
      <c r="O9" s="472"/>
      <c r="P9" s="472"/>
      <c r="Q9" s="472"/>
      <c r="R9" s="472"/>
      <c r="S9" s="472"/>
      <c r="T9" s="472"/>
      <c r="U9" s="472"/>
      <c r="V9" s="472"/>
      <c r="W9" s="472"/>
      <c r="X9" s="472"/>
      <c r="Y9" s="472"/>
      <c r="Z9" s="473"/>
    </row>
    <row r="10" spans="1:26" ht="18.75" x14ac:dyDescent="0.3">
      <c r="A10" s="474"/>
      <c r="B10" s="475" t="str">
        <f>VLOOKUP(B8,Lists!E1:I41,3,FALSE)</f>
        <v>685 Engineering</v>
      </c>
      <c r="C10" s="476"/>
      <c r="D10" s="464" t="s">
        <v>193</v>
      </c>
      <c r="E10" s="466"/>
      <c r="F10" s="466"/>
      <c r="G10" s="466"/>
      <c r="H10" s="466"/>
      <c r="I10" s="466"/>
      <c r="J10" s="466"/>
      <c r="K10" s="466"/>
      <c r="L10" s="466"/>
      <c r="M10" s="466"/>
      <c r="N10" s="477"/>
      <c r="O10" s="468"/>
      <c r="P10" s="468"/>
      <c r="Q10" s="468"/>
      <c r="R10" s="468"/>
      <c r="S10" s="468"/>
      <c r="T10" s="468"/>
      <c r="U10" s="468"/>
      <c r="V10" s="468"/>
      <c r="W10" s="468"/>
      <c r="X10" s="468"/>
      <c r="Y10" s="468"/>
      <c r="Z10" s="469"/>
    </row>
    <row r="11" spans="1:26" ht="18.75" x14ac:dyDescent="0.3">
      <c r="A11" s="474"/>
      <c r="B11" s="478" t="s">
        <v>10</v>
      </c>
      <c r="C11" s="476"/>
      <c r="D11" s="478"/>
      <c r="E11" s="478"/>
      <c r="F11" s="478"/>
      <c r="G11" s="478"/>
      <c r="H11" s="478"/>
      <c r="I11" s="478"/>
      <c r="J11" s="478"/>
      <c r="K11" s="478"/>
      <c r="L11" s="478"/>
      <c r="M11" s="478"/>
      <c r="N11" s="479" t="s">
        <v>11</v>
      </c>
      <c r="O11" s="480"/>
      <c r="P11" s="480"/>
      <c r="Q11" s="480"/>
      <c r="R11" s="480"/>
      <c r="S11" s="480"/>
      <c r="T11" s="480"/>
      <c r="U11" s="480"/>
      <c r="V11" s="480"/>
      <c r="W11" s="480"/>
      <c r="X11" s="480"/>
      <c r="Y11" s="480"/>
      <c r="Z11" s="481"/>
    </row>
    <row r="12" spans="1:26" ht="18.75" x14ac:dyDescent="0.3">
      <c r="A12" s="474"/>
      <c r="B12" s="482">
        <v>43313</v>
      </c>
      <c r="C12" s="476"/>
      <c r="D12" s="478"/>
      <c r="E12" s="466"/>
      <c r="F12" s="466"/>
      <c r="G12" s="466"/>
      <c r="H12" s="466"/>
      <c r="I12" s="466"/>
      <c r="J12" s="466"/>
      <c r="K12" s="466"/>
      <c r="L12" s="466"/>
      <c r="M12" s="466"/>
      <c r="N12" s="471">
        <v>43465</v>
      </c>
      <c r="O12" s="468"/>
      <c r="P12" s="468"/>
      <c r="Q12" s="468"/>
      <c r="R12" s="468"/>
      <c r="S12" s="468"/>
      <c r="T12" s="468"/>
      <c r="U12" s="468"/>
      <c r="V12" s="468"/>
      <c r="W12" s="468"/>
      <c r="X12" s="468"/>
      <c r="Y12" s="468"/>
      <c r="Z12" s="481"/>
    </row>
    <row r="13" spans="1:26" ht="18.75" x14ac:dyDescent="0.3">
      <c r="A13" s="483"/>
      <c r="B13" s="484"/>
      <c r="C13" s="485"/>
      <c r="D13" s="485"/>
      <c r="E13" s="485"/>
      <c r="F13" s="485"/>
      <c r="G13" s="485"/>
      <c r="H13" s="485"/>
      <c r="I13" s="485"/>
      <c r="J13" s="485"/>
      <c r="K13" s="485"/>
      <c r="L13" s="485"/>
      <c r="M13" s="485"/>
      <c r="N13" s="486"/>
      <c r="O13" s="487"/>
      <c r="P13" s="487"/>
      <c r="Q13" s="487"/>
      <c r="R13" s="487"/>
      <c r="S13" s="487"/>
      <c r="T13" s="487"/>
      <c r="U13" s="487"/>
      <c r="V13" s="487"/>
      <c r="W13" s="487"/>
      <c r="X13" s="487"/>
      <c r="Y13" s="487"/>
      <c r="Z13" s="488"/>
    </row>
    <row r="14" spans="1:26" ht="6.75" customHeight="1" x14ac:dyDescent="0.25"/>
    <row r="15" spans="1:26" ht="18.75" x14ac:dyDescent="0.25">
      <c r="A15" s="489" t="s">
        <v>12</v>
      </c>
      <c r="B15" s="489"/>
      <c r="C15" s="490"/>
      <c r="D15" s="490"/>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ht="25.5" customHeight="1" x14ac:dyDescent="0.25">
      <c r="A16" s="492" t="s">
        <v>261</v>
      </c>
      <c r="B16" s="492" t="s">
        <v>13</v>
      </c>
      <c r="C16" s="492" t="s">
        <v>14</v>
      </c>
      <c r="D16" s="403" t="s">
        <v>15</v>
      </c>
      <c r="E16" s="404" t="s">
        <v>16</v>
      </c>
      <c r="F16" s="410"/>
      <c r="G16" s="410"/>
      <c r="H16" s="410"/>
      <c r="I16" s="410"/>
      <c r="J16" s="410"/>
      <c r="K16" s="410"/>
      <c r="L16" s="404" t="s">
        <v>17</v>
      </c>
      <c r="M16" s="404" t="s">
        <v>18</v>
      </c>
      <c r="N16" s="404" t="s">
        <v>19</v>
      </c>
      <c r="O16" s="493">
        <v>43101</v>
      </c>
      <c r="P16" s="493">
        <v>43132</v>
      </c>
      <c r="Q16" s="493">
        <v>43160</v>
      </c>
      <c r="R16" s="493">
        <v>43191</v>
      </c>
      <c r="S16" s="493">
        <v>43221</v>
      </c>
      <c r="T16" s="493">
        <v>43252</v>
      </c>
      <c r="U16" s="493">
        <v>43282</v>
      </c>
      <c r="V16" s="493">
        <v>43313</v>
      </c>
      <c r="W16" s="493">
        <v>43344</v>
      </c>
      <c r="X16" s="493">
        <v>43374</v>
      </c>
      <c r="Y16" s="493">
        <v>43405</v>
      </c>
      <c r="Z16" s="493">
        <v>43435</v>
      </c>
    </row>
    <row r="17" spans="1:26" ht="15.75" x14ac:dyDescent="0.25">
      <c r="A17" s="494" t="s">
        <v>154</v>
      </c>
      <c r="B17" s="494" t="s">
        <v>27</v>
      </c>
      <c r="C17" s="494" t="s">
        <v>131</v>
      </c>
      <c r="D17" s="495"/>
      <c r="E17" s="496" t="s">
        <v>236</v>
      </c>
      <c r="F17" s="410"/>
      <c r="G17" s="410"/>
      <c r="H17" s="410"/>
      <c r="I17" s="410"/>
      <c r="J17" s="410"/>
      <c r="K17" s="410"/>
      <c r="L17" s="496">
        <v>6</v>
      </c>
      <c r="M17" s="497">
        <f>+M120</f>
        <v>12</v>
      </c>
      <c r="N17" s="496">
        <f>SUM(O17:Z17)</f>
        <v>3170000</v>
      </c>
      <c r="O17" s="498">
        <f t="shared" ref="O17:Z17" si="0">+O120</f>
        <v>140000</v>
      </c>
      <c r="P17" s="498">
        <f t="shared" si="0"/>
        <v>435000</v>
      </c>
      <c r="Q17" s="498">
        <f t="shared" si="0"/>
        <v>895000</v>
      </c>
      <c r="R17" s="498">
        <f t="shared" si="0"/>
        <v>630000</v>
      </c>
      <c r="S17" s="498">
        <f t="shared" si="0"/>
        <v>290000</v>
      </c>
      <c r="T17" s="498">
        <f t="shared" si="0"/>
        <v>290000</v>
      </c>
      <c r="U17" s="498">
        <f t="shared" si="0"/>
        <v>290000</v>
      </c>
      <c r="V17" s="498">
        <f t="shared" si="0"/>
        <v>40000</v>
      </c>
      <c r="W17" s="498">
        <f t="shared" si="0"/>
        <v>40000</v>
      </c>
      <c r="X17" s="498">
        <f t="shared" si="0"/>
        <v>40000</v>
      </c>
      <c r="Y17" s="498">
        <f t="shared" si="0"/>
        <v>40000</v>
      </c>
      <c r="Z17" s="498">
        <f t="shared" si="0"/>
        <v>40000</v>
      </c>
    </row>
    <row r="18" spans="1:26" ht="15.75" x14ac:dyDescent="0.25">
      <c r="A18" s="494"/>
      <c r="B18" s="494"/>
      <c r="C18" s="494"/>
      <c r="D18" s="495"/>
      <c r="E18" s="496"/>
      <c r="F18" s="410"/>
      <c r="G18" s="410"/>
      <c r="H18" s="410"/>
      <c r="I18" s="410"/>
      <c r="J18" s="410"/>
      <c r="K18" s="410"/>
      <c r="L18" s="496"/>
      <c r="M18" s="497">
        <f>+M135</f>
        <v>0</v>
      </c>
      <c r="N18" s="496">
        <f t="shared" ref="N18" si="1">SUM(O18:Z18)</f>
        <v>0</v>
      </c>
      <c r="O18" s="498">
        <f t="shared" ref="O18:Z18" si="2">+O135</f>
        <v>0</v>
      </c>
      <c r="P18" s="498">
        <f t="shared" si="2"/>
        <v>0</v>
      </c>
      <c r="Q18" s="498">
        <f t="shared" si="2"/>
        <v>0</v>
      </c>
      <c r="R18" s="498">
        <f t="shared" si="2"/>
        <v>0</v>
      </c>
      <c r="S18" s="498">
        <f t="shared" si="2"/>
        <v>0</v>
      </c>
      <c r="T18" s="498">
        <f t="shared" si="2"/>
        <v>0</v>
      </c>
      <c r="U18" s="498">
        <f t="shared" si="2"/>
        <v>0</v>
      </c>
      <c r="V18" s="498">
        <f t="shared" si="2"/>
        <v>0</v>
      </c>
      <c r="W18" s="498">
        <f t="shared" si="2"/>
        <v>0</v>
      </c>
      <c r="X18" s="498">
        <f t="shared" si="2"/>
        <v>0</v>
      </c>
      <c r="Y18" s="498">
        <f t="shared" si="2"/>
        <v>0</v>
      </c>
      <c r="Z18" s="498">
        <f t="shared" si="2"/>
        <v>0</v>
      </c>
    </row>
    <row r="19" spans="1:26" ht="15.75" hidden="1" x14ac:dyDescent="0.25">
      <c r="A19" s="494"/>
      <c r="B19" s="494"/>
      <c r="C19" s="494"/>
      <c r="D19" s="495"/>
      <c r="E19" s="496"/>
      <c r="F19" s="410"/>
      <c r="G19" s="410"/>
      <c r="H19" s="410"/>
      <c r="I19" s="410"/>
      <c r="J19" s="410"/>
      <c r="K19" s="410"/>
      <c r="L19" s="496"/>
      <c r="M19" s="497">
        <f>+M151</f>
        <v>0</v>
      </c>
      <c r="N19" s="496">
        <f t="shared" ref="N19:Z19" si="3">+N151</f>
        <v>0</v>
      </c>
      <c r="O19" s="498">
        <f t="shared" si="3"/>
        <v>0</v>
      </c>
      <c r="P19" s="498">
        <f t="shared" si="3"/>
        <v>0</v>
      </c>
      <c r="Q19" s="498">
        <f t="shared" si="3"/>
        <v>0</v>
      </c>
      <c r="R19" s="498">
        <f t="shared" si="3"/>
        <v>0</v>
      </c>
      <c r="S19" s="498">
        <f t="shared" si="3"/>
        <v>0</v>
      </c>
      <c r="T19" s="498">
        <f t="shared" si="3"/>
        <v>0</v>
      </c>
      <c r="U19" s="498">
        <f t="shared" si="3"/>
        <v>0</v>
      </c>
      <c r="V19" s="498">
        <f t="shared" si="3"/>
        <v>0</v>
      </c>
      <c r="W19" s="498">
        <f t="shared" si="3"/>
        <v>0</v>
      </c>
      <c r="X19" s="498">
        <f t="shared" si="3"/>
        <v>0</v>
      </c>
      <c r="Y19" s="498">
        <f t="shared" si="3"/>
        <v>0</v>
      </c>
      <c r="Z19" s="498">
        <f t="shared" si="3"/>
        <v>0</v>
      </c>
    </row>
    <row r="20" spans="1:26" ht="15.75" hidden="1" x14ac:dyDescent="0.25">
      <c r="A20" s="494"/>
      <c r="B20" s="494"/>
      <c r="C20" s="494"/>
      <c r="D20" s="495"/>
      <c r="E20" s="496"/>
      <c r="F20" s="410"/>
      <c r="G20" s="410"/>
      <c r="H20" s="410"/>
      <c r="I20" s="410"/>
      <c r="J20" s="410"/>
      <c r="K20" s="410"/>
      <c r="L20" s="496"/>
      <c r="M20" s="410"/>
      <c r="N20" s="409"/>
      <c r="O20" s="409" t="s">
        <v>5</v>
      </c>
      <c r="P20" s="409"/>
      <c r="Q20" s="409"/>
      <c r="R20" s="409"/>
      <c r="S20" s="409"/>
      <c r="T20" s="409"/>
      <c r="U20" s="409"/>
      <c r="V20" s="409"/>
      <c r="W20" s="409"/>
      <c r="X20" s="409"/>
      <c r="Y20" s="409"/>
      <c r="Z20" s="409"/>
    </row>
    <row r="21" spans="1:26" ht="15.75" hidden="1" x14ac:dyDescent="0.25">
      <c r="A21" s="494"/>
      <c r="B21" s="494"/>
      <c r="C21" s="494"/>
      <c r="D21" s="495"/>
      <c r="E21" s="496"/>
      <c r="F21" s="410"/>
      <c r="G21" s="410"/>
      <c r="H21" s="410"/>
      <c r="I21" s="410"/>
      <c r="J21" s="410"/>
      <c r="K21" s="410"/>
      <c r="L21" s="496"/>
      <c r="M21" s="410"/>
      <c r="N21" s="409"/>
      <c r="O21" s="409"/>
      <c r="P21" s="409"/>
      <c r="Q21" s="409"/>
      <c r="R21" s="409"/>
      <c r="S21" s="409"/>
      <c r="T21" s="409"/>
      <c r="U21" s="409"/>
      <c r="V21" s="409"/>
      <c r="W21" s="409"/>
      <c r="X21" s="409"/>
      <c r="Y21" s="409"/>
      <c r="Z21" s="409"/>
    </row>
    <row r="22" spans="1:26" ht="15.75" hidden="1" x14ac:dyDescent="0.25">
      <c r="A22" s="494"/>
      <c r="B22" s="494"/>
      <c r="C22" s="494"/>
      <c r="D22" s="495"/>
      <c r="E22" s="496"/>
      <c r="F22" s="410"/>
      <c r="G22" s="410"/>
      <c r="H22" s="410"/>
      <c r="I22" s="410"/>
      <c r="J22" s="410"/>
      <c r="K22" s="410"/>
      <c r="L22" s="496"/>
      <c r="M22" s="410"/>
      <c r="N22" s="409"/>
      <c r="O22" s="409"/>
      <c r="P22" s="409"/>
      <c r="Q22" s="409"/>
      <c r="R22" s="409"/>
      <c r="S22" s="409"/>
      <c r="T22" s="409"/>
      <c r="U22" s="409"/>
      <c r="V22" s="409"/>
      <c r="W22" s="409"/>
      <c r="X22" s="409"/>
      <c r="Y22" s="409"/>
      <c r="Z22" s="409"/>
    </row>
    <row r="23" spans="1:26" ht="15.75" hidden="1" x14ac:dyDescent="0.25">
      <c r="A23" s="494"/>
      <c r="B23" s="494"/>
      <c r="C23" s="494"/>
      <c r="D23" s="495"/>
      <c r="E23" s="496"/>
      <c r="F23" s="410"/>
      <c r="G23" s="410"/>
      <c r="H23" s="410"/>
      <c r="I23" s="410"/>
      <c r="J23" s="410"/>
      <c r="K23" s="410"/>
      <c r="L23" s="496"/>
      <c r="M23" s="410"/>
      <c r="N23" s="409"/>
      <c r="O23" s="409"/>
      <c r="P23" s="409"/>
      <c r="Q23" s="409"/>
      <c r="R23" s="409"/>
      <c r="S23" s="409"/>
      <c r="T23" s="409"/>
      <c r="U23" s="409"/>
      <c r="V23" s="409"/>
      <c r="W23" s="409"/>
      <c r="X23" s="409"/>
      <c r="Y23" s="409"/>
      <c r="Z23" s="409"/>
    </row>
    <row r="24" spans="1:26" ht="15.75" hidden="1" x14ac:dyDescent="0.25">
      <c r="A24" s="494"/>
      <c r="B24" s="494"/>
      <c r="C24" s="494"/>
      <c r="D24" s="495"/>
      <c r="E24" s="496"/>
      <c r="F24" s="410"/>
      <c r="G24" s="410"/>
      <c r="H24" s="410"/>
      <c r="I24" s="410"/>
      <c r="J24" s="410"/>
      <c r="K24" s="410"/>
      <c r="L24" s="496"/>
      <c r="M24" s="410"/>
      <c r="N24" s="409"/>
      <c r="O24" s="409"/>
      <c r="P24" s="409"/>
      <c r="Q24" s="409"/>
      <c r="R24" s="409"/>
      <c r="S24" s="409"/>
      <c r="T24" s="409"/>
      <c r="U24" s="409"/>
      <c r="V24" s="409"/>
      <c r="W24" s="409"/>
      <c r="X24" s="409"/>
      <c r="Y24" s="409"/>
      <c r="Z24" s="409"/>
    </row>
    <row r="25" spans="1:26" ht="15.75" hidden="1" x14ac:dyDescent="0.25">
      <c r="A25" s="494"/>
      <c r="B25" s="494"/>
      <c r="C25" s="494"/>
      <c r="D25" s="495"/>
      <c r="E25" s="496"/>
      <c r="F25" s="410"/>
      <c r="G25" s="410"/>
      <c r="H25" s="410"/>
      <c r="I25" s="410"/>
      <c r="J25" s="410"/>
      <c r="K25" s="410"/>
      <c r="L25" s="496"/>
      <c r="M25" s="410"/>
      <c r="N25" s="409"/>
      <c r="O25" s="409"/>
      <c r="P25" s="409"/>
      <c r="Q25" s="409"/>
      <c r="R25" s="409"/>
      <c r="S25" s="409"/>
      <c r="T25" s="409"/>
      <c r="U25" s="409"/>
      <c r="V25" s="409"/>
      <c r="W25" s="409"/>
      <c r="X25" s="409"/>
      <c r="Y25" s="409"/>
      <c r="Z25" s="409"/>
    </row>
    <row r="26" spans="1:26" ht="15.75" x14ac:dyDescent="0.25">
      <c r="A26" s="494"/>
      <c r="B26" s="494"/>
      <c r="C26" s="494"/>
      <c r="D26" s="495"/>
      <c r="E26" s="496"/>
      <c r="F26" s="410"/>
      <c r="G26" s="410"/>
      <c r="H26" s="410"/>
      <c r="I26" s="410"/>
      <c r="J26" s="410"/>
      <c r="K26" s="410"/>
      <c r="L26" s="496"/>
      <c r="M26" s="410"/>
      <c r="N26" s="409"/>
      <c r="O26" s="409" t="s">
        <v>5</v>
      </c>
      <c r="P26" s="409"/>
      <c r="Q26" s="409"/>
      <c r="R26" s="409"/>
      <c r="S26" s="409"/>
      <c r="T26" s="409"/>
      <c r="U26" s="409"/>
      <c r="V26" s="409"/>
      <c r="W26" s="409"/>
      <c r="X26" s="409"/>
      <c r="Y26" s="409"/>
      <c r="Z26" s="409"/>
    </row>
    <row r="27" spans="1:26" x14ac:dyDescent="0.25">
      <c r="A27" s="499"/>
      <c r="B27" s="500"/>
      <c r="C27" s="500"/>
      <c r="D27" s="501"/>
      <c r="E27" s="415"/>
      <c r="F27" s="415"/>
      <c r="G27" s="415"/>
      <c r="H27" s="415"/>
      <c r="I27" s="415"/>
      <c r="J27" s="502" t="s">
        <v>20</v>
      </c>
      <c r="K27" s="503"/>
      <c r="L27" s="404">
        <v>12</v>
      </c>
      <c r="M27" s="404">
        <f>SUM(M2:M26)</f>
        <v>12</v>
      </c>
      <c r="N27" s="404">
        <f>SUM(N16:N26)</f>
        <v>3170000</v>
      </c>
      <c r="O27" s="404">
        <f>SUM(O17:O26)</f>
        <v>140000</v>
      </c>
      <c r="P27" s="404">
        <f t="shared" ref="P27:Z27" si="4">SUM(P17:P26)</f>
        <v>435000</v>
      </c>
      <c r="Q27" s="404">
        <f t="shared" si="4"/>
        <v>895000</v>
      </c>
      <c r="R27" s="404">
        <f t="shared" si="4"/>
        <v>630000</v>
      </c>
      <c r="S27" s="404">
        <f t="shared" si="4"/>
        <v>290000</v>
      </c>
      <c r="T27" s="404">
        <f t="shared" si="4"/>
        <v>290000</v>
      </c>
      <c r="U27" s="404">
        <f t="shared" si="4"/>
        <v>290000</v>
      </c>
      <c r="V27" s="404">
        <f t="shared" si="4"/>
        <v>40000</v>
      </c>
      <c r="W27" s="404">
        <f t="shared" si="4"/>
        <v>40000</v>
      </c>
      <c r="X27" s="404">
        <f t="shared" si="4"/>
        <v>40000</v>
      </c>
      <c r="Y27" s="404">
        <f t="shared" si="4"/>
        <v>40000</v>
      </c>
      <c r="Z27" s="404">
        <f t="shared" si="4"/>
        <v>40000</v>
      </c>
    </row>
    <row r="28" spans="1:26" ht="6.75" customHeight="1" x14ac:dyDescent="0.25">
      <c r="A28" s="501"/>
      <c r="B28" s="501"/>
      <c r="C28" s="501"/>
      <c r="D28" s="501"/>
      <c r="E28" s="501"/>
      <c r="F28" s="501"/>
      <c r="G28" s="501"/>
      <c r="H28" s="501"/>
      <c r="I28" s="501"/>
      <c r="J28" s="501"/>
      <c r="K28" s="501"/>
    </row>
    <row r="29" spans="1:26" ht="18.75" x14ac:dyDescent="0.25">
      <c r="A29" s="489" t="s">
        <v>33</v>
      </c>
      <c r="B29" s="489"/>
      <c r="C29" s="490"/>
      <c r="D29" s="490"/>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ht="15.75" x14ac:dyDescent="0.25">
      <c r="A30" s="492" t="s">
        <v>261</v>
      </c>
      <c r="B30" s="442" t="s">
        <v>13</v>
      </c>
      <c r="C30" s="442" t="s">
        <v>14</v>
      </c>
      <c r="D30" s="403" t="s">
        <v>15</v>
      </c>
      <c r="E30" s="410" t="s">
        <v>5</v>
      </c>
      <c r="F30" s="410" t="s">
        <v>5</v>
      </c>
      <c r="G30" s="410" t="s">
        <v>5</v>
      </c>
      <c r="H30" s="410"/>
      <c r="I30" s="410"/>
      <c r="J30" s="410"/>
      <c r="K30" s="410" t="s">
        <v>5</v>
      </c>
      <c r="L30" s="504" t="s">
        <v>287</v>
      </c>
      <c r="M30" s="410"/>
      <c r="N30" s="410"/>
      <c r="O30" s="409" t="s">
        <v>5</v>
      </c>
      <c r="P30" s="409"/>
      <c r="Q30" s="409"/>
      <c r="R30" s="409"/>
      <c r="S30" s="409"/>
      <c r="T30" s="409"/>
      <c r="U30" s="409"/>
      <c r="V30" s="409"/>
      <c r="W30" s="409"/>
      <c r="X30" s="409"/>
      <c r="Y30" s="409"/>
      <c r="Z30" s="409"/>
    </row>
    <row r="31" spans="1:26" ht="18.75" x14ac:dyDescent="0.25">
      <c r="A31" s="505" t="str">
        <f>CONCATENATE(B17," ",C17)</f>
        <v>Objective 1 Metallurgy</v>
      </c>
      <c r="B31" s="505"/>
      <c r="C31" s="506"/>
      <c r="D31" s="50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t="15.75" x14ac:dyDescent="0.25">
      <c r="A32" s="494" t="s">
        <v>250</v>
      </c>
      <c r="B32" s="508" t="s">
        <v>34</v>
      </c>
      <c r="C32" s="508"/>
      <c r="D32" s="495"/>
      <c r="E32" s="999"/>
      <c r="F32" s="999"/>
      <c r="G32" s="999"/>
      <c r="H32" s="999"/>
      <c r="I32" s="999"/>
      <c r="J32" s="999"/>
      <c r="K32" s="1000"/>
      <c r="L32" s="496" t="s">
        <v>60</v>
      </c>
      <c r="M32" s="410"/>
      <c r="N32" s="409"/>
      <c r="O32" s="409" t="s">
        <v>5</v>
      </c>
      <c r="P32" s="409"/>
      <c r="Q32" s="409"/>
      <c r="R32" s="409"/>
      <c r="S32" s="409"/>
      <c r="T32" s="409"/>
      <c r="U32" s="409"/>
      <c r="V32" s="409"/>
      <c r="W32" s="409"/>
      <c r="X32" s="409"/>
      <c r="Y32" s="409"/>
      <c r="Z32" s="409"/>
    </row>
    <row r="33" spans="1:26" ht="15.75" hidden="1" x14ac:dyDescent="0.25">
      <c r="A33" s="494" t="s">
        <v>263</v>
      </c>
      <c r="B33" s="508"/>
      <c r="C33" s="508"/>
      <c r="D33" s="495"/>
      <c r="E33" s="999"/>
      <c r="F33" s="999"/>
      <c r="G33" s="999"/>
      <c r="H33" s="999"/>
      <c r="I33" s="999"/>
      <c r="J33" s="999"/>
      <c r="K33" s="1000"/>
      <c r="L33" s="496"/>
      <c r="M33" s="410"/>
      <c r="N33" s="409"/>
      <c r="O33" s="409" t="s">
        <v>5</v>
      </c>
      <c r="P33" s="409"/>
      <c r="Q33" s="409"/>
      <c r="R33" s="409"/>
      <c r="S33" s="409"/>
      <c r="T33" s="409"/>
      <c r="U33" s="409"/>
      <c r="V33" s="409"/>
      <c r="W33" s="409"/>
      <c r="X33" s="409"/>
      <c r="Y33" s="409"/>
      <c r="Z33" s="409"/>
    </row>
    <row r="34" spans="1:26" ht="15.75" hidden="1" x14ac:dyDescent="0.25">
      <c r="A34" s="494"/>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ht="15.75" hidden="1" x14ac:dyDescent="0.25">
      <c r="A35" s="494"/>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ht="15.75" hidden="1" x14ac:dyDescent="0.25">
      <c r="A36" s="494"/>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t="18.75" hidden="1" x14ac:dyDescent="0.25">
      <c r="A37" s="505" t="str">
        <f>CONCATENATE(B18," ",C18)</f>
        <v xml:space="preserve"> </v>
      </c>
      <c r="B37" s="505"/>
      <c r="C37" s="506"/>
      <c r="D37" s="50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t="15.75" hidden="1" x14ac:dyDescent="0.25">
      <c r="A38" s="494" t="s">
        <v>264</v>
      </c>
      <c r="B38" s="508" t="s">
        <v>36</v>
      </c>
      <c r="C38" s="508"/>
      <c r="D38" s="495"/>
      <c r="E38" s="999"/>
      <c r="F38" s="999"/>
      <c r="G38" s="999"/>
      <c r="H38" s="999"/>
      <c r="I38" s="999"/>
      <c r="J38" s="999"/>
      <c r="K38" s="1000"/>
      <c r="L38" s="496" t="s">
        <v>60</v>
      </c>
      <c r="M38" s="410"/>
      <c r="N38" s="409"/>
      <c r="O38" s="409" t="s">
        <v>5</v>
      </c>
      <c r="P38" s="409"/>
      <c r="Q38" s="409"/>
      <c r="R38" s="409"/>
      <c r="S38" s="409"/>
      <c r="T38" s="409"/>
      <c r="U38" s="409"/>
      <c r="V38" s="409"/>
      <c r="W38" s="409"/>
      <c r="X38" s="409"/>
      <c r="Y38" s="409"/>
      <c r="Z38" s="409"/>
    </row>
    <row r="39" spans="1:26" ht="15.75" hidden="1" x14ac:dyDescent="0.25">
      <c r="A39" s="494" t="s">
        <v>253</v>
      </c>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t="15.75" hidden="1" x14ac:dyDescent="0.25">
      <c r="A40" s="494"/>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t="15.75" hidden="1" x14ac:dyDescent="0.25">
      <c r="A41" s="494"/>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t="15.75" hidden="1" x14ac:dyDescent="0.25">
      <c r="A42" s="494"/>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t="18.75" hidden="1" x14ac:dyDescent="0.25">
      <c r="A43" s="505" t="str">
        <f>CONCATENATE(B19," ",C19)</f>
        <v xml:space="preserve"> </v>
      </c>
      <c r="B43" s="505"/>
      <c r="C43" s="506"/>
      <c r="D43" s="50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t="15.75" hidden="1" x14ac:dyDescent="0.25">
      <c r="A44" s="494" t="s">
        <v>265</v>
      </c>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t="15.75" hidden="1" x14ac:dyDescent="0.25">
      <c r="A45" s="494" t="s">
        <v>266</v>
      </c>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t="15.75" hidden="1" x14ac:dyDescent="0.25">
      <c r="A46" s="494"/>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t="15.75" hidden="1" x14ac:dyDescent="0.25">
      <c r="A47" s="494"/>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t="15.75" hidden="1" x14ac:dyDescent="0.25">
      <c r="A48" s="494"/>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t="18.75" hidden="1" outlineLevel="1" x14ac:dyDescent="0.25">
      <c r="A49" s="505" t="str">
        <f>CONCATENATE(B20," ",C20)</f>
        <v xml:space="preserve"> </v>
      </c>
      <c r="B49" s="505"/>
      <c r="C49" s="506"/>
      <c r="D49" s="50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t="15.75" hidden="1" outlineLevel="1" x14ac:dyDescent="0.25">
      <c r="A50" s="494" t="s">
        <v>267</v>
      </c>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t="15.75" hidden="1" outlineLevel="1" x14ac:dyDescent="0.25">
      <c r="A51" s="494" t="s">
        <v>268</v>
      </c>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t="15.75" hidden="1" outlineLevel="1" x14ac:dyDescent="0.25">
      <c r="A52" s="494"/>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t="15.75" hidden="1" outlineLevel="1" x14ac:dyDescent="0.25">
      <c r="A53" s="494"/>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t="15.75" hidden="1" outlineLevel="1" x14ac:dyDescent="0.25">
      <c r="A54" s="494"/>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t="18.75" hidden="1" outlineLevel="1" x14ac:dyDescent="0.25">
      <c r="A55" s="505" t="str">
        <f>CONCATENATE(B21," ",C21)</f>
        <v xml:space="preserve"> </v>
      </c>
      <c r="B55" s="505"/>
      <c r="C55" s="506"/>
      <c r="D55" s="50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t="15.75" hidden="1" outlineLevel="1" x14ac:dyDescent="0.25">
      <c r="A56" s="494" t="s">
        <v>269</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t="15.75" hidden="1" outlineLevel="1" x14ac:dyDescent="0.25">
      <c r="A57" s="494" t="s">
        <v>270</v>
      </c>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t="15.75" hidden="1" outlineLevel="1" x14ac:dyDescent="0.25">
      <c r="A58" s="494"/>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t="15.75" hidden="1" outlineLevel="1" x14ac:dyDescent="0.25">
      <c r="A59" s="494"/>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t="15.75" hidden="1" outlineLevel="1" x14ac:dyDescent="0.25">
      <c r="A60" s="494"/>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t="18.75" hidden="1" outlineLevel="1" x14ac:dyDescent="0.25">
      <c r="A61" s="505" t="str">
        <f>CONCATENATE(B22," ",C22)</f>
        <v xml:space="preserve"> </v>
      </c>
      <c r="B61" s="505"/>
      <c r="C61" s="506"/>
      <c r="D61" s="50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t="15.75" hidden="1" outlineLevel="1" x14ac:dyDescent="0.25">
      <c r="A62" s="494" t="s">
        <v>271</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t="15.75" hidden="1" outlineLevel="1" x14ac:dyDescent="0.25">
      <c r="A63" s="494" t="s">
        <v>272</v>
      </c>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t="15.75" hidden="1" outlineLevel="1" x14ac:dyDescent="0.25">
      <c r="A64" s="494"/>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t="15.75" hidden="1" outlineLevel="1" x14ac:dyDescent="0.25">
      <c r="A65" s="494"/>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t="15.75" hidden="1" outlineLevel="1" x14ac:dyDescent="0.25">
      <c r="A66" s="494"/>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t="18.75" hidden="1" outlineLevel="1" x14ac:dyDescent="0.25">
      <c r="A67" s="505" t="str">
        <f>CONCATENATE(B23," ",C23)</f>
        <v xml:space="preserve"> </v>
      </c>
      <c r="B67" s="505"/>
      <c r="C67" s="506"/>
      <c r="D67" s="50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15.75" hidden="1" outlineLevel="1" x14ac:dyDescent="0.25">
      <c r="A68" s="494" t="s">
        <v>273</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t="15.75" hidden="1" outlineLevel="1" x14ac:dyDescent="0.25">
      <c r="A69" s="494" t="s">
        <v>274</v>
      </c>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t="15.75" hidden="1" outlineLevel="1" x14ac:dyDescent="0.25">
      <c r="A70" s="494"/>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t="15.75" hidden="1" outlineLevel="1" x14ac:dyDescent="0.25">
      <c r="A71" s="494"/>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t="15.75" hidden="1" outlineLevel="1" x14ac:dyDescent="0.25">
      <c r="A72" s="494"/>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t="18.75" hidden="1" outlineLevel="1" x14ac:dyDescent="0.25">
      <c r="A73" s="505" t="str">
        <f>CONCATENATE(B24," ",C24)</f>
        <v xml:space="preserve"> </v>
      </c>
      <c r="B73" s="505"/>
      <c r="C73" s="506"/>
      <c r="D73" s="50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t="15.75" hidden="1" outlineLevel="1" x14ac:dyDescent="0.25">
      <c r="A74" s="494" t="s">
        <v>275</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t="15.75" hidden="1" outlineLevel="1" x14ac:dyDescent="0.25">
      <c r="A75" s="494" t="s">
        <v>276</v>
      </c>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t="15.75" hidden="1" outlineLevel="1" x14ac:dyDescent="0.25">
      <c r="A76" s="494"/>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t="15.75" hidden="1" outlineLevel="1" x14ac:dyDescent="0.25">
      <c r="A77" s="494"/>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t="15.75" hidden="1" outlineLevel="1" x14ac:dyDescent="0.25">
      <c r="A78" s="494"/>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79" spans="1:26" ht="18.75" hidden="1" outlineLevel="1" x14ac:dyDescent="0.25">
      <c r="A79" s="505" t="str">
        <f>CONCATENATE(B25," ",C25)</f>
        <v xml:space="preserve"> </v>
      </c>
      <c r="B79" s="505"/>
      <c r="C79" s="506"/>
      <c r="D79" s="506"/>
      <c r="E79" s="507"/>
      <c r="F79" s="507"/>
      <c r="G79" s="507"/>
      <c r="H79" s="507"/>
      <c r="I79" s="507"/>
      <c r="J79" s="507"/>
      <c r="K79" s="507"/>
      <c r="L79" s="507"/>
      <c r="M79" s="507"/>
      <c r="N79" s="507"/>
      <c r="O79" s="507" t="s">
        <v>5</v>
      </c>
      <c r="P79" s="507"/>
      <c r="Q79" s="507"/>
      <c r="R79" s="507"/>
      <c r="S79" s="507"/>
      <c r="T79" s="507"/>
      <c r="U79" s="507"/>
      <c r="V79" s="507"/>
      <c r="W79" s="507"/>
      <c r="X79" s="507"/>
      <c r="Y79" s="507"/>
      <c r="Z79" s="507"/>
    </row>
    <row r="80" spans="1:26" ht="15.75" hidden="1" outlineLevel="1" x14ac:dyDescent="0.25">
      <c r="A80" s="494" t="s">
        <v>277</v>
      </c>
      <c r="B80" s="508"/>
      <c r="C80" s="508"/>
      <c r="D80" s="495"/>
      <c r="E80" s="999" t="s">
        <v>5</v>
      </c>
      <c r="F80" s="999" t="s">
        <v>5</v>
      </c>
      <c r="G80" s="999" t="s">
        <v>5</v>
      </c>
      <c r="H80" s="999"/>
      <c r="I80" s="999"/>
      <c r="J80" s="999"/>
      <c r="K80" s="1000" t="s">
        <v>5</v>
      </c>
      <c r="L80" s="496"/>
      <c r="M80" s="410"/>
      <c r="N80" s="409"/>
      <c r="O80" s="409" t="s">
        <v>5</v>
      </c>
      <c r="P80" s="409"/>
      <c r="Q80" s="409"/>
      <c r="R80" s="409"/>
      <c r="S80" s="409"/>
      <c r="T80" s="409"/>
      <c r="U80" s="409"/>
      <c r="V80" s="409"/>
      <c r="W80" s="409"/>
      <c r="X80" s="409"/>
      <c r="Y80" s="409"/>
      <c r="Z80" s="409"/>
    </row>
    <row r="81" spans="1:26" ht="15.75" hidden="1" outlineLevel="1" x14ac:dyDescent="0.25">
      <c r="A81" s="494" t="s">
        <v>278</v>
      </c>
      <c r="B81" s="508"/>
      <c r="C81" s="508"/>
      <c r="D81" s="495"/>
      <c r="E81" s="999" t="s">
        <v>5</v>
      </c>
      <c r="F81" s="999" t="s">
        <v>5</v>
      </c>
      <c r="G81" s="999" t="s">
        <v>5</v>
      </c>
      <c r="H81" s="999"/>
      <c r="I81" s="999"/>
      <c r="J81" s="999"/>
      <c r="K81" s="1000" t="s">
        <v>5</v>
      </c>
      <c r="L81" s="496"/>
      <c r="M81" s="410"/>
      <c r="N81" s="409"/>
      <c r="O81" s="409" t="s">
        <v>5</v>
      </c>
      <c r="P81" s="409"/>
      <c r="Q81" s="409"/>
      <c r="R81" s="409"/>
      <c r="S81" s="409"/>
      <c r="T81" s="409"/>
      <c r="U81" s="409"/>
      <c r="V81" s="409"/>
      <c r="W81" s="409"/>
      <c r="X81" s="409"/>
      <c r="Y81" s="409"/>
      <c r="Z81" s="409"/>
    </row>
    <row r="82" spans="1:26" ht="15.75" hidden="1" outlineLevel="1" x14ac:dyDescent="0.25">
      <c r="A82" s="494"/>
      <c r="B82" s="508"/>
      <c r="C82" s="508"/>
      <c r="D82" s="495"/>
      <c r="E82" s="999" t="s">
        <v>5</v>
      </c>
      <c r="F82" s="999" t="s">
        <v>5</v>
      </c>
      <c r="G82" s="999" t="s">
        <v>5</v>
      </c>
      <c r="H82" s="999"/>
      <c r="I82" s="999"/>
      <c r="J82" s="999"/>
      <c r="K82" s="1000" t="s">
        <v>5</v>
      </c>
      <c r="L82" s="496"/>
      <c r="M82" s="410"/>
      <c r="N82" s="409"/>
      <c r="O82" s="409" t="s">
        <v>5</v>
      </c>
      <c r="P82" s="409"/>
      <c r="Q82" s="409"/>
      <c r="R82" s="409"/>
      <c r="S82" s="409"/>
      <c r="T82" s="409"/>
      <c r="U82" s="409"/>
      <c r="V82" s="409"/>
      <c r="W82" s="409"/>
      <c r="X82" s="409"/>
      <c r="Y82" s="409"/>
      <c r="Z82" s="409"/>
    </row>
    <row r="83" spans="1:26" ht="15.75" hidden="1" outlineLevel="1" x14ac:dyDescent="0.25">
      <c r="A83" s="494"/>
      <c r="B83" s="508"/>
      <c r="C83" s="508"/>
      <c r="D83" s="495"/>
      <c r="E83" s="999" t="s">
        <v>5</v>
      </c>
      <c r="F83" s="999" t="s">
        <v>5</v>
      </c>
      <c r="G83" s="999" t="s">
        <v>5</v>
      </c>
      <c r="H83" s="999"/>
      <c r="I83" s="999"/>
      <c r="J83" s="999"/>
      <c r="K83" s="1000" t="s">
        <v>5</v>
      </c>
      <c r="L83" s="496"/>
      <c r="M83" s="410"/>
      <c r="N83" s="409"/>
      <c r="O83" s="409" t="s">
        <v>5</v>
      </c>
      <c r="P83" s="409"/>
      <c r="Q83" s="409"/>
      <c r="R83" s="409"/>
      <c r="S83" s="409"/>
      <c r="T83" s="409"/>
      <c r="U83" s="409"/>
      <c r="V83" s="409"/>
      <c r="W83" s="409"/>
      <c r="X83" s="409"/>
      <c r="Y83" s="409"/>
      <c r="Z83" s="409"/>
    </row>
    <row r="84" spans="1:26" ht="15.75" hidden="1" outlineLevel="1" x14ac:dyDescent="0.25">
      <c r="A84" s="494"/>
      <c r="B84" s="508"/>
      <c r="C84" s="508"/>
      <c r="D84" s="495"/>
      <c r="E84" s="999" t="s">
        <v>5</v>
      </c>
      <c r="F84" s="999" t="s">
        <v>5</v>
      </c>
      <c r="G84" s="999" t="s">
        <v>5</v>
      </c>
      <c r="H84" s="999"/>
      <c r="I84" s="999"/>
      <c r="J84" s="999"/>
      <c r="K84" s="1000" t="s">
        <v>5</v>
      </c>
      <c r="L84" s="496"/>
      <c r="M84" s="410"/>
      <c r="N84" s="409"/>
      <c r="O84" s="409" t="s">
        <v>5</v>
      </c>
      <c r="P84" s="409"/>
      <c r="Q84" s="409"/>
      <c r="R84" s="409"/>
      <c r="S84" s="409"/>
      <c r="T84" s="409"/>
      <c r="U84" s="409"/>
      <c r="V84" s="409"/>
      <c r="W84" s="409"/>
      <c r="X84" s="409"/>
      <c r="Y84" s="409"/>
      <c r="Z84" s="409"/>
    </row>
    <row r="85" spans="1:26" ht="18.75" hidden="1" outlineLevel="1" x14ac:dyDescent="0.25">
      <c r="A85" s="505" t="str">
        <f>CONCATENATE(B26," ",C26)</f>
        <v xml:space="preserve"> </v>
      </c>
      <c r="B85" s="505"/>
      <c r="C85" s="506"/>
      <c r="D85" s="506"/>
      <c r="E85" s="507"/>
      <c r="F85" s="507"/>
      <c r="G85" s="507"/>
      <c r="H85" s="507"/>
      <c r="I85" s="507"/>
      <c r="J85" s="507"/>
      <c r="K85" s="507"/>
      <c r="L85" s="507"/>
      <c r="M85" s="507"/>
      <c r="N85" s="507"/>
      <c r="O85" s="507" t="s">
        <v>5</v>
      </c>
      <c r="P85" s="507"/>
      <c r="Q85" s="507"/>
      <c r="R85" s="507"/>
      <c r="S85" s="507"/>
      <c r="T85" s="507"/>
      <c r="U85" s="507"/>
      <c r="V85" s="507"/>
      <c r="W85" s="507"/>
      <c r="X85" s="507"/>
      <c r="Y85" s="507"/>
      <c r="Z85" s="507"/>
    </row>
    <row r="86" spans="1:26" ht="15.75" hidden="1" outlineLevel="1" x14ac:dyDescent="0.25">
      <c r="A86" s="494" t="s">
        <v>279</v>
      </c>
      <c r="B86" s="508"/>
      <c r="C86" s="508"/>
      <c r="D86" s="495"/>
      <c r="E86" s="999" t="s">
        <v>5</v>
      </c>
      <c r="F86" s="999" t="s">
        <v>5</v>
      </c>
      <c r="G86" s="999" t="s">
        <v>5</v>
      </c>
      <c r="H86" s="999"/>
      <c r="I86" s="999"/>
      <c r="J86" s="999"/>
      <c r="K86" s="1000" t="s">
        <v>5</v>
      </c>
      <c r="L86" s="496"/>
      <c r="M86" s="410"/>
      <c r="N86" s="409"/>
      <c r="O86" s="409" t="s">
        <v>5</v>
      </c>
      <c r="P86" s="409"/>
      <c r="Q86" s="409"/>
      <c r="R86" s="409"/>
      <c r="S86" s="409"/>
      <c r="T86" s="409"/>
      <c r="U86" s="409"/>
      <c r="V86" s="409"/>
      <c r="W86" s="409"/>
      <c r="X86" s="409"/>
      <c r="Y86" s="409"/>
      <c r="Z86" s="409"/>
    </row>
    <row r="87" spans="1:26" ht="15.75" hidden="1" outlineLevel="1" x14ac:dyDescent="0.25">
      <c r="A87" s="494" t="s">
        <v>280</v>
      </c>
      <c r="B87" s="508"/>
      <c r="C87" s="508"/>
      <c r="D87" s="495"/>
      <c r="E87" s="999" t="s">
        <v>5</v>
      </c>
      <c r="F87" s="999" t="s">
        <v>5</v>
      </c>
      <c r="G87" s="999" t="s">
        <v>5</v>
      </c>
      <c r="H87" s="999"/>
      <c r="I87" s="999"/>
      <c r="J87" s="999"/>
      <c r="K87" s="1000" t="s">
        <v>5</v>
      </c>
      <c r="L87" s="496"/>
      <c r="M87" s="410"/>
      <c r="N87" s="409"/>
      <c r="O87" s="409" t="s">
        <v>5</v>
      </c>
      <c r="P87" s="409"/>
      <c r="Q87" s="409"/>
      <c r="R87" s="409"/>
      <c r="S87" s="409"/>
      <c r="T87" s="409"/>
      <c r="U87" s="409"/>
      <c r="V87" s="409"/>
      <c r="W87" s="409"/>
      <c r="X87" s="409"/>
      <c r="Y87" s="409"/>
      <c r="Z87" s="409"/>
    </row>
    <row r="88" spans="1:26" ht="15.75" hidden="1" outlineLevel="1" x14ac:dyDescent="0.25">
      <c r="A88" s="494"/>
      <c r="B88" s="508"/>
      <c r="C88" s="508"/>
      <c r="D88" s="495"/>
      <c r="E88" s="999" t="s">
        <v>5</v>
      </c>
      <c r="F88" s="999" t="s">
        <v>5</v>
      </c>
      <c r="G88" s="999" t="s">
        <v>5</v>
      </c>
      <c r="H88" s="999"/>
      <c r="I88" s="999"/>
      <c r="J88" s="999"/>
      <c r="K88" s="1000" t="s">
        <v>5</v>
      </c>
      <c r="L88" s="496"/>
      <c r="M88" s="410"/>
      <c r="N88" s="409"/>
      <c r="O88" s="409" t="s">
        <v>5</v>
      </c>
      <c r="P88" s="409"/>
      <c r="Q88" s="409"/>
      <c r="R88" s="409"/>
      <c r="S88" s="409"/>
      <c r="T88" s="409"/>
      <c r="U88" s="409"/>
      <c r="V88" s="409"/>
      <c r="W88" s="409"/>
      <c r="X88" s="409"/>
      <c r="Y88" s="409"/>
      <c r="Z88" s="409"/>
    </row>
    <row r="89" spans="1:26" ht="15.75" hidden="1" outlineLevel="1" x14ac:dyDescent="0.25">
      <c r="A89" s="494"/>
      <c r="B89" s="508"/>
      <c r="C89" s="508"/>
      <c r="D89" s="495"/>
      <c r="E89" s="999" t="s">
        <v>5</v>
      </c>
      <c r="F89" s="999" t="s">
        <v>5</v>
      </c>
      <c r="G89" s="999" t="s">
        <v>5</v>
      </c>
      <c r="H89" s="999"/>
      <c r="I89" s="999"/>
      <c r="J89" s="999"/>
      <c r="K89" s="1000" t="s">
        <v>5</v>
      </c>
      <c r="L89" s="496"/>
      <c r="M89" s="410"/>
      <c r="N89" s="409"/>
      <c r="O89" s="409" t="s">
        <v>5</v>
      </c>
      <c r="P89" s="409"/>
      <c r="Q89" s="409"/>
      <c r="R89" s="409"/>
      <c r="S89" s="409"/>
      <c r="T89" s="409"/>
      <c r="U89" s="409"/>
      <c r="V89" s="409"/>
      <c r="W89" s="409"/>
      <c r="X89" s="409"/>
      <c r="Y89" s="409"/>
      <c r="Z89" s="409"/>
    </row>
    <row r="90" spans="1:26" ht="15.75" hidden="1" outlineLevel="1" x14ac:dyDescent="0.25">
      <c r="A90" s="494"/>
      <c r="B90" s="508"/>
      <c r="C90" s="508"/>
      <c r="D90" s="495"/>
      <c r="E90" s="999" t="s">
        <v>5</v>
      </c>
      <c r="F90" s="999" t="s">
        <v>5</v>
      </c>
      <c r="G90" s="999" t="s">
        <v>5</v>
      </c>
      <c r="H90" s="999"/>
      <c r="I90" s="999"/>
      <c r="J90" s="999"/>
      <c r="K90" s="1000" t="s">
        <v>5</v>
      </c>
      <c r="L90" s="496"/>
      <c r="M90" s="410"/>
      <c r="N90" s="409"/>
      <c r="O90" s="409" t="s">
        <v>5</v>
      </c>
      <c r="P90" s="409"/>
      <c r="Q90" s="409"/>
      <c r="R90" s="409"/>
      <c r="S90" s="409"/>
      <c r="T90" s="409"/>
      <c r="U90" s="409"/>
      <c r="V90" s="409"/>
      <c r="W90" s="409"/>
      <c r="X90" s="409"/>
      <c r="Y90" s="409"/>
      <c r="Z90" s="409"/>
    </row>
    <row r="91" spans="1:26" ht="6.75" customHeight="1" collapsed="1" x14ac:dyDescent="0.25"/>
    <row r="92" spans="1:26" ht="18.75" x14ac:dyDescent="0.25">
      <c r="A92" s="489" t="s">
        <v>37</v>
      </c>
      <c r="B92" s="489"/>
      <c r="C92" s="490"/>
      <c r="D92" s="490"/>
      <c r="E92" s="402"/>
      <c r="F92" s="402"/>
      <c r="G92" s="402"/>
      <c r="H92" s="491"/>
      <c r="I92" s="491"/>
      <c r="J92" s="402"/>
      <c r="K92" s="402"/>
      <c r="L92" s="402"/>
      <c r="M92" s="402"/>
      <c r="N92" s="402"/>
      <c r="O92" s="402" t="s">
        <v>5</v>
      </c>
      <c r="P92" s="402"/>
      <c r="Q92" s="402"/>
      <c r="R92" s="402"/>
      <c r="S92" s="402"/>
      <c r="T92" s="402"/>
      <c r="U92" s="402"/>
      <c r="V92" s="402"/>
      <c r="W92" s="402"/>
      <c r="X92" s="402"/>
      <c r="Y92" s="402"/>
      <c r="Z92" s="402"/>
    </row>
    <row r="93" spans="1:26" ht="18.75" x14ac:dyDescent="0.25">
      <c r="A93" s="505" t="str">
        <f>CONCATENATE(B17," ",C17)</f>
        <v>Objective 1 Metallurgy</v>
      </c>
      <c r="B93" s="505"/>
      <c r="C93" s="506"/>
      <c r="D93" s="506"/>
      <c r="E93" s="507"/>
      <c r="F93" s="507"/>
      <c r="G93" s="507"/>
      <c r="H93" s="507"/>
      <c r="I93" s="507"/>
      <c r="J93" s="507"/>
      <c r="K93" s="507"/>
      <c r="L93" s="507"/>
      <c r="M93" s="507"/>
      <c r="N93" s="507"/>
      <c r="O93" s="507" t="s">
        <v>5</v>
      </c>
      <c r="P93" s="507"/>
      <c r="Q93" s="507"/>
      <c r="R93" s="507"/>
      <c r="S93" s="507"/>
      <c r="T93" s="507"/>
      <c r="U93" s="507"/>
      <c r="V93" s="507"/>
      <c r="W93" s="507"/>
      <c r="X93" s="507"/>
      <c r="Y93" s="507"/>
      <c r="Z93" s="507"/>
    </row>
    <row r="94" spans="1:26" ht="45" x14ac:dyDescent="0.25">
      <c r="A94" s="492" t="s">
        <v>261</v>
      </c>
      <c r="B94" s="492" t="s">
        <v>13</v>
      </c>
      <c r="C94" s="492" t="s">
        <v>14</v>
      </c>
      <c r="D94" s="509" t="s">
        <v>286</v>
      </c>
      <c r="E94" s="404" t="s">
        <v>16</v>
      </c>
      <c r="F94" s="404" t="s">
        <v>295</v>
      </c>
      <c r="G94" s="404" t="s">
        <v>39</v>
      </c>
      <c r="H94" s="404" t="s">
        <v>297</v>
      </c>
      <c r="I94" s="404" t="s">
        <v>298</v>
      </c>
      <c r="J94" s="404" t="s">
        <v>299</v>
      </c>
      <c r="K94" s="404" t="s">
        <v>300</v>
      </c>
      <c r="L94" s="404" t="s">
        <v>17</v>
      </c>
      <c r="M94" s="404" t="s">
        <v>18</v>
      </c>
      <c r="N94" s="404" t="s">
        <v>19</v>
      </c>
      <c r="O94" s="493">
        <v>43101</v>
      </c>
      <c r="P94" s="493">
        <v>43132</v>
      </c>
      <c r="Q94" s="493">
        <v>43160</v>
      </c>
      <c r="R94" s="493">
        <v>43191</v>
      </c>
      <c r="S94" s="493">
        <v>43221</v>
      </c>
      <c r="T94" s="493">
        <v>43252</v>
      </c>
      <c r="U94" s="493">
        <v>43282</v>
      </c>
      <c r="V94" s="493">
        <v>43313</v>
      </c>
      <c r="W94" s="493">
        <v>43344</v>
      </c>
      <c r="X94" s="493">
        <v>43374</v>
      </c>
      <c r="Y94" s="493">
        <v>43405</v>
      </c>
      <c r="Z94" s="493">
        <v>43435</v>
      </c>
    </row>
    <row r="95" spans="1:26" ht="15" customHeight="1" x14ac:dyDescent="0.25">
      <c r="A95" s="494" t="s">
        <v>2099</v>
      </c>
      <c r="B95" s="494"/>
      <c r="C95" s="494" t="s">
        <v>384</v>
      </c>
      <c r="D95" s="510"/>
      <c r="E95" s="496"/>
      <c r="F95" s="496"/>
      <c r="G95" s="496"/>
      <c r="H95" s="511"/>
      <c r="I95" s="496"/>
      <c r="J95" s="496"/>
      <c r="K95" s="496" t="s">
        <v>42</v>
      </c>
      <c r="L95" s="496">
        <v>4</v>
      </c>
      <c r="M95" s="496">
        <v>12</v>
      </c>
      <c r="N95" s="512">
        <f t="shared" ref="N95:N114" si="5">SUM(O95:Z95)</f>
        <v>1000000</v>
      </c>
      <c r="O95" s="912">
        <v>70000</v>
      </c>
      <c r="P95" s="912">
        <v>165000</v>
      </c>
      <c r="Q95" s="912">
        <v>425000</v>
      </c>
      <c r="R95" s="912">
        <v>340000</v>
      </c>
      <c r="S95" s="496"/>
      <c r="T95" s="496"/>
      <c r="U95" s="496"/>
      <c r="V95" s="496"/>
      <c r="W95" s="496"/>
      <c r="X95" s="496"/>
      <c r="Y95" s="496"/>
      <c r="Z95" s="496"/>
    </row>
    <row r="96" spans="1:26" ht="15" customHeight="1" x14ac:dyDescent="0.25">
      <c r="A96" s="954" t="s">
        <v>2394</v>
      </c>
      <c r="B96" s="954" t="s">
        <v>2385</v>
      </c>
      <c r="C96" s="954"/>
      <c r="D96" s="955" t="s">
        <v>2386</v>
      </c>
      <c r="E96" s="956"/>
      <c r="F96" s="956"/>
      <c r="G96" s="956" t="s">
        <v>2387</v>
      </c>
      <c r="H96" s="956"/>
      <c r="I96" s="956"/>
      <c r="J96" s="956"/>
      <c r="K96" s="956"/>
      <c r="L96" s="956"/>
      <c r="M96" s="956"/>
      <c r="N96" s="956">
        <f t="shared" si="5"/>
        <v>227139</v>
      </c>
      <c r="O96" s="956">
        <v>35000</v>
      </c>
      <c r="P96" s="956">
        <v>70000</v>
      </c>
      <c r="Q96" s="956">
        <v>70000</v>
      </c>
      <c r="R96" s="956">
        <v>52139</v>
      </c>
      <c r="S96" s="956"/>
      <c r="T96" s="956"/>
      <c r="U96" s="956"/>
      <c r="V96" s="956"/>
      <c r="W96" s="956"/>
      <c r="X96" s="956"/>
      <c r="Y96" s="956"/>
      <c r="Z96" s="956"/>
    </row>
    <row r="97" spans="1:26" ht="15" customHeight="1" x14ac:dyDescent="0.25">
      <c r="A97" s="954" t="s">
        <v>2395</v>
      </c>
      <c r="B97" s="954" t="s">
        <v>2385</v>
      </c>
      <c r="C97" s="954"/>
      <c r="D97" s="955" t="s">
        <v>2388</v>
      </c>
      <c r="E97" s="956"/>
      <c r="F97" s="956"/>
      <c r="G97" s="956" t="s">
        <v>2387</v>
      </c>
      <c r="H97" s="956"/>
      <c r="I97" s="956"/>
      <c r="J97" s="956"/>
      <c r="K97" s="956"/>
      <c r="L97" s="956"/>
      <c r="M97" s="956"/>
      <c r="N97" s="956">
        <f t="shared" si="5"/>
        <v>227139</v>
      </c>
      <c r="O97" s="956"/>
      <c r="P97" s="956"/>
      <c r="Q97" s="956">
        <v>113569.5</v>
      </c>
      <c r="R97" s="956">
        <v>113569.5</v>
      </c>
      <c r="S97" s="956"/>
      <c r="T97" s="956"/>
      <c r="U97" s="956"/>
      <c r="V97" s="956"/>
      <c r="W97" s="956"/>
      <c r="X97" s="956"/>
      <c r="Y97" s="956"/>
      <c r="Z97" s="956"/>
    </row>
    <row r="98" spans="1:26" ht="15" customHeight="1" x14ac:dyDescent="0.25">
      <c r="A98" s="954" t="s">
        <v>2396</v>
      </c>
      <c r="B98" s="954" t="s">
        <v>2389</v>
      </c>
      <c r="C98" s="954"/>
      <c r="D98" s="955" t="s">
        <v>2390</v>
      </c>
      <c r="E98" s="956"/>
      <c r="F98" s="956"/>
      <c r="G98" s="956" t="s">
        <v>2387</v>
      </c>
      <c r="H98" s="956"/>
      <c r="I98" s="956"/>
      <c r="J98" s="956"/>
      <c r="K98" s="956"/>
      <c r="L98" s="956"/>
      <c r="M98" s="956"/>
      <c r="N98" s="956">
        <f t="shared" si="5"/>
        <v>256972</v>
      </c>
      <c r="O98" s="956">
        <v>35000</v>
      </c>
      <c r="P98" s="956">
        <v>80000</v>
      </c>
      <c r="Q98" s="956">
        <v>80000</v>
      </c>
      <c r="R98" s="956">
        <v>61972</v>
      </c>
      <c r="S98" s="956"/>
      <c r="T98" s="956"/>
      <c r="U98" s="956"/>
      <c r="V98" s="956"/>
      <c r="W98" s="956"/>
      <c r="X98" s="956"/>
      <c r="Y98" s="956"/>
      <c r="Z98" s="956"/>
    </row>
    <row r="99" spans="1:26" ht="15" customHeight="1" x14ac:dyDescent="0.25">
      <c r="A99" s="954" t="s">
        <v>2397</v>
      </c>
      <c r="B99" s="954" t="s">
        <v>2389</v>
      </c>
      <c r="C99" s="954"/>
      <c r="D99" s="955" t="s">
        <v>2388</v>
      </c>
      <c r="E99" s="956"/>
      <c r="F99" s="956"/>
      <c r="G99" s="956" t="s">
        <v>2387</v>
      </c>
      <c r="H99" s="956"/>
      <c r="I99" s="956"/>
      <c r="J99" s="956"/>
      <c r="K99" s="956"/>
      <c r="L99" s="956"/>
      <c r="M99" s="956"/>
      <c r="N99" s="956">
        <f t="shared" si="5"/>
        <v>256972</v>
      </c>
      <c r="O99" s="956"/>
      <c r="P99" s="956"/>
      <c r="Q99" s="956">
        <v>128486</v>
      </c>
      <c r="R99" s="956">
        <v>128486</v>
      </c>
      <c r="S99" s="956"/>
      <c r="T99" s="956"/>
      <c r="U99" s="956"/>
      <c r="V99" s="956"/>
      <c r="W99" s="956"/>
      <c r="X99" s="956"/>
      <c r="Y99" s="956"/>
      <c r="Z99" s="956"/>
    </row>
    <row r="100" spans="1:26" ht="15" customHeight="1" x14ac:dyDescent="0.25">
      <c r="A100" s="954" t="s">
        <v>2398</v>
      </c>
      <c r="B100" s="954" t="s">
        <v>2391</v>
      </c>
      <c r="C100" s="954"/>
      <c r="D100" s="955" t="s">
        <v>2392</v>
      </c>
      <c r="E100" s="956"/>
      <c r="F100" s="956"/>
      <c r="G100" s="956"/>
      <c r="H100" s="956"/>
      <c r="I100" s="956"/>
      <c r="J100" s="956"/>
      <c r="K100" s="956"/>
      <c r="L100" s="956"/>
      <c r="M100" s="956"/>
      <c r="N100" s="956">
        <f t="shared" si="5"/>
        <v>30000</v>
      </c>
      <c r="O100" s="956"/>
      <c r="P100" s="956">
        <v>15000</v>
      </c>
      <c r="Q100" s="956">
        <v>15000</v>
      </c>
      <c r="R100" s="956"/>
      <c r="S100" s="956"/>
      <c r="T100" s="956"/>
      <c r="U100" s="956"/>
      <c r="V100" s="956"/>
      <c r="W100" s="956"/>
      <c r="X100" s="956"/>
      <c r="Y100" s="956"/>
      <c r="Z100" s="956"/>
    </row>
    <row r="101" spans="1:26" ht="15" customHeight="1" x14ac:dyDescent="0.25">
      <c r="A101" s="954" t="s">
        <v>2399</v>
      </c>
      <c r="B101" s="954" t="s">
        <v>2391</v>
      </c>
      <c r="C101" s="954"/>
      <c r="D101" s="955" t="s">
        <v>2393</v>
      </c>
      <c r="E101" s="956"/>
      <c r="F101" s="956"/>
      <c r="G101" s="956"/>
      <c r="H101" s="956"/>
      <c r="I101" s="956"/>
      <c r="J101" s="956"/>
      <c r="K101" s="956"/>
      <c r="L101" s="956"/>
      <c r="M101" s="956"/>
      <c r="N101" s="956">
        <f t="shared" si="5"/>
        <v>30000</v>
      </c>
      <c r="O101" s="956"/>
      <c r="P101" s="956"/>
      <c r="Q101" s="956">
        <v>15000</v>
      </c>
      <c r="R101" s="956">
        <v>15000</v>
      </c>
      <c r="S101" s="956"/>
      <c r="T101" s="956"/>
      <c r="U101" s="956"/>
      <c r="V101" s="956"/>
      <c r="W101" s="956"/>
      <c r="X101" s="956"/>
      <c r="Y101" s="956"/>
      <c r="Z101" s="956"/>
    </row>
    <row r="102" spans="1:26" ht="15" customHeight="1" x14ac:dyDescent="0.25">
      <c r="A102" s="954"/>
      <c r="B102" s="954"/>
      <c r="C102" s="954"/>
      <c r="D102" s="955"/>
      <c r="E102" s="956"/>
      <c r="F102" s="956"/>
      <c r="G102" s="956"/>
      <c r="H102" s="956"/>
      <c r="I102" s="956"/>
      <c r="J102" s="956"/>
      <c r="K102" s="956"/>
      <c r="L102" s="956"/>
      <c r="M102" s="956"/>
      <c r="N102" s="956"/>
      <c r="O102" s="956"/>
      <c r="P102" s="956"/>
      <c r="Q102" s="956"/>
      <c r="R102" s="956"/>
      <c r="S102" s="956"/>
      <c r="T102" s="956"/>
      <c r="U102" s="956"/>
      <c r="V102" s="956"/>
      <c r="W102" s="956"/>
      <c r="X102" s="956"/>
      <c r="Y102" s="956"/>
      <c r="Z102" s="956"/>
    </row>
    <row r="103" spans="1:26" ht="15" customHeight="1" x14ac:dyDescent="0.25">
      <c r="A103" s="954"/>
      <c r="B103" s="954"/>
      <c r="C103" s="954"/>
      <c r="D103" s="955"/>
      <c r="E103" s="956"/>
      <c r="F103" s="956"/>
      <c r="G103" s="956"/>
      <c r="H103" s="956"/>
      <c r="I103" s="956"/>
      <c r="J103" s="956"/>
      <c r="K103" s="956"/>
      <c r="L103" s="956"/>
      <c r="M103" s="956"/>
      <c r="N103" s="956"/>
      <c r="O103" s="956"/>
      <c r="P103" s="956"/>
      <c r="Q103" s="956"/>
      <c r="R103" s="956"/>
      <c r="S103" s="956"/>
      <c r="T103" s="956"/>
      <c r="U103" s="956"/>
      <c r="V103" s="956"/>
      <c r="W103" s="956"/>
      <c r="X103" s="956"/>
      <c r="Y103" s="956"/>
      <c r="Z103" s="956"/>
    </row>
    <row r="104" spans="1:26" ht="15.75" x14ac:dyDescent="0.25">
      <c r="A104" s="494" t="s">
        <v>2101</v>
      </c>
      <c r="B104" s="494"/>
      <c r="C104" s="494" t="s">
        <v>385</v>
      </c>
      <c r="D104" s="510"/>
      <c r="E104" s="496"/>
      <c r="F104" s="496"/>
      <c r="G104" s="496"/>
      <c r="H104" s="496"/>
      <c r="I104" s="496"/>
      <c r="J104" s="496"/>
      <c r="K104" s="496" t="s">
        <v>42</v>
      </c>
      <c r="L104" s="496">
        <v>6</v>
      </c>
      <c r="M104" s="496"/>
      <c r="N104" s="512">
        <f t="shared" si="5"/>
        <v>1750000</v>
      </c>
      <c r="O104" s="912">
        <v>50000</v>
      </c>
      <c r="P104" s="912">
        <v>250000</v>
      </c>
      <c r="Q104" s="1020">
        <v>450000</v>
      </c>
      <c r="R104" s="1020">
        <v>250000</v>
      </c>
      <c r="S104" s="1020">
        <v>250000</v>
      </c>
      <c r="T104" s="1020">
        <v>250000</v>
      </c>
      <c r="U104" s="1020">
        <v>250000</v>
      </c>
      <c r="V104" s="496"/>
      <c r="W104" s="496"/>
      <c r="X104" s="496"/>
      <c r="Y104" s="496"/>
      <c r="Z104" s="496"/>
    </row>
    <row r="105" spans="1:26" ht="24.75" customHeight="1" x14ac:dyDescent="0.25">
      <c r="A105" s="954" t="s">
        <v>2416</v>
      </c>
      <c r="B105" s="954" t="s">
        <v>2400</v>
      </c>
      <c r="C105" s="954"/>
      <c r="D105" s="955" t="s">
        <v>2401</v>
      </c>
      <c r="E105" s="956"/>
      <c r="F105" s="956"/>
      <c r="G105" s="956" t="s">
        <v>2402</v>
      </c>
      <c r="H105" s="956"/>
      <c r="I105" s="956"/>
      <c r="J105" s="956"/>
      <c r="K105" s="956"/>
      <c r="L105" s="956"/>
      <c r="M105" s="956"/>
      <c r="N105" s="956">
        <f t="shared" si="5"/>
        <v>429482</v>
      </c>
      <c r="O105" s="956">
        <v>45000</v>
      </c>
      <c r="P105" s="956">
        <v>100000</v>
      </c>
      <c r="Q105" s="956">
        <v>100000</v>
      </c>
      <c r="R105" s="956">
        <v>80000</v>
      </c>
      <c r="S105" s="956">
        <v>80000</v>
      </c>
      <c r="T105" s="956">
        <v>24482.000000000029</v>
      </c>
      <c r="U105" s="956">
        <v>0</v>
      </c>
      <c r="V105" s="956">
        <v>0</v>
      </c>
      <c r="W105" s="956">
        <v>0</v>
      </c>
      <c r="X105" s="956"/>
      <c r="Y105" s="956"/>
      <c r="Z105" s="956"/>
    </row>
    <row r="106" spans="1:26" ht="30" x14ac:dyDescent="0.25">
      <c r="A106" s="954" t="s">
        <v>2417</v>
      </c>
      <c r="B106" s="954" t="s">
        <v>2400</v>
      </c>
      <c r="C106" s="954"/>
      <c r="D106" s="955" t="s">
        <v>2403</v>
      </c>
      <c r="E106" s="956"/>
      <c r="F106" s="956"/>
      <c r="G106" s="956" t="s">
        <v>2387</v>
      </c>
      <c r="H106" s="956"/>
      <c r="I106" s="956"/>
      <c r="J106" s="956"/>
      <c r="K106" s="956"/>
      <c r="L106" s="956"/>
      <c r="M106" s="956"/>
      <c r="N106" s="956">
        <f t="shared" si="5"/>
        <v>379430</v>
      </c>
      <c r="O106" s="956">
        <v>0</v>
      </c>
      <c r="P106" s="956">
        <v>94857.5</v>
      </c>
      <c r="Q106" s="956">
        <v>94857.5</v>
      </c>
      <c r="R106" s="956">
        <v>94857.5</v>
      </c>
      <c r="S106" s="956">
        <v>94857.5</v>
      </c>
      <c r="T106" s="956">
        <v>0</v>
      </c>
      <c r="U106" s="956">
        <v>0</v>
      </c>
      <c r="V106" s="956">
        <v>0</v>
      </c>
      <c r="W106" s="956">
        <v>0</v>
      </c>
      <c r="X106" s="956"/>
      <c r="Y106" s="956"/>
      <c r="Z106" s="956"/>
    </row>
    <row r="107" spans="1:26" ht="15.75" x14ac:dyDescent="0.25">
      <c r="A107" s="954" t="s">
        <v>2418</v>
      </c>
      <c r="B107" s="954" t="s">
        <v>2404</v>
      </c>
      <c r="C107" s="954"/>
      <c r="D107" s="955" t="s">
        <v>2405</v>
      </c>
      <c r="E107" s="956"/>
      <c r="F107" s="956"/>
      <c r="G107" s="956" t="s">
        <v>2402</v>
      </c>
      <c r="H107" s="956"/>
      <c r="I107" s="956"/>
      <c r="J107" s="956"/>
      <c r="K107" s="956"/>
      <c r="L107" s="956"/>
      <c r="M107" s="956"/>
      <c r="N107" s="956">
        <f t="shared" si="5"/>
        <v>1700000</v>
      </c>
      <c r="O107" s="956">
        <v>0</v>
      </c>
      <c r="P107" s="956">
        <v>0</v>
      </c>
      <c r="Q107" s="956">
        <v>425000</v>
      </c>
      <c r="R107" s="956">
        <v>425000</v>
      </c>
      <c r="S107" s="956">
        <v>425000</v>
      </c>
      <c r="T107" s="956">
        <v>212500</v>
      </c>
      <c r="U107" s="956">
        <v>212500</v>
      </c>
      <c r="V107" s="956">
        <v>0</v>
      </c>
      <c r="W107" s="956">
        <v>0</v>
      </c>
      <c r="X107" s="956"/>
      <c r="Y107" s="956"/>
      <c r="Z107" s="956"/>
    </row>
    <row r="108" spans="1:26" ht="15.75" x14ac:dyDescent="0.25">
      <c r="A108" s="954" t="s">
        <v>2419</v>
      </c>
      <c r="B108" s="954" t="s">
        <v>2406</v>
      </c>
      <c r="C108" s="954"/>
      <c r="D108" s="955" t="s">
        <v>2407</v>
      </c>
      <c r="E108" s="956"/>
      <c r="F108" s="956"/>
      <c r="G108" s="956" t="s">
        <v>2387</v>
      </c>
      <c r="H108" s="956"/>
      <c r="I108" s="956"/>
      <c r="J108" s="956"/>
      <c r="K108" s="956"/>
      <c r="L108" s="956"/>
      <c r="M108" s="956"/>
      <c r="N108" s="956">
        <f t="shared" si="5"/>
        <v>109379.99999999999</v>
      </c>
      <c r="O108" s="956">
        <v>0</v>
      </c>
      <c r="P108" s="956">
        <v>65628</v>
      </c>
      <c r="Q108" s="956">
        <v>21876</v>
      </c>
      <c r="R108" s="956">
        <v>21875.999999999989</v>
      </c>
      <c r="S108" s="956">
        <v>0</v>
      </c>
      <c r="T108" s="956">
        <v>0</v>
      </c>
      <c r="U108" s="956">
        <v>0</v>
      </c>
      <c r="V108" s="956">
        <v>0</v>
      </c>
      <c r="W108" s="956">
        <v>0</v>
      </c>
      <c r="X108" s="956"/>
      <c r="Y108" s="956"/>
      <c r="Z108" s="956"/>
    </row>
    <row r="109" spans="1:26" ht="15.75" x14ac:dyDescent="0.25">
      <c r="A109" s="954" t="s">
        <v>2420</v>
      </c>
      <c r="B109" s="954" t="s">
        <v>2434</v>
      </c>
      <c r="C109" s="954"/>
      <c r="D109" s="955" t="s">
        <v>2408</v>
      </c>
      <c r="E109" s="956"/>
      <c r="F109" s="956"/>
      <c r="G109" s="956"/>
      <c r="H109" s="956"/>
      <c r="I109" s="956"/>
      <c r="J109" s="956"/>
      <c r="K109" s="956"/>
      <c r="L109" s="956"/>
      <c r="M109" s="956"/>
      <c r="N109" s="956">
        <f t="shared" si="5"/>
        <v>5000</v>
      </c>
      <c r="O109" s="956">
        <v>1000</v>
      </c>
      <c r="P109" s="956">
        <v>2000</v>
      </c>
      <c r="Q109" s="956">
        <v>1000</v>
      </c>
      <c r="R109" s="956">
        <v>1000</v>
      </c>
      <c r="S109" s="956">
        <v>0</v>
      </c>
      <c r="T109" s="956">
        <v>0</v>
      </c>
      <c r="U109" s="956">
        <v>0</v>
      </c>
      <c r="V109" s="956">
        <v>0</v>
      </c>
      <c r="W109" s="956">
        <v>0</v>
      </c>
      <c r="X109" s="956"/>
      <c r="Y109" s="956"/>
      <c r="Z109" s="956"/>
    </row>
    <row r="110" spans="1:26" ht="15.75" x14ac:dyDescent="0.25">
      <c r="A110" s="954" t="s">
        <v>2421</v>
      </c>
      <c r="B110" s="954" t="s">
        <v>2404</v>
      </c>
      <c r="C110" s="954"/>
      <c r="D110" s="955" t="s">
        <v>2409</v>
      </c>
      <c r="E110" s="956"/>
      <c r="F110" s="956"/>
      <c r="G110" s="956"/>
      <c r="H110" s="956"/>
      <c r="I110" s="956"/>
      <c r="J110" s="956"/>
      <c r="K110" s="956"/>
      <c r="L110" s="956"/>
      <c r="M110" s="956"/>
      <c r="N110" s="956">
        <f t="shared" si="5"/>
        <v>75000</v>
      </c>
      <c r="O110" s="956">
        <v>0</v>
      </c>
      <c r="P110" s="956">
        <v>0</v>
      </c>
      <c r="Q110" s="956">
        <v>15000</v>
      </c>
      <c r="R110" s="956">
        <v>15000</v>
      </c>
      <c r="S110" s="956">
        <v>15000</v>
      </c>
      <c r="T110" s="956">
        <v>15000</v>
      </c>
      <c r="U110" s="956">
        <v>15000</v>
      </c>
      <c r="V110" s="956">
        <v>0</v>
      </c>
      <c r="W110" s="956">
        <v>0</v>
      </c>
      <c r="X110" s="956"/>
      <c r="Y110" s="956"/>
      <c r="Z110" s="956"/>
    </row>
    <row r="111" spans="1:26" ht="15.75" x14ac:dyDescent="0.25">
      <c r="A111" s="954" t="s">
        <v>2432</v>
      </c>
      <c r="B111" s="954" t="s">
        <v>2410</v>
      </c>
      <c r="C111" s="954"/>
      <c r="D111" s="955" t="s">
        <v>2411</v>
      </c>
      <c r="E111" s="956"/>
      <c r="F111" s="956"/>
      <c r="G111" s="956"/>
      <c r="H111" s="956"/>
      <c r="I111" s="956"/>
      <c r="J111" s="956"/>
      <c r="K111" s="956"/>
      <c r="L111" s="956"/>
      <c r="M111" s="956"/>
      <c r="N111" s="956">
        <f t="shared" si="5"/>
        <v>2000</v>
      </c>
      <c r="O111" s="956">
        <v>1000</v>
      </c>
      <c r="P111" s="956">
        <v>1000</v>
      </c>
      <c r="Q111" s="956">
        <v>0</v>
      </c>
      <c r="R111" s="956">
        <v>0</v>
      </c>
      <c r="S111" s="956">
        <v>0</v>
      </c>
      <c r="T111" s="956">
        <v>0</v>
      </c>
      <c r="U111" s="956">
        <v>0</v>
      </c>
      <c r="V111" s="956">
        <v>0</v>
      </c>
      <c r="W111" s="956">
        <v>0</v>
      </c>
      <c r="X111" s="956"/>
      <c r="Y111" s="956"/>
      <c r="Z111" s="956"/>
    </row>
    <row r="112" spans="1:26" ht="15.75" x14ac:dyDescent="0.25">
      <c r="A112" s="954" t="s">
        <v>2433</v>
      </c>
      <c r="B112" s="954" t="s">
        <v>2435</v>
      </c>
      <c r="C112" s="954"/>
      <c r="D112" s="955" t="s">
        <v>2412</v>
      </c>
      <c r="E112" s="956"/>
      <c r="F112" s="956"/>
      <c r="G112" s="956"/>
      <c r="H112" s="956"/>
      <c r="I112" s="956"/>
      <c r="J112" s="956"/>
      <c r="K112" s="956"/>
      <c r="L112" s="956"/>
      <c r="M112" s="956"/>
      <c r="N112" s="956">
        <f t="shared" si="5"/>
        <v>15000</v>
      </c>
      <c r="O112" s="956">
        <v>3750</v>
      </c>
      <c r="P112" s="956">
        <v>3750</v>
      </c>
      <c r="Q112" s="956">
        <v>3750</v>
      </c>
      <c r="R112" s="956">
        <v>3750</v>
      </c>
      <c r="S112" s="956">
        <v>0</v>
      </c>
      <c r="T112" s="956">
        <v>0</v>
      </c>
      <c r="U112" s="956">
        <v>0</v>
      </c>
      <c r="V112" s="956">
        <v>0</v>
      </c>
      <c r="W112" s="956">
        <v>0</v>
      </c>
      <c r="X112" s="956"/>
      <c r="Y112" s="956"/>
      <c r="Z112" s="956"/>
    </row>
    <row r="113" spans="1:26" ht="15.75" x14ac:dyDescent="0.25">
      <c r="A113" s="954"/>
      <c r="B113" s="954"/>
      <c r="C113" s="954"/>
      <c r="D113" s="955"/>
      <c r="E113" s="956"/>
      <c r="F113" s="956"/>
      <c r="G113" s="956"/>
      <c r="H113" s="956"/>
      <c r="I113" s="956"/>
      <c r="J113" s="956"/>
      <c r="K113" s="956"/>
      <c r="L113" s="956"/>
      <c r="M113" s="956"/>
      <c r="N113" s="956"/>
      <c r="O113" s="956"/>
      <c r="P113" s="956"/>
      <c r="Q113" s="956"/>
      <c r="R113" s="956"/>
      <c r="S113" s="956"/>
      <c r="T113" s="956"/>
      <c r="U113" s="956"/>
      <c r="V113" s="956"/>
      <c r="W113" s="956"/>
      <c r="X113" s="956"/>
      <c r="Y113" s="956"/>
      <c r="Z113" s="956"/>
    </row>
    <row r="114" spans="1:26" ht="31.5" x14ac:dyDescent="0.25">
      <c r="A114" s="494" t="s">
        <v>2102</v>
      </c>
      <c r="B114" s="494"/>
      <c r="C114" s="494" t="s">
        <v>386</v>
      </c>
      <c r="D114" s="495" t="s">
        <v>387</v>
      </c>
      <c r="E114" s="496"/>
      <c r="F114" s="496"/>
      <c r="G114" s="496"/>
      <c r="H114" s="496"/>
      <c r="I114" s="496"/>
      <c r="J114" s="496"/>
      <c r="K114" s="496" t="s">
        <v>45</v>
      </c>
      <c r="L114" s="496">
        <v>12</v>
      </c>
      <c r="M114" s="496"/>
      <c r="N114" s="512">
        <f t="shared" si="5"/>
        <v>420000</v>
      </c>
      <c r="O114" s="496">
        <v>20000</v>
      </c>
      <c r="P114" s="496">
        <v>20000</v>
      </c>
      <c r="Q114" s="496">
        <v>20000</v>
      </c>
      <c r="R114" s="496">
        <v>40000</v>
      </c>
      <c r="S114" s="496">
        <v>40000</v>
      </c>
      <c r="T114" s="496">
        <v>40000</v>
      </c>
      <c r="U114" s="496">
        <v>40000</v>
      </c>
      <c r="V114" s="496">
        <v>40000</v>
      </c>
      <c r="W114" s="496">
        <v>40000</v>
      </c>
      <c r="X114" s="496">
        <v>40000</v>
      </c>
      <c r="Y114" s="496">
        <v>40000</v>
      </c>
      <c r="Z114" s="496">
        <v>40000</v>
      </c>
    </row>
    <row r="115" spans="1:26" ht="15.75" x14ac:dyDescent="0.25">
      <c r="A115" s="954" t="s">
        <v>2422</v>
      </c>
      <c r="B115" s="954" t="s">
        <v>2413</v>
      </c>
      <c r="C115" s="954"/>
      <c r="D115" s="957" t="s">
        <v>2414</v>
      </c>
      <c r="E115" s="956"/>
      <c r="F115" s="956"/>
      <c r="G115" s="956"/>
      <c r="H115" s="956"/>
      <c r="I115" s="956"/>
      <c r="J115" s="956"/>
      <c r="K115" s="956"/>
      <c r="L115" s="956"/>
      <c r="M115" s="956"/>
      <c r="N115" s="956">
        <v>72</v>
      </c>
      <c r="O115" s="956">
        <v>17</v>
      </c>
      <c r="P115" s="956">
        <v>17</v>
      </c>
      <c r="Q115" s="956">
        <v>21</v>
      </c>
      <c r="R115" s="956">
        <v>17</v>
      </c>
      <c r="S115" s="956"/>
      <c r="T115" s="956"/>
      <c r="U115" s="956"/>
      <c r="V115" s="956"/>
      <c r="W115" s="956"/>
      <c r="X115" s="956"/>
      <c r="Y115" s="956"/>
      <c r="Z115" s="956"/>
    </row>
    <row r="116" spans="1:26" ht="15.75" x14ac:dyDescent="0.25">
      <c r="A116" s="954" t="s">
        <v>2423</v>
      </c>
      <c r="B116" s="954"/>
      <c r="C116" s="954"/>
      <c r="D116" s="957" t="s">
        <v>2415</v>
      </c>
      <c r="E116" s="956"/>
      <c r="F116" s="956"/>
      <c r="G116" s="956"/>
      <c r="H116" s="956"/>
      <c r="I116" s="956"/>
      <c r="J116" s="956"/>
      <c r="K116" s="956"/>
      <c r="L116" s="956"/>
      <c r="M116" s="956"/>
      <c r="N116" s="956">
        <v>0</v>
      </c>
      <c r="O116" s="956"/>
      <c r="P116" s="956"/>
      <c r="Q116" s="956"/>
      <c r="R116" s="956"/>
      <c r="S116" s="956"/>
      <c r="T116" s="956"/>
      <c r="U116" s="956"/>
      <c r="V116" s="956"/>
      <c r="W116" s="956"/>
      <c r="X116" s="956"/>
      <c r="Y116" s="956"/>
      <c r="Z116" s="956"/>
    </row>
    <row r="117" spans="1:26" ht="15.75" x14ac:dyDescent="0.25">
      <c r="A117" s="954" t="s">
        <v>2424</v>
      </c>
      <c r="B117" s="954"/>
      <c r="C117" s="954"/>
      <c r="D117" s="957" t="s">
        <v>2415</v>
      </c>
      <c r="E117" s="956"/>
      <c r="F117" s="956"/>
      <c r="G117" s="956"/>
      <c r="H117" s="956"/>
      <c r="I117" s="956"/>
      <c r="J117" s="956"/>
      <c r="K117" s="956"/>
      <c r="L117" s="956"/>
      <c r="M117" s="956"/>
      <c r="N117" s="956">
        <v>0</v>
      </c>
      <c r="O117" s="956"/>
      <c r="P117" s="956"/>
      <c r="Q117" s="956"/>
      <c r="R117" s="956"/>
      <c r="S117" s="956"/>
      <c r="T117" s="956"/>
      <c r="U117" s="956"/>
      <c r="V117" s="956"/>
      <c r="W117" s="956"/>
      <c r="X117" s="956"/>
      <c r="Y117" s="956"/>
      <c r="Z117" s="956"/>
    </row>
    <row r="118" spans="1:26" ht="15.75" x14ac:dyDescent="0.25">
      <c r="A118" s="954"/>
      <c r="B118" s="954"/>
      <c r="C118" s="954"/>
      <c r="D118" s="957"/>
      <c r="E118" s="956"/>
      <c r="F118" s="956"/>
      <c r="G118" s="956"/>
      <c r="H118" s="956"/>
      <c r="I118" s="956"/>
      <c r="J118" s="956"/>
      <c r="K118" s="956"/>
      <c r="L118" s="956"/>
      <c r="M118" s="956"/>
      <c r="N118" s="956"/>
      <c r="O118" s="956"/>
      <c r="P118" s="956"/>
      <c r="Q118" s="956"/>
      <c r="R118" s="956"/>
      <c r="S118" s="956"/>
      <c r="T118" s="956"/>
      <c r="U118" s="956"/>
      <c r="V118" s="956"/>
      <c r="W118" s="956"/>
      <c r="X118" s="956"/>
      <c r="Y118" s="956"/>
      <c r="Z118" s="956"/>
    </row>
    <row r="119" spans="1:26" ht="15.75" x14ac:dyDescent="0.25">
      <c r="A119" s="954"/>
      <c r="B119" s="954"/>
      <c r="C119" s="954"/>
      <c r="D119" s="957"/>
      <c r="E119" s="956"/>
      <c r="F119" s="956"/>
      <c r="G119" s="956"/>
      <c r="H119" s="956"/>
      <c r="I119" s="956"/>
      <c r="J119" s="956"/>
      <c r="K119" s="956"/>
      <c r="L119" s="956"/>
      <c r="M119" s="956"/>
      <c r="N119" s="956"/>
      <c r="O119" s="956"/>
      <c r="P119" s="956"/>
      <c r="Q119" s="956"/>
      <c r="R119" s="956"/>
      <c r="S119" s="956"/>
      <c r="T119" s="956"/>
      <c r="U119" s="956"/>
      <c r="V119" s="956"/>
      <c r="W119" s="956"/>
      <c r="X119" s="956"/>
      <c r="Y119" s="956"/>
      <c r="Z119" s="956"/>
    </row>
    <row r="120" spans="1:26" s="517" customFormat="1" ht="22.5" customHeight="1" x14ac:dyDescent="0.25">
      <c r="A120" s="513"/>
      <c r="B120" s="514"/>
      <c r="C120" s="514"/>
      <c r="D120" s="514"/>
      <c r="E120" s="515"/>
      <c r="F120" s="515"/>
      <c r="G120" s="515"/>
      <c r="H120" s="515"/>
      <c r="I120" s="515"/>
      <c r="J120" s="516" t="s">
        <v>20</v>
      </c>
      <c r="K120" s="515"/>
      <c r="L120" s="404">
        <f>SUM(L95:L119)</f>
        <v>22</v>
      </c>
      <c r="M120" s="404">
        <f>SUM(M95:M119)</f>
        <v>12</v>
      </c>
      <c r="N120" s="404">
        <f t="shared" ref="N120:Z120" si="6">N95+N104+N114</f>
        <v>3170000</v>
      </c>
      <c r="O120" s="404">
        <f t="shared" si="6"/>
        <v>140000</v>
      </c>
      <c r="P120" s="404">
        <f t="shared" si="6"/>
        <v>435000</v>
      </c>
      <c r="Q120" s="404">
        <f t="shared" si="6"/>
        <v>895000</v>
      </c>
      <c r="R120" s="404">
        <f t="shared" si="6"/>
        <v>630000</v>
      </c>
      <c r="S120" s="404">
        <f t="shared" si="6"/>
        <v>290000</v>
      </c>
      <c r="T120" s="404">
        <f t="shared" si="6"/>
        <v>290000</v>
      </c>
      <c r="U120" s="404">
        <f t="shared" si="6"/>
        <v>290000</v>
      </c>
      <c r="V120" s="404">
        <f t="shared" si="6"/>
        <v>40000</v>
      </c>
      <c r="W120" s="404">
        <f t="shared" si="6"/>
        <v>40000</v>
      </c>
      <c r="X120" s="404">
        <f t="shared" si="6"/>
        <v>40000</v>
      </c>
      <c r="Y120" s="404">
        <f t="shared" si="6"/>
        <v>40000</v>
      </c>
      <c r="Z120" s="404">
        <f t="shared" si="6"/>
        <v>40000</v>
      </c>
    </row>
    <row r="121" spans="1:26" ht="18.75" x14ac:dyDescent="0.25">
      <c r="A121" s="505" t="str">
        <f>CONCATENATE(B18," ",C18)</f>
        <v xml:space="preserve"> </v>
      </c>
      <c r="B121" s="505"/>
      <c r="C121" s="506"/>
      <c r="D121" s="506"/>
      <c r="E121" s="507"/>
      <c r="F121" s="507"/>
      <c r="G121" s="507"/>
      <c r="H121" s="507"/>
      <c r="I121" s="507"/>
      <c r="J121" s="507"/>
      <c r="K121" s="507"/>
      <c r="L121" s="507"/>
      <c r="M121" s="507"/>
      <c r="N121" s="507"/>
      <c r="O121" s="507" t="s">
        <v>5</v>
      </c>
      <c r="P121" s="507"/>
      <c r="Q121" s="507"/>
      <c r="R121" s="507"/>
      <c r="S121" s="507"/>
      <c r="T121" s="507"/>
      <c r="U121" s="507"/>
      <c r="V121" s="507"/>
      <c r="W121" s="507"/>
      <c r="X121" s="507"/>
      <c r="Y121" s="507"/>
      <c r="Z121" s="507"/>
    </row>
    <row r="122" spans="1:26" ht="45" hidden="1" outlineLevel="1" x14ac:dyDescent="0.25">
      <c r="A122" s="492" t="s">
        <v>261</v>
      </c>
      <c r="B122" s="492" t="s">
        <v>13</v>
      </c>
      <c r="C122" s="492" t="s">
        <v>14</v>
      </c>
      <c r="D122" s="509" t="s">
        <v>286</v>
      </c>
      <c r="E122" s="404" t="s">
        <v>16</v>
      </c>
      <c r="F122" s="404" t="s">
        <v>295</v>
      </c>
      <c r="G122" s="404" t="s">
        <v>39</v>
      </c>
      <c r="H122" s="404" t="s">
        <v>297</v>
      </c>
      <c r="I122" s="404" t="s">
        <v>298</v>
      </c>
      <c r="J122" s="404" t="s">
        <v>299</v>
      </c>
      <c r="K122" s="404" t="s">
        <v>300</v>
      </c>
      <c r="L122" s="404" t="s">
        <v>17</v>
      </c>
      <c r="M122" s="404" t="s">
        <v>18</v>
      </c>
      <c r="N122" s="404" t="s">
        <v>19</v>
      </c>
      <c r="O122" s="493">
        <v>43101</v>
      </c>
      <c r="P122" s="493">
        <v>43132</v>
      </c>
      <c r="Q122" s="493">
        <v>43160</v>
      </c>
      <c r="R122" s="493">
        <v>43191</v>
      </c>
      <c r="S122" s="493">
        <v>43221</v>
      </c>
      <c r="T122" s="493">
        <v>43252</v>
      </c>
      <c r="U122" s="493">
        <v>43282</v>
      </c>
      <c r="V122" s="493">
        <v>43313</v>
      </c>
      <c r="W122" s="493">
        <v>43344</v>
      </c>
      <c r="X122" s="493">
        <v>43374</v>
      </c>
      <c r="Y122" s="493">
        <v>43405</v>
      </c>
      <c r="Z122" s="493">
        <v>43435</v>
      </c>
    </row>
    <row r="123" spans="1:26" ht="15.75" hidden="1" outlineLevel="1" x14ac:dyDescent="0.25">
      <c r="A123" s="494" t="s">
        <v>263</v>
      </c>
      <c r="B123" s="494"/>
      <c r="C123" s="494"/>
      <c r="D123" s="510"/>
      <c r="E123" s="496"/>
      <c r="F123" s="496"/>
      <c r="G123" s="496"/>
      <c r="H123" s="496"/>
      <c r="I123" s="496"/>
      <c r="J123" s="496"/>
      <c r="K123" s="496"/>
      <c r="L123" s="496"/>
      <c r="M123" s="496"/>
      <c r="N123" s="512">
        <f>SUM(O123:Z123)</f>
        <v>0</v>
      </c>
      <c r="O123" s="496"/>
      <c r="P123" s="496"/>
      <c r="Q123" s="496"/>
      <c r="R123" s="496"/>
      <c r="S123" s="496"/>
      <c r="T123" s="496"/>
      <c r="U123" s="496"/>
      <c r="V123" s="496"/>
      <c r="W123" s="496"/>
      <c r="X123" s="496"/>
      <c r="Y123" s="496"/>
      <c r="Z123" s="496"/>
    </row>
    <row r="124" spans="1:26" ht="15.75" hidden="1" outlineLevel="1" x14ac:dyDescent="0.25">
      <c r="A124" s="494" t="s">
        <v>281</v>
      </c>
      <c r="B124" s="494"/>
      <c r="C124" s="494"/>
      <c r="D124" s="510"/>
      <c r="E124" s="496"/>
      <c r="F124" s="496"/>
      <c r="G124" s="496"/>
      <c r="H124" s="496"/>
      <c r="I124" s="496"/>
      <c r="J124" s="496"/>
      <c r="K124" s="496"/>
      <c r="L124" s="496"/>
      <c r="M124" s="496"/>
      <c r="N124" s="512">
        <f>SUM(O124:Z124)</f>
        <v>0</v>
      </c>
      <c r="O124" s="496"/>
      <c r="P124" s="496"/>
      <c r="Q124" s="496"/>
      <c r="R124" s="496"/>
      <c r="S124" s="496"/>
      <c r="T124" s="496"/>
      <c r="U124" s="496"/>
      <c r="V124" s="496"/>
      <c r="W124" s="496"/>
      <c r="X124" s="496"/>
      <c r="Y124" s="496"/>
      <c r="Z124" s="496"/>
    </row>
    <row r="125" spans="1:26" ht="15.75" hidden="1" outlineLevel="1" x14ac:dyDescent="0.25">
      <c r="A125" s="494"/>
      <c r="B125" s="494"/>
      <c r="C125" s="494"/>
      <c r="D125" s="510"/>
      <c r="E125" s="496"/>
      <c r="F125" s="496"/>
      <c r="G125" s="496"/>
      <c r="H125" s="496"/>
      <c r="I125" s="496"/>
      <c r="J125" s="496"/>
      <c r="K125" s="496"/>
      <c r="L125" s="496"/>
      <c r="M125" s="496"/>
      <c r="N125" s="512">
        <f>SUM(O125:Z125)</f>
        <v>0</v>
      </c>
      <c r="O125" s="496"/>
      <c r="P125" s="496"/>
      <c r="Q125" s="496"/>
      <c r="R125" s="496"/>
      <c r="S125" s="496"/>
      <c r="T125" s="496"/>
      <c r="U125" s="496"/>
      <c r="V125" s="496"/>
      <c r="W125" s="496"/>
      <c r="X125" s="496"/>
      <c r="Y125" s="496"/>
      <c r="Z125" s="496"/>
    </row>
    <row r="126" spans="1:26" ht="15.75" hidden="1" outlineLevel="1" x14ac:dyDescent="0.25">
      <c r="A126" s="494"/>
      <c r="B126" s="494"/>
      <c r="C126" s="494"/>
      <c r="D126" s="510"/>
      <c r="E126" s="496"/>
      <c r="F126" s="496"/>
      <c r="G126" s="510"/>
      <c r="H126" s="496"/>
      <c r="I126" s="496"/>
      <c r="J126" s="496"/>
      <c r="K126" s="496"/>
      <c r="L126" s="496"/>
      <c r="M126" s="496"/>
      <c r="N126" s="512">
        <f t="shared" ref="N126:N133" si="7">SUM(O126:Z126)</f>
        <v>0</v>
      </c>
      <c r="O126" s="496"/>
      <c r="P126" s="496"/>
      <c r="Q126" s="496"/>
      <c r="R126" s="496"/>
      <c r="S126" s="496"/>
      <c r="T126" s="496"/>
      <c r="U126" s="496"/>
      <c r="V126" s="496"/>
      <c r="W126" s="496"/>
      <c r="X126" s="496"/>
      <c r="Y126" s="496"/>
      <c r="Z126" s="496"/>
    </row>
    <row r="127" spans="1:26" ht="15.75" hidden="1" outlineLevel="1" x14ac:dyDescent="0.25">
      <c r="A127" s="494"/>
      <c r="B127" s="494"/>
      <c r="C127" s="494"/>
      <c r="D127" s="510"/>
      <c r="E127" s="496"/>
      <c r="F127" s="496"/>
      <c r="G127" s="510"/>
      <c r="H127" s="496"/>
      <c r="I127" s="496"/>
      <c r="J127" s="496"/>
      <c r="K127" s="496"/>
      <c r="L127" s="496"/>
      <c r="M127" s="496"/>
      <c r="N127" s="512">
        <f t="shared" si="7"/>
        <v>0</v>
      </c>
      <c r="O127" s="496"/>
      <c r="P127" s="496"/>
      <c r="Q127" s="496"/>
      <c r="R127" s="496"/>
      <c r="S127" s="496"/>
      <c r="T127" s="496"/>
      <c r="U127" s="496"/>
      <c r="V127" s="496"/>
      <c r="W127" s="496"/>
      <c r="X127" s="496"/>
      <c r="Y127" s="496"/>
      <c r="Z127" s="496"/>
    </row>
    <row r="128" spans="1:26" ht="15.75" hidden="1" outlineLevel="1" x14ac:dyDescent="0.25">
      <c r="A128" s="494"/>
      <c r="B128" s="494"/>
      <c r="C128" s="494"/>
      <c r="D128" s="510"/>
      <c r="E128" s="496"/>
      <c r="F128" s="496"/>
      <c r="G128" s="496"/>
      <c r="H128" s="496"/>
      <c r="I128" s="496"/>
      <c r="J128" s="496"/>
      <c r="K128" s="496"/>
      <c r="L128" s="496"/>
      <c r="M128" s="496"/>
      <c r="N128" s="512">
        <f t="shared" si="7"/>
        <v>0</v>
      </c>
      <c r="O128" s="496"/>
      <c r="P128" s="496"/>
      <c r="Q128" s="496"/>
      <c r="R128" s="496"/>
      <c r="S128" s="496"/>
      <c r="T128" s="496"/>
      <c r="U128" s="496"/>
      <c r="V128" s="496"/>
      <c r="W128" s="496"/>
      <c r="X128" s="496"/>
      <c r="Y128" s="496"/>
      <c r="Z128" s="496"/>
    </row>
    <row r="129" spans="1:26" ht="15.75" hidden="1" outlineLevel="1" x14ac:dyDescent="0.25">
      <c r="A129" s="494"/>
      <c r="B129" s="494"/>
      <c r="C129" s="494"/>
      <c r="D129" s="510"/>
      <c r="E129" s="496"/>
      <c r="F129" s="496"/>
      <c r="G129" s="496"/>
      <c r="H129" s="496"/>
      <c r="I129" s="496"/>
      <c r="J129" s="496"/>
      <c r="K129" s="496"/>
      <c r="L129" s="496"/>
      <c r="M129" s="496"/>
      <c r="N129" s="512">
        <f>SUM(O129:Z129)</f>
        <v>0</v>
      </c>
      <c r="O129" s="496"/>
      <c r="P129" s="496"/>
      <c r="Q129" s="496"/>
      <c r="R129" s="496"/>
      <c r="S129" s="496"/>
      <c r="T129" s="496"/>
      <c r="U129" s="496"/>
      <c r="V129" s="496"/>
      <c r="W129" s="496"/>
      <c r="X129" s="496"/>
      <c r="Y129" s="496"/>
      <c r="Z129" s="496"/>
    </row>
    <row r="130" spans="1:26" ht="15.75" hidden="1" outlineLevel="1" x14ac:dyDescent="0.25">
      <c r="A130" s="494"/>
      <c r="B130" s="494"/>
      <c r="C130" s="494"/>
      <c r="D130" s="510"/>
      <c r="E130" s="496"/>
      <c r="F130" s="496"/>
      <c r="G130" s="496"/>
      <c r="H130" s="496"/>
      <c r="I130" s="496"/>
      <c r="J130" s="496"/>
      <c r="K130" s="496"/>
      <c r="L130" s="496"/>
      <c r="M130" s="496"/>
      <c r="N130" s="512">
        <f t="shared" si="7"/>
        <v>0</v>
      </c>
      <c r="O130" s="496"/>
      <c r="P130" s="496"/>
      <c r="Q130" s="496"/>
      <c r="R130" s="496"/>
      <c r="S130" s="496"/>
      <c r="T130" s="496"/>
      <c r="U130" s="496"/>
      <c r="V130" s="496"/>
      <c r="W130" s="496"/>
      <c r="X130" s="496"/>
      <c r="Y130" s="496"/>
      <c r="Z130" s="496"/>
    </row>
    <row r="131" spans="1:26" ht="15.75" hidden="1" outlineLevel="1" x14ac:dyDescent="0.25">
      <c r="A131" s="494"/>
      <c r="B131" s="494"/>
      <c r="C131" s="494"/>
      <c r="D131" s="510"/>
      <c r="E131" s="496"/>
      <c r="F131" s="496"/>
      <c r="G131" s="496"/>
      <c r="H131" s="496"/>
      <c r="I131" s="496"/>
      <c r="J131" s="496"/>
      <c r="K131" s="496"/>
      <c r="L131" s="496"/>
      <c r="M131" s="496"/>
      <c r="N131" s="512">
        <f t="shared" si="7"/>
        <v>0</v>
      </c>
      <c r="O131" s="496"/>
      <c r="P131" s="496"/>
      <c r="Q131" s="496"/>
      <c r="R131" s="496"/>
      <c r="S131" s="496"/>
      <c r="T131" s="496"/>
      <c r="U131" s="496"/>
      <c r="V131" s="496"/>
      <c r="W131" s="496"/>
      <c r="X131" s="496"/>
      <c r="Y131" s="496"/>
      <c r="Z131" s="496"/>
    </row>
    <row r="132" spans="1:26" ht="15.75" hidden="1" outlineLevel="1" x14ac:dyDescent="0.25">
      <c r="A132" s="494"/>
      <c r="B132" s="494"/>
      <c r="C132" s="494"/>
      <c r="D132" s="510"/>
      <c r="E132" s="496"/>
      <c r="F132" s="496"/>
      <c r="G132" s="496"/>
      <c r="H132" s="496"/>
      <c r="I132" s="496"/>
      <c r="J132" s="496"/>
      <c r="K132" s="496"/>
      <c r="L132" s="496"/>
      <c r="M132" s="496"/>
      <c r="N132" s="512">
        <f t="shared" si="7"/>
        <v>0</v>
      </c>
      <c r="O132" s="496"/>
      <c r="P132" s="496"/>
      <c r="Q132" s="496"/>
      <c r="R132" s="496"/>
      <c r="S132" s="496"/>
      <c r="T132" s="496"/>
      <c r="U132" s="496"/>
      <c r="V132" s="496"/>
      <c r="W132" s="496"/>
      <c r="X132" s="496"/>
      <c r="Y132" s="496"/>
      <c r="Z132" s="496"/>
    </row>
    <row r="133" spans="1:26" ht="15.75" hidden="1" outlineLevel="1" x14ac:dyDescent="0.25">
      <c r="A133" s="494"/>
      <c r="B133" s="494"/>
      <c r="C133" s="494"/>
      <c r="D133" s="510"/>
      <c r="E133" s="496"/>
      <c r="F133" s="496"/>
      <c r="G133" s="496"/>
      <c r="H133" s="496"/>
      <c r="I133" s="496"/>
      <c r="J133" s="496"/>
      <c r="K133" s="496"/>
      <c r="L133" s="496"/>
      <c r="M133" s="496"/>
      <c r="N133" s="512">
        <f t="shared" si="7"/>
        <v>0</v>
      </c>
      <c r="O133" s="496"/>
      <c r="P133" s="496"/>
      <c r="Q133" s="496"/>
      <c r="R133" s="496"/>
      <c r="S133" s="496"/>
      <c r="T133" s="496"/>
      <c r="U133" s="496"/>
      <c r="V133" s="496"/>
      <c r="W133" s="496"/>
      <c r="X133" s="496"/>
      <c r="Y133" s="496"/>
      <c r="Z133" s="496"/>
    </row>
    <row r="134" spans="1:26" ht="27.6" hidden="1" customHeight="1" outlineLevel="1" x14ac:dyDescent="0.25">
      <c r="A134" s="494"/>
      <c r="B134" s="494"/>
      <c r="C134" s="494"/>
      <c r="D134" s="510"/>
      <c r="E134" s="496"/>
      <c r="F134" s="496"/>
      <c r="G134" s="496"/>
      <c r="H134" s="496"/>
      <c r="I134" s="496"/>
      <c r="J134" s="496"/>
      <c r="K134" s="496"/>
      <c r="L134" s="496"/>
      <c r="M134" s="496"/>
      <c r="N134" s="579"/>
      <c r="O134" s="496"/>
      <c r="P134" s="496"/>
      <c r="Q134" s="496"/>
      <c r="R134" s="496"/>
      <c r="S134" s="496"/>
      <c r="T134" s="496"/>
      <c r="U134" s="496"/>
      <c r="V134" s="496"/>
      <c r="W134" s="496"/>
      <c r="X134" s="496"/>
      <c r="Y134" s="496"/>
      <c r="Z134" s="496"/>
    </row>
    <row r="135" spans="1:26" s="517" customFormat="1" ht="22.5" hidden="1" customHeight="1" outlineLevel="1" x14ac:dyDescent="0.25">
      <c r="A135" s="513"/>
      <c r="B135" s="514"/>
      <c r="C135" s="514"/>
      <c r="D135" s="514"/>
      <c r="E135" s="515"/>
      <c r="F135" s="515"/>
      <c r="G135" s="515"/>
      <c r="H135" s="515"/>
      <c r="I135" s="515"/>
      <c r="J135" s="516" t="s">
        <v>20</v>
      </c>
      <c r="K135" s="515"/>
      <c r="L135" s="404">
        <f>SUM(L134:L134)</f>
        <v>0</v>
      </c>
      <c r="M135" s="404">
        <f>SUM(M134:M134)</f>
        <v>0</v>
      </c>
      <c r="N135" s="404">
        <f>SUM(N123:N134)</f>
        <v>0</v>
      </c>
      <c r="O135" s="404">
        <f>SUM(O123:O134)</f>
        <v>0</v>
      </c>
      <c r="P135" s="404">
        <f t="shared" ref="P135:Z135" si="8">SUM(P123:P134)</f>
        <v>0</v>
      </c>
      <c r="Q135" s="404">
        <f t="shared" si="8"/>
        <v>0</v>
      </c>
      <c r="R135" s="404">
        <f t="shared" si="8"/>
        <v>0</v>
      </c>
      <c r="S135" s="404">
        <f t="shared" si="8"/>
        <v>0</v>
      </c>
      <c r="T135" s="404">
        <f t="shared" si="8"/>
        <v>0</v>
      </c>
      <c r="U135" s="404">
        <f t="shared" si="8"/>
        <v>0</v>
      </c>
      <c r="V135" s="404">
        <f t="shared" si="8"/>
        <v>0</v>
      </c>
      <c r="W135" s="404">
        <f t="shared" si="8"/>
        <v>0</v>
      </c>
      <c r="X135" s="404">
        <f t="shared" si="8"/>
        <v>0</v>
      </c>
      <c r="Y135" s="404">
        <f t="shared" si="8"/>
        <v>0</v>
      </c>
      <c r="Z135" s="404">
        <f t="shared" si="8"/>
        <v>0</v>
      </c>
    </row>
    <row r="136" spans="1:26" ht="18.75" hidden="1" outlineLevel="1" x14ac:dyDescent="0.25">
      <c r="A136" s="505" t="str">
        <f>CONCATENATE(B19," ",C19)</f>
        <v xml:space="preserve"> </v>
      </c>
      <c r="B136" s="505"/>
      <c r="C136" s="506"/>
      <c r="D136" s="506"/>
      <c r="E136" s="507"/>
      <c r="F136" s="507"/>
      <c r="G136" s="507"/>
      <c r="H136" s="507"/>
      <c r="I136" s="507"/>
      <c r="J136" s="507"/>
      <c r="K136" s="507"/>
      <c r="L136" s="507"/>
      <c r="M136" s="507"/>
      <c r="N136" s="507"/>
      <c r="O136" s="507" t="s">
        <v>5</v>
      </c>
      <c r="P136" s="507"/>
      <c r="Q136" s="507"/>
      <c r="R136" s="507"/>
      <c r="S136" s="507"/>
      <c r="T136" s="507"/>
      <c r="U136" s="507"/>
      <c r="V136" s="507"/>
      <c r="W136" s="507"/>
      <c r="X136" s="507"/>
      <c r="Y136" s="507"/>
      <c r="Z136" s="507"/>
    </row>
    <row r="137" spans="1:26" ht="45" hidden="1" outlineLevel="1" x14ac:dyDescent="0.25">
      <c r="A137" s="492" t="s">
        <v>261</v>
      </c>
      <c r="B137" s="492" t="s">
        <v>13</v>
      </c>
      <c r="C137" s="492" t="s">
        <v>14</v>
      </c>
      <c r="D137" s="509" t="s">
        <v>286</v>
      </c>
      <c r="E137" s="404" t="s">
        <v>16</v>
      </c>
      <c r="F137" s="404" t="s">
        <v>295</v>
      </c>
      <c r="G137" s="404" t="s">
        <v>39</v>
      </c>
      <c r="H137" s="404" t="s">
        <v>297</v>
      </c>
      <c r="I137" s="404" t="s">
        <v>298</v>
      </c>
      <c r="J137" s="404" t="s">
        <v>299</v>
      </c>
      <c r="K137" s="404" t="s">
        <v>300</v>
      </c>
      <c r="L137" s="404" t="s">
        <v>17</v>
      </c>
      <c r="M137" s="404" t="s">
        <v>18</v>
      </c>
      <c r="N137" s="404" t="s">
        <v>19</v>
      </c>
      <c r="O137" s="493">
        <v>43101</v>
      </c>
      <c r="P137" s="493">
        <v>43132</v>
      </c>
      <c r="Q137" s="493">
        <v>43160</v>
      </c>
      <c r="R137" s="493">
        <v>43191</v>
      </c>
      <c r="S137" s="493">
        <v>43221</v>
      </c>
      <c r="T137" s="493">
        <v>43252</v>
      </c>
      <c r="U137" s="493">
        <v>43282</v>
      </c>
      <c r="V137" s="493">
        <v>43313</v>
      </c>
      <c r="W137" s="493">
        <v>43344</v>
      </c>
      <c r="X137" s="493">
        <v>43374</v>
      </c>
      <c r="Y137" s="493">
        <v>43405</v>
      </c>
      <c r="Z137" s="493">
        <v>43435</v>
      </c>
    </row>
    <row r="138" spans="1:26" ht="15.75" hidden="1" outlineLevel="1" x14ac:dyDescent="0.25">
      <c r="A138" s="494" t="s">
        <v>265</v>
      </c>
      <c r="B138" s="494"/>
      <c r="C138" s="494"/>
      <c r="D138" s="510"/>
      <c r="E138" s="496"/>
      <c r="F138" s="496"/>
      <c r="G138" s="496"/>
      <c r="H138" s="496"/>
      <c r="I138" s="496"/>
      <c r="J138" s="496"/>
      <c r="K138" s="496"/>
      <c r="L138" s="496"/>
      <c r="M138" s="496"/>
      <c r="N138" s="512">
        <f t="shared" ref="N138:N148" si="9">SUM(O138:Z138)</f>
        <v>0</v>
      </c>
      <c r="O138" s="496"/>
      <c r="P138" s="496"/>
      <c r="Q138" s="496"/>
      <c r="R138" s="496"/>
      <c r="S138" s="496"/>
      <c r="T138" s="496"/>
      <c r="U138" s="496"/>
      <c r="V138" s="496"/>
      <c r="W138" s="496"/>
      <c r="X138" s="496"/>
      <c r="Y138" s="496"/>
      <c r="Z138" s="496"/>
    </row>
    <row r="139" spans="1:26" ht="15.75" hidden="1" outlineLevel="1" x14ac:dyDescent="0.25">
      <c r="A139" s="494" t="s">
        <v>266</v>
      </c>
      <c r="B139" s="494"/>
      <c r="C139" s="494"/>
      <c r="D139" s="510"/>
      <c r="E139" s="496"/>
      <c r="F139" s="496"/>
      <c r="G139" s="496"/>
      <c r="H139" s="496"/>
      <c r="I139" s="496"/>
      <c r="J139" s="496"/>
      <c r="K139" s="496"/>
      <c r="L139" s="496"/>
      <c r="M139" s="496"/>
      <c r="N139" s="512">
        <f t="shared" si="9"/>
        <v>0</v>
      </c>
      <c r="O139" s="496"/>
      <c r="P139" s="496"/>
      <c r="Q139" s="496"/>
      <c r="R139" s="496"/>
      <c r="S139" s="496"/>
      <c r="T139" s="496"/>
      <c r="U139" s="496"/>
      <c r="V139" s="496"/>
      <c r="W139" s="496"/>
      <c r="X139" s="496"/>
      <c r="Y139" s="496"/>
      <c r="Z139" s="496"/>
    </row>
    <row r="140" spans="1:26" ht="15.75" hidden="1" outlineLevel="1" x14ac:dyDescent="0.25">
      <c r="A140" s="494" t="s">
        <v>283</v>
      </c>
      <c r="B140" s="494"/>
      <c r="C140" s="494"/>
      <c r="D140" s="510"/>
      <c r="E140" s="496"/>
      <c r="F140" s="496"/>
      <c r="G140" s="496"/>
      <c r="H140" s="496"/>
      <c r="I140" s="496"/>
      <c r="J140" s="496"/>
      <c r="K140" s="496"/>
      <c r="L140" s="496"/>
      <c r="M140" s="496"/>
      <c r="N140" s="512">
        <f t="shared" si="9"/>
        <v>0</v>
      </c>
      <c r="O140" s="496"/>
      <c r="P140" s="496"/>
      <c r="Q140" s="496"/>
      <c r="R140" s="496"/>
      <c r="S140" s="496"/>
      <c r="T140" s="496"/>
      <c r="U140" s="496"/>
      <c r="V140" s="496"/>
      <c r="W140" s="496"/>
      <c r="X140" s="496"/>
      <c r="Y140" s="496"/>
      <c r="Z140" s="496"/>
    </row>
    <row r="141" spans="1:26" ht="15.75" hidden="1" outlineLevel="1" x14ac:dyDescent="0.25">
      <c r="A141" s="494" t="s">
        <v>284</v>
      </c>
      <c r="B141" s="494"/>
      <c r="C141" s="494"/>
      <c r="D141" s="510"/>
      <c r="E141" s="496"/>
      <c r="F141" s="496"/>
      <c r="G141" s="496"/>
      <c r="H141" s="496"/>
      <c r="I141" s="496"/>
      <c r="J141" s="496"/>
      <c r="K141" s="496"/>
      <c r="L141" s="496"/>
      <c r="M141" s="496"/>
      <c r="N141" s="512">
        <f t="shared" si="9"/>
        <v>0</v>
      </c>
      <c r="O141" s="496"/>
      <c r="P141" s="496"/>
      <c r="Q141" s="496"/>
      <c r="R141" s="496"/>
      <c r="S141" s="496"/>
      <c r="T141" s="496"/>
      <c r="U141" s="496"/>
      <c r="V141" s="496"/>
      <c r="W141" s="496"/>
      <c r="X141" s="496"/>
      <c r="Y141" s="496"/>
      <c r="Z141" s="496"/>
    </row>
    <row r="142" spans="1:26" ht="15.75" hidden="1" outlineLevel="1" x14ac:dyDescent="0.25">
      <c r="A142" s="494"/>
      <c r="B142" s="494"/>
      <c r="C142" s="494"/>
      <c r="D142" s="510"/>
      <c r="E142" s="496"/>
      <c r="F142" s="496"/>
      <c r="G142" s="497"/>
      <c r="H142" s="496"/>
      <c r="I142" s="496"/>
      <c r="J142" s="496"/>
      <c r="K142" s="496"/>
      <c r="L142" s="496"/>
      <c r="M142" s="496"/>
      <c r="N142" s="512">
        <f t="shared" si="9"/>
        <v>0</v>
      </c>
      <c r="O142" s="496"/>
      <c r="P142" s="496"/>
      <c r="Q142" s="496"/>
      <c r="R142" s="496"/>
      <c r="S142" s="496"/>
      <c r="T142" s="496"/>
      <c r="U142" s="496"/>
      <c r="V142" s="496"/>
      <c r="W142" s="496"/>
      <c r="X142" s="496"/>
      <c r="Y142" s="496"/>
      <c r="Z142" s="496"/>
    </row>
    <row r="143" spans="1:26" ht="15.75" hidden="1" outlineLevel="1" x14ac:dyDescent="0.25">
      <c r="A143" s="494"/>
      <c r="B143" s="494"/>
      <c r="C143" s="494"/>
      <c r="D143" s="510"/>
      <c r="E143" s="496"/>
      <c r="F143" s="496"/>
      <c r="G143" s="497"/>
      <c r="H143" s="496"/>
      <c r="I143" s="496"/>
      <c r="J143" s="496"/>
      <c r="K143" s="496"/>
      <c r="L143" s="496"/>
      <c r="M143" s="496"/>
      <c r="N143" s="512">
        <f t="shared" si="9"/>
        <v>0</v>
      </c>
      <c r="O143" s="496"/>
      <c r="P143" s="496"/>
      <c r="Q143" s="496"/>
      <c r="R143" s="496"/>
      <c r="S143" s="496"/>
      <c r="T143" s="496"/>
      <c r="U143" s="496"/>
      <c r="V143" s="496"/>
      <c r="W143" s="496"/>
      <c r="X143" s="496"/>
      <c r="Y143" s="496"/>
      <c r="Z143" s="496"/>
    </row>
    <row r="144" spans="1:26" ht="15.75" hidden="1" outlineLevel="1" x14ac:dyDescent="0.25">
      <c r="A144" s="494"/>
      <c r="B144" s="494"/>
      <c r="C144" s="494"/>
      <c r="D144" s="510"/>
      <c r="E144" s="496"/>
      <c r="F144" s="496"/>
      <c r="G144" s="497"/>
      <c r="H144" s="496"/>
      <c r="I144" s="496"/>
      <c r="J144" s="496"/>
      <c r="K144" s="496"/>
      <c r="L144" s="496"/>
      <c r="M144" s="496"/>
      <c r="N144" s="512">
        <f t="shared" si="9"/>
        <v>0</v>
      </c>
      <c r="O144" s="496"/>
      <c r="P144" s="496"/>
      <c r="Q144" s="496"/>
      <c r="R144" s="496"/>
      <c r="S144" s="496"/>
      <c r="T144" s="496"/>
      <c r="U144" s="496"/>
      <c r="V144" s="496"/>
      <c r="W144" s="496"/>
      <c r="X144" s="496"/>
      <c r="Y144" s="496"/>
      <c r="Z144" s="496"/>
    </row>
    <row r="145" spans="1:27" ht="19.149999999999999" hidden="1" customHeight="1" outlineLevel="1" x14ac:dyDescent="0.25">
      <c r="A145" s="494"/>
      <c r="B145" s="494"/>
      <c r="C145" s="494"/>
      <c r="D145" s="510"/>
      <c r="E145" s="496"/>
      <c r="F145" s="496"/>
      <c r="G145" s="497"/>
      <c r="H145" s="496"/>
      <c r="I145" s="496"/>
      <c r="J145" s="496"/>
      <c r="K145" s="496"/>
      <c r="L145" s="496"/>
      <c r="M145" s="496"/>
      <c r="N145" s="512">
        <f t="shared" si="9"/>
        <v>0</v>
      </c>
      <c r="O145" s="496"/>
      <c r="P145" s="496"/>
      <c r="Q145" s="496"/>
      <c r="R145" s="496"/>
      <c r="S145" s="496"/>
      <c r="T145" s="496"/>
      <c r="U145" s="496"/>
      <c r="V145" s="496"/>
      <c r="W145" s="496"/>
      <c r="X145" s="496"/>
      <c r="Y145" s="496"/>
      <c r="Z145" s="496"/>
    </row>
    <row r="146" spans="1:27" ht="15.75" hidden="1" outlineLevel="1" x14ac:dyDescent="0.25">
      <c r="A146" s="494"/>
      <c r="B146" s="494"/>
      <c r="C146" s="494"/>
      <c r="D146" s="510"/>
      <c r="E146" s="496"/>
      <c r="F146" s="496"/>
      <c r="G146" s="497"/>
      <c r="H146" s="496"/>
      <c r="I146" s="496"/>
      <c r="J146" s="496"/>
      <c r="K146" s="496"/>
      <c r="L146" s="496"/>
      <c r="M146" s="496"/>
      <c r="N146" s="512">
        <f t="shared" si="9"/>
        <v>0</v>
      </c>
      <c r="O146" s="496"/>
      <c r="P146" s="496"/>
      <c r="Q146" s="496"/>
      <c r="R146" s="496"/>
      <c r="S146" s="496"/>
      <c r="T146" s="496"/>
      <c r="U146" s="496"/>
      <c r="V146" s="496"/>
      <c r="W146" s="496"/>
      <c r="X146" s="496"/>
      <c r="Y146" s="496"/>
      <c r="Z146" s="496"/>
    </row>
    <row r="147" spans="1:27" ht="15.75" hidden="1" outlineLevel="1" x14ac:dyDescent="0.25">
      <c r="A147" s="494"/>
      <c r="B147" s="494"/>
      <c r="C147" s="494"/>
      <c r="D147" s="510"/>
      <c r="E147" s="496"/>
      <c r="F147" s="496"/>
      <c r="G147" s="497"/>
      <c r="H147" s="496"/>
      <c r="I147" s="496"/>
      <c r="J147" s="496"/>
      <c r="K147" s="496"/>
      <c r="L147" s="496"/>
      <c r="M147" s="496"/>
      <c r="N147" s="512">
        <f t="shared" si="9"/>
        <v>0</v>
      </c>
      <c r="O147" s="496"/>
      <c r="P147" s="496"/>
      <c r="Q147" s="496"/>
      <c r="R147" s="496"/>
      <c r="S147" s="496"/>
      <c r="T147" s="496"/>
      <c r="U147" s="496"/>
      <c r="V147" s="496"/>
      <c r="W147" s="496"/>
      <c r="X147" s="496"/>
      <c r="Y147" s="496"/>
      <c r="Z147" s="496"/>
    </row>
    <row r="148" spans="1:27" ht="15.75" hidden="1" outlineLevel="1" x14ac:dyDescent="0.25">
      <c r="A148" s="494"/>
      <c r="B148" s="494"/>
      <c r="C148" s="494"/>
      <c r="D148" s="510"/>
      <c r="E148" s="496"/>
      <c r="F148" s="496"/>
      <c r="G148" s="497"/>
      <c r="H148" s="496"/>
      <c r="I148" s="496"/>
      <c r="J148" s="496"/>
      <c r="K148" s="496"/>
      <c r="L148" s="496"/>
      <c r="M148" s="496"/>
      <c r="N148" s="512">
        <f t="shared" si="9"/>
        <v>0</v>
      </c>
      <c r="O148" s="496"/>
      <c r="P148" s="496"/>
      <c r="Q148" s="496"/>
      <c r="R148" s="496"/>
      <c r="S148" s="496"/>
      <c r="T148" s="496"/>
      <c r="U148" s="496"/>
      <c r="V148" s="496"/>
      <c r="W148" s="496"/>
      <c r="X148" s="496"/>
      <c r="Y148" s="496"/>
      <c r="Z148" s="496"/>
    </row>
    <row r="149" spans="1:27" ht="15.75" hidden="1" outlineLevel="1" x14ac:dyDescent="0.25">
      <c r="A149" s="494"/>
      <c r="B149" s="494"/>
      <c r="C149" s="494"/>
      <c r="D149" s="510"/>
      <c r="E149" s="496"/>
      <c r="F149" s="496"/>
      <c r="G149" s="497"/>
      <c r="H149" s="496"/>
      <c r="I149" s="496"/>
      <c r="J149" s="496"/>
      <c r="K149" s="496"/>
      <c r="L149" s="496"/>
      <c r="M149" s="496"/>
      <c r="N149" s="496"/>
      <c r="O149" s="496"/>
      <c r="P149" s="496"/>
      <c r="Q149" s="496"/>
      <c r="R149" s="496"/>
      <c r="S149" s="496"/>
      <c r="T149" s="496"/>
      <c r="U149" s="496"/>
      <c r="V149" s="496"/>
      <c r="W149" s="496"/>
      <c r="X149" s="496"/>
      <c r="Y149" s="496"/>
      <c r="Z149" s="496"/>
    </row>
    <row r="150" spans="1:27" ht="15.75" hidden="1" outlineLevel="1" x14ac:dyDescent="0.25">
      <c r="A150" s="494"/>
      <c r="B150" s="494"/>
      <c r="C150" s="494"/>
      <c r="D150" s="510"/>
      <c r="E150" s="496"/>
      <c r="F150" s="496"/>
      <c r="G150" s="497"/>
      <c r="H150" s="496"/>
      <c r="I150" s="496"/>
      <c r="J150" s="496"/>
      <c r="K150" s="496"/>
      <c r="L150" s="496"/>
      <c r="M150" s="496"/>
      <c r="N150" s="496"/>
      <c r="O150" s="496"/>
      <c r="P150" s="496"/>
      <c r="Q150" s="496"/>
      <c r="R150" s="496"/>
      <c r="S150" s="496"/>
      <c r="T150" s="496"/>
      <c r="U150" s="496"/>
      <c r="V150" s="496"/>
      <c r="W150" s="496"/>
      <c r="X150" s="496"/>
      <c r="Y150" s="496"/>
      <c r="Z150" s="496"/>
    </row>
    <row r="151" spans="1:27" ht="21" hidden="1" outlineLevel="1" x14ac:dyDescent="0.25">
      <c r="A151" s="494" t="s">
        <v>285</v>
      </c>
      <c r="B151" s="494"/>
      <c r="C151" s="494"/>
      <c r="D151" s="510"/>
      <c r="E151" s="496"/>
      <c r="F151" s="496"/>
      <c r="G151" s="518"/>
      <c r="H151" s="496"/>
      <c r="I151" s="496"/>
      <c r="J151" s="496"/>
      <c r="K151" s="519" t="s">
        <v>20</v>
      </c>
      <c r="L151" s="404">
        <f>SUM(L137:L141)</f>
        <v>0</v>
      </c>
      <c r="M151" s="404">
        <f>SUM(M137:M141)</f>
        <v>0</v>
      </c>
      <c r="N151" s="496">
        <f>SUM(N138:N150)</f>
        <v>0</v>
      </c>
      <c r="O151" s="579">
        <f>SUM(O138:O150)</f>
        <v>0</v>
      </c>
      <c r="P151" s="579">
        <f>SUM(P138:P150)</f>
        <v>0</v>
      </c>
      <c r="Q151" s="579">
        <f t="shared" ref="Q151:Z151" si="10">SUM(Q138:Q150)</f>
        <v>0</v>
      </c>
      <c r="R151" s="579">
        <f t="shared" si="10"/>
        <v>0</v>
      </c>
      <c r="S151" s="579">
        <f t="shared" si="10"/>
        <v>0</v>
      </c>
      <c r="T151" s="579">
        <f t="shared" si="10"/>
        <v>0</v>
      </c>
      <c r="U151" s="579">
        <f t="shared" si="10"/>
        <v>0</v>
      </c>
      <c r="V151" s="579">
        <f t="shared" si="10"/>
        <v>0</v>
      </c>
      <c r="W151" s="579">
        <f t="shared" si="10"/>
        <v>0</v>
      </c>
      <c r="X151" s="579">
        <f t="shared" si="10"/>
        <v>0</v>
      </c>
      <c r="Y151" s="579">
        <f t="shared" si="10"/>
        <v>0</v>
      </c>
      <c r="Z151" s="579">
        <f t="shared" si="10"/>
        <v>0</v>
      </c>
      <c r="AA151" s="517"/>
    </row>
    <row r="152" spans="1:27" ht="18.75" hidden="1" outlineLevel="1" x14ac:dyDescent="0.25">
      <c r="A152" s="505" t="str">
        <f>CONCATENATE(B20," ",C20)</f>
        <v xml:space="preserve"> </v>
      </c>
      <c r="B152" s="505"/>
      <c r="C152" s="506"/>
      <c r="D152" s="506"/>
      <c r="E152" s="507"/>
      <c r="F152" s="507"/>
      <c r="G152" s="507"/>
      <c r="H152" s="507"/>
      <c r="I152" s="507"/>
      <c r="J152" s="507"/>
      <c r="K152" s="507"/>
      <c r="L152" s="507"/>
      <c r="M152" s="507"/>
      <c r="N152" s="507"/>
      <c r="O152" s="507" t="s">
        <v>5</v>
      </c>
      <c r="P152" s="507"/>
      <c r="Q152" s="507"/>
      <c r="R152" s="507"/>
      <c r="S152" s="507"/>
      <c r="T152" s="507"/>
      <c r="U152" s="507"/>
      <c r="V152" s="507"/>
      <c r="W152" s="507"/>
      <c r="X152" s="507"/>
      <c r="Y152" s="507"/>
      <c r="Z152" s="507"/>
    </row>
    <row r="153" spans="1:27" ht="41.45" hidden="1" customHeight="1" outlineLevel="1" x14ac:dyDescent="0.25">
      <c r="A153" s="492" t="s">
        <v>261</v>
      </c>
      <c r="B153" s="492" t="s">
        <v>13</v>
      </c>
      <c r="C153" s="492" t="s">
        <v>14</v>
      </c>
      <c r="D153" s="509" t="s">
        <v>286</v>
      </c>
      <c r="E153" s="404" t="s">
        <v>16</v>
      </c>
      <c r="F153" s="404" t="s">
        <v>295</v>
      </c>
      <c r="G153" s="404" t="s">
        <v>39</v>
      </c>
      <c r="H153" s="404" t="s">
        <v>297</v>
      </c>
      <c r="I153" s="404" t="s">
        <v>298</v>
      </c>
      <c r="J153" s="404" t="s">
        <v>299</v>
      </c>
      <c r="K153" s="404" t="s">
        <v>300</v>
      </c>
      <c r="L153" s="404" t="s">
        <v>17</v>
      </c>
      <c r="M153" s="404" t="s">
        <v>18</v>
      </c>
      <c r="N153" s="404" t="s">
        <v>19</v>
      </c>
      <c r="O153" s="493">
        <v>43101</v>
      </c>
      <c r="P153" s="493">
        <v>43132</v>
      </c>
      <c r="Q153" s="493">
        <v>43160</v>
      </c>
      <c r="R153" s="493">
        <v>43191</v>
      </c>
      <c r="S153" s="493">
        <v>43221</v>
      </c>
      <c r="T153" s="493">
        <v>43252</v>
      </c>
      <c r="U153" s="493">
        <v>43282</v>
      </c>
      <c r="V153" s="493">
        <v>43313</v>
      </c>
      <c r="W153" s="493">
        <v>43344</v>
      </c>
      <c r="X153" s="493">
        <v>43374</v>
      </c>
      <c r="Y153" s="493">
        <v>43405</v>
      </c>
      <c r="Z153" s="493">
        <v>43435</v>
      </c>
    </row>
    <row r="154" spans="1:27" ht="15" hidden="1" customHeight="1" outlineLevel="1" x14ac:dyDescent="0.25">
      <c r="A154" s="494" t="s">
        <v>265</v>
      </c>
      <c r="B154" s="494"/>
      <c r="C154" s="494"/>
      <c r="D154" s="510"/>
      <c r="E154" s="496"/>
      <c r="F154" s="496"/>
      <c r="G154" s="496"/>
      <c r="H154" s="496"/>
      <c r="I154" s="496"/>
      <c r="J154" s="496"/>
      <c r="K154" s="496"/>
      <c r="L154" s="496"/>
      <c r="M154" s="496"/>
      <c r="N154" s="496">
        <f t="shared" ref="N154:N157" si="11">SUM(O154:Z154)</f>
        <v>0</v>
      </c>
      <c r="O154" s="496"/>
      <c r="P154" s="496"/>
      <c r="Q154" s="496"/>
      <c r="R154" s="496"/>
      <c r="S154" s="496"/>
      <c r="T154" s="496"/>
      <c r="U154" s="496"/>
      <c r="V154" s="496"/>
      <c r="W154" s="496"/>
      <c r="X154" s="496"/>
      <c r="Y154" s="496"/>
      <c r="Z154" s="496"/>
    </row>
    <row r="155" spans="1:27" ht="15" hidden="1" customHeight="1" outlineLevel="1" x14ac:dyDescent="0.25">
      <c r="A155" s="494" t="s">
        <v>266</v>
      </c>
      <c r="B155" s="494"/>
      <c r="C155" s="494"/>
      <c r="D155" s="510"/>
      <c r="E155" s="496"/>
      <c r="F155" s="496"/>
      <c r="G155" s="496"/>
      <c r="H155" s="496"/>
      <c r="I155" s="496"/>
      <c r="J155" s="496"/>
      <c r="K155" s="496"/>
      <c r="L155" s="496"/>
      <c r="M155" s="496"/>
      <c r="N155" s="496">
        <f t="shared" si="11"/>
        <v>0</v>
      </c>
      <c r="O155" s="496"/>
      <c r="P155" s="496"/>
      <c r="Q155" s="496"/>
      <c r="R155" s="496"/>
      <c r="S155" s="496"/>
      <c r="T155" s="496"/>
      <c r="U155" s="496"/>
      <c r="V155" s="496"/>
      <c r="W155" s="496"/>
      <c r="X155" s="496"/>
      <c r="Y155" s="496"/>
      <c r="Z155" s="496"/>
    </row>
    <row r="156" spans="1:27" ht="15" hidden="1" customHeight="1" outlineLevel="1" x14ac:dyDescent="0.25">
      <c r="A156" s="494" t="s">
        <v>283</v>
      </c>
      <c r="B156" s="494"/>
      <c r="C156" s="494"/>
      <c r="D156" s="510"/>
      <c r="E156" s="496"/>
      <c r="F156" s="496"/>
      <c r="G156" s="496"/>
      <c r="H156" s="496"/>
      <c r="I156" s="496"/>
      <c r="J156" s="496"/>
      <c r="K156" s="496"/>
      <c r="L156" s="496"/>
      <c r="M156" s="496"/>
      <c r="N156" s="496">
        <f t="shared" si="11"/>
        <v>0</v>
      </c>
      <c r="O156" s="496"/>
      <c r="P156" s="496"/>
      <c r="Q156" s="496"/>
      <c r="R156" s="496"/>
      <c r="S156" s="496"/>
      <c r="T156" s="496"/>
      <c r="U156" s="496"/>
      <c r="V156" s="496"/>
      <c r="W156" s="496"/>
      <c r="X156" s="496"/>
      <c r="Y156" s="496"/>
      <c r="Z156" s="496"/>
    </row>
    <row r="157" spans="1:27" ht="15" hidden="1" customHeight="1" outlineLevel="1" x14ac:dyDescent="0.25">
      <c r="A157" s="494" t="s">
        <v>284</v>
      </c>
      <c r="B157" s="494"/>
      <c r="C157" s="494"/>
      <c r="D157" s="510"/>
      <c r="E157" s="496"/>
      <c r="F157" s="496"/>
      <c r="G157" s="496"/>
      <c r="H157" s="496"/>
      <c r="I157" s="496"/>
      <c r="J157" s="496"/>
      <c r="K157" s="496"/>
      <c r="L157" s="496"/>
      <c r="M157" s="496"/>
      <c r="N157" s="496">
        <f t="shared" si="11"/>
        <v>0</v>
      </c>
      <c r="O157" s="496"/>
      <c r="P157" s="496"/>
      <c r="Q157" s="496"/>
      <c r="R157" s="496"/>
      <c r="S157" s="496"/>
      <c r="T157" s="496"/>
      <c r="U157" s="496"/>
      <c r="V157" s="496"/>
      <c r="W157" s="496"/>
      <c r="X157" s="496"/>
      <c r="Y157" s="496"/>
      <c r="Z157" s="496"/>
    </row>
    <row r="158" spans="1:27" ht="21" hidden="1" customHeight="1" outlineLevel="1" x14ac:dyDescent="0.25">
      <c r="A158" s="494" t="s">
        <v>285</v>
      </c>
      <c r="B158" s="494"/>
      <c r="C158" s="494"/>
      <c r="D158" s="510"/>
      <c r="E158" s="496"/>
      <c r="F158" s="496"/>
      <c r="G158" s="518"/>
      <c r="H158" s="496"/>
      <c r="I158" s="496"/>
      <c r="J158" s="496"/>
      <c r="K158" s="519" t="s">
        <v>20</v>
      </c>
      <c r="L158" s="404">
        <f>SUM(L153:L157)</f>
        <v>0</v>
      </c>
      <c r="M158" s="404">
        <f>SUM(M153:M157)</f>
        <v>0</v>
      </c>
      <c r="N158" s="496">
        <f>SUM(N154:N157)</f>
        <v>0</v>
      </c>
      <c r="O158" s="496">
        <f t="shared" ref="O158:Z158" si="12">SUM(O154:O157)</f>
        <v>0</v>
      </c>
      <c r="P158" s="496">
        <f t="shared" si="12"/>
        <v>0</v>
      </c>
      <c r="Q158" s="496">
        <f t="shared" si="12"/>
        <v>0</v>
      </c>
      <c r="R158" s="496">
        <f t="shared" si="12"/>
        <v>0</v>
      </c>
      <c r="S158" s="496">
        <f t="shared" si="12"/>
        <v>0</v>
      </c>
      <c r="T158" s="496">
        <f t="shared" si="12"/>
        <v>0</v>
      </c>
      <c r="U158" s="496">
        <f t="shared" si="12"/>
        <v>0</v>
      </c>
      <c r="V158" s="496">
        <f t="shared" si="12"/>
        <v>0</v>
      </c>
      <c r="W158" s="496">
        <f t="shared" si="12"/>
        <v>0</v>
      </c>
      <c r="X158" s="496">
        <f t="shared" si="12"/>
        <v>0</v>
      </c>
      <c r="Y158" s="496">
        <f t="shared" si="12"/>
        <v>0</v>
      </c>
      <c r="Z158" s="496">
        <f t="shared" si="12"/>
        <v>0</v>
      </c>
      <c r="AA158" s="517"/>
    </row>
    <row r="159" spans="1:27" ht="18.75" hidden="1" outlineLevel="1" x14ac:dyDescent="0.25">
      <c r="A159" s="505" t="str">
        <f>CONCATENATE(B21," ",C21)</f>
        <v xml:space="preserve"> </v>
      </c>
      <c r="B159" s="505"/>
      <c r="C159" s="506"/>
      <c r="D159" s="506"/>
      <c r="E159" s="507"/>
      <c r="F159" s="507"/>
      <c r="G159" s="507"/>
      <c r="H159" s="507"/>
      <c r="I159" s="507"/>
      <c r="J159" s="507"/>
      <c r="K159" s="507"/>
      <c r="L159" s="507"/>
      <c r="M159" s="507"/>
      <c r="N159" s="507"/>
      <c r="O159" s="507" t="s">
        <v>5</v>
      </c>
      <c r="P159" s="507"/>
      <c r="Q159" s="507"/>
      <c r="R159" s="507"/>
      <c r="S159" s="507"/>
      <c r="T159" s="507"/>
      <c r="U159" s="507"/>
      <c r="V159" s="507"/>
      <c r="W159" s="507"/>
      <c r="X159" s="507"/>
      <c r="Y159" s="507"/>
      <c r="Z159" s="507"/>
    </row>
    <row r="160" spans="1:27" ht="41.45" hidden="1" customHeight="1" outlineLevel="1" x14ac:dyDescent="0.25">
      <c r="A160" s="492" t="s">
        <v>261</v>
      </c>
      <c r="B160" s="492" t="s">
        <v>13</v>
      </c>
      <c r="C160" s="492" t="s">
        <v>14</v>
      </c>
      <c r="D160" s="509" t="s">
        <v>286</v>
      </c>
      <c r="E160" s="404" t="s">
        <v>16</v>
      </c>
      <c r="F160" s="404" t="s">
        <v>295</v>
      </c>
      <c r="G160" s="404" t="s">
        <v>39</v>
      </c>
      <c r="H160" s="404" t="s">
        <v>297</v>
      </c>
      <c r="I160" s="404" t="s">
        <v>298</v>
      </c>
      <c r="J160" s="404" t="s">
        <v>299</v>
      </c>
      <c r="K160" s="404" t="s">
        <v>300</v>
      </c>
      <c r="L160" s="404" t="s">
        <v>17</v>
      </c>
      <c r="M160" s="404" t="s">
        <v>18</v>
      </c>
      <c r="N160" s="404" t="s">
        <v>19</v>
      </c>
      <c r="O160" s="493">
        <v>43101</v>
      </c>
      <c r="P160" s="493">
        <v>43132</v>
      </c>
      <c r="Q160" s="493">
        <v>43160</v>
      </c>
      <c r="R160" s="493">
        <v>43191</v>
      </c>
      <c r="S160" s="493">
        <v>43221</v>
      </c>
      <c r="T160" s="493">
        <v>43252</v>
      </c>
      <c r="U160" s="493">
        <v>43282</v>
      </c>
      <c r="V160" s="493">
        <v>43313</v>
      </c>
      <c r="W160" s="493">
        <v>43344</v>
      </c>
      <c r="X160" s="493">
        <v>43374</v>
      </c>
      <c r="Y160" s="493">
        <v>43405</v>
      </c>
      <c r="Z160" s="493">
        <v>43435</v>
      </c>
    </row>
    <row r="161" spans="1:27" ht="15" hidden="1" customHeight="1" outlineLevel="1" x14ac:dyDescent="0.25">
      <c r="A161" s="494" t="s">
        <v>265</v>
      </c>
      <c r="B161" s="494"/>
      <c r="C161" s="494"/>
      <c r="D161" s="510"/>
      <c r="E161" s="496"/>
      <c r="F161" s="496"/>
      <c r="G161" s="496"/>
      <c r="H161" s="496"/>
      <c r="I161" s="496"/>
      <c r="J161" s="496"/>
      <c r="K161" s="496"/>
      <c r="L161" s="496"/>
      <c r="M161" s="496"/>
      <c r="N161" s="496">
        <f t="shared" ref="N161:N164" si="13">SUM(O161:Z161)</f>
        <v>0</v>
      </c>
      <c r="O161" s="496"/>
      <c r="P161" s="496"/>
      <c r="Q161" s="496"/>
      <c r="R161" s="496"/>
      <c r="S161" s="496"/>
      <c r="T161" s="496"/>
      <c r="U161" s="496"/>
      <c r="V161" s="496"/>
      <c r="W161" s="496"/>
      <c r="X161" s="496"/>
      <c r="Y161" s="496"/>
      <c r="Z161" s="496"/>
    </row>
    <row r="162" spans="1:27" ht="15" hidden="1" customHeight="1" outlineLevel="1" x14ac:dyDescent="0.25">
      <c r="A162" s="494" t="s">
        <v>266</v>
      </c>
      <c r="B162" s="494"/>
      <c r="C162" s="494"/>
      <c r="D162" s="510"/>
      <c r="E162" s="496"/>
      <c r="F162" s="496"/>
      <c r="G162" s="496"/>
      <c r="H162" s="496"/>
      <c r="I162" s="496"/>
      <c r="J162" s="496"/>
      <c r="K162" s="496"/>
      <c r="L162" s="496"/>
      <c r="M162" s="496"/>
      <c r="N162" s="496">
        <f t="shared" si="13"/>
        <v>0</v>
      </c>
      <c r="O162" s="496"/>
      <c r="P162" s="496"/>
      <c r="Q162" s="496"/>
      <c r="R162" s="496"/>
      <c r="S162" s="496"/>
      <c r="T162" s="496"/>
      <c r="U162" s="496"/>
      <c r="V162" s="496"/>
      <c r="W162" s="496"/>
      <c r="X162" s="496"/>
      <c r="Y162" s="496"/>
      <c r="Z162" s="496"/>
    </row>
    <row r="163" spans="1:27" ht="15" hidden="1" customHeight="1" outlineLevel="1" x14ac:dyDescent="0.25">
      <c r="A163" s="494" t="s">
        <v>283</v>
      </c>
      <c r="B163" s="494"/>
      <c r="C163" s="494"/>
      <c r="D163" s="510"/>
      <c r="E163" s="496"/>
      <c r="F163" s="496"/>
      <c r="G163" s="496"/>
      <c r="H163" s="496"/>
      <c r="I163" s="496"/>
      <c r="J163" s="496"/>
      <c r="K163" s="496"/>
      <c r="L163" s="496"/>
      <c r="M163" s="496"/>
      <c r="N163" s="496">
        <f t="shared" si="13"/>
        <v>0</v>
      </c>
      <c r="O163" s="496"/>
      <c r="P163" s="496"/>
      <c r="Q163" s="496"/>
      <c r="R163" s="496"/>
      <c r="S163" s="496"/>
      <c r="T163" s="496"/>
      <c r="U163" s="496"/>
      <c r="V163" s="496"/>
      <c r="W163" s="496"/>
      <c r="X163" s="496"/>
      <c r="Y163" s="496"/>
      <c r="Z163" s="496"/>
    </row>
    <row r="164" spans="1:27" ht="15" hidden="1" customHeight="1" outlineLevel="1" x14ac:dyDescent="0.25">
      <c r="A164" s="494" t="s">
        <v>284</v>
      </c>
      <c r="B164" s="494"/>
      <c r="C164" s="494"/>
      <c r="D164" s="510"/>
      <c r="E164" s="496"/>
      <c r="F164" s="496"/>
      <c r="G164" s="496"/>
      <c r="H164" s="496"/>
      <c r="I164" s="496"/>
      <c r="J164" s="496"/>
      <c r="K164" s="496"/>
      <c r="L164" s="496"/>
      <c r="M164" s="496"/>
      <c r="N164" s="496">
        <f t="shared" si="13"/>
        <v>0</v>
      </c>
      <c r="O164" s="496"/>
      <c r="P164" s="496"/>
      <c r="Q164" s="496"/>
      <c r="R164" s="496"/>
      <c r="S164" s="496"/>
      <c r="T164" s="496"/>
      <c r="U164" s="496"/>
      <c r="V164" s="496"/>
      <c r="W164" s="496"/>
      <c r="X164" s="496"/>
      <c r="Y164" s="496"/>
      <c r="Z164" s="496"/>
    </row>
    <row r="165" spans="1:27" ht="21" hidden="1" customHeight="1" outlineLevel="1" x14ac:dyDescent="0.25">
      <c r="A165" s="494" t="s">
        <v>285</v>
      </c>
      <c r="B165" s="494"/>
      <c r="C165" s="494"/>
      <c r="D165" s="510"/>
      <c r="E165" s="496"/>
      <c r="F165" s="496"/>
      <c r="G165" s="518"/>
      <c r="H165" s="496"/>
      <c r="I165" s="496"/>
      <c r="J165" s="496"/>
      <c r="K165" s="519" t="s">
        <v>20</v>
      </c>
      <c r="L165" s="404">
        <f>SUM(L160:L164)</f>
        <v>0</v>
      </c>
      <c r="M165" s="404">
        <f>SUM(M160:M164)</f>
        <v>0</v>
      </c>
      <c r="N165" s="496">
        <f>SUM(N161:N164)</f>
        <v>0</v>
      </c>
      <c r="O165" s="496">
        <f t="shared" ref="O165:Z165" si="14">SUM(O161:O164)</f>
        <v>0</v>
      </c>
      <c r="P165" s="496">
        <f t="shared" si="14"/>
        <v>0</v>
      </c>
      <c r="Q165" s="496">
        <f t="shared" si="14"/>
        <v>0</v>
      </c>
      <c r="R165" s="496">
        <f t="shared" si="14"/>
        <v>0</v>
      </c>
      <c r="S165" s="496">
        <f t="shared" si="14"/>
        <v>0</v>
      </c>
      <c r="T165" s="496">
        <f t="shared" si="14"/>
        <v>0</v>
      </c>
      <c r="U165" s="496">
        <f t="shared" si="14"/>
        <v>0</v>
      </c>
      <c r="V165" s="496">
        <f t="shared" si="14"/>
        <v>0</v>
      </c>
      <c r="W165" s="496">
        <f t="shared" si="14"/>
        <v>0</v>
      </c>
      <c r="X165" s="496">
        <f t="shared" si="14"/>
        <v>0</v>
      </c>
      <c r="Y165" s="496">
        <f t="shared" si="14"/>
        <v>0</v>
      </c>
      <c r="Z165" s="496">
        <f t="shared" si="14"/>
        <v>0</v>
      </c>
      <c r="AA165" s="517"/>
    </row>
    <row r="166" spans="1:27" ht="18.75" hidden="1" outlineLevel="1" x14ac:dyDescent="0.25">
      <c r="A166" s="505" t="str">
        <f>CONCATENATE(B22," ",C22)</f>
        <v xml:space="preserve"> </v>
      </c>
      <c r="B166" s="505"/>
      <c r="C166" s="506"/>
      <c r="D166" s="506"/>
      <c r="E166" s="507"/>
      <c r="F166" s="507"/>
      <c r="G166" s="507"/>
      <c r="H166" s="507"/>
      <c r="I166" s="507"/>
      <c r="J166" s="507"/>
      <c r="K166" s="507"/>
      <c r="L166" s="507"/>
      <c r="M166" s="507"/>
      <c r="N166" s="507"/>
      <c r="O166" s="507" t="s">
        <v>5</v>
      </c>
      <c r="P166" s="507"/>
      <c r="Q166" s="507"/>
      <c r="R166" s="507"/>
      <c r="S166" s="507"/>
      <c r="T166" s="507"/>
      <c r="U166" s="507"/>
      <c r="V166" s="507"/>
      <c r="W166" s="507"/>
      <c r="X166" s="507"/>
      <c r="Y166" s="507"/>
      <c r="Z166" s="507"/>
    </row>
    <row r="167" spans="1:27" ht="41.45" hidden="1" customHeight="1" outlineLevel="1" x14ac:dyDescent="0.25">
      <c r="A167" s="492" t="s">
        <v>261</v>
      </c>
      <c r="B167" s="492" t="s">
        <v>13</v>
      </c>
      <c r="C167" s="492" t="s">
        <v>14</v>
      </c>
      <c r="D167" s="509" t="s">
        <v>286</v>
      </c>
      <c r="E167" s="404" t="s">
        <v>16</v>
      </c>
      <c r="F167" s="404" t="s">
        <v>295</v>
      </c>
      <c r="G167" s="404" t="s">
        <v>39</v>
      </c>
      <c r="H167" s="404" t="s">
        <v>297</v>
      </c>
      <c r="I167" s="404" t="s">
        <v>298</v>
      </c>
      <c r="J167" s="404" t="s">
        <v>299</v>
      </c>
      <c r="K167" s="404" t="s">
        <v>300</v>
      </c>
      <c r="L167" s="404" t="s">
        <v>17</v>
      </c>
      <c r="M167" s="404" t="s">
        <v>18</v>
      </c>
      <c r="N167" s="404" t="s">
        <v>19</v>
      </c>
      <c r="O167" s="493">
        <v>43101</v>
      </c>
      <c r="P167" s="493">
        <v>43132</v>
      </c>
      <c r="Q167" s="493">
        <v>43160</v>
      </c>
      <c r="R167" s="493">
        <v>43191</v>
      </c>
      <c r="S167" s="493">
        <v>43221</v>
      </c>
      <c r="T167" s="493">
        <v>43252</v>
      </c>
      <c r="U167" s="493">
        <v>43282</v>
      </c>
      <c r="V167" s="493">
        <v>43313</v>
      </c>
      <c r="W167" s="493">
        <v>43344</v>
      </c>
      <c r="X167" s="493">
        <v>43374</v>
      </c>
      <c r="Y167" s="493">
        <v>43405</v>
      </c>
      <c r="Z167" s="493">
        <v>43435</v>
      </c>
    </row>
    <row r="168" spans="1:27" ht="15" hidden="1" customHeight="1" outlineLevel="1" x14ac:dyDescent="0.25">
      <c r="A168" s="494" t="s">
        <v>265</v>
      </c>
      <c r="B168" s="494"/>
      <c r="C168" s="494"/>
      <c r="D168" s="510"/>
      <c r="E168" s="496"/>
      <c r="F168" s="496"/>
      <c r="G168" s="496"/>
      <c r="H168" s="496"/>
      <c r="I168" s="496"/>
      <c r="J168" s="496"/>
      <c r="K168" s="496"/>
      <c r="L168" s="496"/>
      <c r="M168" s="496"/>
      <c r="N168" s="496">
        <f t="shared" ref="N168:N171" si="15">SUM(O168:Z168)</f>
        <v>0</v>
      </c>
      <c r="O168" s="496"/>
      <c r="P168" s="496"/>
      <c r="Q168" s="496"/>
      <c r="R168" s="496"/>
      <c r="S168" s="496"/>
      <c r="T168" s="496"/>
      <c r="U168" s="496"/>
      <c r="V168" s="496"/>
      <c r="W168" s="496"/>
      <c r="X168" s="496"/>
      <c r="Y168" s="496"/>
      <c r="Z168" s="496"/>
    </row>
    <row r="169" spans="1:27" ht="15" hidden="1" customHeight="1" outlineLevel="1" x14ac:dyDescent="0.25">
      <c r="A169" s="494" t="s">
        <v>266</v>
      </c>
      <c r="B169" s="494"/>
      <c r="C169" s="494"/>
      <c r="D169" s="510"/>
      <c r="E169" s="496"/>
      <c r="F169" s="496"/>
      <c r="G169" s="496"/>
      <c r="H169" s="496"/>
      <c r="I169" s="496"/>
      <c r="J169" s="496"/>
      <c r="K169" s="496"/>
      <c r="L169" s="496"/>
      <c r="M169" s="496"/>
      <c r="N169" s="496">
        <f t="shared" si="15"/>
        <v>0</v>
      </c>
      <c r="O169" s="496"/>
      <c r="P169" s="496"/>
      <c r="Q169" s="496"/>
      <c r="R169" s="496"/>
      <c r="S169" s="496"/>
      <c r="T169" s="496"/>
      <c r="U169" s="496"/>
      <c r="V169" s="496"/>
      <c r="W169" s="496"/>
      <c r="X169" s="496"/>
      <c r="Y169" s="496"/>
      <c r="Z169" s="496"/>
    </row>
    <row r="170" spans="1:27" ht="15" hidden="1" customHeight="1" outlineLevel="1" x14ac:dyDescent="0.25">
      <c r="A170" s="494" t="s">
        <v>283</v>
      </c>
      <c r="B170" s="494"/>
      <c r="C170" s="494"/>
      <c r="D170" s="510"/>
      <c r="E170" s="496"/>
      <c r="F170" s="496"/>
      <c r="G170" s="496"/>
      <c r="H170" s="496"/>
      <c r="I170" s="496"/>
      <c r="J170" s="496"/>
      <c r="K170" s="496"/>
      <c r="L170" s="496"/>
      <c r="M170" s="496"/>
      <c r="N170" s="496">
        <f t="shared" si="15"/>
        <v>0</v>
      </c>
      <c r="O170" s="496"/>
      <c r="P170" s="496"/>
      <c r="Q170" s="496"/>
      <c r="R170" s="496"/>
      <c r="S170" s="496"/>
      <c r="T170" s="496"/>
      <c r="U170" s="496"/>
      <c r="V170" s="496"/>
      <c r="W170" s="496"/>
      <c r="X170" s="496"/>
      <c r="Y170" s="496"/>
      <c r="Z170" s="496"/>
    </row>
    <row r="171" spans="1:27" ht="15" hidden="1" customHeight="1" outlineLevel="1" x14ac:dyDescent="0.25">
      <c r="A171" s="494" t="s">
        <v>284</v>
      </c>
      <c r="B171" s="494"/>
      <c r="C171" s="494"/>
      <c r="D171" s="510"/>
      <c r="E171" s="496"/>
      <c r="F171" s="496"/>
      <c r="G171" s="496"/>
      <c r="H171" s="496"/>
      <c r="I171" s="496"/>
      <c r="J171" s="496"/>
      <c r="K171" s="496"/>
      <c r="L171" s="496"/>
      <c r="M171" s="496"/>
      <c r="N171" s="496">
        <f t="shared" si="15"/>
        <v>0</v>
      </c>
      <c r="O171" s="496"/>
      <c r="P171" s="496"/>
      <c r="Q171" s="496"/>
      <c r="R171" s="496"/>
      <c r="S171" s="496"/>
      <c r="T171" s="496"/>
      <c r="U171" s="496"/>
      <c r="V171" s="496"/>
      <c r="W171" s="496"/>
      <c r="X171" s="496"/>
      <c r="Y171" s="496"/>
      <c r="Z171" s="496"/>
    </row>
    <row r="172" spans="1:27" ht="21" hidden="1" customHeight="1" outlineLevel="1" x14ac:dyDescent="0.25">
      <c r="A172" s="494" t="s">
        <v>285</v>
      </c>
      <c r="B172" s="494"/>
      <c r="C172" s="494"/>
      <c r="D172" s="510"/>
      <c r="E172" s="496"/>
      <c r="F172" s="496"/>
      <c r="G172" s="518"/>
      <c r="H172" s="496"/>
      <c r="I172" s="496"/>
      <c r="J172" s="496"/>
      <c r="K172" s="519" t="s">
        <v>20</v>
      </c>
      <c r="L172" s="404">
        <f>SUM(L167:L171)</f>
        <v>0</v>
      </c>
      <c r="M172" s="404">
        <f>SUM(M167:M171)</f>
        <v>0</v>
      </c>
      <c r="N172" s="496">
        <f>SUM(N168:N171)</f>
        <v>0</v>
      </c>
      <c r="O172" s="496">
        <f t="shared" ref="O172:Z172" si="16">SUM(O168:O171)</f>
        <v>0</v>
      </c>
      <c r="P172" s="496">
        <f t="shared" si="16"/>
        <v>0</v>
      </c>
      <c r="Q172" s="496">
        <f t="shared" si="16"/>
        <v>0</v>
      </c>
      <c r="R172" s="496">
        <f t="shared" si="16"/>
        <v>0</v>
      </c>
      <c r="S172" s="496">
        <f t="shared" si="16"/>
        <v>0</v>
      </c>
      <c r="T172" s="496">
        <f t="shared" si="16"/>
        <v>0</v>
      </c>
      <c r="U172" s="496">
        <f t="shared" si="16"/>
        <v>0</v>
      </c>
      <c r="V172" s="496">
        <f t="shared" si="16"/>
        <v>0</v>
      </c>
      <c r="W172" s="496">
        <f t="shared" si="16"/>
        <v>0</v>
      </c>
      <c r="X172" s="496">
        <f t="shared" si="16"/>
        <v>0</v>
      </c>
      <c r="Y172" s="496">
        <f t="shared" si="16"/>
        <v>0</v>
      </c>
      <c r="Z172" s="496">
        <f t="shared" si="16"/>
        <v>0</v>
      </c>
      <c r="AA172" s="517"/>
    </row>
    <row r="173" spans="1:27" ht="18.75" hidden="1" outlineLevel="1" x14ac:dyDescent="0.25">
      <c r="A173" s="505" t="str">
        <f>CONCATENATE(B23," ",C23)</f>
        <v xml:space="preserve"> </v>
      </c>
      <c r="B173" s="505"/>
      <c r="C173" s="506"/>
      <c r="D173" s="506"/>
      <c r="E173" s="507"/>
      <c r="F173" s="507"/>
      <c r="G173" s="507"/>
      <c r="H173" s="507"/>
      <c r="I173" s="507"/>
      <c r="J173" s="507"/>
      <c r="K173" s="507"/>
      <c r="L173" s="507"/>
      <c r="M173" s="507"/>
      <c r="N173" s="507"/>
      <c r="O173" s="507" t="s">
        <v>5</v>
      </c>
      <c r="P173" s="507"/>
      <c r="Q173" s="507"/>
      <c r="R173" s="507"/>
      <c r="S173" s="507"/>
      <c r="T173" s="507"/>
      <c r="U173" s="507"/>
      <c r="V173" s="507"/>
      <c r="W173" s="507"/>
      <c r="X173" s="507"/>
      <c r="Y173" s="507"/>
      <c r="Z173" s="507"/>
    </row>
    <row r="174" spans="1:27" ht="41.45" hidden="1" customHeight="1" outlineLevel="1" x14ac:dyDescent="0.25">
      <c r="A174" s="492" t="s">
        <v>261</v>
      </c>
      <c r="B174" s="492" t="s">
        <v>13</v>
      </c>
      <c r="C174" s="492" t="s">
        <v>14</v>
      </c>
      <c r="D174" s="509" t="s">
        <v>286</v>
      </c>
      <c r="E174" s="404" t="s">
        <v>16</v>
      </c>
      <c r="F174" s="404" t="s">
        <v>295</v>
      </c>
      <c r="G174" s="404" t="s">
        <v>39</v>
      </c>
      <c r="H174" s="404" t="s">
        <v>297</v>
      </c>
      <c r="I174" s="404" t="s">
        <v>298</v>
      </c>
      <c r="J174" s="404" t="s">
        <v>299</v>
      </c>
      <c r="K174" s="404" t="s">
        <v>300</v>
      </c>
      <c r="L174" s="404" t="s">
        <v>17</v>
      </c>
      <c r="M174" s="404" t="s">
        <v>18</v>
      </c>
      <c r="N174" s="404" t="s">
        <v>19</v>
      </c>
      <c r="O174" s="493">
        <v>43101</v>
      </c>
      <c r="P174" s="493">
        <v>43132</v>
      </c>
      <c r="Q174" s="493">
        <v>43160</v>
      </c>
      <c r="R174" s="493">
        <v>43191</v>
      </c>
      <c r="S174" s="493">
        <v>43221</v>
      </c>
      <c r="T174" s="493">
        <v>43252</v>
      </c>
      <c r="U174" s="493">
        <v>43282</v>
      </c>
      <c r="V174" s="493">
        <v>43313</v>
      </c>
      <c r="W174" s="493">
        <v>43344</v>
      </c>
      <c r="X174" s="493">
        <v>43374</v>
      </c>
      <c r="Y174" s="493">
        <v>43405</v>
      </c>
      <c r="Z174" s="493">
        <v>43435</v>
      </c>
    </row>
    <row r="175" spans="1:27" ht="15" hidden="1" customHeight="1" outlineLevel="1" x14ac:dyDescent="0.25">
      <c r="A175" s="494" t="s">
        <v>265</v>
      </c>
      <c r="B175" s="494"/>
      <c r="C175" s="494"/>
      <c r="D175" s="510"/>
      <c r="E175" s="496"/>
      <c r="F175" s="496"/>
      <c r="G175" s="496"/>
      <c r="H175" s="496"/>
      <c r="I175" s="496"/>
      <c r="J175" s="496"/>
      <c r="K175" s="496"/>
      <c r="L175" s="496"/>
      <c r="M175" s="496"/>
      <c r="N175" s="496">
        <f t="shared" ref="N175:N178" si="17">SUM(O175:Z175)</f>
        <v>0</v>
      </c>
      <c r="O175" s="496"/>
      <c r="P175" s="496"/>
      <c r="Q175" s="496"/>
      <c r="R175" s="496"/>
      <c r="S175" s="496"/>
      <c r="T175" s="496"/>
      <c r="U175" s="496"/>
      <c r="V175" s="496"/>
      <c r="W175" s="496"/>
      <c r="X175" s="496"/>
      <c r="Y175" s="496"/>
      <c r="Z175" s="496"/>
    </row>
    <row r="176" spans="1:27" ht="15" hidden="1" customHeight="1" outlineLevel="1" x14ac:dyDescent="0.25">
      <c r="A176" s="494" t="s">
        <v>266</v>
      </c>
      <c r="B176" s="494"/>
      <c r="C176" s="494"/>
      <c r="D176" s="510"/>
      <c r="E176" s="496"/>
      <c r="F176" s="496"/>
      <c r="G176" s="496"/>
      <c r="H176" s="496"/>
      <c r="I176" s="496"/>
      <c r="J176" s="496"/>
      <c r="K176" s="496"/>
      <c r="L176" s="496"/>
      <c r="M176" s="496"/>
      <c r="N176" s="496">
        <f t="shared" si="17"/>
        <v>0</v>
      </c>
      <c r="O176" s="496"/>
      <c r="P176" s="496"/>
      <c r="Q176" s="496"/>
      <c r="R176" s="496"/>
      <c r="S176" s="496"/>
      <c r="T176" s="496"/>
      <c r="U176" s="496"/>
      <c r="V176" s="496"/>
      <c r="W176" s="496"/>
      <c r="X176" s="496"/>
      <c r="Y176" s="496"/>
      <c r="Z176" s="496"/>
    </row>
    <row r="177" spans="1:27" ht="15" hidden="1" customHeight="1" outlineLevel="1" x14ac:dyDescent="0.25">
      <c r="A177" s="494" t="s">
        <v>283</v>
      </c>
      <c r="B177" s="494"/>
      <c r="C177" s="494"/>
      <c r="D177" s="510"/>
      <c r="E177" s="496"/>
      <c r="F177" s="496"/>
      <c r="G177" s="496"/>
      <c r="H177" s="496"/>
      <c r="I177" s="496"/>
      <c r="J177" s="496"/>
      <c r="K177" s="496"/>
      <c r="L177" s="496"/>
      <c r="M177" s="496"/>
      <c r="N177" s="496">
        <f t="shared" si="17"/>
        <v>0</v>
      </c>
      <c r="O177" s="496"/>
      <c r="P177" s="496"/>
      <c r="Q177" s="496"/>
      <c r="R177" s="496"/>
      <c r="S177" s="496"/>
      <c r="T177" s="496"/>
      <c r="U177" s="496"/>
      <c r="V177" s="496"/>
      <c r="W177" s="496"/>
      <c r="X177" s="496"/>
      <c r="Y177" s="496"/>
      <c r="Z177" s="496"/>
    </row>
    <row r="178" spans="1:27" ht="15" hidden="1" customHeight="1" outlineLevel="1" x14ac:dyDescent="0.25">
      <c r="A178" s="494" t="s">
        <v>284</v>
      </c>
      <c r="B178" s="494"/>
      <c r="C178" s="494"/>
      <c r="D178" s="510"/>
      <c r="E178" s="496"/>
      <c r="F178" s="496"/>
      <c r="G178" s="496"/>
      <c r="H178" s="496"/>
      <c r="I178" s="496"/>
      <c r="J178" s="496"/>
      <c r="K178" s="496"/>
      <c r="L178" s="496"/>
      <c r="M178" s="496"/>
      <c r="N178" s="496">
        <f t="shared" si="17"/>
        <v>0</v>
      </c>
      <c r="O178" s="496"/>
      <c r="P178" s="496"/>
      <c r="Q178" s="496"/>
      <c r="R178" s="496"/>
      <c r="S178" s="496"/>
      <c r="T178" s="496"/>
      <c r="U178" s="496"/>
      <c r="V178" s="496"/>
      <c r="W178" s="496"/>
      <c r="X178" s="496"/>
      <c r="Y178" s="496"/>
      <c r="Z178" s="496"/>
    </row>
    <row r="179" spans="1:27" ht="21" hidden="1" customHeight="1" outlineLevel="1" x14ac:dyDescent="0.25">
      <c r="A179" s="494" t="s">
        <v>285</v>
      </c>
      <c r="B179" s="494"/>
      <c r="C179" s="494"/>
      <c r="D179" s="510"/>
      <c r="E179" s="496"/>
      <c r="F179" s="496"/>
      <c r="G179" s="518"/>
      <c r="H179" s="496"/>
      <c r="I179" s="496"/>
      <c r="J179" s="496"/>
      <c r="K179" s="519" t="s">
        <v>20</v>
      </c>
      <c r="L179" s="404">
        <f>SUM(L174:L178)</f>
        <v>0</v>
      </c>
      <c r="M179" s="404">
        <f>SUM(M174:M178)</f>
        <v>0</v>
      </c>
      <c r="N179" s="496">
        <f>SUM(N175:N178)</f>
        <v>0</v>
      </c>
      <c r="O179" s="496">
        <f t="shared" ref="O179:Z179" si="18">SUM(O175:O178)</f>
        <v>0</v>
      </c>
      <c r="P179" s="496">
        <f t="shared" si="18"/>
        <v>0</v>
      </c>
      <c r="Q179" s="496">
        <f t="shared" si="18"/>
        <v>0</v>
      </c>
      <c r="R179" s="496">
        <f t="shared" si="18"/>
        <v>0</v>
      </c>
      <c r="S179" s="496">
        <f t="shared" si="18"/>
        <v>0</v>
      </c>
      <c r="T179" s="496">
        <f t="shared" si="18"/>
        <v>0</v>
      </c>
      <c r="U179" s="496">
        <f t="shared" si="18"/>
        <v>0</v>
      </c>
      <c r="V179" s="496">
        <f t="shared" si="18"/>
        <v>0</v>
      </c>
      <c r="W179" s="496">
        <f t="shared" si="18"/>
        <v>0</v>
      </c>
      <c r="X179" s="496">
        <f t="shared" si="18"/>
        <v>0</v>
      </c>
      <c r="Y179" s="496">
        <f t="shared" si="18"/>
        <v>0</v>
      </c>
      <c r="Z179" s="496">
        <f t="shared" si="18"/>
        <v>0</v>
      </c>
      <c r="AA179" s="517"/>
    </row>
    <row r="180" spans="1:27" ht="18.75" hidden="1" outlineLevel="1" x14ac:dyDescent="0.25">
      <c r="A180" s="505" t="str">
        <f>CONCATENATE(B24," ",C24)</f>
        <v xml:space="preserve"> </v>
      </c>
      <c r="B180" s="505"/>
      <c r="C180" s="506"/>
      <c r="D180" s="506"/>
      <c r="E180" s="507"/>
      <c r="F180" s="507"/>
      <c r="G180" s="507"/>
      <c r="H180" s="507"/>
      <c r="I180" s="507"/>
      <c r="J180" s="507"/>
      <c r="K180" s="507"/>
      <c r="L180" s="507"/>
      <c r="M180" s="507"/>
      <c r="N180" s="507"/>
      <c r="O180" s="507" t="s">
        <v>5</v>
      </c>
      <c r="P180" s="507"/>
      <c r="Q180" s="507"/>
      <c r="R180" s="507"/>
      <c r="S180" s="507"/>
      <c r="T180" s="507"/>
      <c r="U180" s="507"/>
      <c r="V180" s="507"/>
      <c r="W180" s="507"/>
      <c r="X180" s="507"/>
      <c r="Y180" s="507"/>
      <c r="Z180" s="507"/>
    </row>
    <row r="181" spans="1:27" ht="41.45" hidden="1" customHeight="1" outlineLevel="1" x14ac:dyDescent="0.25">
      <c r="A181" s="492" t="s">
        <v>261</v>
      </c>
      <c r="B181" s="492" t="s">
        <v>13</v>
      </c>
      <c r="C181" s="492" t="s">
        <v>14</v>
      </c>
      <c r="D181" s="509" t="s">
        <v>286</v>
      </c>
      <c r="E181" s="404" t="s">
        <v>16</v>
      </c>
      <c r="F181" s="404" t="s">
        <v>295</v>
      </c>
      <c r="G181" s="404" t="s">
        <v>39</v>
      </c>
      <c r="H181" s="404" t="s">
        <v>297</v>
      </c>
      <c r="I181" s="404" t="s">
        <v>298</v>
      </c>
      <c r="J181" s="404" t="s">
        <v>299</v>
      </c>
      <c r="K181" s="404" t="s">
        <v>300</v>
      </c>
      <c r="L181" s="404" t="s">
        <v>17</v>
      </c>
      <c r="M181" s="404" t="s">
        <v>18</v>
      </c>
      <c r="N181" s="404" t="s">
        <v>19</v>
      </c>
      <c r="O181" s="493">
        <v>43101</v>
      </c>
      <c r="P181" s="493">
        <v>43132</v>
      </c>
      <c r="Q181" s="493">
        <v>43160</v>
      </c>
      <c r="R181" s="493">
        <v>43191</v>
      </c>
      <c r="S181" s="493">
        <v>43221</v>
      </c>
      <c r="T181" s="493">
        <v>43252</v>
      </c>
      <c r="U181" s="493">
        <v>43282</v>
      </c>
      <c r="V181" s="493">
        <v>43313</v>
      </c>
      <c r="W181" s="493">
        <v>43344</v>
      </c>
      <c r="X181" s="493">
        <v>43374</v>
      </c>
      <c r="Y181" s="493">
        <v>43405</v>
      </c>
      <c r="Z181" s="493">
        <v>43435</v>
      </c>
    </row>
    <row r="182" spans="1:27" ht="15" hidden="1" customHeight="1" outlineLevel="1" x14ac:dyDescent="0.25">
      <c r="A182" s="494" t="s">
        <v>265</v>
      </c>
      <c r="B182" s="494"/>
      <c r="C182" s="494"/>
      <c r="D182" s="510"/>
      <c r="E182" s="496"/>
      <c r="F182" s="496"/>
      <c r="G182" s="496"/>
      <c r="H182" s="496"/>
      <c r="I182" s="496"/>
      <c r="J182" s="496"/>
      <c r="K182" s="496"/>
      <c r="L182" s="496"/>
      <c r="M182" s="496"/>
      <c r="N182" s="496">
        <f t="shared" ref="N182:N185" si="19">SUM(O182:Z182)</f>
        <v>0</v>
      </c>
      <c r="O182" s="496"/>
      <c r="P182" s="496"/>
      <c r="Q182" s="496"/>
      <c r="R182" s="496"/>
      <c r="S182" s="496"/>
      <c r="T182" s="496"/>
      <c r="U182" s="496"/>
      <c r="V182" s="496"/>
      <c r="W182" s="496"/>
      <c r="X182" s="496"/>
      <c r="Y182" s="496"/>
      <c r="Z182" s="496"/>
    </row>
    <row r="183" spans="1:27" ht="15" hidden="1" customHeight="1" outlineLevel="1" x14ac:dyDescent="0.25">
      <c r="A183" s="494" t="s">
        <v>266</v>
      </c>
      <c r="B183" s="494"/>
      <c r="C183" s="494"/>
      <c r="D183" s="510"/>
      <c r="E183" s="496"/>
      <c r="F183" s="496"/>
      <c r="G183" s="496"/>
      <c r="H183" s="496"/>
      <c r="I183" s="496"/>
      <c r="J183" s="496"/>
      <c r="K183" s="496"/>
      <c r="L183" s="496"/>
      <c r="M183" s="496"/>
      <c r="N183" s="496">
        <f t="shared" si="19"/>
        <v>0</v>
      </c>
      <c r="O183" s="496"/>
      <c r="P183" s="496"/>
      <c r="Q183" s="496"/>
      <c r="R183" s="496"/>
      <c r="S183" s="496"/>
      <c r="T183" s="496"/>
      <c r="U183" s="496"/>
      <c r="V183" s="496"/>
      <c r="W183" s="496"/>
      <c r="X183" s="496"/>
      <c r="Y183" s="496"/>
      <c r="Z183" s="496"/>
    </row>
    <row r="184" spans="1:27" ht="15" hidden="1" customHeight="1" outlineLevel="1" x14ac:dyDescent="0.25">
      <c r="A184" s="494" t="s">
        <v>283</v>
      </c>
      <c r="B184" s="494"/>
      <c r="C184" s="494"/>
      <c r="D184" s="510"/>
      <c r="E184" s="496"/>
      <c r="F184" s="496"/>
      <c r="G184" s="496"/>
      <c r="H184" s="496"/>
      <c r="I184" s="496"/>
      <c r="J184" s="496"/>
      <c r="K184" s="496"/>
      <c r="L184" s="496"/>
      <c r="M184" s="496"/>
      <c r="N184" s="496">
        <f t="shared" si="19"/>
        <v>0</v>
      </c>
      <c r="O184" s="496"/>
      <c r="P184" s="496"/>
      <c r="Q184" s="496"/>
      <c r="R184" s="496"/>
      <c r="S184" s="496"/>
      <c r="T184" s="496"/>
      <c r="U184" s="496"/>
      <c r="V184" s="496"/>
      <c r="W184" s="496"/>
      <c r="X184" s="496"/>
      <c r="Y184" s="496"/>
      <c r="Z184" s="496"/>
    </row>
    <row r="185" spans="1:27" ht="15" hidden="1" customHeight="1" outlineLevel="1" x14ac:dyDescent="0.25">
      <c r="A185" s="494" t="s">
        <v>284</v>
      </c>
      <c r="B185" s="494"/>
      <c r="C185" s="494"/>
      <c r="D185" s="510"/>
      <c r="E185" s="496"/>
      <c r="F185" s="496"/>
      <c r="G185" s="496"/>
      <c r="H185" s="496"/>
      <c r="I185" s="496"/>
      <c r="J185" s="496"/>
      <c r="K185" s="496"/>
      <c r="L185" s="496"/>
      <c r="M185" s="496"/>
      <c r="N185" s="496">
        <f t="shared" si="19"/>
        <v>0</v>
      </c>
      <c r="O185" s="496"/>
      <c r="P185" s="496"/>
      <c r="Q185" s="496"/>
      <c r="R185" s="496"/>
      <c r="S185" s="496"/>
      <c r="T185" s="496"/>
      <c r="U185" s="496"/>
      <c r="V185" s="496"/>
      <c r="W185" s="496"/>
      <c r="X185" s="496"/>
      <c r="Y185" s="496"/>
      <c r="Z185" s="496"/>
    </row>
    <row r="186" spans="1:27" ht="21" hidden="1" customHeight="1" outlineLevel="1" x14ac:dyDescent="0.25">
      <c r="A186" s="494" t="s">
        <v>285</v>
      </c>
      <c r="B186" s="494"/>
      <c r="C186" s="494"/>
      <c r="D186" s="510"/>
      <c r="E186" s="496"/>
      <c r="F186" s="496"/>
      <c r="G186" s="518"/>
      <c r="H186" s="496"/>
      <c r="I186" s="496"/>
      <c r="J186" s="496"/>
      <c r="K186" s="519" t="s">
        <v>20</v>
      </c>
      <c r="L186" s="404">
        <f>SUM(L181:L185)</f>
        <v>0</v>
      </c>
      <c r="M186" s="404">
        <f>SUM(M181:M185)</f>
        <v>0</v>
      </c>
      <c r="N186" s="496">
        <f>SUM(N182:N185)</f>
        <v>0</v>
      </c>
      <c r="O186" s="496">
        <f t="shared" ref="O186:Z186" si="20">SUM(O182:O185)</f>
        <v>0</v>
      </c>
      <c r="P186" s="496">
        <f t="shared" si="20"/>
        <v>0</v>
      </c>
      <c r="Q186" s="496">
        <f t="shared" si="20"/>
        <v>0</v>
      </c>
      <c r="R186" s="496">
        <f t="shared" si="20"/>
        <v>0</v>
      </c>
      <c r="S186" s="496">
        <f t="shared" si="20"/>
        <v>0</v>
      </c>
      <c r="T186" s="496">
        <f t="shared" si="20"/>
        <v>0</v>
      </c>
      <c r="U186" s="496">
        <f t="shared" si="20"/>
        <v>0</v>
      </c>
      <c r="V186" s="496">
        <f t="shared" si="20"/>
        <v>0</v>
      </c>
      <c r="W186" s="496">
        <f t="shared" si="20"/>
        <v>0</v>
      </c>
      <c r="X186" s="496">
        <f t="shared" si="20"/>
        <v>0</v>
      </c>
      <c r="Y186" s="496">
        <f t="shared" si="20"/>
        <v>0</v>
      </c>
      <c r="Z186" s="496">
        <f t="shared" si="20"/>
        <v>0</v>
      </c>
      <c r="AA186" s="517"/>
    </row>
    <row r="187" spans="1:27" ht="18.75" hidden="1" outlineLevel="1" x14ac:dyDescent="0.25">
      <c r="A187" s="505" t="str">
        <f>CONCATENATE(B25," ",C25)</f>
        <v xml:space="preserve"> </v>
      </c>
      <c r="B187" s="505"/>
      <c r="C187" s="506"/>
      <c r="D187" s="506"/>
      <c r="E187" s="507"/>
      <c r="F187" s="507"/>
      <c r="G187" s="507"/>
      <c r="H187" s="507"/>
      <c r="I187" s="507"/>
      <c r="J187" s="507"/>
      <c r="K187" s="507"/>
      <c r="L187" s="507"/>
      <c r="M187" s="507"/>
      <c r="N187" s="507"/>
      <c r="O187" s="507" t="s">
        <v>5</v>
      </c>
      <c r="P187" s="507"/>
      <c r="Q187" s="507"/>
      <c r="R187" s="507"/>
      <c r="S187" s="507"/>
      <c r="T187" s="507"/>
      <c r="U187" s="507"/>
      <c r="V187" s="507"/>
      <c r="W187" s="507"/>
      <c r="X187" s="507"/>
      <c r="Y187" s="507"/>
      <c r="Z187" s="507"/>
    </row>
    <row r="188" spans="1:27" ht="41.45" hidden="1" customHeight="1" outlineLevel="1" x14ac:dyDescent="0.25">
      <c r="A188" s="492" t="s">
        <v>261</v>
      </c>
      <c r="B188" s="492" t="s">
        <v>13</v>
      </c>
      <c r="C188" s="492" t="s">
        <v>14</v>
      </c>
      <c r="D188" s="509" t="s">
        <v>286</v>
      </c>
      <c r="E188" s="404" t="s">
        <v>16</v>
      </c>
      <c r="F188" s="404" t="s">
        <v>295</v>
      </c>
      <c r="G188" s="404" t="s">
        <v>39</v>
      </c>
      <c r="H188" s="404" t="s">
        <v>297</v>
      </c>
      <c r="I188" s="404" t="s">
        <v>298</v>
      </c>
      <c r="J188" s="404" t="s">
        <v>299</v>
      </c>
      <c r="K188" s="404" t="s">
        <v>300</v>
      </c>
      <c r="L188" s="404" t="s">
        <v>17</v>
      </c>
      <c r="M188" s="404" t="s">
        <v>18</v>
      </c>
      <c r="N188" s="404" t="s">
        <v>19</v>
      </c>
      <c r="O188" s="493">
        <v>43101</v>
      </c>
      <c r="P188" s="493">
        <v>43132</v>
      </c>
      <c r="Q188" s="493">
        <v>43160</v>
      </c>
      <c r="R188" s="493">
        <v>43191</v>
      </c>
      <c r="S188" s="493">
        <v>43221</v>
      </c>
      <c r="T188" s="493">
        <v>43252</v>
      </c>
      <c r="U188" s="493">
        <v>43282</v>
      </c>
      <c r="V188" s="493">
        <v>43313</v>
      </c>
      <c r="W188" s="493">
        <v>43344</v>
      </c>
      <c r="X188" s="493">
        <v>43374</v>
      </c>
      <c r="Y188" s="493">
        <v>43405</v>
      </c>
      <c r="Z188" s="493">
        <v>43435</v>
      </c>
    </row>
    <row r="189" spans="1:27" ht="15" hidden="1" customHeight="1" outlineLevel="1" x14ac:dyDescent="0.25">
      <c r="A189" s="494" t="s">
        <v>265</v>
      </c>
      <c r="B189" s="494"/>
      <c r="C189" s="494"/>
      <c r="D189" s="510"/>
      <c r="E189" s="496"/>
      <c r="F189" s="496"/>
      <c r="G189" s="496"/>
      <c r="H189" s="496"/>
      <c r="I189" s="496"/>
      <c r="J189" s="496"/>
      <c r="K189" s="496"/>
      <c r="L189" s="496"/>
      <c r="M189" s="496"/>
      <c r="N189" s="496">
        <f t="shared" ref="N189:N192" si="21">SUM(O189:Z189)</f>
        <v>0</v>
      </c>
      <c r="O189" s="496"/>
      <c r="P189" s="496"/>
      <c r="Q189" s="496"/>
      <c r="R189" s="496"/>
      <c r="S189" s="496"/>
      <c r="T189" s="496"/>
      <c r="U189" s="496"/>
      <c r="V189" s="496"/>
      <c r="W189" s="496"/>
      <c r="X189" s="496"/>
      <c r="Y189" s="496"/>
      <c r="Z189" s="496"/>
    </row>
    <row r="190" spans="1:27" ht="15" hidden="1" customHeight="1" outlineLevel="1" x14ac:dyDescent="0.25">
      <c r="A190" s="494" t="s">
        <v>266</v>
      </c>
      <c r="B190" s="494"/>
      <c r="C190" s="494"/>
      <c r="D190" s="510"/>
      <c r="E190" s="496"/>
      <c r="F190" s="496"/>
      <c r="G190" s="496"/>
      <c r="H190" s="496"/>
      <c r="I190" s="496"/>
      <c r="J190" s="496"/>
      <c r="K190" s="496"/>
      <c r="L190" s="496"/>
      <c r="M190" s="496"/>
      <c r="N190" s="496">
        <f t="shared" si="21"/>
        <v>0</v>
      </c>
      <c r="O190" s="496"/>
      <c r="P190" s="496"/>
      <c r="Q190" s="496"/>
      <c r="R190" s="496"/>
      <c r="S190" s="496"/>
      <c r="T190" s="496"/>
      <c r="U190" s="496"/>
      <c r="V190" s="496"/>
      <c r="W190" s="496"/>
      <c r="X190" s="496"/>
      <c r="Y190" s="496"/>
      <c r="Z190" s="496"/>
    </row>
    <row r="191" spans="1:27" ht="15" hidden="1" customHeight="1" outlineLevel="1" x14ac:dyDescent="0.25">
      <c r="A191" s="494" t="s">
        <v>283</v>
      </c>
      <c r="B191" s="494"/>
      <c r="C191" s="494"/>
      <c r="D191" s="510"/>
      <c r="E191" s="496"/>
      <c r="F191" s="496"/>
      <c r="G191" s="496"/>
      <c r="H191" s="496"/>
      <c r="I191" s="496"/>
      <c r="J191" s="496"/>
      <c r="K191" s="496"/>
      <c r="L191" s="496"/>
      <c r="M191" s="496"/>
      <c r="N191" s="496">
        <f t="shared" si="21"/>
        <v>0</v>
      </c>
      <c r="O191" s="496"/>
      <c r="P191" s="496"/>
      <c r="Q191" s="496"/>
      <c r="R191" s="496"/>
      <c r="S191" s="496"/>
      <c r="T191" s="496"/>
      <c r="U191" s="496"/>
      <c r="V191" s="496"/>
      <c r="W191" s="496"/>
      <c r="X191" s="496"/>
      <c r="Y191" s="496"/>
      <c r="Z191" s="496"/>
    </row>
    <row r="192" spans="1:27" ht="15" hidden="1" customHeight="1" outlineLevel="1" x14ac:dyDescent="0.25">
      <c r="A192" s="494" t="s">
        <v>284</v>
      </c>
      <c r="B192" s="494"/>
      <c r="C192" s="494"/>
      <c r="D192" s="510"/>
      <c r="E192" s="496"/>
      <c r="F192" s="496"/>
      <c r="G192" s="496"/>
      <c r="H192" s="496"/>
      <c r="I192" s="496"/>
      <c r="J192" s="496"/>
      <c r="K192" s="496"/>
      <c r="L192" s="496"/>
      <c r="M192" s="496"/>
      <c r="N192" s="496">
        <f t="shared" si="21"/>
        <v>0</v>
      </c>
      <c r="O192" s="496"/>
      <c r="P192" s="496"/>
      <c r="Q192" s="496"/>
      <c r="R192" s="496"/>
      <c r="S192" s="496"/>
      <c r="T192" s="496"/>
      <c r="U192" s="496"/>
      <c r="V192" s="496"/>
      <c r="W192" s="496"/>
      <c r="X192" s="496"/>
      <c r="Y192" s="496"/>
      <c r="Z192" s="496"/>
    </row>
    <row r="193" spans="1:27" ht="21" hidden="1" customHeight="1" outlineLevel="1" x14ac:dyDescent="0.25">
      <c r="A193" s="494" t="s">
        <v>285</v>
      </c>
      <c r="B193" s="494"/>
      <c r="C193" s="494"/>
      <c r="D193" s="510"/>
      <c r="E193" s="496"/>
      <c r="F193" s="496"/>
      <c r="G193" s="518"/>
      <c r="H193" s="496"/>
      <c r="I193" s="496"/>
      <c r="J193" s="496"/>
      <c r="K193" s="519" t="s">
        <v>20</v>
      </c>
      <c r="L193" s="404">
        <f>SUM(L188:L192)</f>
        <v>0</v>
      </c>
      <c r="M193" s="404">
        <f>SUM(M188:M192)</f>
        <v>0</v>
      </c>
      <c r="N193" s="496">
        <f>SUM(N189:N192)</f>
        <v>0</v>
      </c>
      <c r="O193" s="496">
        <f t="shared" ref="O193:Z193" si="22">SUM(O189:O192)</f>
        <v>0</v>
      </c>
      <c r="P193" s="496">
        <f t="shared" si="22"/>
        <v>0</v>
      </c>
      <c r="Q193" s="496">
        <f t="shared" si="22"/>
        <v>0</v>
      </c>
      <c r="R193" s="496">
        <f t="shared" si="22"/>
        <v>0</v>
      </c>
      <c r="S193" s="496">
        <f t="shared" si="22"/>
        <v>0</v>
      </c>
      <c r="T193" s="496">
        <f t="shared" si="22"/>
        <v>0</v>
      </c>
      <c r="U193" s="496">
        <f t="shared" si="22"/>
        <v>0</v>
      </c>
      <c r="V193" s="496">
        <f t="shared" si="22"/>
        <v>0</v>
      </c>
      <c r="W193" s="496">
        <f t="shared" si="22"/>
        <v>0</v>
      </c>
      <c r="X193" s="496">
        <f t="shared" si="22"/>
        <v>0</v>
      </c>
      <c r="Y193" s="496">
        <f t="shared" si="22"/>
        <v>0</v>
      </c>
      <c r="Z193" s="496">
        <f t="shared" si="22"/>
        <v>0</v>
      </c>
      <c r="AA193" s="517"/>
    </row>
    <row r="194" spans="1:27" ht="18.75" hidden="1" outlineLevel="1" x14ac:dyDescent="0.25">
      <c r="A194" s="505" t="str">
        <f>CONCATENATE(B26," ",C26)</f>
        <v xml:space="preserve"> </v>
      </c>
      <c r="B194" s="505"/>
      <c r="C194" s="506"/>
      <c r="D194" s="506"/>
      <c r="E194" s="507"/>
      <c r="F194" s="507"/>
      <c r="G194" s="507"/>
      <c r="H194" s="507"/>
      <c r="I194" s="507"/>
      <c r="J194" s="507"/>
      <c r="K194" s="507"/>
      <c r="L194" s="507"/>
      <c r="M194" s="507"/>
      <c r="N194" s="507"/>
      <c r="O194" s="507" t="s">
        <v>5</v>
      </c>
      <c r="P194" s="507"/>
      <c r="Q194" s="507"/>
      <c r="R194" s="507"/>
      <c r="S194" s="507"/>
      <c r="T194" s="507"/>
      <c r="U194" s="507"/>
      <c r="V194" s="507"/>
      <c r="W194" s="507"/>
      <c r="X194" s="507"/>
      <c r="Y194" s="507"/>
      <c r="Z194" s="507"/>
    </row>
    <row r="195" spans="1:27" ht="6.75" customHeight="1" collapsed="1" x14ac:dyDescent="0.25"/>
    <row r="196" spans="1:27" ht="18.75" x14ac:dyDescent="0.25">
      <c r="A196" s="489" t="s">
        <v>324</v>
      </c>
      <c r="B196" s="489"/>
      <c r="C196" s="490"/>
      <c r="D196" s="490"/>
      <c r="E196" s="402"/>
      <c r="F196" s="402"/>
      <c r="G196" s="402"/>
      <c r="H196" s="491"/>
      <c r="I196" s="491"/>
      <c r="J196" s="402"/>
      <c r="K196" s="402"/>
      <c r="L196" s="402"/>
      <c r="M196" s="402"/>
      <c r="N196" s="402"/>
      <c r="O196" s="402" t="s">
        <v>5</v>
      </c>
      <c r="P196" s="402"/>
      <c r="Q196" s="402"/>
      <c r="R196" s="402"/>
      <c r="S196" s="402"/>
      <c r="T196" s="402"/>
      <c r="U196" s="402"/>
      <c r="V196" s="402"/>
      <c r="W196" s="402"/>
      <c r="X196" s="402"/>
      <c r="Y196" s="402"/>
      <c r="Z196" s="402"/>
    </row>
    <row r="197" spans="1:27" ht="15.75" hidden="1" outlineLevel="1" x14ac:dyDescent="0.25">
      <c r="A197" s="492" t="s">
        <v>261</v>
      </c>
      <c r="B197" s="492" t="s">
        <v>13</v>
      </c>
      <c r="C197" s="492" t="s">
        <v>14</v>
      </c>
      <c r="D197" s="403" t="s">
        <v>15</v>
      </c>
      <c r="E197" s="520"/>
      <c r="F197" s="520"/>
      <c r="G197" s="520"/>
      <c r="H197" s="520"/>
      <c r="I197" s="520"/>
      <c r="J197" s="410"/>
      <c r="K197" s="409"/>
      <c r="L197" s="404" t="s">
        <v>52</v>
      </c>
      <c r="M197" s="404" t="s">
        <v>53</v>
      </c>
      <c r="N197" s="404" t="s">
        <v>54</v>
      </c>
      <c r="O197" s="493">
        <v>43101</v>
      </c>
      <c r="P197" s="493">
        <v>43132</v>
      </c>
      <c r="Q197" s="493">
        <v>43160</v>
      </c>
      <c r="R197" s="493">
        <v>43191</v>
      </c>
      <c r="S197" s="493">
        <v>43221</v>
      </c>
      <c r="T197" s="493">
        <v>43252</v>
      </c>
      <c r="U197" s="493">
        <v>43282</v>
      </c>
      <c r="V197" s="493">
        <v>43313</v>
      </c>
      <c r="W197" s="493">
        <v>43344</v>
      </c>
      <c r="X197" s="493">
        <v>43374</v>
      </c>
      <c r="Y197" s="493">
        <v>43405</v>
      </c>
      <c r="Z197" s="493">
        <v>43435</v>
      </c>
    </row>
    <row r="198" spans="1:27" ht="15.75" hidden="1" outlineLevel="1" x14ac:dyDescent="0.25">
      <c r="A198" s="494" t="str">
        <f>+A17</f>
        <v>5.1</v>
      </c>
      <c r="B198" s="494" t="s">
        <v>27</v>
      </c>
      <c r="C198" s="494" t="str">
        <f t="shared" ref="C198:D207" si="23">C17</f>
        <v>Metallurgy</v>
      </c>
      <c r="D198" s="508">
        <f t="shared" si="23"/>
        <v>0</v>
      </c>
      <c r="E198" s="520"/>
      <c r="F198" s="520"/>
      <c r="G198" s="520"/>
      <c r="H198" s="520"/>
      <c r="I198" s="520"/>
      <c r="J198" s="410"/>
      <c r="K198" s="409" t="s">
        <v>5</v>
      </c>
      <c r="L198" s="496" t="s">
        <v>48</v>
      </c>
      <c r="M198" s="496" t="s">
        <v>55</v>
      </c>
      <c r="N198" s="496">
        <v>6</v>
      </c>
      <c r="O198" s="521">
        <f t="shared" ref="O198:Z198" si="24">+O17/SUM($O17:$Z17)</f>
        <v>4.4164037854889593E-2</v>
      </c>
      <c r="P198" s="521">
        <f t="shared" si="24"/>
        <v>0.13722397476340695</v>
      </c>
      <c r="Q198" s="521">
        <f t="shared" si="24"/>
        <v>0.28233438485804419</v>
      </c>
      <c r="R198" s="521">
        <f t="shared" si="24"/>
        <v>0.19873817034700317</v>
      </c>
      <c r="S198" s="521">
        <f t="shared" si="24"/>
        <v>9.1482649842271294E-2</v>
      </c>
      <c r="T198" s="521">
        <f t="shared" si="24"/>
        <v>9.1482649842271294E-2</v>
      </c>
      <c r="U198" s="521">
        <f t="shared" si="24"/>
        <v>9.1482649842271294E-2</v>
      </c>
      <c r="V198" s="521">
        <f t="shared" si="24"/>
        <v>1.2618296529968454E-2</v>
      </c>
      <c r="W198" s="521">
        <f t="shared" si="24"/>
        <v>1.2618296529968454E-2</v>
      </c>
      <c r="X198" s="521">
        <f t="shared" si="24"/>
        <v>1.2618296529968454E-2</v>
      </c>
      <c r="Y198" s="521">
        <f t="shared" si="24"/>
        <v>1.2618296529968454E-2</v>
      </c>
      <c r="Z198" s="521">
        <f t="shared" si="24"/>
        <v>1.2618296529968454E-2</v>
      </c>
    </row>
    <row r="199" spans="1:27" ht="15.75" hidden="1" outlineLevel="1" x14ac:dyDescent="0.25">
      <c r="A199" s="494">
        <f>+A18</f>
        <v>0</v>
      </c>
      <c r="B199" s="494" t="s">
        <v>29</v>
      </c>
      <c r="C199" s="494">
        <f t="shared" si="23"/>
        <v>0</v>
      </c>
      <c r="D199" s="508">
        <f t="shared" si="23"/>
        <v>0</v>
      </c>
      <c r="E199" s="520"/>
      <c r="F199" s="520"/>
      <c r="G199" s="520"/>
      <c r="H199" s="520"/>
      <c r="I199" s="520"/>
      <c r="J199" s="410"/>
      <c r="K199" s="409" t="s">
        <v>5</v>
      </c>
      <c r="L199" s="496" t="s">
        <v>48</v>
      </c>
      <c r="M199" s="496" t="s">
        <v>55</v>
      </c>
      <c r="N199" s="496">
        <v>6</v>
      </c>
      <c r="O199" s="521" t="e">
        <f t="shared" ref="O199:Z199" si="25">+O18/SUM($O18:$Z18)</f>
        <v>#DIV/0!</v>
      </c>
      <c r="P199" s="521" t="e">
        <f t="shared" si="25"/>
        <v>#DIV/0!</v>
      </c>
      <c r="Q199" s="521" t="e">
        <f t="shared" si="25"/>
        <v>#DIV/0!</v>
      </c>
      <c r="R199" s="521" t="e">
        <f t="shared" si="25"/>
        <v>#DIV/0!</v>
      </c>
      <c r="S199" s="521" t="e">
        <f t="shared" si="25"/>
        <v>#DIV/0!</v>
      </c>
      <c r="T199" s="521" t="e">
        <f t="shared" si="25"/>
        <v>#DIV/0!</v>
      </c>
      <c r="U199" s="521" t="e">
        <f t="shared" si="25"/>
        <v>#DIV/0!</v>
      </c>
      <c r="V199" s="521" t="e">
        <f t="shared" si="25"/>
        <v>#DIV/0!</v>
      </c>
      <c r="W199" s="521" t="e">
        <f t="shared" si="25"/>
        <v>#DIV/0!</v>
      </c>
      <c r="X199" s="521" t="e">
        <f t="shared" si="25"/>
        <v>#DIV/0!</v>
      </c>
      <c r="Y199" s="521" t="e">
        <f t="shared" si="25"/>
        <v>#DIV/0!</v>
      </c>
      <c r="Z199" s="521" t="e">
        <f t="shared" si="25"/>
        <v>#DIV/0!</v>
      </c>
    </row>
    <row r="200" spans="1:27" ht="15.75" hidden="1" outlineLevel="1" x14ac:dyDescent="0.25">
      <c r="A200" s="494">
        <f>+A19</f>
        <v>0</v>
      </c>
      <c r="B200" s="494" t="s">
        <v>30</v>
      </c>
      <c r="C200" s="494">
        <f t="shared" si="23"/>
        <v>0</v>
      </c>
      <c r="D200" s="508">
        <f t="shared" si="23"/>
        <v>0</v>
      </c>
      <c r="E200" s="520"/>
      <c r="F200" s="520"/>
      <c r="G200" s="520"/>
      <c r="H200" s="520"/>
      <c r="I200" s="520"/>
      <c r="J200" s="410"/>
      <c r="K200" s="409" t="s">
        <v>5</v>
      </c>
      <c r="L200" s="496"/>
      <c r="M200" s="496"/>
      <c r="N200" s="496"/>
      <c r="O200" s="521" t="e">
        <f t="shared" ref="O200:Z200" si="26">+O19/SUM($O19:$Z19)</f>
        <v>#DIV/0!</v>
      </c>
      <c r="P200" s="521" t="e">
        <f t="shared" si="26"/>
        <v>#DIV/0!</v>
      </c>
      <c r="Q200" s="521" t="e">
        <f t="shared" si="26"/>
        <v>#DIV/0!</v>
      </c>
      <c r="R200" s="521" t="e">
        <f t="shared" si="26"/>
        <v>#DIV/0!</v>
      </c>
      <c r="S200" s="521" t="e">
        <f t="shared" si="26"/>
        <v>#DIV/0!</v>
      </c>
      <c r="T200" s="521" t="e">
        <f t="shared" si="26"/>
        <v>#DIV/0!</v>
      </c>
      <c r="U200" s="521" t="e">
        <f t="shared" si="26"/>
        <v>#DIV/0!</v>
      </c>
      <c r="V200" s="521" t="e">
        <f t="shared" si="26"/>
        <v>#DIV/0!</v>
      </c>
      <c r="W200" s="521" t="e">
        <f t="shared" si="26"/>
        <v>#DIV/0!</v>
      </c>
      <c r="X200" s="521" t="e">
        <f t="shared" si="26"/>
        <v>#DIV/0!</v>
      </c>
      <c r="Y200" s="521" t="e">
        <f t="shared" si="26"/>
        <v>#DIV/0!</v>
      </c>
      <c r="Z200" s="521" t="e">
        <f t="shared" si="26"/>
        <v>#DIV/0!</v>
      </c>
    </row>
    <row r="201" spans="1:27" ht="15.75" hidden="1" outlineLevel="1" x14ac:dyDescent="0.25">
      <c r="A201" s="494">
        <f>+A20</f>
        <v>0</v>
      </c>
      <c r="B201" s="494" t="s">
        <v>31</v>
      </c>
      <c r="C201" s="494">
        <f t="shared" si="23"/>
        <v>0</v>
      </c>
      <c r="D201" s="510">
        <f t="shared" si="23"/>
        <v>0</v>
      </c>
      <c r="E201" s="520"/>
      <c r="F201" s="520"/>
      <c r="G201" s="520"/>
      <c r="H201" s="520"/>
      <c r="I201" s="520"/>
      <c r="J201" s="410"/>
      <c r="K201" s="409" t="s">
        <v>5</v>
      </c>
      <c r="L201" s="496"/>
      <c r="M201" s="496"/>
      <c r="N201" s="496"/>
      <c r="O201" s="521" t="e">
        <f t="shared" ref="O201:Z201" si="27">+O20/SUM($O20:$Z20)</f>
        <v>#VALUE!</v>
      </c>
      <c r="P201" s="521" t="e">
        <f t="shared" si="27"/>
        <v>#DIV/0!</v>
      </c>
      <c r="Q201" s="521" t="e">
        <f t="shared" si="27"/>
        <v>#DIV/0!</v>
      </c>
      <c r="R201" s="521" t="e">
        <f t="shared" si="27"/>
        <v>#DIV/0!</v>
      </c>
      <c r="S201" s="521" t="e">
        <f t="shared" si="27"/>
        <v>#DIV/0!</v>
      </c>
      <c r="T201" s="521" t="e">
        <f t="shared" si="27"/>
        <v>#DIV/0!</v>
      </c>
      <c r="U201" s="521" t="e">
        <f t="shared" si="27"/>
        <v>#DIV/0!</v>
      </c>
      <c r="V201" s="521" t="e">
        <f t="shared" si="27"/>
        <v>#DIV/0!</v>
      </c>
      <c r="W201" s="521" t="e">
        <f t="shared" si="27"/>
        <v>#DIV/0!</v>
      </c>
      <c r="X201" s="521" t="e">
        <f t="shared" si="27"/>
        <v>#DIV/0!</v>
      </c>
      <c r="Y201" s="521" t="e">
        <f t="shared" si="27"/>
        <v>#DIV/0!</v>
      </c>
      <c r="Z201" s="521" t="e">
        <f t="shared" si="27"/>
        <v>#DIV/0!</v>
      </c>
    </row>
    <row r="202" spans="1:27" ht="15.75" hidden="1" outlineLevel="1" x14ac:dyDescent="0.25">
      <c r="A202" s="494">
        <f t="shared" ref="A202:A207" si="28">+A21</f>
        <v>0</v>
      </c>
      <c r="B202" s="494" t="s">
        <v>32</v>
      </c>
      <c r="C202" s="494">
        <f t="shared" si="23"/>
        <v>0</v>
      </c>
      <c r="D202" s="510">
        <f t="shared" si="23"/>
        <v>0</v>
      </c>
      <c r="E202" s="520"/>
      <c r="F202" s="520"/>
      <c r="G202" s="520"/>
      <c r="H202" s="520"/>
      <c r="I202" s="520"/>
      <c r="J202" s="410"/>
      <c r="K202" s="409"/>
      <c r="L202" s="496"/>
      <c r="M202" s="496"/>
      <c r="N202" s="496"/>
      <c r="O202" s="521" t="e">
        <f t="shared" ref="O202:Z202" si="29">+O21/SUM($O21:$Z21)</f>
        <v>#DIV/0!</v>
      </c>
      <c r="P202" s="521" t="e">
        <f t="shared" si="29"/>
        <v>#DIV/0!</v>
      </c>
      <c r="Q202" s="521" t="e">
        <f t="shared" si="29"/>
        <v>#DIV/0!</v>
      </c>
      <c r="R202" s="521" t="e">
        <f t="shared" si="29"/>
        <v>#DIV/0!</v>
      </c>
      <c r="S202" s="521" t="e">
        <f t="shared" si="29"/>
        <v>#DIV/0!</v>
      </c>
      <c r="T202" s="521" t="e">
        <f t="shared" si="29"/>
        <v>#DIV/0!</v>
      </c>
      <c r="U202" s="521" t="e">
        <f t="shared" si="29"/>
        <v>#DIV/0!</v>
      </c>
      <c r="V202" s="521" t="e">
        <f t="shared" si="29"/>
        <v>#DIV/0!</v>
      </c>
      <c r="W202" s="521" t="e">
        <f t="shared" si="29"/>
        <v>#DIV/0!</v>
      </c>
      <c r="X202" s="521" t="e">
        <f t="shared" si="29"/>
        <v>#DIV/0!</v>
      </c>
      <c r="Y202" s="521" t="e">
        <f t="shared" si="29"/>
        <v>#DIV/0!</v>
      </c>
      <c r="Z202" s="521" t="e">
        <f t="shared" si="29"/>
        <v>#DIV/0!</v>
      </c>
    </row>
    <row r="203" spans="1:27" ht="15.75" hidden="1" outlineLevel="1" x14ac:dyDescent="0.25">
      <c r="A203" s="494">
        <f t="shared" si="28"/>
        <v>0</v>
      </c>
      <c r="B203" s="494" t="s">
        <v>256</v>
      </c>
      <c r="C203" s="494">
        <f t="shared" si="23"/>
        <v>0</v>
      </c>
      <c r="D203" s="510">
        <f t="shared" si="23"/>
        <v>0</v>
      </c>
      <c r="E203" s="520"/>
      <c r="F203" s="520"/>
      <c r="G203" s="520"/>
      <c r="H203" s="520"/>
      <c r="I203" s="520"/>
      <c r="J203" s="410"/>
      <c r="K203" s="409"/>
      <c r="L203" s="496"/>
      <c r="M203" s="496"/>
      <c r="N203" s="496"/>
      <c r="O203" s="521" t="e">
        <f t="shared" ref="O203:Z203" si="30">+O22/SUM($O22:$Z22)</f>
        <v>#DIV/0!</v>
      </c>
      <c r="P203" s="521" t="e">
        <f t="shared" si="30"/>
        <v>#DIV/0!</v>
      </c>
      <c r="Q203" s="521" t="e">
        <f t="shared" si="30"/>
        <v>#DIV/0!</v>
      </c>
      <c r="R203" s="521" t="e">
        <f t="shared" si="30"/>
        <v>#DIV/0!</v>
      </c>
      <c r="S203" s="521" t="e">
        <f t="shared" si="30"/>
        <v>#DIV/0!</v>
      </c>
      <c r="T203" s="521" t="e">
        <f t="shared" si="30"/>
        <v>#DIV/0!</v>
      </c>
      <c r="U203" s="521" t="e">
        <f t="shared" si="30"/>
        <v>#DIV/0!</v>
      </c>
      <c r="V203" s="521" t="e">
        <f t="shared" si="30"/>
        <v>#DIV/0!</v>
      </c>
      <c r="W203" s="521" t="e">
        <f t="shared" si="30"/>
        <v>#DIV/0!</v>
      </c>
      <c r="X203" s="521" t="e">
        <f t="shared" si="30"/>
        <v>#DIV/0!</v>
      </c>
      <c r="Y203" s="521" t="e">
        <f t="shared" si="30"/>
        <v>#DIV/0!</v>
      </c>
      <c r="Z203" s="521" t="e">
        <f t="shared" si="30"/>
        <v>#DIV/0!</v>
      </c>
    </row>
    <row r="204" spans="1:27" ht="15.75" hidden="1" outlineLevel="1" x14ac:dyDescent="0.25">
      <c r="A204" s="494">
        <f t="shared" si="28"/>
        <v>0</v>
      </c>
      <c r="B204" s="494" t="s">
        <v>257</v>
      </c>
      <c r="C204" s="494">
        <f t="shared" si="23"/>
        <v>0</v>
      </c>
      <c r="D204" s="510">
        <f t="shared" si="23"/>
        <v>0</v>
      </c>
      <c r="E204" s="520"/>
      <c r="F204" s="520"/>
      <c r="G204" s="520"/>
      <c r="H204" s="520"/>
      <c r="I204" s="520"/>
      <c r="J204" s="410"/>
      <c r="K204" s="409"/>
      <c r="L204" s="496"/>
      <c r="M204" s="496"/>
      <c r="N204" s="496"/>
      <c r="O204" s="521" t="e">
        <f t="shared" ref="O204:Z204" si="31">+O23/SUM($O23:$Z23)</f>
        <v>#DIV/0!</v>
      </c>
      <c r="P204" s="521" t="e">
        <f t="shared" si="31"/>
        <v>#DIV/0!</v>
      </c>
      <c r="Q204" s="521" t="e">
        <f t="shared" si="31"/>
        <v>#DIV/0!</v>
      </c>
      <c r="R204" s="521" t="e">
        <f t="shared" si="31"/>
        <v>#DIV/0!</v>
      </c>
      <c r="S204" s="521" t="e">
        <f t="shared" si="31"/>
        <v>#DIV/0!</v>
      </c>
      <c r="T204" s="521" t="e">
        <f t="shared" si="31"/>
        <v>#DIV/0!</v>
      </c>
      <c r="U204" s="521" t="e">
        <f t="shared" si="31"/>
        <v>#DIV/0!</v>
      </c>
      <c r="V204" s="521" t="e">
        <f t="shared" si="31"/>
        <v>#DIV/0!</v>
      </c>
      <c r="W204" s="521" t="e">
        <f t="shared" si="31"/>
        <v>#DIV/0!</v>
      </c>
      <c r="X204" s="521" t="e">
        <f t="shared" si="31"/>
        <v>#DIV/0!</v>
      </c>
      <c r="Y204" s="521" t="e">
        <f t="shared" si="31"/>
        <v>#DIV/0!</v>
      </c>
      <c r="Z204" s="521" t="e">
        <f t="shared" si="31"/>
        <v>#DIV/0!</v>
      </c>
    </row>
    <row r="205" spans="1:27" ht="15.75" hidden="1" outlineLevel="1" x14ac:dyDescent="0.25">
      <c r="A205" s="494">
        <f t="shared" si="28"/>
        <v>0</v>
      </c>
      <c r="B205" s="494" t="s">
        <v>258</v>
      </c>
      <c r="C205" s="494">
        <f t="shared" si="23"/>
        <v>0</v>
      </c>
      <c r="D205" s="510">
        <f t="shared" si="23"/>
        <v>0</v>
      </c>
      <c r="E205" s="520"/>
      <c r="F205" s="520"/>
      <c r="G205" s="520"/>
      <c r="H205" s="520"/>
      <c r="I205" s="520"/>
      <c r="J205" s="410"/>
      <c r="K205" s="409"/>
      <c r="L205" s="496"/>
      <c r="M205" s="496"/>
      <c r="N205" s="496"/>
      <c r="O205" s="521" t="e">
        <f t="shared" ref="O205:Z205" si="32">+O24/SUM($O24:$Z24)</f>
        <v>#DIV/0!</v>
      </c>
      <c r="P205" s="521" t="e">
        <f t="shared" si="32"/>
        <v>#DIV/0!</v>
      </c>
      <c r="Q205" s="521" t="e">
        <f t="shared" si="32"/>
        <v>#DIV/0!</v>
      </c>
      <c r="R205" s="521" t="e">
        <f t="shared" si="32"/>
        <v>#DIV/0!</v>
      </c>
      <c r="S205" s="521" t="e">
        <f t="shared" si="32"/>
        <v>#DIV/0!</v>
      </c>
      <c r="T205" s="521" t="e">
        <f t="shared" si="32"/>
        <v>#DIV/0!</v>
      </c>
      <c r="U205" s="521" t="e">
        <f t="shared" si="32"/>
        <v>#DIV/0!</v>
      </c>
      <c r="V205" s="521" t="e">
        <f t="shared" si="32"/>
        <v>#DIV/0!</v>
      </c>
      <c r="W205" s="521" t="e">
        <f t="shared" si="32"/>
        <v>#DIV/0!</v>
      </c>
      <c r="X205" s="521" t="e">
        <f t="shared" si="32"/>
        <v>#DIV/0!</v>
      </c>
      <c r="Y205" s="521" t="e">
        <f t="shared" si="32"/>
        <v>#DIV/0!</v>
      </c>
      <c r="Z205" s="521" t="e">
        <f t="shared" si="32"/>
        <v>#DIV/0!</v>
      </c>
    </row>
    <row r="206" spans="1:27" ht="15.75" hidden="1" outlineLevel="1" x14ac:dyDescent="0.25">
      <c r="A206" s="494">
        <f t="shared" si="28"/>
        <v>0</v>
      </c>
      <c r="B206" s="494" t="s">
        <v>259</v>
      </c>
      <c r="C206" s="494">
        <f t="shared" si="23"/>
        <v>0</v>
      </c>
      <c r="D206" s="510">
        <f t="shared" si="23"/>
        <v>0</v>
      </c>
      <c r="E206" s="520"/>
      <c r="F206" s="520"/>
      <c r="G206" s="520"/>
      <c r="H206" s="520"/>
      <c r="I206" s="520"/>
      <c r="J206" s="410"/>
      <c r="K206" s="409"/>
      <c r="L206" s="496"/>
      <c r="M206" s="496"/>
      <c r="N206" s="496"/>
      <c r="O206" s="521" t="e">
        <f t="shared" ref="O206:Z206" si="33">+O25/SUM($O25:$Z25)</f>
        <v>#DIV/0!</v>
      </c>
      <c r="P206" s="521" t="e">
        <f t="shared" si="33"/>
        <v>#DIV/0!</v>
      </c>
      <c r="Q206" s="521" t="e">
        <f t="shared" si="33"/>
        <v>#DIV/0!</v>
      </c>
      <c r="R206" s="521" t="e">
        <f t="shared" si="33"/>
        <v>#DIV/0!</v>
      </c>
      <c r="S206" s="521" t="e">
        <f t="shared" si="33"/>
        <v>#DIV/0!</v>
      </c>
      <c r="T206" s="521" t="e">
        <f t="shared" si="33"/>
        <v>#DIV/0!</v>
      </c>
      <c r="U206" s="521" t="e">
        <f t="shared" si="33"/>
        <v>#DIV/0!</v>
      </c>
      <c r="V206" s="521" t="e">
        <f t="shared" si="33"/>
        <v>#DIV/0!</v>
      </c>
      <c r="W206" s="521" t="e">
        <f t="shared" si="33"/>
        <v>#DIV/0!</v>
      </c>
      <c r="X206" s="521" t="e">
        <f t="shared" si="33"/>
        <v>#DIV/0!</v>
      </c>
      <c r="Y206" s="521" t="e">
        <f t="shared" si="33"/>
        <v>#DIV/0!</v>
      </c>
      <c r="Z206" s="521" t="e">
        <f t="shared" si="33"/>
        <v>#DIV/0!</v>
      </c>
    </row>
    <row r="207" spans="1:27" ht="15.75" hidden="1" outlineLevel="1" x14ac:dyDescent="0.25">
      <c r="A207" s="494">
        <f t="shared" si="28"/>
        <v>0</v>
      </c>
      <c r="B207" s="494" t="s">
        <v>260</v>
      </c>
      <c r="C207" s="494">
        <f t="shared" si="23"/>
        <v>0</v>
      </c>
      <c r="D207" s="510">
        <f t="shared" si="23"/>
        <v>0</v>
      </c>
      <c r="E207" s="520"/>
      <c r="F207" s="520"/>
      <c r="G207" s="520"/>
      <c r="H207" s="520"/>
      <c r="I207" s="520"/>
      <c r="J207" s="410"/>
      <c r="K207" s="409" t="s">
        <v>5</v>
      </c>
      <c r="L207" s="496"/>
      <c r="M207" s="496"/>
      <c r="N207" s="496"/>
      <c r="O207" s="521" t="e">
        <f t="shared" ref="O207:Z207" si="34">+O26/SUM($O26:$Z26)</f>
        <v>#VALUE!</v>
      </c>
      <c r="P207" s="521" t="e">
        <f t="shared" si="34"/>
        <v>#DIV/0!</v>
      </c>
      <c r="Q207" s="521" t="e">
        <f t="shared" si="34"/>
        <v>#DIV/0!</v>
      </c>
      <c r="R207" s="521" t="e">
        <f t="shared" si="34"/>
        <v>#DIV/0!</v>
      </c>
      <c r="S207" s="521" t="e">
        <f t="shared" si="34"/>
        <v>#DIV/0!</v>
      </c>
      <c r="T207" s="521" t="e">
        <f t="shared" si="34"/>
        <v>#DIV/0!</v>
      </c>
      <c r="U207" s="521" t="e">
        <f t="shared" si="34"/>
        <v>#DIV/0!</v>
      </c>
      <c r="V207" s="521" t="e">
        <f t="shared" si="34"/>
        <v>#DIV/0!</v>
      </c>
      <c r="W207" s="521" t="e">
        <f t="shared" si="34"/>
        <v>#DIV/0!</v>
      </c>
      <c r="X207" s="521" t="e">
        <f t="shared" si="34"/>
        <v>#DIV/0!</v>
      </c>
      <c r="Y207" s="521" t="e">
        <f t="shared" si="34"/>
        <v>#DIV/0!</v>
      </c>
      <c r="Z207" s="521" t="e">
        <f t="shared" si="34"/>
        <v>#DIV/0!</v>
      </c>
    </row>
    <row r="208" spans="1:27" s="517" customFormat="1" ht="22.5" hidden="1" customHeight="1" outlineLevel="1" x14ac:dyDescent="0.25">
      <c r="A208" s="513"/>
      <c r="B208" s="514"/>
      <c r="C208" s="514"/>
      <c r="D208" s="514"/>
      <c r="E208" s="515"/>
      <c r="F208" s="515"/>
      <c r="G208" s="515"/>
      <c r="H208" s="515"/>
      <c r="I208" s="515"/>
      <c r="J208" s="516" t="s">
        <v>20</v>
      </c>
      <c r="K208" s="519"/>
      <c r="L208" s="404" t="s">
        <v>48</v>
      </c>
      <c r="M208" s="404" t="s">
        <v>55</v>
      </c>
      <c r="N208" s="522">
        <f>SUM(N198:N207)</f>
        <v>12</v>
      </c>
      <c r="O208" s="521">
        <f t="shared" ref="O208:Z208" si="35">+O27/SUM($O27:$Z27)</f>
        <v>4.4164037854889593E-2</v>
      </c>
      <c r="P208" s="521">
        <f t="shared" si="35"/>
        <v>0.13722397476340695</v>
      </c>
      <c r="Q208" s="521">
        <f t="shared" si="35"/>
        <v>0.28233438485804419</v>
      </c>
      <c r="R208" s="521">
        <f t="shared" si="35"/>
        <v>0.19873817034700317</v>
      </c>
      <c r="S208" s="521">
        <f t="shared" si="35"/>
        <v>9.1482649842271294E-2</v>
      </c>
      <c r="T208" s="521">
        <f t="shared" si="35"/>
        <v>9.1482649842271294E-2</v>
      </c>
      <c r="U208" s="521">
        <f t="shared" si="35"/>
        <v>9.1482649842271294E-2</v>
      </c>
      <c r="V208" s="521">
        <f t="shared" si="35"/>
        <v>1.2618296529968454E-2</v>
      </c>
      <c r="W208" s="521">
        <f t="shared" si="35"/>
        <v>1.2618296529968454E-2</v>
      </c>
      <c r="X208" s="521">
        <f t="shared" si="35"/>
        <v>1.2618296529968454E-2</v>
      </c>
      <c r="Y208" s="521">
        <f t="shared" si="35"/>
        <v>1.2618296529968454E-2</v>
      </c>
      <c r="Z208" s="521">
        <f t="shared" si="35"/>
        <v>1.2618296529968454E-2</v>
      </c>
    </row>
    <row r="209" spans="1:3" collapsed="1" x14ac:dyDescent="0.25"/>
    <row r="210" spans="1:3" x14ac:dyDescent="0.25">
      <c r="B210" s="523" t="s">
        <v>21</v>
      </c>
      <c r="C210" s="524">
        <v>43102</v>
      </c>
    </row>
    <row r="211" spans="1:3" x14ac:dyDescent="0.25">
      <c r="B211" s="523" t="s">
        <v>23</v>
      </c>
      <c r="C211" s="524">
        <v>42917</v>
      </c>
    </row>
    <row r="213" spans="1:3" ht="18.75" x14ac:dyDescent="0.25">
      <c r="A213" s="527" t="s">
        <v>262</v>
      </c>
    </row>
    <row r="214" spans="1:3" ht="18.75" x14ac:dyDescent="0.25">
      <c r="A214" s="528" t="s">
        <v>1398</v>
      </c>
      <c r="B214" s="529"/>
    </row>
    <row r="215" spans="1:3" ht="18.75" x14ac:dyDescent="0.25">
      <c r="A215" s="528" t="s">
        <v>323</v>
      </c>
      <c r="B215" s="529"/>
    </row>
    <row r="217" spans="1:3" ht="18.75" x14ac:dyDescent="0.25">
      <c r="A217" s="529" t="s">
        <v>1399</v>
      </c>
      <c r="B217" s="530" t="s">
        <v>288</v>
      </c>
      <c r="C217" s="530" t="s">
        <v>320</v>
      </c>
    </row>
    <row r="218" spans="1:3" ht="37.5" x14ac:dyDescent="0.25">
      <c r="A218" s="531" t="s">
        <v>310</v>
      </c>
      <c r="B218" s="530" t="s">
        <v>289</v>
      </c>
      <c r="C218" s="530" t="s">
        <v>321</v>
      </c>
    </row>
    <row r="219" spans="1:3" ht="56.25" x14ac:dyDescent="0.25">
      <c r="A219" s="531" t="s">
        <v>311</v>
      </c>
      <c r="B219" s="530" t="s">
        <v>290</v>
      </c>
      <c r="C219" s="530" t="s">
        <v>319</v>
      </c>
    </row>
    <row r="220" spans="1:3" ht="37.5" x14ac:dyDescent="0.25">
      <c r="A220" s="531" t="s">
        <v>312</v>
      </c>
      <c r="B220" s="530" t="s">
        <v>291</v>
      </c>
      <c r="C220" s="530" t="s">
        <v>322</v>
      </c>
    </row>
    <row r="221" spans="1:3" ht="56.25" x14ac:dyDescent="0.25">
      <c r="A221" s="531" t="s">
        <v>313</v>
      </c>
      <c r="B221" s="530" t="s">
        <v>292</v>
      </c>
      <c r="C221" s="530" t="s">
        <v>327</v>
      </c>
    </row>
    <row r="222" spans="1:3" ht="37.5" x14ac:dyDescent="0.25">
      <c r="A222" s="531" t="s">
        <v>314</v>
      </c>
      <c r="B222" s="530" t="s">
        <v>293</v>
      </c>
      <c r="C222" s="530" t="s">
        <v>317</v>
      </c>
    </row>
    <row r="223" spans="1:3" ht="56.25" x14ac:dyDescent="0.25">
      <c r="A223" s="531" t="s">
        <v>315</v>
      </c>
      <c r="B223" s="530" t="s">
        <v>296</v>
      </c>
      <c r="C223" s="530" t="s">
        <v>318</v>
      </c>
    </row>
    <row r="225" spans="1:2" ht="75" x14ac:dyDescent="0.25">
      <c r="A225" s="532" t="s">
        <v>301</v>
      </c>
      <c r="B225" s="529" t="s">
        <v>1400</v>
      </c>
    </row>
    <row r="227" spans="1:2" ht="56.25" x14ac:dyDescent="0.25">
      <c r="A227" s="532" t="s">
        <v>303</v>
      </c>
      <c r="B227" s="529" t="s">
        <v>1401</v>
      </c>
    </row>
    <row r="228" spans="1:2" ht="18.75" x14ac:dyDescent="0.25">
      <c r="A228" s="529"/>
    </row>
    <row r="229" spans="1:2" ht="56.25" x14ac:dyDescent="0.25">
      <c r="A229" s="532" t="s">
        <v>304</v>
      </c>
      <c r="B229" s="449" t="s">
        <v>1402</v>
      </c>
    </row>
    <row r="230" spans="1:2" ht="18.75" x14ac:dyDescent="0.25">
      <c r="A230" s="529"/>
    </row>
    <row r="231" spans="1:2" ht="37.5" x14ac:dyDescent="0.25">
      <c r="A231" s="529" t="s">
        <v>308</v>
      </c>
      <c r="B231" s="529" t="s">
        <v>1403</v>
      </c>
    </row>
  </sheetData>
  <mergeCells count="50">
    <mergeCell ref="E38:K38"/>
    <mergeCell ref="E32:K32"/>
    <mergeCell ref="E33:K33"/>
    <mergeCell ref="E34:K34"/>
    <mergeCell ref="E35:K35"/>
    <mergeCell ref="E36:K36"/>
    <mergeCell ref="E52:K52"/>
    <mergeCell ref="E39:K39"/>
    <mergeCell ref="E40:K40"/>
    <mergeCell ref="E41:K41"/>
    <mergeCell ref="E42:K42"/>
    <mergeCell ref="E44:K44"/>
    <mergeCell ref="E45:K45"/>
    <mergeCell ref="E46:K46"/>
    <mergeCell ref="E47:K47"/>
    <mergeCell ref="E48:K48"/>
    <mergeCell ref="E50:K50"/>
    <mergeCell ref="E51:K51"/>
    <mergeCell ref="E66:K66"/>
    <mergeCell ref="E53:K53"/>
    <mergeCell ref="E54:K54"/>
    <mergeCell ref="E56:K56"/>
    <mergeCell ref="E57:K57"/>
    <mergeCell ref="E58:K58"/>
    <mergeCell ref="E59:K59"/>
    <mergeCell ref="E60:K60"/>
    <mergeCell ref="E62:K62"/>
    <mergeCell ref="E63:K63"/>
    <mergeCell ref="E64:K64"/>
    <mergeCell ref="E65:K65"/>
    <mergeCell ref="E81:K81"/>
    <mergeCell ref="E68:K68"/>
    <mergeCell ref="E69:K69"/>
    <mergeCell ref="E70:K70"/>
    <mergeCell ref="E71:K71"/>
    <mergeCell ref="E72:K72"/>
    <mergeCell ref="E74:K74"/>
    <mergeCell ref="E75:K75"/>
    <mergeCell ref="E76:K76"/>
    <mergeCell ref="E77:K77"/>
    <mergeCell ref="E78:K78"/>
    <mergeCell ref="E80:K80"/>
    <mergeCell ref="E89:K89"/>
    <mergeCell ref="E90:K90"/>
    <mergeCell ref="E82:K82"/>
    <mergeCell ref="E83:K83"/>
    <mergeCell ref="E84:K84"/>
    <mergeCell ref="E86:K86"/>
    <mergeCell ref="E87:K87"/>
    <mergeCell ref="E88:K88"/>
  </mergeCells>
  <dataValidations count="5">
    <dataValidation type="list" allowBlank="1" showInputMessage="1" showErrorMessage="1" sqref="F134 F189:F193 F182:F186 F175:F179 F168:F172 F161:F165 F154:F158 F138:F151">
      <formula1>$A$3:$A$9</formula1>
    </dataValidation>
    <dataValidation type="list" allowBlank="1" showInputMessage="1" showErrorMessage="1" sqref="M198:M208 L198:L207 H182:K185 H175:K178 H168:K171 H161:K164 H158:J158 I138:K150 H165:I165 I151:J151 H138:H151 H154:K157 H172:J172 H179:J179 H186:J186 H193:J193 H189:K192">
      <formula1>$C$3:$C$15</formula1>
    </dataValidation>
    <dataValidation type="list" allowBlank="1" showInputMessage="1" showErrorMessage="1" sqref="L27 L17:L19">
      <formula1>$D$4:$D$15</formula1>
    </dataValidation>
    <dataValidation type="list" allowBlank="1" showInputMessage="1" showErrorMessage="1" sqref="J165 L208 J104:J119">
      <formula1>$C$3:$C$14</formula1>
    </dataValidation>
    <dataValidation type="list" allowBlank="1" showInputMessage="1" showErrorMessage="1" sqref="L38:L42 L44:L48 L50:L54 L56:L60 L62:L66 L68:L72 L74:L78 L80:L84 L86:L90">
      <formula1>$G$2:$G$8</formula1>
    </dataValidation>
  </dataValidations>
  <pageMargins left="0.7" right="0.7" top="0.75" bottom="0.75" header="0.3" footer="0.3"/>
  <pageSetup paperSize="17" scale="35"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Presupuestos/2018/Ingeniería/[1002-40303-PS-SOA-0001_Total Eng.xlsx]Lists'!#REF!</xm:f>
          </x14:formula1>
          <xm:sqref>L138:M150 L154:M157 L161:M164 L168:M171 L175:M178 L182:M185 L189:M192 B8 N198:N207 L32:L36 H95:K103 H123:M134 F123:F133 L95:L119 F95:F119 H104:I119 K104:K119</xm:sqref>
        </x14:dataValidation>
        <x14:dataValidation type="list" allowBlank="1" showInputMessage="1" showErrorMessage="1">
          <x14:formula1>
            <xm:f>'https://nuevaunionspa-my.sharepoint.com/personal/gineva_alcota_nuevaunion_cl/Documents/40300 Cost Control/40303 Presupuestos/2018/Ingeniería/[1002-40303-PS-SOA-0001_Total Eng.xlsx]CCs &amp; Accounts'!#REF!</xm:f>
          </x14:formula1>
          <xm:sqref>E17:E26 E123:E134 E154:E158 E161:E165 E168:E172 E175:E179 E182:E186 E189:E193 E138:E151 E95:E119</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pageSetUpPr fitToPage="1"/>
  </sheetPr>
  <dimension ref="A1:AA214"/>
  <sheetViews>
    <sheetView showGridLines="0" topLeftCell="A13" zoomScale="60" zoomScaleNormal="60" zoomScalePageLayoutView="60" workbookViewId="0">
      <selection activeCell="A98" sqref="A98"/>
    </sheetView>
  </sheetViews>
  <sheetFormatPr baseColWidth="10" defaultColWidth="11.42578125" defaultRowHeight="14.25" outlineLevelRow="1" outlineLevelCol="1" x14ac:dyDescent="0.25"/>
  <cols>
    <col min="1" max="1" width="26.5703125" style="9" customWidth="1"/>
    <col min="2" max="2" width="32" style="9" customWidth="1"/>
    <col min="3" max="3" width="43.7109375" style="9" customWidth="1"/>
    <col min="4" max="4" width="79.42578125" style="9" customWidth="1"/>
    <col min="5" max="5" width="17.5703125" style="9" hidden="1" customWidth="1"/>
    <col min="6" max="6" width="23" style="9" hidden="1" customWidth="1"/>
    <col min="7" max="8" width="17.5703125" style="9" hidden="1" customWidth="1"/>
    <col min="9" max="10" width="11.5703125" style="9" hidden="1" customWidth="1"/>
    <col min="11" max="11" width="17.5703125" style="9" hidden="1" customWidth="1"/>
    <col min="12" max="13" width="17.7109375" style="9" hidden="1"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162</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VLOOKUP(B8,Lists!E2:G41,3,)</f>
        <v>685 Engineering</v>
      </c>
      <c r="C10" s="84"/>
      <c r="D10" s="77" t="str">
        <f>VLOOKUP(B8,Lists!$E$3:$F$41,2,)</f>
        <v>Walter Droppelmann</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c r="B17" s="93" t="s">
        <v>27</v>
      </c>
      <c r="C17" s="93" t="s">
        <v>162</v>
      </c>
      <c r="D17" s="10"/>
      <c r="E17" s="11" t="s">
        <v>232</v>
      </c>
      <c r="F17" s="48"/>
      <c r="G17" s="48"/>
      <c r="H17" s="48"/>
      <c r="I17" s="48"/>
      <c r="J17" s="48"/>
      <c r="K17" s="48"/>
      <c r="L17" s="11">
        <v>6</v>
      </c>
      <c r="M17" s="53">
        <f>+M103</f>
        <v>12</v>
      </c>
      <c r="N17" s="11">
        <f>SUM(O17:Z17)</f>
        <v>744500</v>
      </c>
      <c r="O17" s="52">
        <f t="shared" ref="O17:Z17" si="0">+O103</f>
        <v>581500</v>
      </c>
      <c r="P17" s="52">
        <f t="shared" si="0"/>
        <v>81500</v>
      </c>
      <c r="Q17" s="52">
        <f t="shared" si="0"/>
        <v>81500</v>
      </c>
      <c r="R17" s="52">
        <f t="shared" si="0"/>
        <v>0</v>
      </c>
      <c r="S17" s="52">
        <f t="shared" si="0"/>
        <v>0</v>
      </c>
      <c r="T17" s="52">
        <f t="shared" si="0"/>
        <v>0</v>
      </c>
      <c r="U17" s="52">
        <f t="shared" si="0"/>
        <v>0</v>
      </c>
      <c r="V17" s="52">
        <f t="shared" si="0"/>
        <v>0</v>
      </c>
      <c r="W17" s="52">
        <f t="shared" si="0"/>
        <v>0</v>
      </c>
      <c r="X17" s="52">
        <f t="shared" si="0"/>
        <v>0</v>
      </c>
      <c r="Y17" s="52">
        <f t="shared" si="0"/>
        <v>0</v>
      </c>
      <c r="Z17" s="52">
        <f t="shared" si="0"/>
        <v>0</v>
      </c>
    </row>
    <row r="18" spans="1:26" ht="15" x14ac:dyDescent="0.25">
      <c r="A18" s="93"/>
      <c r="B18" s="93"/>
      <c r="C18" s="93"/>
      <c r="D18" s="10"/>
      <c r="E18" s="11"/>
      <c r="F18" s="48"/>
      <c r="G18" s="48"/>
      <c r="H18" s="48"/>
      <c r="I18" s="48"/>
      <c r="J18" s="48"/>
      <c r="K18" s="48"/>
      <c r="L18" s="11"/>
      <c r="M18" s="53"/>
      <c r="N18" s="11"/>
      <c r="O18" s="52"/>
      <c r="P18" s="52"/>
      <c r="Q18" s="52"/>
      <c r="R18" s="52"/>
      <c r="S18" s="52"/>
      <c r="T18" s="52"/>
      <c r="U18" s="52"/>
      <c r="V18" s="52"/>
      <c r="W18" s="52"/>
      <c r="X18" s="52"/>
      <c r="Y18" s="52"/>
      <c r="Z18" s="52"/>
    </row>
    <row r="19" spans="1:26" ht="15" x14ac:dyDescent="0.25">
      <c r="A19" s="93"/>
      <c r="B19" s="93"/>
      <c r="C19" s="93"/>
      <c r="D19" s="10"/>
      <c r="E19" s="11"/>
      <c r="F19" s="48"/>
      <c r="G19" s="48"/>
      <c r="H19" s="48"/>
      <c r="I19" s="48"/>
      <c r="J19" s="48"/>
      <c r="K19" s="48"/>
      <c r="L19" s="11"/>
      <c r="M19" s="53"/>
      <c r="N19" s="11"/>
      <c r="O19" s="52"/>
      <c r="P19" s="52"/>
      <c r="Q19" s="52"/>
      <c r="R19" s="52"/>
      <c r="S19" s="52"/>
      <c r="T19" s="52"/>
      <c r="U19" s="52"/>
      <c r="V19" s="52"/>
      <c r="W19" s="52"/>
      <c r="X19" s="52"/>
      <c r="Y19" s="52"/>
      <c r="Z19" s="52"/>
    </row>
    <row r="20" spans="1:26" ht="15" x14ac:dyDescent="0.25">
      <c r="A20" s="93"/>
      <c r="B20" s="93"/>
      <c r="C20" s="93"/>
      <c r="D20" s="10"/>
      <c r="E20" s="11"/>
      <c r="F20" s="48"/>
      <c r="G20" s="48"/>
      <c r="H20" s="48"/>
      <c r="I20" s="48"/>
      <c r="J20" s="48"/>
      <c r="K20" s="48"/>
      <c r="L20" s="11"/>
      <c r="M20" s="48"/>
      <c r="N20" s="12"/>
      <c r="O20" s="12"/>
      <c r="P20" s="12"/>
      <c r="Q20" s="12"/>
      <c r="R20" s="12"/>
      <c r="S20" s="12"/>
      <c r="T20" s="12"/>
      <c r="U20" s="12"/>
      <c r="V20" s="12"/>
      <c r="W20" s="12"/>
      <c r="X20" s="12"/>
      <c r="Y20" s="12"/>
      <c r="Z20" s="12"/>
    </row>
    <row r="21" spans="1:26" ht="15"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12</v>
      </c>
      <c r="N27" s="32">
        <f>SUM(N16:N26)</f>
        <v>744500</v>
      </c>
      <c r="O27" s="32">
        <f>SUM(O17:O26)</f>
        <v>581500</v>
      </c>
      <c r="P27" s="32">
        <f t="shared" ref="P27:Z27" si="1">SUM(P17:P26)</f>
        <v>81500</v>
      </c>
      <c r="Q27" s="32">
        <f t="shared" si="1"/>
        <v>81500</v>
      </c>
      <c r="R27" s="32">
        <f t="shared" si="1"/>
        <v>0</v>
      </c>
      <c r="S27" s="32">
        <f t="shared" si="1"/>
        <v>0</v>
      </c>
      <c r="T27" s="32">
        <f t="shared" si="1"/>
        <v>0</v>
      </c>
      <c r="U27" s="32">
        <f t="shared" si="1"/>
        <v>0</v>
      </c>
      <c r="V27" s="32">
        <f t="shared" si="1"/>
        <v>0</v>
      </c>
      <c r="W27" s="32">
        <f t="shared" si="1"/>
        <v>0</v>
      </c>
      <c r="X27" s="32">
        <f t="shared" si="1"/>
        <v>0</v>
      </c>
      <c r="Y27" s="32">
        <f t="shared" si="1"/>
        <v>0</v>
      </c>
      <c r="Z27" s="32">
        <f t="shared" si="1"/>
        <v>0</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Objective 1 Drilling</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28.5" x14ac:dyDescent="0.25">
      <c r="A32" s="93"/>
      <c r="B32" s="7" t="s">
        <v>34</v>
      </c>
      <c r="C32" s="7" t="s">
        <v>251</v>
      </c>
      <c r="D32" s="10" t="s">
        <v>252</v>
      </c>
      <c r="E32" s="1001"/>
      <c r="F32" s="1001"/>
      <c r="G32" s="1001"/>
      <c r="H32" s="1001"/>
      <c r="I32" s="1001"/>
      <c r="J32" s="1001"/>
      <c r="K32" s="1002"/>
      <c r="L32" s="11" t="s">
        <v>60</v>
      </c>
      <c r="M32" s="48"/>
      <c r="N32" s="12"/>
      <c r="O32" s="12" t="s">
        <v>5</v>
      </c>
      <c r="P32" s="12"/>
      <c r="Q32" s="12"/>
      <c r="R32" s="12"/>
      <c r="S32" s="12"/>
      <c r="T32" s="12"/>
      <c r="U32" s="12"/>
      <c r="V32" s="12"/>
      <c r="W32" s="12"/>
      <c r="X32" s="12"/>
      <c r="Y32" s="12"/>
      <c r="Z32" s="12"/>
    </row>
    <row r="33" spans="1:26" ht="15" x14ac:dyDescent="0.25">
      <c r="A33" s="93"/>
      <c r="B33" s="7"/>
      <c r="C33" s="7"/>
      <c r="D33" s="10"/>
      <c r="E33" s="1001"/>
      <c r="F33" s="1001"/>
      <c r="G33" s="1001"/>
      <c r="H33" s="1001"/>
      <c r="I33" s="1001"/>
      <c r="J33" s="1001"/>
      <c r="K33" s="1002"/>
      <c r="L33" s="11"/>
      <c r="M33" s="48"/>
      <c r="N33" s="12"/>
      <c r="O33" s="12" t="s">
        <v>5</v>
      </c>
      <c r="P33" s="12"/>
      <c r="Q33" s="12"/>
      <c r="R33" s="12"/>
      <c r="S33" s="12"/>
      <c r="T33" s="12"/>
      <c r="U33" s="12"/>
      <c r="V33" s="12"/>
      <c r="W33" s="12"/>
      <c r="X33" s="12"/>
      <c r="Y33" s="12"/>
      <c r="Z33" s="12"/>
    </row>
    <row r="34" spans="1:26" ht="15" hidden="1" x14ac:dyDescent="0.25">
      <c r="A34" s="93"/>
      <c r="B34" s="7"/>
      <c r="C34" s="7"/>
      <c r="D34" s="10"/>
      <c r="E34" s="1001" t="s">
        <v>5</v>
      </c>
      <c r="F34" s="1001" t="s">
        <v>5</v>
      </c>
      <c r="G34" s="1001" t="s">
        <v>5</v>
      </c>
      <c r="H34" s="1001"/>
      <c r="I34" s="1001"/>
      <c r="J34" s="1001"/>
      <c r="K34" s="1002" t="s">
        <v>5</v>
      </c>
      <c r="L34" s="11"/>
      <c r="M34" s="48"/>
      <c r="N34" s="12"/>
      <c r="O34" s="12" t="s">
        <v>5</v>
      </c>
      <c r="P34" s="12"/>
      <c r="Q34" s="12"/>
      <c r="R34" s="12"/>
      <c r="S34" s="12"/>
      <c r="T34" s="12"/>
      <c r="U34" s="12"/>
      <c r="V34" s="12"/>
      <c r="W34" s="12"/>
      <c r="X34" s="12"/>
      <c r="Y34" s="12"/>
      <c r="Z34" s="12"/>
    </row>
    <row r="35" spans="1:26" ht="15" hidden="1"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5" hidden="1" x14ac:dyDescent="0.25">
      <c r="A36" s="93"/>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8" x14ac:dyDescent="0.25">
      <c r="A37" s="30"/>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28.5" x14ac:dyDescent="0.25">
      <c r="A38" s="93"/>
      <c r="B38" s="7" t="s">
        <v>36</v>
      </c>
      <c r="C38" s="7" t="s">
        <v>254</v>
      </c>
      <c r="D38" s="10" t="s">
        <v>255</v>
      </c>
      <c r="E38" s="1001"/>
      <c r="F38" s="1001"/>
      <c r="G38" s="1001"/>
      <c r="H38" s="1001"/>
      <c r="I38" s="1001"/>
      <c r="J38" s="1001"/>
      <c r="K38" s="1002"/>
      <c r="L38" s="11" t="s">
        <v>60</v>
      </c>
      <c r="M38" s="48"/>
      <c r="N38" s="12"/>
      <c r="O38" s="12" t="s">
        <v>5</v>
      </c>
      <c r="P38" s="12"/>
      <c r="Q38" s="12"/>
      <c r="R38" s="12"/>
      <c r="S38" s="12"/>
      <c r="T38" s="12"/>
      <c r="U38" s="12"/>
      <c r="V38" s="12"/>
      <c r="W38" s="12"/>
      <c r="X38" s="12"/>
      <c r="Y38" s="12"/>
      <c r="Z38" s="12"/>
    </row>
    <row r="39" spans="1:26" ht="15" hidden="1" x14ac:dyDescent="0.25">
      <c r="A39" s="93"/>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5" hidden="1" x14ac:dyDescent="0.25">
      <c r="A40" s="93"/>
      <c r="B40" s="7"/>
      <c r="C40" s="7"/>
      <c r="D40" s="10"/>
      <c r="E40" s="1001" t="s">
        <v>5</v>
      </c>
      <c r="F40" s="1001" t="s">
        <v>5</v>
      </c>
      <c r="G40" s="1001" t="s">
        <v>5</v>
      </c>
      <c r="H40" s="1001"/>
      <c r="I40" s="1001"/>
      <c r="J40" s="1001"/>
      <c r="K40" s="1002" t="s">
        <v>5</v>
      </c>
      <c r="L40" s="11"/>
      <c r="M40" s="48"/>
      <c r="N40" s="12"/>
      <c r="O40" s="12" t="s">
        <v>5</v>
      </c>
      <c r="P40" s="12"/>
      <c r="Q40" s="12"/>
      <c r="R40" s="12"/>
      <c r="S40" s="12"/>
      <c r="T40" s="12"/>
      <c r="U40" s="12"/>
      <c r="V40" s="12"/>
      <c r="W40" s="12"/>
      <c r="X40" s="12"/>
      <c r="Y40" s="12"/>
      <c r="Z40" s="12"/>
    </row>
    <row r="41" spans="1:26" ht="15" hidden="1" x14ac:dyDescent="0.25">
      <c r="A41" s="93"/>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x14ac:dyDescent="0.25">
      <c r="A42" s="93"/>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hidden="1" x14ac:dyDescent="0.25">
      <c r="A43" s="30"/>
      <c r="B43" s="30"/>
      <c r="C43" s="31"/>
      <c r="D43" s="31"/>
      <c r="E43" s="29"/>
      <c r="F43" s="29"/>
      <c r="G43" s="29"/>
      <c r="H43" s="29"/>
      <c r="I43" s="29"/>
      <c r="J43" s="29"/>
      <c r="K43" s="29"/>
      <c r="L43" s="29"/>
      <c r="M43" s="29"/>
      <c r="N43" s="29"/>
      <c r="O43" s="29" t="s">
        <v>5</v>
      </c>
      <c r="P43" s="29"/>
      <c r="Q43" s="29"/>
      <c r="R43" s="29"/>
      <c r="S43" s="29"/>
      <c r="T43" s="29"/>
      <c r="U43" s="29"/>
      <c r="V43" s="29"/>
      <c r="W43" s="29"/>
      <c r="X43" s="29"/>
      <c r="Y43" s="29"/>
      <c r="Z43" s="29"/>
    </row>
    <row r="44" spans="1:26" ht="15" hidden="1" x14ac:dyDescent="0.25">
      <c r="A44" s="93"/>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x14ac:dyDescent="0.25">
      <c r="A45" s="93"/>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5" hidden="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5" hidden="1" x14ac:dyDescent="0.25">
      <c r="A47" s="93"/>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hidden="1" outlineLevel="1" x14ac:dyDescent="0.25">
      <c r="A49" s="30"/>
      <c r="B49" s="30"/>
      <c r="C49" s="31"/>
      <c r="D49" s="31"/>
      <c r="E49" s="29"/>
      <c r="F49" s="29"/>
      <c r="G49" s="29"/>
      <c r="H49" s="29"/>
      <c r="I49" s="29"/>
      <c r="J49" s="29"/>
      <c r="K49" s="29"/>
      <c r="L49" s="29"/>
      <c r="M49" s="29"/>
      <c r="N49" s="29"/>
      <c r="O49" s="29" t="s">
        <v>5</v>
      </c>
      <c r="P49" s="29"/>
      <c r="Q49" s="29"/>
      <c r="R49" s="29"/>
      <c r="S49" s="29"/>
      <c r="T49" s="29"/>
      <c r="U49" s="29"/>
      <c r="V49" s="29"/>
      <c r="W49" s="29"/>
      <c r="X49" s="29"/>
      <c r="Y49" s="29"/>
      <c r="Z49" s="29"/>
    </row>
    <row r="50" spans="1:26" ht="15" hidden="1" outlineLevel="1" x14ac:dyDescent="0.25">
      <c r="A50" s="93"/>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hidden="1"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collapsed="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Objective 1 Drilling</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60"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36.6" customHeight="1" x14ac:dyDescent="0.25">
      <c r="A95" s="93" t="s">
        <v>2103</v>
      </c>
      <c r="B95" s="93"/>
      <c r="C95" s="93" t="s">
        <v>465</v>
      </c>
      <c r="D95" s="134"/>
      <c r="E95" s="11"/>
      <c r="F95" s="11" t="s">
        <v>288</v>
      </c>
      <c r="G95" s="11" t="s">
        <v>466</v>
      </c>
      <c r="H95" s="136"/>
      <c r="I95" s="11"/>
      <c r="J95" s="11"/>
      <c r="K95" s="11"/>
      <c r="L95" s="11"/>
      <c r="M95" s="11">
        <v>12</v>
      </c>
      <c r="N95" s="137">
        <f t="shared" ref="N95:N102" si="2">SUM(O95:Z95)</f>
        <v>180000</v>
      </c>
      <c r="O95" s="11">
        <v>60000</v>
      </c>
      <c r="P95" s="11">
        <v>60000</v>
      </c>
      <c r="Q95" s="11">
        <v>60000</v>
      </c>
      <c r="R95" s="11"/>
      <c r="S95" s="11"/>
      <c r="T95" s="11"/>
      <c r="U95" s="11"/>
      <c r="V95" s="11"/>
      <c r="W95" s="11"/>
      <c r="X95" s="11"/>
      <c r="Y95" s="11"/>
      <c r="Z95" s="11"/>
    </row>
    <row r="96" spans="1:26" ht="15" x14ac:dyDescent="0.25">
      <c r="A96" s="93" t="s">
        <v>2104</v>
      </c>
      <c r="B96" s="93"/>
      <c r="C96" s="93" t="s">
        <v>469</v>
      </c>
      <c r="D96" s="134"/>
      <c r="E96" s="11"/>
      <c r="F96" s="11"/>
      <c r="G96" s="11" t="s">
        <v>467</v>
      </c>
      <c r="H96" s="11"/>
      <c r="I96" s="11"/>
      <c r="J96" s="11"/>
      <c r="K96" s="11"/>
      <c r="L96" s="11"/>
      <c r="M96" s="11"/>
      <c r="N96" s="137">
        <f t="shared" si="2"/>
        <v>60000</v>
      </c>
      <c r="O96" s="11">
        <v>20000</v>
      </c>
      <c r="P96" s="11">
        <v>20000</v>
      </c>
      <c r="Q96" s="11">
        <v>20000</v>
      </c>
      <c r="R96" s="11"/>
      <c r="S96" s="11"/>
      <c r="T96" s="11"/>
      <c r="U96" s="11"/>
      <c r="V96" s="11"/>
      <c r="W96" s="11"/>
      <c r="X96" s="11"/>
      <c r="Y96" s="11"/>
      <c r="Z96" s="11"/>
    </row>
    <row r="97" spans="1:26" ht="45" x14ac:dyDescent="0.25">
      <c r="A97" s="93" t="s">
        <v>2105</v>
      </c>
      <c r="B97" s="93"/>
      <c r="C97" s="93" t="s">
        <v>468</v>
      </c>
      <c r="D97" s="134"/>
      <c r="E97" s="11"/>
      <c r="F97" s="11"/>
      <c r="G97" s="11" t="s">
        <v>41</v>
      </c>
      <c r="H97" s="11"/>
      <c r="I97" s="11"/>
      <c r="J97" s="11"/>
      <c r="K97" s="11"/>
      <c r="L97" s="11"/>
      <c r="M97" s="11"/>
      <c r="N97" s="137">
        <f t="shared" si="2"/>
        <v>4500</v>
      </c>
      <c r="O97" s="11">
        <v>1500</v>
      </c>
      <c r="P97" s="11">
        <v>1500</v>
      </c>
      <c r="Q97" s="11">
        <v>1500</v>
      </c>
      <c r="R97" s="11"/>
      <c r="S97" s="11"/>
      <c r="T97" s="11"/>
      <c r="U97" s="11"/>
      <c r="V97" s="11"/>
      <c r="W97" s="11"/>
      <c r="X97" s="11"/>
      <c r="Y97" s="11"/>
      <c r="Z97" s="11"/>
    </row>
    <row r="98" spans="1:26" ht="15" x14ac:dyDescent="0.25">
      <c r="A98" s="93" t="s">
        <v>2106</v>
      </c>
      <c r="B98" s="93"/>
      <c r="C98" s="93" t="s">
        <v>471</v>
      </c>
      <c r="D98" s="134"/>
      <c r="E98" s="11"/>
      <c r="F98" s="11"/>
      <c r="G98" s="11" t="s">
        <v>470</v>
      </c>
      <c r="H98" s="11"/>
      <c r="I98" s="11"/>
      <c r="J98" s="11"/>
      <c r="K98" s="11"/>
      <c r="L98" s="11"/>
      <c r="M98" s="11"/>
      <c r="N98" s="137">
        <f t="shared" si="2"/>
        <v>500000</v>
      </c>
      <c r="O98" s="11">
        <v>500000</v>
      </c>
      <c r="P98" s="11"/>
      <c r="Q98" s="11"/>
      <c r="R98" s="11"/>
      <c r="S98" s="11"/>
      <c r="T98" s="11"/>
      <c r="U98" s="11"/>
      <c r="V98" s="11"/>
      <c r="W98" s="11"/>
      <c r="X98" s="11"/>
      <c r="Y98" s="11"/>
      <c r="Z98" s="11"/>
    </row>
    <row r="99" spans="1:26" ht="15" x14ac:dyDescent="0.25">
      <c r="A99" s="93"/>
      <c r="B99" s="93"/>
      <c r="C99" s="93"/>
      <c r="D99" s="134"/>
      <c r="E99" s="11"/>
      <c r="F99" s="11"/>
      <c r="G99" s="11"/>
      <c r="H99" s="11"/>
      <c r="I99" s="11"/>
      <c r="J99" s="11"/>
      <c r="K99" s="11"/>
      <c r="L99" s="11"/>
      <c r="M99" s="11"/>
      <c r="N99" s="11">
        <f t="shared" si="2"/>
        <v>0</v>
      </c>
      <c r="O99" s="11"/>
      <c r="P99" s="11"/>
      <c r="Q99" s="11"/>
      <c r="R99" s="11"/>
      <c r="S99" s="11"/>
      <c r="T99" s="11"/>
      <c r="U99" s="11"/>
      <c r="V99" s="11"/>
      <c r="W99" s="11"/>
      <c r="X99" s="11"/>
      <c r="Y99" s="11"/>
      <c r="Z99" s="11"/>
    </row>
    <row r="100" spans="1:26" ht="15" hidden="1" x14ac:dyDescent="0.25">
      <c r="A100" s="93"/>
      <c r="B100" s="93"/>
      <c r="C100" s="93"/>
      <c r="D100" s="134"/>
      <c r="E100" s="11"/>
      <c r="F100" s="11"/>
      <c r="G100" s="11"/>
      <c r="H100" s="11"/>
      <c r="I100" s="11"/>
      <c r="J100" s="11"/>
      <c r="K100" s="11"/>
      <c r="L100" s="11"/>
      <c r="M100" s="11"/>
      <c r="N100" s="11">
        <f t="shared" si="2"/>
        <v>0</v>
      </c>
      <c r="O100" s="11"/>
      <c r="P100" s="11"/>
      <c r="Q100" s="11"/>
      <c r="R100" s="11"/>
      <c r="S100" s="11"/>
      <c r="T100" s="11"/>
      <c r="U100" s="11"/>
      <c r="V100" s="11"/>
      <c r="W100" s="11"/>
      <c r="X100" s="11"/>
      <c r="Y100" s="11"/>
      <c r="Z100" s="11"/>
    </row>
    <row r="101" spans="1:26" ht="15" hidden="1" x14ac:dyDescent="0.25">
      <c r="A101" s="93"/>
      <c r="B101" s="93"/>
      <c r="C101" s="93"/>
      <c r="D101" s="134"/>
      <c r="E101" s="11"/>
      <c r="F101" s="11"/>
      <c r="G101" s="11"/>
      <c r="H101" s="11"/>
      <c r="I101" s="11"/>
      <c r="J101" s="11"/>
      <c r="K101" s="11"/>
      <c r="L101" s="11"/>
      <c r="M101" s="11"/>
      <c r="N101" s="11">
        <f t="shared" si="2"/>
        <v>0</v>
      </c>
      <c r="O101" s="11"/>
      <c r="P101" s="11"/>
      <c r="Q101" s="11"/>
      <c r="R101" s="11"/>
      <c r="S101" s="11"/>
      <c r="T101" s="11"/>
      <c r="U101" s="11"/>
      <c r="V101" s="11"/>
      <c r="W101" s="11"/>
      <c r="X101" s="11"/>
      <c r="Y101" s="11"/>
      <c r="Z101" s="11"/>
    </row>
    <row r="102" spans="1:26" ht="15" hidden="1" x14ac:dyDescent="0.25">
      <c r="A102" s="93" t="s">
        <v>282</v>
      </c>
      <c r="B102" s="93"/>
      <c r="C102" s="93"/>
      <c r="D102" s="134"/>
      <c r="E102" s="11"/>
      <c r="F102" s="11"/>
      <c r="G102" s="11"/>
      <c r="H102" s="11"/>
      <c r="I102" s="11"/>
      <c r="J102" s="11"/>
      <c r="K102" s="11"/>
      <c r="L102" s="11"/>
      <c r="M102" s="11"/>
      <c r="N102" s="11">
        <f t="shared" si="2"/>
        <v>0</v>
      </c>
      <c r="O102" s="11"/>
      <c r="P102" s="11"/>
      <c r="Q102" s="11"/>
      <c r="R102" s="11"/>
      <c r="S102" s="11"/>
      <c r="T102" s="11"/>
      <c r="U102" s="11"/>
      <c r="V102" s="11"/>
      <c r="W102" s="11"/>
      <c r="X102" s="11"/>
      <c r="Y102" s="11"/>
      <c r="Z102" s="11"/>
    </row>
    <row r="103" spans="1:26" s="35" customFormat="1" ht="22.5" customHeight="1" x14ac:dyDescent="0.25">
      <c r="A103" s="33"/>
      <c r="B103" s="34"/>
      <c r="C103" s="34"/>
      <c r="D103" s="34"/>
      <c r="E103" s="50"/>
      <c r="F103" s="50"/>
      <c r="G103" s="50"/>
      <c r="H103" s="50"/>
      <c r="I103" s="50"/>
      <c r="J103" s="51" t="s">
        <v>20</v>
      </c>
      <c r="K103" s="50"/>
      <c r="L103" s="32">
        <f t="shared" ref="L103:Z103" si="3">SUM(L95:L102)</f>
        <v>0</v>
      </c>
      <c r="M103" s="32">
        <f t="shared" si="3"/>
        <v>12</v>
      </c>
      <c r="N103" s="32">
        <f t="shared" si="3"/>
        <v>744500</v>
      </c>
      <c r="O103" s="32">
        <f t="shared" si="3"/>
        <v>581500</v>
      </c>
      <c r="P103" s="32">
        <f t="shared" si="3"/>
        <v>81500</v>
      </c>
      <c r="Q103" s="32">
        <f t="shared" si="3"/>
        <v>81500</v>
      </c>
      <c r="R103" s="32">
        <f t="shared" si="3"/>
        <v>0</v>
      </c>
      <c r="S103" s="32">
        <f t="shared" si="3"/>
        <v>0</v>
      </c>
      <c r="T103" s="32">
        <f t="shared" si="3"/>
        <v>0</v>
      </c>
      <c r="U103" s="32">
        <f t="shared" si="3"/>
        <v>0</v>
      </c>
      <c r="V103" s="32">
        <f t="shared" si="3"/>
        <v>0</v>
      </c>
      <c r="W103" s="32">
        <f t="shared" si="3"/>
        <v>0</v>
      </c>
      <c r="X103" s="32">
        <f t="shared" si="3"/>
        <v>0</v>
      </c>
      <c r="Y103" s="32">
        <f t="shared" si="3"/>
        <v>0</v>
      </c>
      <c r="Z103" s="32">
        <f t="shared" si="3"/>
        <v>0</v>
      </c>
    </row>
    <row r="104" spans="1:26" ht="18" hidden="1" x14ac:dyDescent="0.25">
      <c r="A104" s="30" t="str">
        <f>CONCATENATE(B18," ",C18)</f>
        <v xml:space="preserve"> </v>
      </c>
      <c r="B104" s="30"/>
      <c r="C104" s="31"/>
      <c r="D104" s="31"/>
      <c r="E104" s="29"/>
      <c r="F104" s="29"/>
      <c r="G104" s="29"/>
      <c r="H104" s="29"/>
      <c r="I104" s="29"/>
      <c r="J104" s="29"/>
      <c r="K104" s="29"/>
      <c r="L104" s="29"/>
      <c r="M104" s="29"/>
      <c r="N104" s="29"/>
      <c r="O104" s="29" t="s">
        <v>5</v>
      </c>
      <c r="P104" s="29"/>
      <c r="Q104" s="29"/>
      <c r="R104" s="29"/>
      <c r="S104" s="29"/>
      <c r="T104" s="29"/>
      <c r="U104" s="29"/>
      <c r="V104" s="29"/>
      <c r="W104" s="29"/>
      <c r="X104" s="29"/>
      <c r="Y104" s="29"/>
      <c r="Z104" s="29"/>
    </row>
    <row r="105" spans="1:26" ht="60" hidden="1" x14ac:dyDescent="0.25">
      <c r="A105" s="92" t="s">
        <v>261</v>
      </c>
      <c r="B105" s="92" t="s">
        <v>13</v>
      </c>
      <c r="C105" s="92" t="s">
        <v>14</v>
      </c>
      <c r="D105" s="133" t="s">
        <v>286</v>
      </c>
      <c r="E105" s="32" t="s">
        <v>16</v>
      </c>
      <c r="F105" s="32" t="s">
        <v>295</v>
      </c>
      <c r="G105" s="32" t="s">
        <v>39</v>
      </c>
      <c r="H105" s="32" t="s">
        <v>297</v>
      </c>
      <c r="I105" s="32" t="s">
        <v>298</v>
      </c>
      <c r="J105" s="32" t="s">
        <v>299</v>
      </c>
      <c r="K105" s="32" t="s">
        <v>300</v>
      </c>
      <c r="L105" s="32" t="s">
        <v>17</v>
      </c>
      <c r="M105" s="32" t="s">
        <v>18</v>
      </c>
      <c r="N105" s="32" t="s">
        <v>19</v>
      </c>
      <c r="O105" s="66">
        <v>43101</v>
      </c>
      <c r="P105" s="66">
        <v>43132</v>
      </c>
      <c r="Q105" s="66">
        <v>43160</v>
      </c>
      <c r="R105" s="66">
        <v>43191</v>
      </c>
      <c r="S105" s="66">
        <v>43221</v>
      </c>
      <c r="T105" s="66">
        <v>43252</v>
      </c>
      <c r="U105" s="66">
        <v>43282</v>
      </c>
      <c r="V105" s="66">
        <v>43313</v>
      </c>
      <c r="W105" s="66">
        <v>43344</v>
      </c>
      <c r="X105" s="66">
        <v>43374</v>
      </c>
      <c r="Y105" s="66">
        <v>43405</v>
      </c>
      <c r="Z105" s="66">
        <v>43435</v>
      </c>
    </row>
    <row r="106" spans="1:26" ht="15" hidden="1" x14ac:dyDescent="0.25">
      <c r="A106" s="93"/>
      <c r="B106" s="93"/>
      <c r="C106" s="93"/>
      <c r="D106" s="134"/>
      <c r="E106" s="11"/>
      <c r="F106" s="11"/>
      <c r="G106" s="11"/>
      <c r="H106" s="11"/>
      <c r="I106" s="11"/>
      <c r="J106" s="11"/>
      <c r="K106" s="11"/>
      <c r="L106" s="11"/>
      <c r="M106" s="11"/>
      <c r="N106" s="137"/>
      <c r="O106" s="11"/>
      <c r="P106" s="11"/>
      <c r="Q106" s="11"/>
      <c r="R106" s="11"/>
      <c r="S106" s="11"/>
      <c r="T106" s="11"/>
      <c r="U106" s="11"/>
      <c r="V106" s="11"/>
      <c r="W106" s="11"/>
      <c r="X106" s="11"/>
      <c r="Y106" s="11"/>
      <c r="Z106" s="11"/>
    </row>
    <row r="107" spans="1:26" ht="15" hidden="1" x14ac:dyDescent="0.25">
      <c r="A107" s="93"/>
      <c r="B107" s="93"/>
      <c r="C107" s="93"/>
      <c r="D107" s="134"/>
      <c r="E107" s="11"/>
      <c r="F107" s="11"/>
      <c r="G107" s="11"/>
      <c r="H107" s="11"/>
      <c r="I107" s="11"/>
      <c r="J107" s="11"/>
      <c r="K107" s="11"/>
      <c r="L107" s="11"/>
      <c r="M107" s="11"/>
      <c r="N107" s="137"/>
      <c r="O107" s="11"/>
      <c r="P107" s="11"/>
      <c r="Q107" s="11"/>
      <c r="R107" s="11"/>
      <c r="S107" s="11"/>
      <c r="T107" s="11"/>
      <c r="U107" s="11"/>
      <c r="V107" s="11"/>
      <c r="W107" s="11"/>
      <c r="X107" s="11"/>
      <c r="Y107" s="11"/>
      <c r="Z107" s="11"/>
    </row>
    <row r="108" spans="1:26" ht="15" hidden="1" x14ac:dyDescent="0.25">
      <c r="A108" s="93"/>
      <c r="B108" s="93"/>
      <c r="C108" s="93"/>
      <c r="D108" s="134"/>
      <c r="E108" s="11"/>
      <c r="F108" s="11"/>
      <c r="G108" s="11"/>
      <c r="H108" s="11"/>
      <c r="I108" s="11"/>
      <c r="J108" s="11"/>
      <c r="K108" s="11"/>
      <c r="L108" s="11"/>
      <c r="M108" s="11"/>
      <c r="N108" s="137"/>
      <c r="O108" s="11"/>
      <c r="P108" s="11"/>
      <c r="Q108" s="11"/>
      <c r="R108" s="11"/>
      <c r="S108" s="11"/>
      <c r="T108" s="11"/>
      <c r="U108" s="11"/>
      <c r="V108" s="11"/>
      <c r="W108" s="11"/>
      <c r="X108" s="11"/>
      <c r="Y108" s="11"/>
      <c r="Z108" s="11"/>
    </row>
    <row r="109" spans="1:26" ht="15" hidden="1" x14ac:dyDescent="0.25">
      <c r="A109" s="93"/>
      <c r="B109" s="93"/>
      <c r="C109" s="93"/>
      <c r="D109" s="134"/>
      <c r="E109" s="11"/>
      <c r="F109" s="11"/>
      <c r="G109" s="138"/>
      <c r="H109" s="11"/>
      <c r="I109" s="11"/>
      <c r="J109" s="11"/>
      <c r="K109" s="11"/>
      <c r="L109" s="11"/>
      <c r="M109" s="11"/>
      <c r="N109" s="137"/>
      <c r="O109" s="11"/>
      <c r="P109" s="11"/>
      <c r="Q109" s="11"/>
      <c r="R109" s="11"/>
      <c r="S109" s="11"/>
      <c r="T109" s="11"/>
      <c r="U109" s="11"/>
      <c r="V109" s="11"/>
      <c r="W109" s="11"/>
      <c r="X109" s="11"/>
      <c r="Y109" s="11"/>
      <c r="Z109" s="11"/>
    </row>
    <row r="110" spans="1:26" ht="15" hidden="1" x14ac:dyDescent="0.25">
      <c r="A110" s="93"/>
      <c r="B110" s="93"/>
      <c r="C110" s="93"/>
      <c r="D110" s="134"/>
      <c r="E110" s="11"/>
      <c r="F110" s="11"/>
      <c r="G110" s="138"/>
      <c r="H110" s="11"/>
      <c r="I110" s="11"/>
      <c r="J110" s="11"/>
      <c r="K110" s="11"/>
      <c r="L110" s="11"/>
      <c r="M110" s="11"/>
      <c r="N110" s="137"/>
      <c r="O110" s="11"/>
      <c r="P110" s="11"/>
      <c r="Q110" s="11"/>
      <c r="R110" s="11"/>
      <c r="S110" s="11"/>
      <c r="T110" s="11"/>
      <c r="U110" s="11"/>
      <c r="V110" s="11"/>
      <c r="W110" s="11"/>
      <c r="X110" s="11"/>
      <c r="Y110" s="11"/>
      <c r="Z110" s="11"/>
    </row>
    <row r="111" spans="1:26" ht="15" hidden="1" x14ac:dyDescent="0.25">
      <c r="A111" s="93"/>
      <c r="B111" s="93"/>
      <c r="C111" s="93"/>
      <c r="D111" s="134"/>
      <c r="E111" s="11"/>
      <c r="F111" s="11"/>
      <c r="G111" s="11"/>
      <c r="H111" s="11"/>
      <c r="I111" s="11"/>
      <c r="J111" s="11"/>
      <c r="K111" s="11"/>
      <c r="L111" s="11"/>
      <c r="M111" s="11"/>
      <c r="N111" s="137"/>
      <c r="O111" s="11"/>
      <c r="P111" s="11"/>
      <c r="Q111" s="11"/>
      <c r="R111" s="11"/>
      <c r="S111" s="11"/>
      <c r="T111" s="11"/>
      <c r="U111" s="11"/>
      <c r="V111" s="11"/>
      <c r="W111" s="11"/>
      <c r="X111" s="11"/>
      <c r="Y111" s="11"/>
      <c r="Z111" s="11"/>
    </row>
    <row r="112" spans="1:26" ht="15" hidden="1" x14ac:dyDescent="0.25">
      <c r="A112" s="93"/>
      <c r="B112" s="93"/>
      <c r="C112" s="93"/>
      <c r="D112" s="134"/>
      <c r="E112" s="11"/>
      <c r="F112" s="11"/>
      <c r="G112" s="11"/>
      <c r="H112" s="11"/>
      <c r="I112" s="11"/>
      <c r="J112" s="11"/>
      <c r="K112" s="11"/>
      <c r="L112" s="11"/>
      <c r="M112" s="11"/>
      <c r="N112" s="137"/>
      <c r="O112" s="11"/>
      <c r="P112" s="11"/>
      <c r="Q112" s="11"/>
      <c r="R112" s="11"/>
      <c r="S112" s="11"/>
      <c r="T112" s="11"/>
      <c r="U112" s="11"/>
      <c r="V112" s="11"/>
      <c r="W112" s="11"/>
      <c r="X112" s="11"/>
      <c r="Y112" s="11"/>
      <c r="Z112" s="11"/>
    </row>
    <row r="113" spans="1:26" ht="15" hidden="1" x14ac:dyDescent="0.25">
      <c r="A113" s="93"/>
      <c r="B113" s="93"/>
      <c r="C113" s="93"/>
      <c r="D113" s="134"/>
      <c r="E113" s="11"/>
      <c r="F113" s="11"/>
      <c r="G113" s="11"/>
      <c r="H113" s="11"/>
      <c r="I113" s="11"/>
      <c r="J113" s="11"/>
      <c r="K113" s="11"/>
      <c r="L113" s="11"/>
      <c r="M113" s="11"/>
      <c r="N113" s="137"/>
      <c r="O113" s="11"/>
      <c r="P113" s="11"/>
      <c r="Q113" s="11"/>
      <c r="R113" s="11"/>
      <c r="S113" s="11"/>
      <c r="T113" s="11"/>
      <c r="U113" s="11"/>
      <c r="V113" s="11"/>
      <c r="W113" s="11"/>
      <c r="X113" s="11"/>
      <c r="Y113" s="11"/>
      <c r="Z113" s="11"/>
    </row>
    <row r="114" spans="1:26" ht="15" hidden="1" x14ac:dyDescent="0.25">
      <c r="A114" s="93"/>
      <c r="B114" s="93"/>
      <c r="C114" s="93"/>
      <c r="D114" s="134"/>
      <c r="E114" s="11"/>
      <c r="F114" s="11"/>
      <c r="G114" s="11"/>
      <c r="H114" s="11"/>
      <c r="I114" s="11"/>
      <c r="J114" s="11"/>
      <c r="K114" s="11"/>
      <c r="L114" s="11"/>
      <c r="M114" s="11"/>
      <c r="N114" s="137"/>
      <c r="O114" s="11"/>
      <c r="P114" s="11"/>
      <c r="Q114" s="11"/>
      <c r="R114" s="11"/>
      <c r="S114" s="11"/>
      <c r="T114" s="11"/>
      <c r="U114" s="11"/>
      <c r="V114" s="11"/>
      <c r="W114" s="11"/>
      <c r="X114" s="11"/>
      <c r="Y114" s="11"/>
      <c r="Z114" s="11"/>
    </row>
    <row r="115" spans="1:26" ht="15" hidden="1" x14ac:dyDescent="0.25">
      <c r="A115" s="93"/>
      <c r="B115" s="93"/>
      <c r="C115" s="93"/>
      <c r="D115" s="134"/>
      <c r="E115" s="11"/>
      <c r="F115" s="11"/>
      <c r="G115" s="11"/>
      <c r="H115" s="11"/>
      <c r="I115" s="11"/>
      <c r="J115" s="11"/>
      <c r="K115" s="11"/>
      <c r="L115" s="11"/>
      <c r="M115" s="11"/>
      <c r="N115" s="137"/>
      <c r="O115" s="11"/>
      <c r="P115" s="11"/>
      <c r="Q115" s="11"/>
      <c r="R115" s="11"/>
      <c r="S115" s="11"/>
      <c r="T115" s="11"/>
      <c r="U115" s="11"/>
      <c r="V115" s="11"/>
      <c r="W115" s="11"/>
      <c r="X115" s="11"/>
      <c r="Y115" s="11"/>
      <c r="Z115" s="11"/>
    </row>
    <row r="116" spans="1:26" ht="15" hidden="1" x14ac:dyDescent="0.25">
      <c r="A116" s="93"/>
      <c r="B116" s="93"/>
      <c r="C116" s="93"/>
      <c r="D116" s="134"/>
      <c r="E116" s="11"/>
      <c r="F116" s="11"/>
      <c r="G116" s="11"/>
      <c r="H116" s="11"/>
      <c r="I116" s="11"/>
      <c r="J116" s="11"/>
      <c r="K116" s="11"/>
      <c r="L116" s="11"/>
      <c r="M116" s="11"/>
      <c r="N116" s="137"/>
      <c r="O116" s="11"/>
      <c r="P116" s="11"/>
      <c r="Q116" s="11"/>
      <c r="R116" s="11"/>
      <c r="S116" s="11"/>
      <c r="T116" s="11"/>
      <c r="U116" s="11"/>
      <c r="V116" s="11"/>
      <c r="W116" s="11"/>
      <c r="X116" s="11"/>
      <c r="Y116" s="11"/>
      <c r="Z116" s="11"/>
    </row>
    <row r="117" spans="1:26" ht="27.6" hidden="1" customHeight="1" x14ac:dyDescent="0.25">
      <c r="A117" s="93"/>
      <c r="B117" s="93"/>
      <c r="C117" s="93"/>
      <c r="D117" s="134"/>
      <c r="E117" s="11"/>
      <c r="F117" s="11"/>
      <c r="G117" s="11"/>
      <c r="H117" s="11"/>
      <c r="I117" s="11"/>
      <c r="J117" s="11"/>
      <c r="K117" s="11"/>
      <c r="L117" s="11"/>
      <c r="M117" s="11"/>
      <c r="N117" s="136"/>
      <c r="O117" s="11"/>
      <c r="P117" s="11"/>
      <c r="Q117" s="11"/>
      <c r="R117" s="11"/>
      <c r="S117" s="11"/>
      <c r="T117" s="11"/>
      <c r="U117" s="11"/>
      <c r="V117" s="11"/>
      <c r="W117" s="11"/>
      <c r="X117" s="11"/>
      <c r="Y117" s="11"/>
      <c r="Z117" s="11"/>
    </row>
    <row r="118" spans="1:26" s="35" customFormat="1" ht="22.5" hidden="1" customHeight="1" x14ac:dyDescent="0.25">
      <c r="A118" s="33"/>
      <c r="B118" s="34"/>
      <c r="C118" s="34"/>
      <c r="D118" s="34"/>
      <c r="E118" s="50"/>
      <c r="F118" s="50"/>
      <c r="G118" s="50"/>
      <c r="H118" s="50"/>
      <c r="I118" s="50"/>
      <c r="J118" s="51" t="s">
        <v>20</v>
      </c>
      <c r="K118" s="50"/>
      <c r="L118" s="32">
        <f>SUM(L117:L117)</f>
        <v>0</v>
      </c>
      <c r="M118" s="32">
        <f>SUM(M117:M117)</f>
        <v>0</v>
      </c>
      <c r="N118" s="32">
        <f>SUM(N106:N117)</f>
        <v>0</v>
      </c>
      <c r="O118" s="32">
        <f>SUM(O106:O117)</f>
        <v>0</v>
      </c>
      <c r="P118" s="32">
        <f t="shared" ref="P118:Z118" si="4">SUM(P106:P117)</f>
        <v>0</v>
      </c>
      <c r="Q118" s="32">
        <f t="shared" si="4"/>
        <v>0</v>
      </c>
      <c r="R118" s="32">
        <f t="shared" si="4"/>
        <v>0</v>
      </c>
      <c r="S118" s="32">
        <f t="shared" si="4"/>
        <v>0</v>
      </c>
      <c r="T118" s="32">
        <f t="shared" si="4"/>
        <v>0</v>
      </c>
      <c r="U118" s="32">
        <f t="shared" si="4"/>
        <v>0</v>
      </c>
      <c r="V118" s="32">
        <f t="shared" si="4"/>
        <v>0</v>
      </c>
      <c r="W118" s="32">
        <f t="shared" si="4"/>
        <v>0</v>
      </c>
      <c r="X118" s="32">
        <f t="shared" si="4"/>
        <v>0</v>
      </c>
      <c r="Y118" s="32">
        <f t="shared" si="4"/>
        <v>0</v>
      </c>
      <c r="Z118" s="32">
        <f t="shared" si="4"/>
        <v>0</v>
      </c>
    </row>
    <row r="119" spans="1:26" ht="18" hidden="1" x14ac:dyDescent="0.25">
      <c r="A119" s="30" t="str">
        <f>CONCATENATE(B19," ",C19)</f>
        <v xml:space="preserve"> </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6" ht="60" hidden="1" x14ac:dyDescent="0.25">
      <c r="A120" s="92"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6" ht="15" hidden="1" x14ac:dyDescent="0.25">
      <c r="A121" s="93"/>
      <c r="B121" s="93"/>
      <c r="C121" s="93"/>
      <c r="D121" s="134"/>
      <c r="E121" s="11"/>
      <c r="F121" s="11"/>
      <c r="G121" s="11"/>
      <c r="H121" s="11"/>
      <c r="I121" s="11"/>
      <c r="J121" s="11"/>
      <c r="K121" s="11"/>
      <c r="L121" s="11"/>
      <c r="M121" s="11"/>
      <c r="N121" s="137"/>
      <c r="O121" s="11"/>
      <c r="P121" s="11"/>
      <c r="Q121" s="11"/>
      <c r="R121" s="11"/>
      <c r="S121" s="11"/>
      <c r="T121" s="11"/>
      <c r="U121" s="11"/>
      <c r="V121" s="11"/>
      <c r="W121" s="11"/>
      <c r="X121" s="11"/>
      <c r="Y121" s="11"/>
      <c r="Z121" s="11"/>
    </row>
    <row r="122" spans="1:26" ht="15" hidden="1" x14ac:dyDescent="0.25">
      <c r="A122" s="93"/>
      <c r="B122" s="93"/>
      <c r="C122" s="93"/>
      <c r="D122" s="134"/>
      <c r="E122" s="11"/>
      <c r="F122" s="11"/>
      <c r="G122" s="11"/>
      <c r="H122" s="11"/>
      <c r="I122" s="11"/>
      <c r="J122" s="11"/>
      <c r="K122" s="11"/>
      <c r="L122" s="11"/>
      <c r="M122" s="11"/>
      <c r="N122" s="137"/>
      <c r="O122" s="11"/>
      <c r="P122" s="11"/>
      <c r="Q122" s="11"/>
      <c r="R122" s="11"/>
      <c r="S122" s="11"/>
      <c r="T122" s="11"/>
      <c r="U122" s="11"/>
      <c r="V122" s="11"/>
      <c r="W122" s="11"/>
      <c r="X122" s="11"/>
      <c r="Y122" s="11"/>
      <c r="Z122" s="11"/>
    </row>
    <row r="123" spans="1:26" ht="15" hidden="1" x14ac:dyDescent="0.25">
      <c r="A123" s="93"/>
      <c r="B123" s="93"/>
      <c r="C123" s="93"/>
      <c r="D123" s="134"/>
      <c r="E123" s="11"/>
      <c r="F123" s="11"/>
      <c r="G123" s="11"/>
      <c r="H123" s="11"/>
      <c r="I123" s="11"/>
      <c r="J123" s="11"/>
      <c r="K123" s="11"/>
      <c r="L123" s="11"/>
      <c r="M123" s="11"/>
      <c r="N123" s="137"/>
      <c r="O123" s="11"/>
      <c r="P123" s="11"/>
      <c r="Q123" s="11"/>
      <c r="R123" s="11"/>
      <c r="S123" s="11"/>
      <c r="T123" s="11"/>
      <c r="U123" s="11"/>
      <c r="V123" s="11"/>
      <c r="W123" s="11"/>
      <c r="X123" s="11"/>
      <c r="Y123" s="11"/>
      <c r="Z123" s="11"/>
    </row>
    <row r="124" spans="1:26" ht="15" hidden="1" x14ac:dyDescent="0.25">
      <c r="A124" s="93"/>
      <c r="B124" s="93"/>
      <c r="C124" s="93"/>
      <c r="D124" s="134"/>
      <c r="E124" s="11"/>
      <c r="F124" s="11"/>
      <c r="G124" s="11"/>
      <c r="H124" s="11"/>
      <c r="I124" s="11"/>
      <c r="J124" s="11"/>
      <c r="K124" s="11"/>
      <c r="L124" s="11"/>
      <c r="M124" s="11"/>
      <c r="N124" s="137"/>
      <c r="O124" s="11"/>
      <c r="P124" s="11"/>
      <c r="Q124" s="11"/>
      <c r="R124" s="11"/>
      <c r="S124" s="11"/>
      <c r="T124" s="11"/>
      <c r="U124" s="11"/>
      <c r="V124" s="11"/>
      <c r="W124" s="11"/>
      <c r="X124" s="11"/>
      <c r="Y124" s="11"/>
      <c r="Z124" s="11"/>
    </row>
    <row r="125" spans="1:26" ht="15" hidden="1" x14ac:dyDescent="0.25">
      <c r="A125" s="93"/>
      <c r="B125" s="93"/>
      <c r="C125" s="93"/>
      <c r="D125" s="134"/>
      <c r="E125" s="11"/>
      <c r="F125" s="11"/>
      <c r="G125" s="53"/>
      <c r="H125" s="11"/>
      <c r="I125" s="11"/>
      <c r="J125" s="11"/>
      <c r="K125" s="53"/>
      <c r="L125" s="11"/>
      <c r="M125" s="11"/>
      <c r="N125" s="137"/>
      <c r="O125" s="11"/>
      <c r="P125" s="11"/>
      <c r="Q125" s="11"/>
      <c r="R125" s="11"/>
      <c r="S125" s="11"/>
      <c r="T125" s="11"/>
      <c r="U125" s="11"/>
      <c r="V125" s="11"/>
      <c r="W125" s="11"/>
      <c r="X125" s="11"/>
      <c r="Y125" s="11"/>
      <c r="Z125" s="11"/>
    </row>
    <row r="126" spans="1:26" ht="15" hidden="1" x14ac:dyDescent="0.25">
      <c r="A126" s="93"/>
      <c r="B126" s="93"/>
      <c r="C126" s="93"/>
      <c r="D126" s="134"/>
      <c r="E126" s="11"/>
      <c r="F126" s="11"/>
      <c r="G126" s="53"/>
      <c r="H126" s="11"/>
      <c r="I126" s="11"/>
      <c r="J126" s="11"/>
      <c r="K126" s="53"/>
      <c r="L126" s="11"/>
      <c r="M126" s="11"/>
      <c r="N126" s="137"/>
      <c r="O126" s="11"/>
      <c r="P126" s="11"/>
      <c r="Q126" s="11"/>
      <c r="R126" s="11"/>
      <c r="S126" s="11"/>
      <c r="T126" s="11"/>
      <c r="U126" s="11"/>
      <c r="V126" s="11"/>
      <c r="W126" s="11"/>
      <c r="X126" s="11"/>
      <c r="Y126" s="11"/>
      <c r="Z126" s="11"/>
    </row>
    <row r="127" spans="1:26" ht="15" hidden="1" x14ac:dyDescent="0.25">
      <c r="A127" s="93"/>
      <c r="B127" s="93"/>
      <c r="C127" s="93"/>
      <c r="D127" s="134"/>
      <c r="E127" s="11"/>
      <c r="F127" s="11"/>
      <c r="G127" s="53"/>
      <c r="H127" s="11"/>
      <c r="I127" s="11"/>
      <c r="J127" s="11"/>
      <c r="K127" s="53"/>
      <c r="L127" s="11"/>
      <c r="M127" s="11"/>
      <c r="N127" s="137"/>
      <c r="O127" s="11"/>
      <c r="P127" s="11"/>
      <c r="Q127" s="11"/>
      <c r="R127" s="11"/>
      <c r="S127" s="11"/>
      <c r="T127" s="11"/>
      <c r="U127" s="11"/>
      <c r="V127" s="11"/>
      <c r="W127" s="11"/>
      <c r="X127" s="11"/>
      <c r="Y127" s="11"/>
      <c r="Z127" s="11"/>
    </row>
    <row r="128" spans="1:26" ht="29.45" hidden="1" customHeight="1" x14ac:dyDescent="0.25">
      <c r="A128" s="93"/>
      <c r="B128" s="93"/>
      <c r="C128" s="93"/>
      <c r="D128" s="134"/>
      <c r="E128" s="11"/>
      <c r="F128" s="11"/>
      <c r="G128" s="53"/>
      <c r="H128" s="11"/>
      <c r="I128" s="11"/>
      <c r="J128" s="11"/>
      <c r="K128" s="53"/>
      <c r="L128" s="11"/>
      <c r="M128" s="11"/>
      <c r="N128" s="137"/>
      <c r="O128" s="11"/>
      <c r="P128" s="11"/>
      <c r="Q128" s="11"/>
      <c r="R128" s="11"/>
      <c r="S128" s="11"/>
      <c r="T128" s="11"/>
      <c r="U128" s="11"/>
      <c r="V128" s="11"/>
      <c r="W128" s="11"/>
      <c r="X128" s="11"/>
      <c r="Y128" s="11"/>
      <c r="Z128" s="11"/>
    </row>
    <row r="129" spans="1:27" ht="15" hidden="1" x14ac:dyDescent="0.25">
      <c r="A129" s="93"/>
      <c r="B129" s="93"/>
      <c r="C129" s="93"/>
      <c r="D129" s="134"/>
      <c r="E129" s="11"/>
      <c r="F129" s="11"/>
      <c r="G129" s="53"/>
      <c r="H129" s="11"/>
      <c r="I129" s="11"/>
      <c r="J129" s="11"/>
      <c r="K129" s="53"/>
      <c r="L129" s="11"/>
      <c r="M129" s="11"/>
      <c r="N129" s="137"/>
      <c r="O129" s="11"/>
      <c r="P129" s="11"/>
      <c r="Q129" s="11"/>
      <c r="R129" s="11"/>
      <c r="S129" s="11"/>
      <c r="T129" s="11"/>
      <c r="U129" s="11"/>
      <c r="V129" s="11"/>
      <c r="W129" s="11"/>
      <c r="X129" s="11"/>
      <c r="Y129" s="11"/>
      <c r="Z129" s="11"/>
    </row>
    <row r="130" spans="1:27" ht="15" hidden="1" x14ac:dyDescent="0.25">
      <c r="A130" s="93"/>
      <c r="B130" s="93"/>
      <c r="C130" s="93"/>
      <c r="D130" s="134"/>
      <c r="E130" s="11"/>
      <c r="F130" s="11"/>
      <c r="G130" s="53"/>
      <c r="H130" s="11"/>
      <c r="I130" s="11"/>
      <c r="J130" s="11"/>
      <c r="K130" s="53"/>
      <c r="L130" s="11"/>
      <c r="M130" s="11"/>
      <c r="N130" s="137"/>
      <c r="O130" s="11"/>
      <c r="P130" s="11"/>
      <c r="Q130" s="11"/>
      <c r="R130" s="11"/>
      <c r="S130" s="11"/>
      <c r="T130" s="11"/>
      <c r="U130" s="11"/>
      <c r="V130" s="11"/>
      <c r="W130" s="11"/>
      <c r="X130" s="11"/>
      <c r="Y130" s="11"/>
      <c r="Z130" s="11"/>
    </row>
    <row r="131" spans="1:27" ht="15" hidden="1" x14ac:dyDescent="0.25">
      <c r="A131" s="93"/>
      <c r="B131" s="93"/>
      <c r="C131" s="93"/>
      <c r="D131" s="134"/>
      <c r="E131" s="11"/>
      <c r="F131" s="11"/>
      <c r="G131" s="53"/>
      <c r="H131" s="11"/>
      <c r="I131" s="11"/>
      <c r="J131" s="11"/>
      <c r="K131" s="53"/>
      <c r="L131" s="11"/>
      <c r="M131" s="11"/>
      <c r="N131" s="137"/>
      <c r="O131" s="11"/>
      <c r="P131" s="11"/>
      <c r="Q131" s="11"/>
      <c r="R131" s="11"/>
      <c r="S131" s="11"/>
      <c r="T131" s="11"/>
      <c r="U131" s="11"/>
      <c r="V131" s="11"/>
      <c r="W131" s="11"/>
      <c r="X131" s="11"/>
      <c r="Y131" s="11"/>
      <c r="Z131" s="11"/>
    </row>
    <row r="132" spans="1:27" ht="15" hidden="1" x14ac:dyDescent="0.25">
      <c r="A132" s="93"/>
      <c r="B132" s="93"/>
      <c r="C132" s="93"/>
      <c r="D132" s="134"/>
      <c r="E132" s="11"/>
      <c r="F132" s="11"/>
      <c r="G132" s="53"/>
      <c r="H132" s="11"/>
      <c r="I132" s="11"/>
      <c r="J132" s="11"/>
      <c r="K132" s="53"/>
      <c r="L132" s="11"/>
      <c r="M132" s="11"/>
      <c r="N132" s="11"/>
      <c r="O132" s="11"/>
      <c r="P132" s="11"/>
      <c r="Q132" s="11"/>
      <c r="R132" s="11"/>
      <c r="S132" s="11"/>
      <c r="T132" s="11"/>
      <c r="U132" s="11"/>
      <c r="V132" s="11"/>
      <c r="W132" s="11"/>
      <c r="X132" s="11"/>
      <c r="Y132" s="11"/>
      <c r="Z132" s="11"/>
    </row>
    <row r="133" spans="1:27" ht="15" hidden="1" x14ac:dyDescent="0.25">
      <c r="A133" s="93"/>
      <c r="B133" s="93"/>
      <c r="C133" s="93"/>
      <c r="D133" s="134"/>
      <c r="E133" s="11"/>
      <c r="F133" s="11"/>
      <c r="G133" s="53"/>
      <c r="H133" s="11"/>
      <c r="I133" s="11"/>
      <c r="J133" s="11"/>
      <c r="K133" s="53"/>
      <c r="L133" s="11"/>
      <c r="M133" s="11"/>
      <c r="N133" s="11"/>
      <c r="O133" s="136"/>
      <c r="P133" s="136"/>
      <c r="Q133" s="136"/>
      <c r="R133" s="136"/>
      <c r="S133" s="136"/>
      <c r="T133" s="136"/>
      <c r="U133" s="136"/>
      <c r="V133" s="136"/>
      <c r="W133" s="136"/>
      <c r="X133" s="136"/>
      <c r="Y133" s="136"/>
      <c r="Z133" s="136"/>
    </row>
    <row r="134" spans="1:27" ht="20.25" hidden="1" x14ac:dyDescent="0.25">
      <c r="A134" s="93" t="s">
        <v>285</v>
      </c>
      <c r="B134" s="93"/>
      <c r="C134" s="93"/>
      <c r="D134" s="134"/>
      <c r="E134" s="11"/>
      <c r="F134" s="11"/>
      <c r="G134" s="45"/>
      <c r="H134" s="11"/>
      <c r="I134" s="11"/>
      <c r="J134" s="11"/>
      <c r="K134" s="68" t="s">
        <v>20</v>
      </c>
      <c r="L134" s="32">
        <f>SUM(L120:L124)</f>
        <v>0</v>
      </c>
      <c r="M134" s="32">
        <f>SUM(M120:M124)</f>
        <v>0</v>
      </c>
      <c r="N134" s="11">
        <f>SUM(N121:N133)</f>
        <v>0</v>
      </c>
      <c r="O134" s="136">
        <f>SUM(O121:O133)</f>
        <v>0</v>
      </c>
      <c r="P134" s="136">
        <f>SUM(P121:P133)</f>
        <v>0</v>
      </c>
      <c r="Q134" s="136">
        <f t="shared" ref="Q134:Z134" si="5">SUM(Q121:Q133)</f>
        <v>0</v>
      </c>
      <c r="R134" s="136">
        <f t="shared" si="5"/>
        <v>0</v>
      </c>
      <c r="S134" s="136">
        <f t="shared" si="5"/>
        <v>0</v>
      </c>
      <c r="T134" s="136">
        <f t="shared" si="5"/>
        <v>0</v>
      </c>
      <c r="U134" s="136">
        <f t="shared" si="5"/>
        <v>0</v>
      </c>
      <c r="V134" s="136">
        <f t="shared" si="5"/>
        <v>0</v>
      </c>
      <c r="W134" s="136">
        <f t="shared" si="5"/>
        <v>0</v>
      </c>
      <c r="X134" s="136">
        <f t="shared" si="5"/>
        <v>0</v>
      </c>
      <c r="Y134" s="136">
        <f t="shared" si="5"/>
        <v>0</v>
      </c>
      <c r="Z134" s="136">
        <f t="shared" si="5"/>
        <v>0</v>
      </c>
      <c r="AA134" s="35"/>
    </row>
    <row r="135" spans="1:27" ht="18" hidden="1" outlineLevel="1" x14ac:dyDescent="0.25">
      <c r="A135" s="30" t="str">
        <f>CONCATENATE(B20," ",C20)</f>
        <v xml:space="preserve"> </v>
      </c>
      <c r="B135" s="30"/>
      <c r="C135" s="31"/>
      <c r="D135" s="31"/>
      <c r="E135" s="29"/>
      <c r="F135" s="29"/>
      <c r="G135" s="29"/>
      <c r="H135" s="29"/>
      <c r="I135" s="29"/>
      <c r="J135" s="29"/>
      <c r="K135" s="29"/>
      <c r="L135" s="29"/>
      <c r="M135" s="29"/>
      <c r="N135" s="29"/>
      <c r="O135" s="29" t="s">
        <v>5</v>
      </c>
      <c r="P135" s="29"/>
      <c r="Q135" s="29"/>
      <c r="R135" s="29"/>
      <c r="S135" s="29"/>
      <c r="T135" s="29"/>
      <c r="U135" s="29"/>
      <c r="V135" s="29"/>
      <c r="W135" s="29"/>
      <c r="X135" s="29"/>
      <c r="Y135" s="29"/>
      <c r="Z135" s="29"/>
    </row>
    <row r="136" spans="1:27" ht="41.45" hidden="1" customHeight="1" outlineLevel="1" x14ac:dyDescent="0.25">
      <c r="A136" s="92" t="s">
        <v>261</v>
      </c>
      <c r="B136" s="92" t="s">
        <v>13</v>
      </c>
      <c r="C136" s="92" t="s">
        <v>14</v>
      </c>
      <c r="D136" s="133" t="s">
        <v>286</v>
      </c>
      <c r="E136" s="32" t="s">
        <v>16</v>
      </c>
      <c r="F136" s="32" t="s">
        <v>295</v>
      </c>
      <c r="G136" s="32" t="s">
        <v>39</v>
      </c>
      <c r="H136" s="32" t="s">
        <v>297</v>
      </c>
      <c r="I136" s="32" t="s">
        <v>298</v>
      </c>
      <c r="J136" s="32" t="s">
        <v>299</v>
      </c>
      <c r="K136" s="32" t="s">
        <v>300</v>
      </c>
      <c r="L136" s="32" t="s">
        <v>17</v>
      </c>
      <c r="M136" s="32" t="s">
        <v>18</v>
      </c>
      <c r="N136" s="32" t="s">
        <v>19</v>
      </c>
      <c r="O136" s="66">
        <v>43101</v>
      </c>
      <c r="P136" s="66">
        <v>43132</v>
      </c>
      <c r="Q136" s="66">
        <v>43160</v>
      </c>
      <c r="R136" s="66">
        <v>43191</v>
      </c>
      <c r="S136" s="66">
        <v>43221</v>
      </c>
      <c r="T136" s="66">
        <v>43252</v>
      </c>
      <c r="U136" s="66">
        <v>43282</v>
      </c>
      <c r="V136" s="66">
        <v>43313</v>
      </c>
      <c r="W136" s="66">
        <v>43344</v>
      </c>
      <c r="X136" s="66">
        <v>43374</v>
      </c>
      <c r="Y136" s="66">
        <v>43405</v>
      </c>
      <c r="Z136" s="66">
        <v>43435</v>
      </c>
    </row>
    <row r="137" spans="1:27" ht="15" hidden="1" customHeight="1" outlineLevel="1" x14ac:dyDescent="0.25">
      <c r="A137" s="93" t="s">
        <v>265</v>
      </c>
      <c r="B137" s="93"/>
      <c r="C137" s="93"/>
      <c r="D137" s="134"/>
      <c r="E137" s="11"/>
      <c r="F137" s="11"/>
      <c r="G137" s="11"/>
      <c r="H137" s="11"/>
      <c r="I137" s="11"/>
      <c r="J137" s="11"/>
      <c r="K137" s="11"/>
      <c r="L137" s="11"/>
      <c r="M137" s="11"/>
      <c r="N137" s="11">
        <f t="shared" ref="N137:N141" si="6">SUM(O137:Z137)</f>
        <v>0</v>
      </c>
      <c r="O137" s="11"/>
      <c r="P137" s="11"/>
      <c r="Q137" s="11"/>
      <c r="R137" s="11"/>
      <c r="S137" s="11"/>
      <c r="T137" s="11"/>
      <c r="U137" s="11"/>
      <c r="V137" s="11"/>
      <c r="W137" s="11"/>
      <c r="X137" s="11"/>
      <c r="Y137" s="11"/>
      <c r="Z137" s="11"/>
    </row>
    <row r="138" spans="1:27" ht="15" hidden="1" customHeight="1" outlineLevel="1" x14ac:dyDescent="0.25">
      <c r="A138" s="93" t="s">
        <v>266</v>
      </c>
      <c r="B138" s="93"/>
      <c r="C138" s="93"/>
      <c r="D138" s="134"/>
      <c r="E138" s="11"/>
      <c r="F138" s="11"/>
      <c r="G138" s="11"/>
      <c r="H138" s="11"/>
      <c r="I138" s="11"/>
      <c r="J138" s="11"/>
      <c r="K138" s="11"/>
      <c r="L138" s="11"/>
      <c r="M138" s="11"/>
      <c r="N138" s="11">
        <f t="shared" si="6"/>
        <v>0</v>
      </c>
      <c r="O138" s="11"/>
      <c r="P138" s="11"/>
      <c r="Q138" s="11"/>
      <c r="R138" s="11"/>
      <c r="S138" s="11"/>
      <c r="T138" s="11"/>
      <c r="U138" s="11"/>
      <c r="V138" s="11"/>
      <c r="W138" s="11"/>
      <c r="X138" s="11"/>
      <c r="Y138" s="11"/>
      <c r="Z138" s="11"/>
    </row>
    <row r="139" spans="1:27" ht="15" hidden="1" customHeight="1" outlineLevel="1" x14ac:dyDescent="0.25">
      <c r="A139" s="93" t="s">
        <v>283</v>
      </c>
      <c r="B139" s="93"/>
      <c r="C139" s="93"/>
      <c r="D139" s="134"/>
      <c r="E139" s="11"/>
      <c r="F139" s="11"/>
      <c r="G139" s="11"/>
      <c r="H139" s="11"/>
      <c r="I139" s="11"/>
      <c r="J139" s="11"/>
      <c r="K139" s="11"/>
      <c r="L139" s="11"/>
      <c r="M139" s="11"/>
      <c r="N139" s="11">
        <f t="shared" si="6"/>
        <v>0</v>
      </c>
      <c r="O139" s="11"/>
      <c r="P139" s="11"/>
      <c r="Q139" s="11"/>
      <c r="R139" s="11"/>
      <c r="S139" s="11"/>
      <c r="T139" s="11"/>
      <c r="U139" s="11"/>
      <c r="V139" s="11"/>
      <c r="W139" s="11"/>
      <c r="X139" s="11"/>
      <c r="Y139" s="11"/>
      <c r="Z139" s="11"/>
    </row>
    <row r="140" spans="1:27" ht="15" hidden="1" customHeight="1" outlineLevel="1" x14ac:dyDescent="0.25">
      <c r="A140" s="93" t="s">
        <v>284</v>
      </c>
      <c r="B140" s="93"/>
      <c r="C140" s="93"/>
      <c r="D140" s="134"/>
      <c r="E140" s="11"/>
      <c r="F140" s="11"/>
      <c r="G140" s="11"/>
      <c r="H140" s="11"/>
      <c r="I140" s="11"/>
      <c r="J140" s="11"/>
      <c r="K140" s="11"/>
      <c r="L140" s="11"/>
      <c r="M140" s="11"/>
      <c r="N140" s="11">
        <f t="shared" si="6"/>
        <v>0</v>
      </c>
      <c r="O140" s="11"/>
      <c r="P140" s="11"/>
      <c r="Q140" s="11"/>
      <c r="R140" s="11"/>
      <c r="S140" s="11"/>
      <c r="T140" s="11"/>
      <c r="U140" s="11"/>
      <c r="V140" s="11"/>
      <c r="W140" s="11"/>
      <c r="X140" s="11"/>
      <c r="Y140" s="11"/>
      <c r="Z140" s="11"/>
    </row>
    <row r="141" spans="1:27" ht="21" hidden="1" customHeight="1" outlineLevel="1" x14ac:dyDescent="0.25">
      <c r="A141" s="93" t="s">
        <v>285</v>
      </c>
      <c r="B141" s="93"/>
      <c r="C141" s="93"/>
      <c r="D141" s="134"/>
      <c r="E141" s="11"/>
      <c r="F141" s="11"/>
      <c r="G141" s="45"/>
      <c r="H141" s="11"/>
      <c r="I141" s="11"/>
      <c r="J141" s="11"/>
      <c r="K141" s="68" t="s">
        <v>20</v>
      </c>
      <c r="L141" s="32">
        <f>SUM(L136:L140)</f>
        <v>0</v>
      </c>
      <c r="M141" s="32">
        <f>SUM(M136:M140)</f>
        <v>0</v>
      </c>
      <c r="N141" s="11">
        <f t="shared" si="6"/>
        <v>0</v>
      </c>
      <c r="O141" s="11"/>
      <c r="P141" s="11"/>
      <c r="Q141" s="11"/>
      <c r="R141" s="11"/>
      <c r="S141" s="11"/>
      <c r="T141" s="11"/>
      <c r="U141" s="11"/>
      <c r="V141" s="11"/>
      <c r="W141" s="11"/>
      <c r="X141" s="11"/>
      <c r="Y141" s="11"/>
      <c r="Z141" s="11"/>
      <c r="AA141" s="35"/>
    </row>
    <row r="142" spans="1:27" ht="18" hidden="1" outlineLevel="1" x14ac:dyDescent="0.25">
      <c r="A142" s="30" t="str">
        <f>CONCATENATE(B21," ",C21)</f>
        <v xml:space="preserve"> </v>
      </c>
      <c r="B142" s="30"/>
      <c r="C142" s="31"/>
      <c r="D142" s="31"/>
      <c r="E142" s="29"/>
      <c r="F142" s="29"/>
      <c r="G142" s="29"/>
      <c r="H142" s="29"/>
      <c r="I142" s="29"/>
      <c r="J142" s="29"/>
      <c r="K142" s="29"/>
      <c r="L142" s="29"/>
      <c r="M142" s="29"/>
      <c r="N142" s="29"/>
      <c r="O142" s="29" t="s">
        <v>5</v>
      </c>
      <c r="P142" s="29"/>
      <c r="Q142" s="29"/>
      <c r="R142" s="29"/>
      <c r="S142" s="29"/>
      <c r="T142" s="29"/>
      <c r="U142" s="29"/>
      <c r="V142" s="29"/>
      <c r="W142" s="29"/>
      <c r="X142" s="29"/>
      <c r="Y142" s="29"/>
      <c r="Z142" s="29"/>
    </row>
    <row r="143" spans="1:27" ht="41.45" hidden="1" customHeight="1" outlineLevel="1" x14ac:dyDescent="0.25">
      <c r="A143" s="92" t="s">
        <v>261</v>
      </c>
      <c r="B143" s="92" t="s">
        <v>13</v>
      </c>
      <c r="C143" s="92" t="s">
        <v>14</v>
      </c>
      <c r="D143" s="133" t="s">
        <v>286</v>
      </c>
      <c r="E143" s="32" t="s">
        <v>16</v>
      </c>
      <c r="F143" s="32" t="s">
        <v>295</v>
      </c>
      <c r="G143" s="32" t="s">
        <v>39</v>
      </c>
      <c r="H143" s="32" t="s">
        <v>297</v>
      </c>
      <c r="I143" s="32" t="s">
        <v>298</v>
      </c>
      <c r="J143" s="32" t="s">
        <v>299</v>
      </c>
      <c r="K143" s="32" t="s">
        <v>300</v>
      </c>
      <c r="L143" s="32" t="s">
        <v>17</v>
      </c>
      <c r="M143" s="32" t="s">
        <v>18</v>
      </c>
      <c r="N143" s="32" t="s">
        <v>19</v>
      </c>
      <c r="O143" s="66">
        <v>43101</v>
      </c>
      <c r="P143" s="66">
        <v>43132</v>
      </c>
      <c r="Q143" s="66">
        <v>43160</v>
      </c>
      <c r="R143" s="66">
        <v>43191</v>
      </c>
      <c r="S143" s="66">
        <v>43221</v>
      </c>
      <c r="T143" s="66">
        <v>43252</v>
      </c>
      <c r="U143" s="66">
        <v>43282</v>
      </c>
      <c r="V143" s="66">
        <v>43313</v>
      </c>
      <c r="W143" s="66">
        <v>43344</v>
      </c>
      <c r="X143" s="66">
        <v>43374</v>
      </c>
      <c r="Y143" s="66">
        <v>43405</v>
      </c>
      <c r="Z143" s="66">
        <v>43435</v>
      </c>
    </row>
    <row r="144" spans="1:27" ht="15" hidden="1" customHeight="1" outlineLevel="1" x14ac:dyDescent="0.25">
      <c r="A144" s="93" t="s">
        <v>265</v>
      </c>
      <c r="B144" s="93"/>
      <c r="C144" s="93"/>
      <c r="D144" s="134"/>
      <c r="E144" s="11"/>
      <c r="F144" s="11"/>
      <c r="G144" s="11"/>
      <c r="H144" s="11"/>
      <c r="I144" s="11"/>
      <c r="J144" s="11"/>
      <c r="K144" s="11"/>
      <c r="L144" s="11"/>
      <c r="M144" s="11"/>
      <c r="N144" s="11">
        <f t="shared" ref="N144:N148" si="7">SUM(O144:Z144)</f>
        <v>0</v>
      </c>
      <c r="O144" s="11"/>
      <c r="P144" s="11"/>
      <c r="Q144" s="11"/>
      <c r="R144" s="11"/>
      <c r="S144" s="11"/>
      <c r="T144" s="11"/>
      <c r="U144" s="11"/>
      <c r="V144" s="11"/>
      <c r="W144" s="11"/>
      <c r="X144" s="11"/>
      <c r="Y144" s="11"/>
      <c r="Z144" s="11"/>
    </row>
    <row r="145" spans="1:27" ht="15" hidden="1" customHeight="1" outlineLevel="1" x14ac:dyDescent="0.25">
      <c r="A145" s="93" t="s">
        <v>266</v>
      </c>
      <c r="B145" s="93"/>
      <c r="C145" s="93"/>
      <c r="D145" s="134"/>
      <c r="E145" s="11"/>
      <c r="F145" s="11"/>
      <c r="G145" s="11"/>
      <c r="H145" s="11"/>
      <c r="I145" s="11"/>
      <c r="J145" s="11"/>
      <c r="K145" s="11"/>
      <c r="L145" s="11"/>
      <c r="M145" s="11"/>
      <c r="N145" s="11">
        <f t="shared" si="7"/>
        <v>0</v>
      </c>
      <c r="O145" s="11"/>
      <c r="P145" s="11"/>
      <c r="Q145" s="11"/>
      <c r="R145" s="11"/>
      <c r="S145" s="11"/>
      <c r="T145" s="11"/>
      <c r="U145" s="11"/>
      <c r="V145" s="11"/>
      <c r="W145" s="11"/>
      <c r="X145" s="11"/>
      <c r="Y145" s="11"/>
      <c r="Z145" s="11"/>
    </row>
    <row r="146" spans="1:27" ht="15" hidden="1" customHeight="1" outlineLevel="1" x14ac:dyDescent="0.25">
      <c r="A146" s="93" t="s">
        <v>283</v>
      </c>
      <c r="B146" s="93"/>
      <c r="C146" s="93"/>
      <c r="D146" s="134"/>
      <c r="E146" s="11"/>
      <c r="F146" s="11"/>
      <c r="G146" s="11"/>
      <c r="H146" s="11"/>
      <c r="I146" s="11"/>
      <c r="J146" s="11"/>
      <c r="K146" s="11"/>
      <c r="L146" s="11"/>
      <c r="M146" s="11"/>
      <c r="N146" s="11">
        <f t="shared" si="7"/>
        <v>0</v>
      </c>
      <c r="O146" s="11"/>
      <c r="P146" s="11"/>
      <c r="Q146" s="11"/>
      <c r="R146" s="11"/>
      <c r="S146" s="11"/>
      <c r="T146" s="11"/>
      <c r="U146" s="11"/>
      <c r="V146" s="11"/>
      <c r="W146" s="11"/>
      <c r="X146" s="11"/>
      <c r="Y146" s="11"/>
      <c r="Z146" s="11"/>
    </row>
    <row r="147" spans="1:27" ht="15" hidden="1" customHeight="1" outlineLevel="1" x14ac:dyDescent="0.25">
      <c r="A147" s="93" t="s">
        <v>284</v>
      </c>
      <c r="B147" s="93"/>
      <c r="C147" s="93"/>
      <c r="D147" s="134"/>
      <c r="E147" s="11"/>
      <c r="F147" s="11"/>
      <c r="G147" s="11"/>
      <c r="H147" s="11"/>
      <c r="I147" s="11"/>
      <c r="J147" s="11"/>
      <c r="K147" s="11"/>
      <c r="L147" s="11"/>
      <c r="M147" s="11"/>
      <c r="N147" s="11">
        <f t="shared" si="7"/>
        <v>0</v>
      </c>
      <c r="O147" s="11"/>
      <c r="P147" s="11"/>
      <c r="Q147" s="11"/>
      <c r="R147" s="11"/>
      <c r="S147" s="11"/>
      <c r="T147" s="11"/>
      <c r="U147" s="11"/>
      <c r="V147" s="11"/>
      <c r="W147" s="11"/>
      <c r="X147" s="11"/>
      <c r="Y147" s="11"/>
      <c r="Z147" s="11"/>
    </row>
    <row r="148" spans="1:27" ht="21" hidden="1" customHeight="1" outlineLevel="1" x14ac:dyDescent="0.25">
      <c r="A148" s="93" t="s">
        <v>285</v>
      </c>
      <c r="B148" s="93"/>
      <c r="C148" s="93"/>
      <c r="D148" s="134"/>
      <c r="E148" s="11"/>
      <c r="F148" s="11"/>
      <c r="G148" s="45"/>
      <c r="H148" s="11"/>
      <c r="I148" s="11"/>
      <c r="J148" s="11"/>
      <c r="K148" s="68" t="s">
        <v>20</v>
      </c>
      <c r="L148" s="32">
        <f>SUM(L143:L147)</f>
        <v>0</v>
      </c>
      <c r="M148" s="32">
        <f>SUM(M143:M147)</f>
        <v>0</v>
      </c>
      <c r="N148" s="11">
        <f t="shared" si="7"/>
        <v>0</v>
      </c>
      <c r="O148" s="11"/>
      <c r="P148" s="11"/>
      <c r="Q148" s="11"/>
      <c r="R148" s="11"/>
      <c r="S148" s="11"/>
      <c r="T148" s="11"/>
      <c r="U148" s="11"/>
      <c r="V148" s="11"/>
      <c r="W148" s="11"/>
      <c r="X148" s="11"/>
      <c r="Y148" s="11"/>
      <c r="Z148" s="11"/>
      <c r="AA148" s="35"/>
    </row>
    <row r="149" spans="1:27" ht="18" hidden="1" outlineLevel="1" x14ac:dyDescent="0.25">
      <c r="A149" s="30" t="str">
        <f>CONCATENATE(B22," ",C22)</f>
        <v xml:space="preserve"> </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45" hidden="1" customHeight="1" outlineLevel="1" x14ac:dyDescent="0.25">
      <c r="A150" s="92" t="s">
        <v>261</v>
      </c>
      <c r="B150" s="92" t="s">
        <v>13</v>
      </c>
      <c r="C150" s="92" t="s">
        <v>14</v>
      </c>
      <c r="D150" s="133" t="s">
        <v>286</v>
      </c>
      <c r="E150" s="32" t="s">
        <v>16</v>
      </c>
      <c r="F150" s="32" t="s">
        <v>295</v>
      </c>
      <c r="G150" s="32" t="s">
        <v>39</v>
      </c>
      <c r="H150" s="32" t="s">
        <v>297</v>
      </c>
      <c r="I150" s="32" t="s">
        <v>298</v>
      </c>
      <c r="J150" s="32" t="s">
        <v>299</v>
      </c>
      <c r="K150" s="32" t="s">
        <v>300</v>
      </c>
      <c r="L150" s="32" t="s">
        <v>17</v>
      </c>
      <c r="M150" s="32" t="s">
        <v>18</v>
      </c>
      <c r="N150" s="32" t="s">
        <v>19</v>
      </c>
      <c r="O150" s="66">
        <v>43101</v>
      </c>
      <c r="P150" s="66">
        <v>43132</v>
      </c>
      <c r="Q150" s="66">
        <v>43160</v>
      </c>
      <c r="R150" s="66">
        <v>43191</v>
      </c>
      <c r="S150" s="66">
        <v>43221</v>
      </c>
      <c r="T150" s="66">
        <v>43252</v>
      </c>
      <c r="U150" s="66">
        <v>43282</v>
      </c>
      <c r="V150" s="66">
        <v>43313</v>
      </c>
      <c r="W150" s="66">
        <v>43344</v>
      </c>
      <c r="X150" s="66">
        <v>43374</v>
      </c>
      <c r="Y150" s="66">
        <v>43405</v>
      </c>
      <c r="Z150" s="66">
        <v>43435</v>
      </c>
    </row>
    <row r="151" spans="1:27" ht="15" hidden="1" customHeight="1" outlineLevel="1" x14ac:dyDescent="0.25">
      <c r="A151" s="93" t="s">
        <v>265</v>
      </c>
      <c r="B151" s="93"/>
      <c r="C151" s="93"/>
      <c r="D151" s="134"/>
      <c r="E151" s="11"/>
      <c r="F151" s="11"/>
      <c r="G151" s="11"/>
      <c r="H151" s="11"/>
      <c r="I151" s="11"/>
      <c r="J151" s="11"/>
      <c r="K151" s="11"/>
      <c r="L151" s="11"/>
      <c r="M151" s="11"/>
      <c r="N151" s="11">
        <f t="shared" ref="N151:N155" si="8">SUM(O151:Z151)</f>
        <v>0</v>
      </c>
      <c r="O151" s="11"/>
      <c r="P151" s="11"/>
      <c r="Q151" s="11"/>
      <c r="R151" s="11"/>
      <c r="S151" s="11"/>
      <c r="T151" s="11"/>
      <c r="U151" s="11"/>
      <c r="V151" s="11"/>
      <c r="W151" s="11"/>
      <c r="X151" s="11"/>
      <c r="Y151" s="11"/>
      <c r="Z151" s="11"/>
    </row>
    <row r="152" spans="1:27" ht="15" hidden="1" customHeight="1" outlineLevel="1" x14ac:dyDescent="0.25">
      <c r="A152" s="93" t="s">
        <v>266</v>
      </c>
      <c r="B152" s="93"/>
      <c r="C152" s="93"/>
      <c r="D152" s="134"/>
      <c r="E152" s="11"/>
      <c r="F152" s="11"/>
      <c r="G152" s="11"/>
      <c r="H152" s="11"/>
      <c r="I152" s="11"/>
      <c r="J152" s="11"/>
      <c r="K152" s="11"/>
      <c r="L152" s="11"/>
      <c r="M152" s="11"/>
      <c r="N152" s="11">
        <f t="shared" si="8"/>
        <v>0</v>
      </c>
      <c r="O152" s="11"/>
      <c r="P152" s="11"/>
      <c r="Q152" s="11"/>
      <c r="R152" s="11"/>
      <c r="S152" s="11"/>
      <c r="T152" s="11"/>
      <c r="U152" s="11"/>
      <c r="V152" s="11"/>
      <c r="W152" s="11"/>
      <c r="X152" s="11"/>
      <c r="Y152" s="11"/>
      <c r="Z152" s="11"/>
    </row>
    <row r="153" spans="1:27" ht="15" hidden="1" customHeight="1" outlineLevel="1" x14ac:dyDescent="0.25">
      <c r="A153" s="93" t="s">
        <v>283</v>
      </c>
      <c r="B153" s="93"/>
      <c r="C153" s="93"/>
      <c r="D153" s="134"/>
      <c r="E153" s="11"/>
      <c r="F153" s="11"/>
      <c r="G153" s="11"/>
      <c r="H153" s="11"/>
      <c r="I153" s="11"/>
      <c r="J153" s="11"/>
      <c r="K153" s="11"/>
      <c r="L153" s="11"/>
      <c r="M153" s="11"/>
      <c r="N153" s="11">
        <f t="shared" si="8"/>
        <v>0</v>
      </c>
      <c r="O153" s="11"/>
      <c r="P153" s="11"/>
      <c r="Q153" s="11"/>
      <c r="R153" s="11"/>
      <c r="S153" s="11"/>
      <c r="T153" s="11"/>
      <c r="U153" s="11"/>
      <c r="V153" s="11"/>
      <c r="W153" s="11"/>
      <c r="X153" s="11"/>
      <c r="Y153" s="11"/>
      <c r="Z153" s="11"/>
    </row>
    <row r="154" spans="1:27" ht="15" hidden="1" customHeight="1" outlineLevel="1" x14ac:dyDescent="0.25">
      <c r="A154" s="93" t="s">
        <v>284</v>
      </c>
      <c r="B154" s="93"/>
      <c r="C154" s="93"/>
      <c r="D154" s="134"/>
      <c r="E154" s="11"/>
      <c r="F154" s="11"/>
      <c r="G154" s="11"/>
      <c r="H154" s="11"/>
      <c r="I154" s="11"/>
      <c r="J154" s="11"/>
      <c r="K154" s="11"/>
      <c r="L154" s="11"/>
      <c r="M154" s="11"/>
      <c r="N154" s="11">
        <f t="shared" si="8"/>
        <v>0</v>
      </c>
      <c r="O154" s="11"/>
      <c r="P154" s="11"/>
      <c r="Q154" s="11"/>
      <c r="R154" s="11"/>
      <c r="S154" s="11"/>
      <c r="T154" s="11"/>
      <c r="U154" s="11"/>
      <c r="V154" s="11"/>
      <c r="W154" s="11"/>
      <c r="X154" s="11"/>
      <c r="Y154" s="11"/>
      <c r="Z154" s="11"/>
    </row>
    <row r="155" spans="1:27" ht="21" hidden="1" customHeight="1" outlineLevel="1" x14ac:dyDescent="0.25">
      <c r="A155" s="93" t="s">
        <v>285</v>
      </c>
      <c r="B155" s="93"/>
      <c r="C155" s="93"/>
      <c r="D155" s="134"/>
      <c r="E155" s="11"/>
      <c r="F155" s="11"/>
      <c r="G155" s="45"/>
      <c r="H155" s="11"/>
      <c r="I155" s="11"/>
      <c r="J155" s="11"/>
      <c r="K155" s="68" t="s">
        <v>20</v>
      </c>
      <c r="L155" s="32">
        <f>SUM(L150:L154)</f>
        <v>0</v>
      </c>
      <c r="M155" s="32">
        <f>SUM(M150:M154)</f>
        <v>0</v>
      </c>
      <c r="N155" s="11">
        <f t="shared" si="8"/>
        <v>0</v>
      </c>
      <c r="O155" s="11"/>
      <c r="P155" s="11"/>
      <c r="Q155" s="11"/>
      <c r="R155" s="11"/>
      <c r="S155" s="11"/>
      <c r="T155" s="11"/>
      <c r="U155" s="11"/>
      <c r="V155" s="11"/>
      <c r="W155" s="11"/>
      <c r="X155" s="11"/>
      <c r="Y155" s="11"/>
      <c r="Z155" s="11"/>
      <c r="AA155" s="35"/>
    </row>
    <row r="156" spans="1:27" ht="18" hidden="1" outlineLevel="1" x14ac:dyDescent="0.25">
      <c r="A156" s="30" t="str">
        <f>CONCATENATE(B23," ",C23)</f>
        <v xml:space="preserve"> </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hidden="1"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15" hidden="1" customHeight="1" outlineLevel="1" x14ac:dyDescent="0.25">
      <c r="A158" s="93" t="s">
        <v>265</v>
      </c>
      <c r="B158" s="93"/>
      <c r="C158" s="93"/>
      <c r="D158" s="134"/>
      <c r="E158" s="11"/>
      <c r="F158" s="11"/>
      <c r="G158" s="11"/>
      <c r="H158" s="11"/>
      <c r="I158" s="11"/>
      <c r="J158" s="11"/>
      <c r="K158" s="11"/>
      <c r="L158" s="11"/>
      <c r="M158" s="11"/>
      <c r="N158" s="11">
        <f t="shared" ref="N158:N162" si="9">SUM(O158:Z158)</f>
        <v>0</v>
      </c>
      <c r="O158" s="11"/>
      <c r="P158" s="11"/>
      <c r="Q158" s="11"/>
      <c r="R158" s="11"/>
      <c r="S158" s="11"/>
      <c r="T158" s="11"/>
      <c r="U158" s="11"/>
      <c r="V158" s="11"/>
      <c r="W158" s="11"/>
      <c r="X158" s="11"/>
      <c r="Y158" s="11"/>
      <c r="Z158" s="11"/>
    </row>
    <row r="159" spans="1:27" ht="15" hidden="1" customHeight="1" outlineLevel="1" x14ac:dyDescent="0.25">
      <c r="A159" s="93" t="s">
        <v>266</v>
      </c>
      <c r="B159" s="93"/>
      <c r="C159" s="93"/>
      <c r="D159" s="134"/>
      <c r="E159" s="11"/>
      <c r="F159" s="11"/>
      <c r="G159" s="11"/>
      <c r="H159" s="11"/>
      <c r="I159" s="11"/>
      <c r="J159" s="11"/>
      <c r="K159" s="11"/>
      <c r="L159" s="11"/>
      <c r="M159" s="11"/>
      <c r="N159" s="11">
        <f t="shared" si="9"/>
        <v>0</v>
      </c>
      <c r="O159" s="11"/>
      <c r="P159" s="11"/>
      <c r="Q159" s="11"/>
      <c r="R159" s="11"/>
      <c r="S159" s="11"/>
      <c r="T159" s="11"/>
      <c r="U159" s="11"/>
      <c r="V159" s="11"/>
      <c r="W159" s="11"/>
      <c r="X159" s="11"/>
      <c r="Y159" s="11"/>
      <c r="Z159" s="11"/>
    </row>
    <row r="160" spans="1:27" ht="15" hidden="1" customHeight="1" outlineLevel="1" x14ac:dyDescent="0.25">
      <c r="A160" s="93" t="s">
        <v>283</v>
      </c>
      <c r="B160" s="93"/>
      <c r="C160" s="93"/>
      <c r="D160" s="134"/>
      <c r="E160" s="11"/>
      <c r="F160" s="11"/>
      <c r="G160" s="11"/>
      <c r="H160" s="11"/>
      <c r="I160" s="11"/>
      <c r="J160" s="11"/>
      <c r="K160" s="11"/>
      <c r="L160" s="11"/>
      <c r="M160" s="11"/>
      <c r="N160" s="11">
        <f t="shared" si="9"/>
        <v>0</v>
      </c>
      <c r="O160" s="11"/>
      <c r="P160" s="11"/>
      <c r="Q160" s="11"/>
      <c r="R160" s="11"/>
      <c r="S160" s="11"/>
      <c r="T160" s="11"/>
      <c r="U160" s="11"/>
      <c r="V160" s="11"/>
      <c r="W160" s="11"/>
      <c r="X160" s="11"/>
      <c r="Y160" s="11"/>
      <c r="Z160" s="11"/>
    </row>
    <row r="161" spans="1:27" ht="15" hidden="1" customHeight="1" outlineLevel="1" x14ac:dyDescent="0.25">
      <c r="A161" s="93" t="s">
        <v>284</v>
      </c>
      <c r="B161" s="93"/>
      <c r="C161" s="93"/>
      <c r="D161" s="134"/>
      <c r="E161" s="11"/>
      <c r="F161" s="11"/>
      <c r="G161" s="11"/>
      <c r="H161" s="11"/>
      <c r="I161" s="11"/>
      <c r="J161" s="11"/>
      <c r="K161" s="11"/>
      <c r="L161" s="11"/>
      <c r="M161" s="11"/>
      <c r="N161" s="11">
        <f t="shared" si="9"/>
        <v>0</v>
      </c>
      <c r="O161" s="11"/>
      <c r="P161" s="11"/>
      <c r="Q161" s="11"/>
      <c r="R161" s="11"/>
      <c r="S161" s="11"/>
      <c r="T161" s="11"/>
      <c r="U161" s="11"/>
      <c r="V161" s="11"/>
      <c r="W161" s="11"/>
      <c r="X161" s="11"/>
      <c r="Y161" s="11"/>
      <c r="Z161" s="11"/>
    </row>
    <row r="162" spans="1:27" ht="21" hidden="1" customHeight="1" outlineLevel="1" x14ac:dyDescent="0.25">
      <c r="A162" s="93" t="s">
        <v>285</v>
      </c>
      <c r="B162" s="93"/>
      <c r="C162" s="93"/>
      <c r="D162" s="134"/>
      <c r="E162" s="11"/>
      <c r="F162" s="11"/>
      <c r="G162" s="45"/>
      <c r="H162" s="11"/>
      <c r="I162" s="11"/>
      <c r="J162" s="11"/>
      <c r="K162" s="68" t="s">
        <v>20</v>
      </c>
      <c r="L162" s="32">
        <f>SUM(L157:L161)</f>
        <v>0</v>
      </c>
      <c r="M162" s="32">
        <f>SUM(M157:M161)</f>
        <v>0</v>
      </c>
      <c r="N162" s="11">
        <f t="shared" si="9"/>
        <v>0</v>
      </c>
      <c r="O162" s="11"/>
      <c r="P162" s="11"/>
      <c r="Q162" s="11"/>
      <c r="R162" s="11"/>
      <c r="S162" s="11"/>
      <c r="T162" s="11"/>
      <c r="U162" s="11"/>
      <c r="V162" s="11"/>
      <c r="W162" s="11"/>
      <c r="X162" s="11"/>
      <c r="Y162" s="11"/>
      <c r="Z162" s="11"/>
      <c r="AA162" s="35"/>
    </row>
    <row r="163" spans="1:27" ht="18" hidden="1" outlineLevel="1" x14ac:dyDescent="0.25">
      <c r="A163" s="30" t="str">
        <f>CONCATENATE(B24," ",C24)</f>
        <v xml:space="preserve"> </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hidden="1"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hidden="1" customHeight="1" outlineLevel="1" x14ac:dyDescent="0.25">
      <c r="A165" s="93" t="s">
        <v>265</v>
      </c>
      <c r="B165" s="93"/>
      <c r="C165" s="93"/>
      <c r="D165" s="134"/>
      <c r="E165" s="11"/>
      <c r="F165" s="11"/>
      <c r="G165" s="11"/>
      <c r="H165" s="11"/>
      <c r="I165" s="11"/>
      <c r="J165" s="11"/>
      <c r="K165" s="11"/>
      <c r="L165" s="11"/>
      <c r="M165" s="11"/>
      <c r="N165" s="11">
        <f t="shared" ref="N165:N169" si="10">SUM(O165:Z165)</f>
        <v>0</v>
      </c>
      <c r="O165" s="11"/>
      <c r="P165" s="11"/>
      <c r="Q165" s="11"/>
      <c r="R165" s="11"/>
      <c r="S165" s="11"/>
      <c r="T165" s="11"/>
      <c r="U165" s="11"/>
      <c r="V165" s="11"/>
      <c r="W165" s="11"/>
      <c r="X165" s="11"/>
      <c r="Y165" s="11"/>
      <c r="Z165" s="11"/>
    </row>
    <row r="166" spans="1:27" ht="15" hidden="1" customHeight="1" outlineLevel="1" x14ac:dyDescent="0.25">
      <c r="A166" s="93" t="s">
        <v>266</v>
      </c>
      <c r="B166" s="93"/>
      <c r="C166" s="93"/>
      <c r="D166" s="134"/>
      <c r="E166" s="11"/>
      <c r="F166" s="11"/>
      <c r="G166" s="11"/>
      <c r="H166" s="11"/>
      <c r="I166" s="11"/>
      <c r="J166" s="11"/>
      <c r="K166" s="11"/>
      <c r="L166" s="11"/>
      <c r="M166" s="11"/>
      <c r="N166" s="11">
        <f t="shared" si="10"/>
        <v>0</v>
      </c>
      <c r="O166" s="11"/>
      <c r="P166" s="11"/>
      <c r="Q166" s="11"/>
      <c r="R166" s="11"/>
      <c r="S166" s="11"/>
      <c r="T166" s="11"/>
      <c r="U166" s="11"/>
      <c r="V166" s="11"/>
      <c r="W166" s="11"/>
      <c r="X166" s="11"/>
      <c r="Y166" s="11"/>
      <c r="Z166" s="11"/>
    </row>
    <row r="167" spans="1:27" ht="15" hidden="1" customHeight="1" outlineLevel="1" x14ac:dyDescent="0.25">
      <c r="A167" s="93" t="s">
        <v>283</v>
      </c>
      <c r="B167" s="93"/>
      <c r="C167" s="93"/>
      <c r="D167" s="134"/>
      <c r="E167" s="11"/>
      <c r="F167" s="11"/>
      <c r="G167" s="11"/>
      <c r="H167" s="11"/>
      <c r="I167" s="11"/>
      <c r="J167" s="11"/>
      <c r="K167" s="11"/>
      <c r="L167" s="11"/>
      <c r="M167" s="11"/>
      <c r="N167" s="11">
        <f t="shared" si="10"/>
        <v>0</v>
      </c>
      <c r="O167" s="11"/>
      <c r="P167" s="11"/>
      <c r="Q167" s="11"/>
      <c r="R167" s="11"/>
      <c r="S167" s="11"/>
      <c r="T167" s="11"/>
      <c r="U167" s="11"/>
      <c r="V167" s="11"/>
      <c r="W167" s="11"/>
      <c r="X167" s="11"/>
      <c r="Y167" s="11"/>
      <c r="Z167" s="11"/>
    </row>
    <row r="168" spans="1:27" ht="15" hidden="1" customHeight="1" outlineLevel="1" x14ac:dyDescent="0.25">
      <c r="A168" s="93" t="s">
        <v>284</v>
      </c>
      <c r="B168" s="93"/>
      <c r="C168" s="93"/>
      <c r="D168" s="134"/>
      <c r="E168" s="11"/>
      <c r="F168" s="11"/>
      <c r="G168" s="11"/>
      <c r="H168" s="11"/>
      <c r="I168" s="11"/>
      <c r="J168" s="11"/>
      <c r="K168" s="11"/>
      <c r="L168" s="11"/>
      <c r="M168" s="11"/>
      <c r="N168" s="11">
        <f t="shared" si="10"/>
        <v>0</v>
      </c>
      <c r="O168" s="11"/>
      <c r="P168" s="11"/>
      <c r="Q168" s="11"/>
      <c r="R168" s="11"/>
      <c r="S168" s="11"/>
      <c r="T168" s="11"/>
      <c r="U168" s="11"/>
      <c r="V168" s="11"/>
      <c r="W168" s="11"/>
      <c r="X168" s="11"/>
      <c r="Y168" s="11"/>
      <c r="Z168" s="11"/>
    </row>
    <row r="169" spans="1:27" ht="21" hidden="1" customHeight="1" outlineLevel="1" x14ac:dyDescent="0.25">
      <c r="A169" s="93" t="s">
        <v>285</v>
      </c>
      <c r="B169" s="93"/>
      <c r="C169" s="93"/>
      <c r="D169" s="134"/>
      <c r="E169" s="11"/>
      <c r="F169" s="11"/>
      <c r="G169" s="45"/>
      <c r="H169" s="11"/>
      <c r="I169" s="11"/>
      <c r="J169" s="11"/>
      <c r="K169" s="68" t="s">
        <v>20</v>
      </c>
      <c r="L169" s="32">
        <f>SUM(L164:L168)</f>
        <v>0</v>
      </c>
      <c r="M169" s="32">
        <f>SUM(M164:M168)</f>
        <v>0</v>
      </c>
      <c r="N169" s="11">
        <f t="shared" si="10"/>
        <v>0</v>
      </c>
      <c r="O169" s="11"/>
      <c r="P169" s="11"/>
      <c r="Q169" s="11"/>
      <c r="R169" s="11"/>
      <c r="S169" s="11"/>
      <c r="T169" s="11"/>
      <c r="U169" s="11"/>
      <c r="V169" s="11"/>
      <c r="W169" s="11"/>
      <c r="X169" s="11"/>
      <c r="Y169" s="11"/>
      <c r="Z169" s="11"/>
      <c r="AA169" s="35"/>
    </row>
    <row r="170" spans="1:27" ht="18" hidden="1" outlineLevel="1" x14ac:dyDescent="0.25">
      <c r="A170" s="30" t="str">
        <f>CONCATENATE(B25," ",C25)</f>
        <v xml:space="preserve"> </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hidden="1"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hidden="1" customHeight="1" outlineLevel="1" x14ac:dyDescent="0.25">
      <c r="A172" s="93" t="s">
        <v>265</v>
      </c>
      <c r="B172" s="93"/>
      <c r="C172" s="93"/>
      <c r="D172" s="134"/>
      <c r="E172" s="11"/>
      <c r="F172" s="11"/>
      <c r="G172" s="11"/>
      <c r="H172" s="11"/>
      <c r="I172" s="11"/>
      <c r="J172" s="11"/>
      <c r="K172" s="11"/>
      <c r="L172" s="11"/>
      <c r="M172" s="11"/>
      <c r="N172" s="11">
        <f t="shared" ref="N172:N176" si="11">SUM(O172:Z172)</f>
        <v>0</v>
      </c>
      <c r="O172" s="11"/>
      <c r="P172" s="11"/>
      <c r="Q172" s="11"/>
      <c r="R172" s="11"/>
      <c r="S172" s="11"/>
      <c r="T172" s="11"/>
      <c r="U172" s="11"/>
      <c r="V172" s="11"/>
      <c r="W172" s="11"/>
      <c r="X172" s="11"/>
      <c r="Y172" s="11"/>
      <c r="Z172" s="11"/>
    </row>
    <row r="173" spans="1:27" ht="15" hidden="1" customHeight="1" outlineLevel="1" x14ac:dyDescent="0.25">
      <c r="A173" s="93" t="s">
        <v>266</v>
      </c>
      <c r="B173" s="93"/>
      <c r="C173" s="93"/>
      <c r="D173" s="134"/>
      <c r="E173" s="11"/>
      <c r="F173" s="11"/>
      <c r="G173" s="11"/>
      <c r="H173" s="11"/>
      <c r="I173" s="11"/>
      <c r="J173" s="11"/>
      <c r="K173" s="11"/>
      <c r="L173" s="11"/>
      <c r="M173" s="11"/>
      <c r="N173" s="11">
        <f t="shared" si="11"/>
        <v>0</v>
      </c>
      <c r="O173" s="11"/>
      <c r="P173" s="11"/>
      <c r="Q173" s="11"/>
      <c r="R173" s="11"/>
      <c r="S173" s="11"/>
      <c r="T173" s="11"/>
      <c r="U173" s="11"/>
      <c r="V173" s="11"/>
      <c r="W173" s="11"/>
      <c r="X173" s="11"/>
      <c r="Y173" s="11"/>
      <c r="Z173" s="11"/>
    </row>
    <row r="174" spans="1:27" ht="15" hidden="1" customHeight="1" outlineLevel="1" x14ac:dyDescent="0.25">
      <c r="A174" s="93" t="s">
        <v>283</v>
      </c>
      <c r="B174" s="93"/>
      <c r="C174" s="93"/>
      <c r="D174" s="134"/>
      <c r="E174" s="11"/>
      <c r="F174" s="11"/>
      <c r="G174" s="11"/>
      <c r="H174" s="11"/>
      <c r="I174" s="11"/>
      <c r="J174" s="11"/>
      <c r="K174" s="11"/>
      <c r="L174" s="11"/>
      <c r="M174" s="11"/>
      <c r="N174" s="11">
        <f t="shared" si="11"/>
        <v>0</v>
      </c>
      <c r="O174" s="11"/>
      <c r="P174" s="11"/>
      <c r="Q174" s="11"/>
      <c r="R174" s="11"/>
      <c r="S174" s="11"/>
      <c r="T174" s="11"/>
      <c r="U174" s="11"/>
      <c r="V174" s="11"/>
      <c r="W174" s="11"/>
      <c r="X174" s="11"/>
      <c r="Y174" s="11"/>
      <c r="Z174" s="11"/>
    </row>
    <row r="175" spans="1:27" ht="15" hidden="1" customHeight="1" outlineLevel="1" x14ac:dyDescent="0.25">
      <c r="A175" s="93" t="s">
        <v>284</v>
      </c>
      <c r="B175" s="93"/>
      <c r="C175" s="93"/>
      <c r="D175" s="134"/>
      <c r="E175" s="11"/>
      <c r="F175" s="11"/>
      <c r="G175" s="11"/>
      <c r="H175" s="11"/>
      <c r="I175" s="11"/>
      <c r="J175" s="11"/>
      <c r="K175" s="11"/>
      <c r="L175" s="11"/>
      <c r="M175" s="11"/>
      <c r="N175" s="11">
        <f t="shared" si="11"/>
        <v>0</v>
      </c>
      <c r="O175" s="11"/>
      <c r="P175" s="11"/>
      <c r="Q175" s="11"/>
      <c r="R175" s="11"/>
      <c r="S175" s="11"/>
      <c r="T175" s="11"/>
      <c r="U175" s="11"/>
      <c r="V175" s="11"/>
      <c r="W175" s="11"/>
      <c r="X175" s="11"/>
      <c r="Y175" s="11"/>
      <c r="Z175" s="11"/>
    </row>
    <row r="176" spans="1:27" ht="21" hidden="1" customHeight="1" outlineLevel="1" x14ac:dyDescent="0.25">
      <c r="A176" s="93" t="s">
        <v>285</v>
      </c>
      <c r="B176" s="93"/>
      <c r="C176" s="93"/>
      <c r="D176" s="134"/>
      <c r="E176" s="11"/>
      <c r="F176" s="11"/>
      <c r="G176" s="45"/>
      <c r="H176" s="11"/>
      <c r="I176" s="11"/>
      <c r="J176" s="11"/>
      <c r="K176" s="68" t="s">
        <v>20</v>
      </c>
      <c r="L176" s="32">
        <f>SUM(L171:L175)</f>
        <v>0</v>
      </c>
      <c r="M176" s="32">
        <f>SUM(M171:M175)</f>
        <v>0</v>
      </c>
      <c r="N176" s="11">
        <f t="shared" si="11"/>
        <v>0</v>
      </c>
      <c r="O176" s="11"/>
      <c r="P176" s="11"/>
      <c r="Q176" s="11"/>
      <c r="R176" s="11"/>
      <c r="S176" s="11"/>
      <c r="T176" s="11"/>
      <c r="U176" s="11"/>
      <c r="V176" s="11"/>
      <c r="W176" s="11"/>
      <c r="X176" s="11"/>
      <c r="Y176" s="11"/>
      <c r="Z176" s="11"/>
      <c r="AA176" s="35"/>
    </row>
    <row r="177" spans="1:26" ht="18" hidden="1" outlineLevel="1" x14ac:dyDescent="0.25">
      <c r="A177" s="30" t="str">
        <f>CONCATENATE(B26," ",C26)</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6" ht="6.75" customHeight="1" collapsed="1" x14ac:dyDescent="0.25"/>
    <row r="179" spans="1:26" ht="18" x14ac:dyDescent="0.25">
      <c r="A179" s="41" t="s">
        <v>324</v>
      </c>
      <c r="B179" s="41"/>
      <c r="C179" s="42"/>
      <c r="D179" s="42"/>
      <c r="E179" s="43"/>
      <c r="F179" s="43"/>
      <c r="G179" s="43"/>
      <c r="H179" s="44"/>
      <c r="I179" s="44"/>
      <c r="J179" s="43"/>
      <c r="K179" s="43"/>
      <c r="L179" s="43"/>
      <c r="M179" s="43"/>
      <c r="N179" s="43"/>
      <c r="O179" s="43" t="s">
        <v>5</v>
      </c>
      <c r="P179" s="43"/>
      <c r="Q179" s="43"/>
      <c r="R179" s="43"/>
      <c r="S179" s="43"/>
      <c r="T179" s="43"/>
      <c r="U179" s="43"/>
      <c r="V179" s="43"/>
      <c r="W179" s="43"/>
      <c r="X179" s="43"/>
      <c r="Y179" s="43"/>
      <c r="Z179" s="43"/>
    </row>
    <row r="180" spans="1:26" ht="15.75" hidden="1" outlineLevel="1" x14ac:dyDescent="0.25">
      <c r="A180" s="92" t="s">
        <v>261</v>
      </c>
      <c r="B180" s="92" t="s">
        <v>13</v>
      </c>
      <c r="C180" s="92" t="s">
        <v>14</v>
      </c>
      <c r="D180" s="8" t="s">
        <v>15</v>
      </c>
      <c r="E180" s="49"/>
      <c r="F180" s="49"/>
      <c r="G180" s="49"/>
      <c r="H180" s="49"/>
      <c r="I180" s="49"/>
      <c r="J180" s="48"/>
      <c r="K180" s="12"/>
      <c r="L180" s="32" t="s">
        <v>52</v>
      </c>
      <c r="M180" s="32" t="s">
        <v>53</v>
      </c>
      <c r="N180" s="32" t="s">
        <v>54</v>
      </c>
      <c r="O180" s="66">
        <v>43101</v>
      </c>
      <c r="P180" s="66">
        <v>43132</v>
      </c>
      <c r="Q180" s="66">
        <v>43160</v>
      </c>
      <c r="R180" s="66">
        <v>43191</v>
      </c>
      <c r="S180" s="66">
        <v>43221</v>
      </c>
      <c r="T180" s="66">
        <v>43252</v>
      </c>
      <c r="U180" s="66">
        <v>43282</v>
      </c>
      <c r="V180" s="66">
        <v>43313</v>
      </c>
      <c r="W180" s="66">
        <v>43344</v>
      </c>
      <c r="X180" s="66">
        <v>43374</v>
      </c>
      <c r="Y180" s="66">
        <v>43405</v>
      </c>
      <c r="Z180" s="66">
        <v>43435</v>
      </c>
    </row>
    <row r="181" spans="1:26" ht="15" hidden="1" outlineLevel="1" x14ac:dyDescent="0.25">
      <c r="A181" s="93">
        <f>+A17</f>
        <v>0</v>
      </c>
      <c r="B181" s="93" t="s">
        <v>27</v>
      </c>
      <c r="C181" s="93" t="str">
        <f t="shared" ref="C181:D190" si="12">C17</f>
        <v>Drilling</v>
      </c>
      <c r="D181" s="7">
        <f t="shared" si="12"/>
        <v>0</v>
      </c>
      <c r="E181" s="49"/>
      <c r="F181" s="49"/>
      <c r="G181" s="49"/>
      <c r="H181" s="49"/>
      <c r="I181" s="49"/>
      <c r="J181" s="48"/>
      <c r="K181" s="12" t="s">
        <v>5</v>
      </c>
      <c r="L181" s="11" t="s">
        <v>48</v>
      </c>
      <c r="M181" s="11" t="s">
        <v>55</v>
      </c>
      <c r="N181" s="11">
        <v>6</v>
      </c>
      <c r="O181" s="54">
        <f t="shared" ref="O181:Z181" si="13">+O17/SUM($O17:$Z17)</f>
        <v>0.781061114842176</v>
      </c>
      <c r="P181" s="54">
        <f t="shared" si="13"/>
        <v>0.10946944257891202</v>
      </c>
      <c r="Q181" s="54">
        <f t="shared" si="13"/>
        <v>0.10946944257891202</v>
      </c>
      <c r="R181" s="54">
        <f t="shared" si="13"/>
        <v>0</v>
      </c>
      <c r="S181" s="54">
        <f t="shared" si="13"/>
        <v>0</v>
      </c>
      <c r="T181" s="54">
        <f t="shared" si="13"/>
        <v>0</v>
      </c>
      <c r="U181" s="54">
        <f t="shared" si="13"/>
        <v>0</v>
      </c>
      <c r="V181" s="54">
        <f t="shared" si="13"/>
        <v>0</v>
      </c>
      <c r="W181" s="54">
        <f t="shared" si="13"/>
        <v>0</v>
      </c>
      <c r="X181" s="54">
        <f t="shared" si="13"/>
        <v>0</v>
      </c>
      <c r="Y181" s="54">
        <f t="shared" si="13"/>
        <v>0</v>
      </c>
      <c r="Z181" s="54">
        <f t="shared" si="13"/>
        <v>0</v>
      </c>
    </row>
    <row r="182" spans="1:26" ht="15" hidden="1" outlineLevel="1" x14ac:dyDescent="0.25">
      <c r="A182" s="93">
        <f>+A18</f>
        <v>0</v>
      </c>
      <c r="B182" s="93" t="s">
        <v>29</v>
      </c>
      <c r="C182" s="93">
        <f t="shared" si="12"/>
        <v>0</v>
      </c>
      <c r="D182" s="7">
        <f t="shared" si="12"/>
        <v>0</v>
      </c>
      <c r="E182" s="49"/>
      <c r="F182" s="49"/>
      <c r="G182" s="49"/>
      <c r="H182" s="49"/>
      <c r="I182" s="49"/>
      <c r="J182" s="48"/>
      <c r="K182" s="12" t="s">
        <v>5</v>
      </c>
      <c r="L182" s="11" t="s">
        <v>48</v>
      </c>
      <c r="M182" s="11" t="s">
        <v>55</v>
      </c>
      <c r="N182" s="11">
        <v>6</v>
      </c>
      <c r="O182" s="54" t="e">
        <f t="shared" ref="O182:Z182" si="14">+O18/SUM($O18:$Z18)</f>
        <v>#DIV/0!</v>
      </c>
      <c r="P182" s="54" t="e">
        <f t="shared" si="14"/>
        <v>#DIV/0!</v>
      </c>
      <c r="Q182" s="54" t="e">
        <f t="shared" si="14"/>
        <v>#DIV/0!</v>
      </c>
      <c r="R182" s="54" t="e">
        <f t="shared" si="14"/>
        <v>#DIV/0!</v>
      </c>
      <c r="S182" s="54" t="e">
        <f t="shared" si="14"/>
        <v>#DIV/0!</v>
      </c>
      <c r="T182" s="54" t="e">
        <f t="shared" si="14"/>
        <v>#DIV/0!</v>
      </c>
      <c r="U182" s="54" t="e">
        <f t="shared" si="14"/>
        <v>#DIV/0!</v>
      </c>
      <c r="V182" s="54" t="e">
        <f t="shared" si="14"/>
        <v>#DIV/0!</v>
      </c>
      <c r="W182" s="54" t="e">
        <f t="shared" si="14"/>
        <v>#DIV/0!</v>
      </c>
      <c r="X182" s="54" t="e">
        <f t="shared" si="14"/>
        <v>#DIV/0!</v>
      </c>
      <c r="Y182" s="54" t="e">
        <f t="shared" si="14"/>
        <v>#DIV/0!</v>
      </c>
      <c r="Z182" s="54" t="e">
        <f t="shared" si="14"/>
        <v>#DIV/0!</v>
      </c>
    </row>
    <row r="183" spans="1:26" ht="15" hidden="1" outlineLevel="1" x14ac:dyDescent="0.25">
      <c r="A183" s="93">
        <f>+A19</f>
        <v>0</v>
      </c>
      <c r="B183" s="93" t="s">
        <v>30</v>
      </c>
      <c r="C183" s="93">
        <f t="shared" si="12"/>
        <v>0</v>
      </c>
      <c r="D183" s="7">
        <f t="shared" si="12"/>
        <v>0</v>
      </c>
      <c r="E183" s="49"/>
      <c r="F183" s="49"/>
      <c r="G183" s="49"/>
      <c r="H183" s="49"/>
      <c r="I183" s="49"/>
      <c r="J183" s="48"/>
      <c r="K183" s="12" t="s">
        <v>5</v>
      </c>
      <c r="L183" s="11"/>
      <c r="M183" s="11"/>
      <c r="N183" s="11"/>
      <c r="O183" s="54" t="e">
        <f t="shared" ref="O183:Z191" si="15">+O19/SUM($O19:$Z19)</f>
        <v>#DIV/0!</v>
      </c>
      <c r="P183" s="54" t="e">
        <f t="shared" si="15"/>
        <v>#DIV/0!</v>
      </c>
      <c r="Q183" s="54" t="e">
        <f t="shared" si="15"/>
        <v>#DIV/0!</v>
      </c>
      <c r="R183" s="54" t="e">
        <f t="shared" si="15"/>
        <v>#DIV/0!</v>
      </c>
      <c r="S183" s="54" t="e">
        <f t="shared" si="15"/>
        <v>#DIV/0!</v>
      </c>
      <c r="T183" s="54" t="e">
        <f t="shared" si="15"/>
        <v>#DIV/0!</v>
      </c>
      <c r="U183" s="54" t="e">
        <f t="shared" si="15"/>
        <v>#DIV/0!</v>
      </c>
      <c r="V183" s="54" t="e">
        <f t="shared" si="15"/>
        <v>#DIV/0!</v>
      </c>
      <c r="W183" s="54" t="e">
        <f t="shared" si="15"/>
        <v>#DIV/0!</v>
      </c>
      <c r="X183" s="54" t="e">
        <f t="shared" si="15"/>
        <v>#DIV/0!</v>
      </c>
      <c r="Y183" s="54" t="e">
        <f t="shared" si="15"/>
        <v>#DIV/0!</v>
      </c>
      <c r="Z183" s="54" t="e">
        <f t="shared" si="15"/>
        <v>#DIV/0!</v>
      </c>
    </row>
    <row r="184" spans="1:26" ht="15" hidden="1" outlineLevel="1" x14ac:dyDescent="0.25">
      <c r="A184" s="93">
        <f>+A20</f>
        <v>0</v>
      </c>
      <c r="B184" s="93" t="s">
        <v>31</v>
      </c>
      <c r="C184" s="93">
        <f t="shared" si="12"/>
        <v>0</v>
      </c>
      <c r="D184" s="134">
        <f t="shared" si="12"/>
        <v>0</v>
      </c>
      <c r="E184" s="49"/>
      <c r="F184" s="49"/>
      <c r="G184" s="49"/>
      <c r="H184" s="49"/>
      <c r="I184" s="49"/>
      <c r="J184" s="48"/>
      <c r="K184" s="12" t="s">
        <v>5</v>
      </c>
      <c r="L184" s="11"/>
      <c r="M184" s="11"/>
      <c r="N184" s="11"/>
      <c r="O184" s="54" t="e">
        <f t="shared" si="15"/>
        <v>#DIV/0!</v>
      </c>
      <c r="P184" s="54" t="e">
        <f t="shared" si="15"/>
        <v>#DIV/0!</v>
      </c>
      <c r="Q184" s="54" t="e">
        <f t="shared" si="15"/>
        <v>#DIV/0!</v>
      </c>
      <c r="R184" s="54" t="e">
        <f t="shared" si="15"/>
        <v>#DIV/0!</v>
      </c>
      <c r="S184" s="54" t="e">
        <f t="shared" si="15"/>
        <v>#DIV/0!</v>
      </c>
      <c r="T184" s="54" t="e">
        <f t="shared" si="15"/>
        <v>#DIV/0!</v>
      </c>
      <c r="U184" s="54" t="e">
        <f t="shared" si="15"/>
        <v>#DIV/0!</v>
      </c>
      <c r="V184" s="54" t="e">
        <f t="shared" si="15"/>
        <v>#DIV/0!</v>
      </c>
      <c r="W184" s="54" t="e">
        <f t="shared" si="15"/>
        <v>#DIV/0!</v>
      </c>
      <c r="X184" s="54" t="e">
        <f t="shared" si="15"/>
        <v>#DIV/0!</v>
      </c>
      <c r="Y184" s="54" t="e">
        <f t="shared" si="15"/>
        <v>#DIV/0!</v>
      </c>
      <c r="Z184" s="54" t="e">
        <f t="shared" si="15"/>
        <v>#DIV/0!</v>
      </c>
    </row>
    <row r="185" spans="1:26" ht="15" hidden="1" outlineLevel="1" x14ac:dyDescent="0.25">
      <c r="A185" s="93">
        <f t="shared" ref="A185:A190" si="16">+A21</f>
        <v>0</v>
      </c>
      <c r="B185" s="93" t="s">
        <v>32</v>
      </c>
      <c r="C185" s="93">
        <f t="shared" si="12"/>
        <v>0</v>
      </c>
      <c r="D185" s="134">
        <f t="shared" si="12"/>
        <v>0</v>
      </c>
      <c r="E185" s="49"/>
      <c r="F185" s="49"/>
      <c r="G185" s="49"/>
      <c r="H185" s="49"/>
      <c r="I185" s="49"/>
      <c r="J185" s="48"/>
      <c r="K185" s="12"/>
      <c r="L185" s="11"/>
      <c r="M185" s="11"/>
      <c r="N185" s="11"/>
      <c r="O185" s="54" t="e">
        <f t="shared" si="15"/>
        <v>#DIV/0!</v>
      </c>
      <c r="P185" s="54" t="e">
        <f t="shared" si="15"/>
        <v>#DIV/0!</v>
      </c>
      <c r="Q185" s="54" t="e">
        <f t="shared" si="15"/>
        <v>#DIV/0!</v>
      </c>
      <c r="R185" s="54" t="e">
        <f t="shared" si="15"/>
        <v>#DIV/0!</v>
      </c>
      <c r="S185" s="54" t="e">
        <f t="shared" si="15"/>
        <v>#DIV/0!</v>
      </c>
      <c r="T185" s="54" t="e">
        <f t="shared" si="15"/>
        <v>#DIV/0!</v>
      </c>
      <c r="U185" s="54" t="e">
        <f t="shared" si="15"/>
        <v>#DIV/0!</v>
      </c>
      <c r="V185" s="54" t="e">
        <f t="shared" si="15"/>
        <v>#DIV/0!</v>
      </c>
      <c r="W185" s="54" t="e">
        <f t="shared" si="15"/>
        <v>#DIV/0!</v>
      </c>
      <c r="X185" s="54" t="e">
        <f t="shared" si="15"/>
        <v>#DIV/0!</v>
      </c>
      <c r="Y185" s="54" t="e">
        <f t="shared" si="15"/>
        <v>#DIV/0!</v>
      </c>
      <c r="Z185" s="54" t="e">
        <f t="shared" si="15"/>
        <v>#DIV/0!</v>
      </c>
    </row>
    <row r="186" spans="1:26" ht="15" hidden="1" outlineLevel="1" x14ac:dyDescent="0.25">
      <c r="A186" s="93">
        <f t="shared" si="16"/>
        <v>0</v>
      </c>
      <c r="B186" s="93" t="s">
        <v>256</v>
      </c>
      <c r="C186" s="93">
        <f t="shared" si="12"/>
        <v>0</v>
      </c>
      <c r="D186" s="134">
        <f t="shared" si="12"/>
        <v>0</v>
      </c>
      <c r="E186" s="49"/>
      <c r="F186" s="49"/>
      <c r="G186" s="49"/>
      <c r="H186" s="49"/>
      <c r="I186" s="49"/>
      <c r="J186" s="48"/>
      <c r="K186" s="12"/>
      <c r="L186" s="11"/>
      <c r="M186" s="11"/>
      <c r="N186" s="11"/>
      <c r="O186" s="54" t="e">
        <f t="shared" si="15"/>
        <v>#DIV/0!</v>
      </c>
      <c r="P186" s="54" t="e">
        <f t="shared" si="15"/>
        <v>#DIV/0!</v>
      </c>
      <c r="Q186" s="54" t="e">
        <f t="shared" si="15"/>
        <v>#DIV/0!</v>
      </c>
      <c r="R186" s="54" t="e">
        <f t="shared" si="15"/>
        <v>#DIV/0!</v>
      </c>
      <c r="S186" s="54" t="e">
        <f t="shared" si="15"/>
        <v>#DIV/0!</v>
      </c>
      <c r="T186" s="54" t="e">
        <f t="shared" si="15"/>
        <v>#DIV/0!</v>
      </c>
      <c r="U186" s="54" t="e">
        <f t="shared" si="15"/>
        <v>#DIV/0!</v>
      </c>
      <c r="V186" s="54" t="e">
        <f t="shared" si="15"/>
        <v>#DIV/0!</v>
      </c>
      <c r="W186" s="54" t="e">
        <f t="shared" si="15"/>
        <v>#DIV/0!</v>
      </c>
      <c r="X186" s="54" t="e">
        <f t="shared" si="15"/>
        <v>#DIV/0!</v>
      </c>
      <c r="Y186" s="54" t="e">
        <f t="shared" si="15"/>
        <v>#DIV/0!</v>
      </c>
      <c r="Z186" s="54" t="e">
        <f t="shared" si="15"/>
        <v>#DIV/0!</v>
      </c>
    </row>
    <row r="187" spans="1:26" ht="15" hidden="1" outlineLevel="1" x14ac:dyDescent="0.25">
      <c r="A187" s="93">
        <f t="shared" si="16"/>
        <v>0</v>
      </c>
      <c r="B187" s="93" t="s">
        <v>257</v>
      </c>
      <c r="C187" s="93">
        <f t="shared" si="12"/>
        <v>0</v>
      </c>
      <c r="D187" s="134">
        <f t="shared" si="12"/>
        <v>0</v>
      </c>
      <c r="E187" s="49"/>
      <c r="F187" s="49"/>
      <c r="G187" s="49"/>
      <c r="H187" s="49"/>
      <c r="I187" s="49"/>
      <c r="J187" s="48"/>
      <c r="K187" s="12"/>
      <c r="L187" s="11"/>
      <c r="M187" s="11"/>
      <c r="N187" s="11"/>
      <c r="O187" s="54" t="e">
        <f t="shared" si="15"/>
        <v>#DIV/0!</v>
      </c>
      <c r="P187" s="54" t="e">
        <f t="shared" si="15"/>
        <v>#DIV/0!</v>
      </c>
      <c r="Q187" s="54" t="e">
        <f t="shared" si="15"/>
        <v>#DIV/0!</v>
      </c>
      <c r="R187" s="54" t="e">
        <f t="shared" si="15"/>
        <v>#DIV/0!</v>
      </c>
      <c r="S187" s="54" t="e">
        <f t="shared" si="15"/>
        <v>#DIV/0!</v>
      </c>
      <c r="T187" s="54" t="e">
        <f t="shared" si="15"/>
        <v>#DIV/0!</v>
      </c>
      <c r="U187" s="54" t="e">
        <f t="shared" si="15"/>
        <v>#DIV/0!</v>
      </c>
      <c r="V187" s="54" t="e">
        <f t="shared" si="15"/>
        <v>#DIV/0!</v>
      </c>
      <c r="W187" s="54" t="e">
        <f t="shared" si="15"/>
        <v>#DIV/0!</v>
      </c>
      <c r="X187" s="54" t="e">
        <f t="shared" si="15"/>
        <v>#DIV/0!</v>
      </c>
      <c r="Y187" s="54" t="e">
        <f t="shared" si="15"/>
        <v>#DIV/0!</v>
      </c>
      <c r="Z187" s="54" t="e">
        <f t="shared" si="15"/>
        <v>#DIV/0!</v>
      </c>
    </row>
    <row r="188" spans="1:26" ht="15" hidden="1" outlineLevel="1" x14ac:dyDescent="0.25">
      <c r="A188" s="93">
        <f t="shared" si="16"/>
        <v>0</v>
      </c>
      <c r="B188" s="93" t="s">
        <v>258</v>
      </c>
      <c r="C188" s="93">
        <f t="shared" si="12"/>
        <v>0</v>
      </c>
      <c r="D188" s="134">
        <f t="shared" si="12"/>
        <v>0</v>
      </c>
      <c r="E188" s="49"/>
      <c r="F188" s="49"/>
      <c r="G188" s="49"/>
      <c r="H188" s="49"/>
      <c r="I188" s="49"/>
      <c r="J188" s="48"/>
      <c r="K188" s="12"/>
      <c r="L188" s="11"/>
      <c r="M188" s="11"/>
      <c r="N188" s="11"/>
      <c r="O188" s="54" t="e">
        <f t="shared" si="15"/>
        <v>#DIV/0!</v>
      </c>
      <c r="P188" s="54" t="e">
        <f t="shared" si="15"/>
        <v>#DIV/0!</v>
      </c>
      <c r="Q188" s="54" t="e">
        <f t="shared" si="15"/>
        <v>#DIV/0!</v>
      </c>
      <c r="R188" s="54" t="e">
        <f t="shared" si="15"/>
        <v>#DIV/0!</v>
      </c>
      <c r="S188" s="54" t="e">
        <f t="shared" si="15"/>
        <v>#DIV/0!</v>
      </c>
      <c r="T188" s="54" t="e">
        <f t="shared" si="15"/>
        <v>#DIV/0!</v>
      </c>
      <c r="U188" s="54" t="e">
        <f t="shared" si="15"/>
        <v>#DIV/0!</v>
      </c>
      <c r="V188" s="54" t="e">
        <f t="shared" si="15"/>
        <v>#DIV/0!</v>
      </c>
      <c r="W188" s="54" t="e">
        <f t="shared" si="15"/>
        <v>#DIV/0!</v>
      </c>
      <c r="X188" s="54" t="e">
        <f t="shared" si="15"/>
        <v>#DIV/0!</v>
      </c>
      <c r="Y188" s="54" t="e">
        <f t="shared" si="15"/>
        <v>#DIV/0!</v>
      </c>
      <c r="Z188" s="54" t="e">
        <f t="shared" si="15"/>
        <v>#DIV/0!</v>
      </c>
    </row>
    <row r="189" spans="1:26" ht="15" hidden="1" outlineLevel="1" x14ac:dyDescent="0.25">
      <c r="A189" s="93">
        <f t="shared" si="16"/>
        <v>0</v>
      </c>
      <c r="B189" s="93" t="s">
        <v>259</v>
      </c>
      <c r="C189" s="93">
        <f t="shared" si="12"/>
        <v>0</v>
      </c>
      <c r="D189" s="134">
        <f t="shared" si="12"/>
        <v>0</v>
      </c>
      <c r="E189" s="49"/>
      <c r="F189" s="49"/>
      <c r="G189" s="49"/>
      <c r="H189" s="49"/>
      <c r="I189" s="49"/>
      <c r="J189" s="48"/>
      <c r="K189" s="12"/>
      <c r="L189" s="11"/>
      <c r="M189" s="11"/>
      <c r="N189" s="11"/>
      <c r="O189" s="54" t="e">
        <f t="shared" si="15"/>
        <v>#DIV/0!</v>
      </c>
      <c r="P189" s="54" t="e">
        <f t="shared" si="15"/>
        <v>#DIV/0!</v>
      </c>
      <c r="Q189" s="54" t="e">
        <f t="shared" si="15"/>
        <v>#DIV/0!</v>
      </c>
      <c r="R189" s="54" t="e">
        <f t="shared" si="15"/>
        <v>#DIV/0!</v>
      </c>
      <c r="S189" s="54" t="e">
        <f t="shared" si="15"/>
        <v>#DIV/0!</v>
      </c>
      <c r="T189" s="54" t="e">
        <f t="shared" si="15"/>
        <v>#DIV/0!</v>
      </c>
      <c r="U189" s="54" t="e">
        <f t="shared" si="15"/>
        <v>#DIV/0!</v>
      </c>
      <c r="V189" s="54" t="e">
        <f t="shared" si="15"/>
        <v>#DIV/0!</v>
      </c>
      <c r="W189" s="54" t="e">
        <f t="shared" si="15"/>
        <v>#DIV/0!</v>
      </c>
      <c r="X189" s="54" t="e">
        <f t="shared" si="15"/>
        <v>#DIV/0!</v>
      </c>
      <c r="Y189" s="54" t="e">
        <f t="shared" si="15"/>
        <v>#DIV/0!</v>
      </c>
      <c r="Z189" s="54" t="e">
        <f t="shared" si="15"/>
        <v>#DIV/0!</v>
      </c>
    </row>
    <row r="190" spans="1:26" ht="15" hidden="1" outlineLevel="1" x14ac:dyDescent="0.25">
      <c r="A190" s="93">
        <f t="shared" si="16"/>
        <v>0</v>
      </c>
      <c r="B190" s="93" t="s">
        <v>260</v>
      </c>
      <c r="C190" s="93">
        <f t="shared" si="12"/>
        <v>0</v>
      </c>
      <c r="D190" s="134">
        <f t="shared" si="12"/>
        <v>0</v>
      </c>
      <c r="E190" s="49"/>
      <c r="F190" s="49"/>
      <c r="G190" s="49"/>
      <c r="H190" s="49"/>
      <c r="I190" s="49"/>
      <c r="J190" s="48"/>
      <c r="K190" s="12" t="s">
        <v>5</v>
      </c>
      <c r="L190" s="11"/>
      <c r="M190" s="11"/>
      <c r="N190" s="11"/>
      <c r="O190" s="54" t="e">
        <f t="shared" si="15"/>
        <v>#VALUE!</v>
      </c>
      <c r="P190" s="54" t="e">
        <f t="shared" si="15"/>
        <v>#DIV/0!</v>
      </c>
      <c r="Q190" s="54" t="e">
        <f t="shared" si="15"/>
        <v>#DIV/0!</v>
      </c>
      <c r="R190" s="54" t="e">
        <f t="shared" si="15"/>
        <v>#DIV/0!</v>
      </c>
      <c r="S190" s="54" t="e">
        <f t="shared" si="15"/>
        <v>#DIV/0!</v>
      </c>
      <c r="T190" s="54" t="e">
        <f t="shared" si="15"/>
        <v>#DIV/0!</v>
      </c>
      <c r="U190" s="54" t="e">
        <f t="shared" si="15"/>
        <v>#DIV/0!</v>
      </c>
      <c r="V190" s="54" t="e">
        <f t="shared" si="15"/>
        <v>#DIV/0!</v>
      </c>
      <c r="W190" s="54" t="e">
        <f t="shared" si="15"/>
        <v>#DIV/0!</v>
      </c>
      <c r="X190" s="54" t="e">
        <f t="shared" si="15"/>
        <v>#DIV/0!</v>
      </c>
      <c r="Y190" s="54" t="e">
        <f t="shared" si="15"/>
        <v>#DIV/0!</v>
      </c>
      <c r="Z190" s="54" t="e">
        <f t="shared" si="15"/>
        <v>#DIV/0!</v>
      </c>
    </row>
    <row r="191" spans="1:26" s="35" customFormat="1" ht="22.5" hidden="1" customHeight="1" outlineLevel="1" x14ac:dyDescent="0.25">
      <c r="A191" s="33"/>
      <c r="B191" s="34"/>
      <c r="C191" s="34"/>
      <c r="D191" s="34"/>
      <c r="E191" s="50"/>
      <c r="F191" s="50"/>
      <c r="G191" s="50"/>
      <c r="H191" s="50"/>
      <c r="I191" s="50"/>
      <c r="J191" s="51" t="s">
        <v>20</v>
      </c>
      <c r="K191" s="68"/>
      <c r="L191" s="32" t="s">
        <v>48</v>
      </c>
      <c r="M191" s="32" t="s">
        <v>55</v>
      </c>
      <c r="N191" s="126">
        <f>SUM(N181:N190)</f>
        <v>12</v>
      </c>
      <c r="O191" s="54">
        <f t="shared" si="15"/>
        <v>0.781061114842176</v>
      </c>
      <c r="P191" s="54">
        <f t="shared" si="15"/>
        <v>0.10946944257891202</v>
      </c>
      <c r="Q191" s="54">
        <f t="shared" si="15"/>
        <v>0.10946944257891202</v>
      </c>
      <c r="R191" s="54">
        <f t="shared" si="15"/>
        <v>0</v>
      </c>
      <c r="S191" s="54">
        <f t="shared" si="15"/>
        <v>0</v>
      </c>
      <c r="T191" s="54">
        <f t="shared" si="15"/>
        <v>0</v>
      </c>
      <c r="U191" s="54">
        <f t="shared" si="15"/>
        <v>0</v>
      </c>
      <c r="V191" s="54">
        <f t="shared" si="15"/>
        <v>0</v>
      </c>
      <c r="W191" s="54">
        <f t="shared" si="15"/>
        <v>0</v>
      </c>
      <c r="X191" s="54">
        <f t="shared" si="15"/>
        <v>0</v>
      </c>
      <c r="Y191" s="54">
        <f t="shared" si="15"/>
        <v>0</v>
      </c>
      <c r="Z191" s="54">
        <f t="shared" si="15"/>
        <v>0</v>
      </c>
    </row>
    <row r="192" spans="1:26" collapsed="1" x14ac:dyDescent="0.25"/>
    <row r="193" spans="1:3" x14ac:dyDescent="0.25">
      <c r="B193" s="27" t="s">
        <v>21</v>
      </c>
      <c r="C193" s="28">
        <v>43102</v>
      </c>
    </row>
    <row r="194" spans="1:3" x14ac:dyDescent="0.25">
      <c r="B194" s="27" t="s">
        <v>23</v>
      </c>
      <c r="C194" s="28">
        <v>42917</v>
      </c>
    </row>
    <row r="196" spans="1:3" ht="18" x14ac:dyDescent="0.25">
      <c r="A196" s="132" t="s">
        <v>262</v>
      </c>
    </row>
    <row r="197" spans="1:3" ht="18" x14ac:dyDescent="0.25">
      <c r="A197" s="127" t="s">
        <v>302</v>
      </c>
      <c r="B197" s="128"/>
    </row>
    <row r="198" spans="1:3" ht="18" x14ac:dyDescent="0.25">
      <c r="A198" s="127" t="s">
        <v>323</v>
      </c>
      <c r="B198" s="128"/>
    </row>
    <row r="200" spans="1:3" ht="18" x14ac:dyDescent="0.25">
      <c r="A200" s="128" t="s">
        <v>316</v>
      </c>
      <c r="B200" s="131" t="s">
        <v>288</v>
      </c>
      <c r="C200" s="131" t="s">
        <v>320</v>
      </c>
    </row>
    <row r="201" spans="1:3" ht="36" x14ac:dyDescent="0.25">
      <c r="A201" s="130" t="s">
        <v>310</v>
      </c>
      <c r="B201" s="131" t="s">
        <v>289</v>
      </c>
      <c r="C201" s="131" t="s">
        <v>321</v>
      </c>
    </row>
    <row r="202" spans="1:3" ht="54" x14ac:dyDescent="0.25">
      <c r="A202" s="130" t="s">
        <v>311</v>
      </c>
      <c r="B202" s="131" t="s">
        <v>290</v>
      </c>
      <c r="C202" s="131" t="s">
        <v>319</v>
      </c>
    </row>
    <row r="203" spans="1:3" ht="54" x14ac:dyDescent="0.25">
      <c r="A203" s="130" t="s">
        <v>312</v>
      </c>
      <c r="B203" s="131" t="s">
        <v>291</v>
      </c>
      <c r="C203" s="131" t="s">
        <v>322</v>
      </c>
    </row>
    <row r="204" spans="1:3" ht="54" x14ac:dyDescent="0.25">
      <c r="A204" s="130" t="s">
        <v>313</v>
      </c>
      <c r="B204" s="131" t="s">
        <v>292</v>
      </c>
      <c r="C204" s="131" t="s">
        <v>327</v>
      </c>
    </row>
    <row r="205" spans="1:3" ht="36" x14ac:dyDescent="0.25">
      <c r="A205" s="130" t="s">
        <v>314</v>
      </c>
      <c r="B205" s="131" t="s">
        <v>293</v>
      </c>
      <c r="C205" s="131" t="s">
        <v>317</v>
      </c>
    </row>
    <row r="206" spans="1:3" ht="54" x14ac:dyDescent="0.25">
      <c r="A206" s="130" t="s">
        <v>315</v>
      </c>
      <c r="B206" s="131" t="s">
        <v>296</v>
      </c>
      <c r="C206" s="131" t="s">
        <v>318</v>
      </c>
    </row>
    <row r="208" spans="1:3" ht="72" x14ac:dyDescent="0.25">
      <c r="A208" s="129" t="s">
        <v>301</v>
      </c>
      <c r="B208" s="128" t="s">
        <v>305</v>
      </c>
    </row>
    <row r="210" spans="1:2" ht="54" x14ac:dyDescent="0.25">
      <c r="A210" s="129" t="s">
        <v>303</v>
      </c>
      <c r="B210" s="128" t="s">
        <v>306</v>
      </c>
    </row>
    <row r="211" spans="1:2" ht="18" x14ac:dyDescent="0.25">
      <c r="A211" s="128"/>
    </row>
    <row r="212" spans="1:2" ht="72" x14ac:dyDescent="0.25">
      <c r="A212" s="129" t="s">
        <v>304</v>
      </c>
      <c r="B212" s="9" t="s">
        <v>307</v>
      </c>
    </row>
    <row r="213" spans="1:2" ht="18" x14ac:dyDescent="0.25">
      <c r="A213" s="128"/>
    </row>
    <row r="214" spans="1:2" ht="54" x14ac:dyDescent="0.25">
      <c r="A214" s="128" t="s">
        <v>308</v>
      </c>
      <c r="B214" s="128" t="s">
        <v>309</v>
      </c>
    </row>
  </sheetData>
  <mergeCells count="50">
    <mergeCell ref="E38:K38"/>
    <mergeCell ref="E32:K32"/>
    <mergeCell ref="E33:K33"/>
    <mergeCell ref="E34:K34"/>
    <mergeCell ref="E35:K35"/>
    <mergeCell ref="E36:K36"/>
    <mergeCell ref="E52:K52"/>
    <mergeCell ref="E39:K39"/>
    <mergeCell ref="E40:K40"/>
    <mergeCell ref="E41:K41"/>
    <mergeCell ref="E42:K42"/>
    <mergeCell ref="E44:K44"/>
    <mergeCell ref="E45:K45"/>
    <mergeCell ref="E46:K46"/>
    <mergeCell ref="E47:K47"/>
    <mergeCell ref="E48:K48"/>
    <mergeCell ref="E50:K50"/>
    <mergeCell ref="E51:K51"/>
    <mergeCell ref="E66:K66"/>
    <mergeCell ref="E53:K53"/>
    <mergeCell ref="E54:K54"/>
    <mergeCell ref="E56:K56"/>
    <mergeCell ref="E57:K57"/>
    <mergeCell ref="E58:K58"/>
    <mergeCell ref="E59:K59"/>
    <mergeCell ref="E60:K60"/>
    <mergeCell ref="E62:K62"/>
    <mergeCell ref="E63:K63"/>
    <mergeCell ref="E64:K64"/>
    <mergeCell ref="E65:K65"/>
    <mergeCell ref="E81:K81"/>
    <mergeCell ref="E68:K68"/>
    <mergeCell ref="E69:K69"/>
    <mergeCell ref="E70:K70"/>
    <mergeCell ref="E71:K71"/>
    <mergeCell ref="E72:K72"/>
    <mergeCell ref="E74:K74"/>
    <mergeCell ref="E75:K75"/>
    <mergeCell ref="E76:K76"/>
    <mergeCell ref="E77:K77"/>
    <mergeCell ref="E78:K78"/>
    <mergeCell ref="E80:K80"/>
    <mergeCell ref="E89:K89"/>
    <mergeCell ref="E90:K90"/>
    <mergeCell ref="E82:K82"/>
    <mergeCell ref="E83:K83"/>
    <mergeCell ref="E84:K84"/>
    <mergeCell ref="E86:K86"/>
    <mergeCell ref="E87:K87"/>
    <mergeCell ref="E88:K88"/>
  </mergeCells>
  <dataValidations count="5">
    <dataValidation type="list" allowBlank="1" showInputMessage="1" showErrorMessage="1" sqref="F117 F172:F176 F165:F169 F158:F162 F151:F155 F144:F148 F137:F141 F121:F134">
      <formula1>$A$3:$A$9</formula1>
    </dataValidation>
    <dataValidation type="list" allowBlank="1" showInputMessage="1" showErrorMessage="1" sqref="M181:M191 L181:L190 H172:J176 H165:J169 H158:J162 H151:J155 H144:I148 H137:J141 H121:J134 H117:K117 K96:K102 J106:K107 K108:K116">
      <formula1>$C$3:$C$15</formula1>
    </dataValidation>
    <dataValidation type="list" allowBlank="1" showInputMessage="1" showErrorMessage="1" sqref="L121:L133 L172:L175 L165:L168 L158:L161 L151:L154 L144:L147 L137:L140 L17:L19 L27 L106:L117">
      <formula1>$D$4:$D$15</formula1>
    </dataValidation>
    <dataValidation type="list" allowBlank="1" showInputMessage="1" showErrorMessage="1" sqref="K121:K133 J144:J148 K158:K161 K144:K147 K137:K140 K151:K154 L191 K172:K175 K165:K168 J108:J116 J96:J102">
      <formula1>$C$3:$C$14</formula1>
    </dataValidation>
    <dataValidation type="list" allowBlank="1" showInputMessage="1" showErrorMessage="1" sqref="L38:L42 L44:L48 L50:L54 L56:L60 L62:L66 L68:L72 L74:L78 L80:L84 L86:L90">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Lists!$D$2:$D$14</xm:f>
          </x14:formula1>
          <xm:sqref>L95:L102</xm:sqref>
        </x14:dataValidation>
        <x14:dataValidation type="list" allowBlank="1" showInputMessage="1" showErrorMessage="1">
          <x14:formula1>
            <xm:f>Lists!$C$2:$C$13</xm:f>
          </x14:formula1>
          <xm:sqref>H108:I116 H96:I102</xm:sqref>
        </x14:dataValidation>
        <x14:dataValidation type="list" allowBlank="1" showInputMessage="1" showErrorMessage="1">
          <x14:formula1>
            <xm:f>Lists!$A$2:$A$8</xm:f>
          </x14:formula1>
          <xm:sqref>F106:F116 F95:F102</xm:sqref>
        </x14:dataValidation>
        <x14:dataValidation type="list" allowBlank="1" showInputMessage="1" showErrorMessage="1">
          <x14:formula1>
            <xm:f>Lists!$C$2:$C$14</xm:f>
          </x14:formula1>
          <xm:sqref>H106:I107 H95:K95</xm:sqref>
        </x14:dataValidation>
        <x14:dataValidation type="list" allowBlank="1" showInputMessage="1" showErrorMessage="1">
          <x14:formula1>
            <xm:f>Lists!$H$2:$H$8</xm:f>
          </x14:formula1>
          <xm:sqref>L32:L36</xm:sqref>
        </x14:dataValidation>
        <x14:dataValidation type="list" allowBlank="1" showInputMessage="1" showErrorMessage="1">
          <x14:formula1>
            <xm:f>Lists!$D$2:$D$13</xm:f>
          </x14:formula1>
          <xm:sqref>N181:N190</xm:sqref>
        </x14:dataValidation>
        <x14:dataValidation type="list" allowBlank="1" showInputMessage="1" showErrorMessage="1">
          <x14:formula1>
            <xm:f>Lists!$E$3:$E$41</xm:f>
          </x14:formula1>
          <xm:sqref>B8</xm:sqref>
        </x14:dataValidation>
        <x14:dataValidation type="list" allowBlank="1" showInputMessage="1" showErrorMessage="1">
          <x14:formula1>
            <xm:f>'CCs &amp; Accounts'!$I$2:$I$34</xm:f>
          </x14:formula1>
          <xm:sqref>E17:E26 E106:E117 E137:E141 E144:E148 E151:E155 E158:E162 E165:E169 E172:E176 E121:E134 E95:E102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Z33"/>
  <sheetViews>
    <sheetView showGridLines="0" view="pageLayout" topLeftCell="C7" zoomScale="90" zoomScaleNormal="70" zoomScalePageLayoutView="90" workbookViewId="0">
      <selection activeCell="E30" sqref="E30"/>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8" width="17.5703125" style="9" hidden="1" customWidth="1"/>
    <col min="9" max="10" width="11.5703125" style="9" hidden="1" customWidth="1"/>
    <col min="11" max="11" width="17.5703125" style="9" hidden="1" customWidth="1"/>
    <col min="12" max="12" width="17.7109375" style="9" customWidth="1"/>
    <col min="13" max="13" width="15.7109375" style="9" customWidth="1"/>
    <col min="14" max="14" width="11.5703125" style="9" hidden="1" customWidth="1" outlineLevel="1"/>
    <col min="15" max="16" width="16.42578125" style="9" hidden="1" customWidth="1" outlineLevel="1"/>
    <col min="17" max="17" width="16.85546875" style="9" hidden="1" customWidth="1" outlineLevel="1"/>
    <col min="18" max="18" width="16.42578125" style="9" hidden="1" customWidth="1" outlineLevel="1"/>
    <col min="19" max="22" width="16.85546875" style="9" hidden="1" customWidth="1" outlineLevel="1"/>
    <col min="23" max="24" width="16.42578125" style="9" hidden="1" customWidth="1" outlineLevel="1"/>
    <col min="25" max="25" width="16.85546875" style="9" hidden="1" customWidth="1" outlineLevel="1"/>
    <col min="26" max="26" width="11.42578125" style="9" collapsed="1"/>
    <col min="27" max="16384" width="11.42578125" style="9"/>
  </cols>
  <sheetData>
    <row r="1" spans="1:25" s="1" customFormat="1" ht="36.6" customHeight="1" x14ac:dyDescent="0.2"/>
    <row r="2" spans="1:25" ht="24.75" customHeight="1" x14ac:dyDescent="0.25"/>
    <row r="3" spans="1:25" ht="36.6" customHeight="1" x14ac:dyDescent="0.25">
      <c r="A3" s="40" t="s">
        <v>4</v>
      </c>
      <c r="B3" s="36"/>
      <c r="C3" s="37"/>
      <c r="D3" s="38"/>
      <c r="E3" s="38"/>
      <c r="F3" s="38"/>
      <c r="G3" s="38"/>
      <c r="H3" s="39"/>
      <c r="I3" s="39"/>
      <c r="J3" s="46"/>
      <c r="K3" s="38"/>
      <c r="L3" s="43"/>
      <c r="M3" s="43"/>
      <c r="N3" s="43" t="s">
        <v>5</v>
      </c>
      <c r="O3" s="43"/>
      <c r="P3" s="43"/>
      <c r="Q3" s="43"/>
      <c r="R3" s="43"/>
      <c r="S3" s="43"/>
      <c r="T3" s="43"/>
      <c r="U3" s="43"/>
      <c r="V3" s="43"/>
      <c r="W3" s="43"/>
      <c r="X3" s="43"/>
      <c r="Y3" s="43"/>
    </row>
    <row r="4" spans="1:25" ht="18" x14ac:dyDescent="0.25">
      <c r="A4" s="17"/>
      <c r="B4" s="75" t="s">
        <v>6</v>
      </c>
      <c r="C4" s="75"/>
      <c r="D4" s="75"/>
      <c r="E4" s="75"/>
      <c r="F4" s="75"/>
      <c r="G4" s="75"/>
      <c r="H4" s="75"/>
      <c r="I4" s="75"/>
      <c r="J4" s="75"/>
      <c r="K4" s="75"/>
      <c r="L4" s="75"/>
      <c r="M4" s="76"/>
      <c r="N4" s="16"/>
      <c r="O4" s="16"/>
      <c r="P4" s="16"/>
      <c r="Q4" s="16"/>
      <c r="R4" s="16"/>
      <c r="S4" s="16"/>
      <c r="T4" s="16"/>
      <c r="U4" s="16"/>
      <c r="V4" s="16"/>
      <c r="W4" s="16"/>
      <c r="X4" s="16"/>
      <c r="Y4" s="18"/>
    </row>
    <row r="5" spans="1:25" ht="18" x14ac:dyDescent="0.25">
      <c r="A5" s="19"/>
      <c r="B5" s="77" t="str">
        <f>+'Legal (2019)'!B8</f>
        <v>Legal</v>
      </c>
      <c r="C5" s="78"/>
      <c r="D5" s="78"/>
      <c r="E5" s="79"/>
      <c r="F5" s="79"/>
      <c r="G5" s="79"/>
      <c r="H5" s="79"/>
      <c r="I5" s="79"/>
      <c r="J5" s="79"/>
      <c r="K5" s="79"/>
      <c r="L5" s="79"/>
      <c r="M5" s="80" t="s">
        <v>7</v>
      </c>
      <c r="N5" s="13"/>
      <c r="O5" s="13"/>
      <c r="P5" s="13"/>
      <c r="Q5" s="13"/>
      <c r="R5" s="13"/>
      <c r="S5" s="13"/>
      <c r="T5" s="13"/>
      <c r="U5" s="13"/>
      <c r="V5" s="13"/>
      <c r="W5" s="13"/>
      <c r="X5" s="13"/>
      <c r="Y5" s="25"/>
    </row>
    <row r="6" spans="1:25" ht="18" x14ac:dyDescent="0.25">
      <c r="A6" s="19"/>
      <c r="B6" s="81" t="s">
        <v>8</v>
      </c>
      <c r="C6" s="79"/>
      <c r="D6" s="81" t="s">
        <v>9</v>
      </c>
      <c r="E6" s="81"/>
      <c r="F6" s="81"/>
      <c r="G6" s="81"/>
      <c r="H6" s="81"/>
      <c r="I6" s="81"/>
      <c r="J6" s="81"/>
      <c r="K6" s="81"/>
      <c r="L6" s="81"/>
      <c r="M6" s="82">
        <f>+'Legal (2019)'!N9</f>
        <v>43466</v>
      </c>
      <c r="N6" s="14"/>
      <c r="O6" s="14"/>
      <c r="P6" s="14"/>
      <c r="Q6" s="14"/>
      <c r="R6" s="14"/>
      <c r="S6" s="14"/>
      <c r="T6" s="14"/>
      <c r="U6" s="14"/>
      <c r="V6" s="14"/>
      <c r="W6" s="14"/>
      <c r="X6" s="14"/>
      <c r="Y6" s="26"/>
    </row>
    <row r="7" spans="1:25" ht="18" x14ac:dyDescent="0.25">
      <c r="A7" s="20"/>
      <c r="B7" s="83" t="str">
        <f>+'Legal (2019)'!B10</f>
        <v>683 Legal</v>
      </c>
      <c r="C7" s="84"/>
      <c r="D7" s="77" t="str">
        <f>+'Legal (2019)'!D10</f>
        <v>Ariel Scharfstein</v>
      </c>
      <c r="E7" s="79"/>
      <c r="F7" s="79"/>
      <c r="G7" s="79"/>
      <c r="H7" s="79"/>
      <c r="I7" s="79"/>
      <c r="J7" s="79"/>
      <c r="K7" s="79"/>
      <c r="L7" s="79"/>
      <c r="M7" s="85"/>
      <c r="N7" s="13"/>
      <c r="O7" s="13"/>
      <c r="P7" s="13"/>
      <c r="Q7" s="13"/>
      <c r="R7" s="13"/>
      <c r="S7" s="13"/>
      <c r="T7" s="13"/>
      <c r="U7" s="13"/>
      <c r="V7" s="13"/>
      <c r="W7" s="13"/>
      <c r="X7" s="13"/>
      <c r="Y7" s="25"/>
    </row>
    <row r="8" spans="1:25" ht="18" x14ac:dyDescent="0.25">
      <c r="A8" s="20"/>
      <c r="B8" s="86" t="s">
        <v>10</v>
      </c>
      <c r="C8" s="84"/>
      <c r="D8" s="86"/>
      <c r="E8" s="86"/>
      <c r="F8" s="86"/>
      <c r="G8" s="86"/>
      <c r="H8" s="86"/>
      <c r="I8" s="86"/>
      <c r="J8" s="86"/>
      <c r="K8" s="86"/>
      <c r="L8" s="86"/>
      <c r="M8" s="87" t="s">
        <v>11</v>
      </c>
      <c r="N8" s="15"/>
      <c r="O8" s="15"/>
      <c r="P8" s="15"/>
      <c r="Q8" s="15"/>
      <c r="R8" s="15"/>
      <c r="S8" s="15"/>
      <c r="T8" s="15"/>
      <c r="U8" s="15"/>
      <c r="V8" s="15"/>
      <c r="W8" s="15"/>
      <c r="X8" s="15"/>
      <c r="Y8" s="24"/>
    </row>
    <row r="9" spans="1:25" ht="18" x14ac:dyDescent="0.25">
      <c r="A9" s="20"/>
      <c r="B9" s="88">
        <v>43003</v>
      </c>
      <c r="C9" s="84"/>
      <c r="D9" s="86"/>
      <c r="E9" s="79"/>
      <c r="F9" s="79"/>
      <c r="G9" s="79"/>
      <c r="H9" s="79"/>
      <c r="I9" s="79"/>
      <c r="J9" s="79"/>
      <c r="K9" s="79"/>
      <c r="L9" s="79"/>
      <c r="M9" s="82">
        <f>+'Legal (2019)'!N12</f>
        <v>43830</v>
      </c>
      <c r="N9" s="13"/>
      <c r="O9" s="13"/>
      <c r="P9" s="13"/>
      <c r="Q9" s="13"/>
      <c r="R9" s="13"/>
      <c r="S9" s="13"/>
      <c r="T9" s="13"/>
      <c r="U9" s="13"/>
      <c r="V9" s="13"/>
      <c r="W9" s="13"/>
      <c r="X9" s="13"/>
      <c r="Y9" s="24"/>
    </row>
    <row r="10" spans="1:25" ht="18" x14ac:dyDescent="0.25">
      <c r="A10" s="21"/>
      <c r="B10" s="89"/>
      <c r="C10" s="90"/>
      <c r="D10" s="90"/>
      <c r="E10" s="90"/>
      <c r="F10" s="90"/>
      <c r="G10" s="90"/>
      <c r="H10" s="90"/>
      <c r="I10" s="90"/>
      <c r="J10" s="90"/>
      <c r="K10" s="90"/>
      <c r="L10" s="90"/>
      <c r="M10" s="91"/>
      <c r="N10" s="22"/>
      <c r="O10" s="22"/>
      <c r="P10" s="22"/>
      <c r="Q10" s="22"/>
      <c r="R10" s="22"/>
      <c r="S10" s="22"/>
      <c r="T10" s="22"/>
      <c r="U10" s="22"/>
      <c r="V10" s="22"/>
      <c r="W10" s="22"/>
      <c r="X10" s="22"/>
      <c r="Y10" s="23"/>
    </row>
    <row r="11" spans="1:25" ht="6.75" customHeight="1" x14ac:dyDescent="0.25"/>
    <row r="12" spans="1:25" ht="18" x14ac:dyDescent="0.25">
      <c r="A12" s="41" t="s">
        <v>12</v>
      </c>
      <c r="B12" s="41"/>
      <c r="C12" s="42"/>
      <c r="D12" s="42"/>
      <c r="E12" s="43"/>
      <c r="F12" s="43"/>
      <c r="G12" s="43"/>
      <c r="H12" s="44"/>
      <c r="I12" s="44"/>
      <c r="J12" s="46"/>
      <c r="K12" s="43"/>
      <c r="L12" s="43"/>
      <c r="M12" s="43"/>
      <c r="N12" s="43" t="s">
        <v>5</v>
      </c>
      <c r="O12" s="43"/>
      <c r="P12" s="43"/>
      <c r="Q12" s="43"/>
      <c r="R12" s="43"/>
      <c r="S12" s="43"/>
      <c r="T12" s="43"/>
      <c r="U12" s="43"/>
      <c r="V12" s="43"/>
      <c r="W12" s="43"/>
      <c r="X12" s="43"/>
      <c r="Y12" s="43"/>
    </row>
    <row r="13" spans="1:25" ht="30" outlineLevel="1" x14ac:dyDescent="0.25">
      <c r="A13" s="92"/>
      <c r="B13" s="92" t="s">
        <v>13</v>
      </c>
      <c r="C13" s="92" t="s">
        <v>14</v>
      </c>
      <c r="D13" s="8" t="s">
        <v>15</v>
      </c>
      <c r="E13" s="32" t="s">
        <v>16</v>
      </c>
      <c r="F13" s="48"/>
      <c r="G13" s="48"/>
      <c r="H13" s="48"/>
      <c r="I13" s="48"/>
      <c r="J13" s="48"/>
      <c r="K13" s="48"/>
      <c r="L13" s="32" t="s">
        <v>17</v>
      </c>
      <c r="M13" s="32" t="s">
        <v>825</v>
      </c>
      <c r="N13" s="66">
        <v>43101</v>
      </c>
      <c r="O13" s="66">
        <v>43132</v>
      </c>
      <c r="P13" s="66">
        <v>43160</v>
      </c>
      <c r="Q13" s="66">
        <v>43191</v>
      </c>
      <c r="R13" s="66">
        <v>43221</v>
      </c>
      <c r="S13" s="66">
        <v>43252</v>
      </c>
      <c r="T13" s="66">
        <v>43282</v>
      </c>
      <c r="U13" s="66">
        <v>43313</v>
      </c>
      <c r="V13" s="66">
        <v>43344</v>
      </c>
      <c r="W13" s="66">
        <v>43374</v>
      </c>
      <c r="X13" s="66">
        <v>43405</v>
      </c>
      <c r="Y13" s="66">
        <v>43435</v>
      </c>
    </row>
    <row r="14" spans="1:25" ht="15" outlineLevel="1" x14ac:dyDescent="0.25">
      <c r="A14" s="93" t="str">
        <f>+'Legal (2019)'!A17</f>
        <v>3.1</v>
      </c>
      <c r="B14" s="93" t="str">
        <f>+'Legal (2019)'!B17</f>
        <v>Objective 1</v>
      </c>
      <c r="C14" s="93" t="str">
        <f>+'Legal (2019)'!C17</f>
        <v>RE Mine Property</v>
      </c>
      <c r="D14" s="10" t="str">
        <f>+'Legal (2019)'!D17</f>
        <v xml:space="preserve">Tramitación, Mantención y Resguardo de la Propiedad Minera Relincho </v>
      </c>
      <c r="E14" s="11" t="str">
        <f>+'Legal (2019)'!E17</f>
        <v>683 / 51-11-3337</v>
      </c>
      <c r="F14" s="48"/>
      <c r="G14" s="48"/>
      <c r="H14" s="48"/>
      <c r="I14" s="48"/>
      <c r="J14" s="48"/>
      <c r="K14" s="48"/>
      <c r="L14" s="11">
        <f>+'Legal (2019)'!L17</f>
        <v>12</v>
      </c>
      <c r="M14" s="11">
        <f>+'Legal (2019)'!N17</f>
        <v>773841.08393749665</v>
      </c>
      <c r="N14" s="52" t="e">
        <f>+#REF!</f>
        <v>#REF!</v>
      </c>
      <c r="O14" s="52" t="e">
        <f>+#REF!</f>
        <v>#REF!</v>
      </c>
      <c r="P14" s="52" t="e">
        <f>+#REF!</f>
        <v>#REF!</v>
      </c>
      <c r="Q14" s="52" t="e">
        <f>+#REF!</f>
        <v>#REF!</v>
      </c>
      <c r="R14" s="52" t="e">
        <f>+#REF!</f>
        <v>#REF!</v>
      </c>
      <c r="S14" s="52" t="e">
        <f>+#REF!</f>
        <v>#REF!</v>
      </c>
      <c r="T14" s="52" t="e">
        <f>+#REF!</f>
        <v>#REF!</v>
      </c>
      <c r="U14" s="52" t="e">
        <f>+#REF!</f>
        <v>#REF!</v>
      </c>
      <c r="V14" s="52" t="e">
        <f>+#REF!</f>
        <v>#REF!</v>
      </c>
      <c r="W14" s="52" t="e">
        <f>+#REF!</f>
        <v>#REF!</v>
      </c>
      <c r="X14" s="52" t="e">
        <f>+#REF!</f>
        <v>#REF!</v>
      </c>
      <c r="Y14" s="52" t="e">
        <f>+#REF!</f>
        <v>#REF!</v>
      </c>
    </row>
    <row r="15" spans="1:25" ht="15" outlineLevel="1" x14ac:dyDescent="0.25">
      <c r="A15" s="93" t="str">
        <f>+'Legal (2019)'!A18</f>
        <v>3.2</v>
      </c>
      <c r="B15" s="93" t="str">
        <f>+'Legal (2019)'!B18</f>
        <v>Objective 2</v>
      </c>
      <c r="C15" s="93" t="str">
        <f>+'Legal (2019)'!C18</f>
        <v>EM Mine Property</v>
      </c>
      <c r="D15" s="10" t="str">
        <f>+'Legal (2019)'!D18</f>
        <v>Tramitación, Mantención y Resguardo de la Propiedad Minera El Morro</v>
      </c>
      <c r="E15" s="11" t="str">
        <f>+'Legal (2019)'!E18</f>
        <v>683 / 51-11-3338</v>
      </c>
      <c r="F15" s="48"/>
      <c r="G15" s="48"/>
      <c r="H15" s="48"/>
      <c r="I15" s="48"/>
      <c r="J15" s="48"/>
      <c r="K15" s="48"/>
      <c r="L15" s="11">
        <f>+'Legal (2019)'!L18</f>
        <v>12</v>
      </c>
      <c r="M15" s="11">
        <f>+'Legal (2019)'!N18</f>
        <v>899174.32882720628</v>
      </c>
      <c r="N15" s="52" t="e">
        <f>+#REF!</f>
        <v>#REF!</v>
      </c>
      <c r="O15" s="52" t="e">
        <f>+#REF!</f>
        <v>#REF!</v>
      </c>
      <c r="P15" s="52" t="e">
        <f>+#REF!</f>
        <v>#REF!</v>
      </c>
      <c r="Q15" s="52" t="e">
        <f>+#REF!</f>
        <v>#REF!</v>
      </c>
      <c r="R15" s="52" t="e">
        <f>+#REF!</f>
        <v>#REF!</v>
      </c>
      <c r="S15" s="52" t="e">
        <f>+#REF!</f>
        <v>#REF!</v>
      </c>
      <c r="T15" s="52" t="e">
        <f>+#REF!</f>
        <v>#REF!</v>
      </c>
      <c r="U15" s="52" t="e">
        <f>+#REF!</f>
        <v>#REF!</v>
      </c>
      <c r="V15" s="52" t="e">
        <f>+#REF!</f>
        <v>#REF!</v>
      </c>
      <c r="W15" s="52" t="e">
        <f>+#REF!</f>
        <v>#REF!</v>
      </c>
      <c r="X15" s="52" t="e">
        <f>+#REF!</f>
        <v>#REF!</v>
      </c>
      <c r="Y15" s="52" t="e">
        <f>+#REF!</f>
        <v>#REF!</v>
      </c>
    </row>
    <row r="16" spans="1:25" ht="15" outlineLevel="1" x14ac:dyDescent="0.25">
      <c r="A16" s="93" t="str">
        <f>+'Legal (2019)'!A19</f>
        <v>3.3</v>
      </c>
      <c r="B16" s="93" t="str">
        <f>+'Legal (2019)'!B19</f>
        <v>Objective 3.01</v>
      </c>
      <c r="C16" s="93" t="str">
        <f>+'Legal (2019)'!C19</f>
        <v xml:space="preserve">Legal/Consulting </v>
      </c>
      <c r="D16" s="10" t="str">
        <f>+'Legal (2019)'!D19</f>
        <v>Costo Consultores y gastos varios área legal and suport othres areas</v>
      </c>
      <c r="E16" s="11" t="str">
        <f>+'Legal (2019)'!E19</f>
        <v>683 / 51-11-3339</v>
      </c>
      <c r="F16" s="48"/>
      <c r="G16" s="48"/>
      <c r="H16" s="48"/>
      <c r="I16" s="48"/>
      <c r="J16" s="48"/>
      <c r="K16" s="48"/>
      <c r="L16" s="11">
        <f>+'Legal (2019)'!L19</f>
        <v>12</v>
      </c>
      <c r="M16" s="11">
        <f>+'Legal (2019)'!N19</f>
        <v>740720.58823529433</v>
      </c>
      <c r="N16" s="52" t="e">
        <f>+#REF!</f>
        <v>#REF!</v>
      </c>
      <c r="O16" s="52" t="e">
        <f>+#REF!</f>
        <v>#REF!</v>
      </c>
      <c r="P16" s="52" t="e">
        <f>+#REF!</f>
        <v>#REF!</v>
      </c>
      <c r="Q16" s="52" t="e">
        <f>+#REF!</f>
        <v>#REF!</v>
      </c>
      <c r="R16" s="52" t="e">
        <f>+#REF!</f>
        <v>#REF!</v>
      </c>
      <c r="S16" s="52" t="e">
        <f>+#REF!</f>
        <v>#REF!</v>
      </c>
      <c r="T16" s="52" t="e">
        <f>+#REF!</f>
        <v>#REF!</v>
      </c>
      <c r="U16" s="52" t="e">
        <f>+#REF!</f>
        <v>#REF!</v>
      </c>
      <c r="V16" s="52" t="e">
        <f>+#REF!</f>
        <v>#REF!</v>
      </c>
      <c r="W16" s="52" t="e">
        <f>+#REF!</f>
        <v>#REF!</v>
      </c>
      <c r="X16" s="52" t="e">
        <f>+#REF!</f>
        <v>#REF!</v>
      </c>
      <c r="Y16" s="52" t="e">
        <f>+#REF!</f>
        <v>#REF!</v>
      </c>
    </row>
    <row r="17" spans="1:25" ht="15" outlineLevel="1" x14ac:dyDescent="0.25">
      <c r="A17" s="93" t="str">
        <f>+'Legal (2019)'!A20</f>
        <v>3.3</v>
      </c>
      <c r="B17" s="93" t="str">
        <f>+'Legal (2019)'!B20</f>
        <v>Objective 3.02</v>
      </c>
      <c r="C17" s="93" t="str">
        <f>+'Legal (2019)'!C20</f>
        <v>Legal/Consulting Land Access</v>
      </c>
      <c r="D17" s="10" t="str">
        <f>+'Legal (2019)'!D20</f>
        <v xml:space="preserve">Costo Consultores y gastos varios área legal Land Access </v>
      </c>
      <c r="E17" s="11" t="str">
        <f>+'Legal (2019)'!E20</f>
        <v>683 / 51-11-3339</v>
      </c>
      <c r="F17" s="48"/>
      <c r="G17" s="48"/>
      <c r="H17" s="48"/>
      <c r="I17" s="48"/>
      <c r="J17" s="48"/>
      <c r="K17" s="48"/>
      <c r="L17" s="11">
        <f>+'Legal (2019)'!L20</f>
        <v>12</v>
      </c>
      <c r="M17" s="11">
        <f>+'Legal (2019)'!N20</f>
        <v>1332552.9411764699</v>
      </c>
      <c r="N17" s="52" t="e">
        <f>+#REF!</f>
        <v>#REF!</v>
      </c>
      <c r="O17" s="52" t="e">
        <f>+#REF!</f>
        <v>#REF!</v>
      </c>
      <c r="P17" s="52" t="e">
        <f>+#REF!</f>
        <v>#REF!</v>
      </c>
      <c r="Q17" s="52" t="e">
        <f>+#REF!</f>
        <v>#REF!</v>
      </c>
      <c r="R17" s="52" t="e">
        <f>+#REF!</f>
        <v>#REF!</v>
      </c>
      <c r="S17" s="52" t="e">
        <f>+#REF!</f>
        <v>#REF!</v>
      </c>
      <c r="T17" s="52" t="e">
        <f>+#REF!</f>
        <v>#REF!</v>
      </c>
      <c r="U17" s="52" t="e">
        <f>+#REF!</f>
        <v>#REF!</v>
      </c>
      <c r="V17" s="52" t="e">
        <f>+#REF!</f>
        <v>#REF!</v>
      </c>
      <c r="W17" s="52" t="e">
        <f>+#REF!</f>
        <v>#REF!</v>
      </c>
      <c r="X17" s="52" t="e">
        <f>+#REF!</f>
        <v>#REF!</v>
      </c>
      <c r="Y17" s="52" t="e">
        <f>+#REF!</f>
        <v>#REF!</v>
      </c>
    </row>
    <row r="18" spans="1:25" ht="13.5" customHeight="1" outlineLevel="1" x14ac:dyDescent="0.25">
      <c r="A18" s="93" t="str">
        <f>+'Legal (2019)'!A21</f>
        <v>3.3.1</v>
      </c>
      <c r="B18" s="93" t="str">
        <f>+'Legal (2019)'!B21</f>
        <v>Objective 3.1</v>
      </c>
      <c r="C18" s="93" t="str">
        <f>+'Legal (2019)'!C21</f>
        <v>Easments Firm commitment</v>
      </c>
      <c r="D18" s="10" t="str">
        <f>+'Legal (2019)'!D21</f>
        <v xml:space="preserve">Costo Servidumbres y/o contratos vigentes </v>
      </c>
      <c r="E18" s="11" t="str">
        <f>+'Legal (2019)'!E21</f>
        <v>683 / 51-11-3339</v>
      </c>
      <c r="F18" s="48"/>
      <c r="G18" s="48"/>
      <c r="H18" s="48"/>
      <c r="I18" s="48"/>
      <c r="J18" s="48"/>
      <c r="K18" s="48"/>
      <c r="L18" s="11">
        <f>+'Legal (2019)'!L21</f>
        <v>12</v>
      </c>
      <c r="M18" s="11">
        <f>+'Legal (2019)'!N21</f>
        <v>1500000</v>
      </c>
      <c r="N18" s="52" t="e">
        <f>+#REF!</f>
        <v>#REF!</v>
      </c>
      <c r="O18" s="52" t="e">
        <f>+#REF!</f>
        <v>#REF!</v>
      </c>
      <c r="P18" s="52" t="e">
        <f>+#REF!</f>
        <v>#REF!</v>
      </c>
      <c r="Q18" s="52" t="e">
        <f>+#REF!</f>
        <v>#REF!</v>
      </c>
      <c r="R18" s="52" t="e">
        <f>+#REF!</f>
        <v>#REF!</v>
      </c>
      <c r="S18" s="52" t="e">
        <f>+#REF!</f>
        <v>#REF!</v>
      </c>
      <c r="T18" s="52" t="e">
        <f>+#REF!</f>
        <v>#REF!</v>
      </c>
      <c r="U18" s="52" t="e">
        <f>+#REF!</f>
        <v>#REF!</v>
      </c>
      <c r="V18" s="52" t="e">
        <f>+#REF!</f>
        <v>#REF!</v>
      </c>
      <c r="W18" s="52" t="e">
        <f>+#REF!</f>
        <v>#REF!</v>
      </c>
      <c r="X18" s="52" t="e">
        <f>+#REF!</f>
        <v>#REF!</v>
      </c>
      <c r="Y18" s="52" t="e">
        <f>+#REF!</f>
        <v>#REF!</v>
      </c>
    </row>
    <row r="19" spans="1:25" ht="13.5" customHeight="1" outlineLevel="1" x14ac:dyDescent="0.25">
      <c r="A19" s="93" t="str">
        <f>+'Legal (2019)'!A22</f>
        <v>3.3.2</v>
      </c>
      <c r="B19" s="93" t="str">
        <f>+'Legal (2019)'!B22</f>
        <v>Objective 3.2</v>
      </c>
      <c r="C19" s="93" t="str">
        <f>+'Legal (2019)'!C22</f>
        <v xml:space="preserve">NSR Purchases </v>
      </c>
      <c r="D19" s="10" t="str">
        <f>+'Legal (2019)'!D22</f>
        <v>NSR Cantarito - Tronquito</v>
      </c>
      <c r="E19" s="11" t="str">
        <f>+'Legal (2019)'!E22</f>
        <v>683 / 51-11-3339</v>
      </c>
      <c r="F19" s="48"/>
      <c r="G19" s="48"/>
      <c r="H19" s="48"/>
      <c r="I19" s="48"/>
      <c r="J19" s="48"/>
      <c r="K19" s="48"/>
      <c r="L19" s="11">
        <f>+'Legal (2019)'!L22</f>
        <v>12</v>
      </c>
      <c r="M19" s="11">
        <f>+'Legal (2019)'!N22</f>
        <v>0</v>
      </c>
      <c r="N19" s="52" t="e">
        <f>+#REF!</f>
        <v>#REF!</v>
      </c>
      <c r="O19" s="52" t="e">
        <f>+#REF!</f>
        <v>#REF!</v>
      </c>
      <c r="P19" s="52" t="e">
        <f>+#REF!</f>
        <v>#REF!</v>
      </c>
      <c r="Q19" s="52" t="e">
        <f>+#REF!</f>
        <v>#REF!</v>
      </c>
      <c r="R19" s="52" t="e">
        <f>+#REF!</f>
        <v>#REF!</v>
      </c>
      <c r="S19" s="52" t="e">
        <f>+#REF!</f>
        <v>#REF!</v>
      </c>
      <c r="T19" s="52" t="e">
        <f>+#REF!</f>
        <v>#REF!</v>
      </c>
      <c r="U19" s="52" t="e">
        <f>+#REF!</f>
        <v>#REF!</v>
      </c>
      <c r="V19" s="52" t="e">
        <f>+#REF!</f>
        <v>#REF!</v>
      </c>
      <c r="W19" s="52" t="e">
        <f>+#REF!</f>
        <v>#REF!</v>
      </c>
      <c r="X19" s="52" t="e">
        <f>+#REF!</f>
        <v>#REF!</v>
      </c>
      <c r="Y19" s="52" t="e">
        <f>+#REF!</f>
        <v>#REF!</v>
      </c>
    </row>
    <row r="20" spans="1:25" ht="13.5" customHeight="1" outlineLevel="1" x14ac:dyDescent="0.25">
      <c r="A20" s="93" t="str">
        <f>+'Legal (2019)'!A23</f>
        <v>3.3.3</v>
      </c>
      <c r="B20" s="93" t="str">
        <f>+'Legal (2019)'!B23</f>
        <v>Objective 3.3</v>
      </c>
      <c r="C20" s="93" t="str">
        <f>+'Legal (2019)'!C23</f>
        <v xml:space="preserve">Mining Rights Purchases </v>
      </c>
      <c r="D20" s="10" t="str">
        <f>+'Legal (2019)'!D23</f>
        <v>Costo adquisicion concesiones mineras de terceros</v>
      </c>
      <c r="E20" s="11" t="str">
        <f>+'Legal (2019)'!E23</f>
        <v>683 / 51-11-3339</v>
      </c>
      <c r="F20" s="48"/>
      <c r="G20" s="48"/>
      <c r="H20" s="48"/>
      <c r="I20" s="48"/>
      <c r="J20" s="48"/>
      <c r="K20" s="48"/>
      <c r="L20" s="11">
        <f>+'Legal (2019)'!L23</f>
        <v>12</v>
      </c>
      <c r="M20" s="11">
        <f>+'Legal (2019)'!N23</f>
        <v>2717600</v>
      </c>
      <c r="N20" s="12" t="s">
        <v>5</v>
      </c>
      <c r="O20" s="12"/>
      <c r="P20" s="12"/>
      <c r="Q20" s="12"/>
      <c r="R20" s="12"/>
      <c r="S20" s="12"/>
      <c r="T20" s="12"/>
      <c r="U20" s="12"/>
      <c r="V20" s="12"/>
      <c r="W20" s="12"/>
      <c r="X20" s="12"/>
      <c r="Y20" s="12"/>
    </row>
    <row r="21" spans="1:25" ht="13.5" customHeight="1" outlineLevel="1" x14ac:dyDescent="0.25">
      <c r="A21" s="93" t="str">
        <f>+'Legal (2019)'!A24</f>
        <v>3.3.4</v>
      </c>
      <c r="B21" s="93" t="str">
        <f>+'Legal (2019)'!B24</f>
        <v>Objective 3.4</v>
      </c>
      <c r="C21" s="93" t="str">
        <f>+'Legal (2019)'!C24</f>
        <v>Land Access (Ingreso Enero 2018)</v>
      </c>
      <c r="D21" s="10" t="str">
        <f>+'Legal (2019)'!D24</f>
        <v>Tramitación e indemnizacion Servidumbres Fiscales/Arriendos Delano/Conveyor Lote B</v>
      </c>
      <c r="E21" s="11" t="str">
        <f>+'Legal (2019)'!E24</f>
        <v>683 / 51-11-3339</v>
      </c>
      <c r="F21" s="48"/>
      <c r="G21" s="48"/>
      <c r="H21" s="48"/>
      <c r="I21" s="48"/>
      <c r="J21" s="48"/>
      <c r="K21" s="48"/>
      <c r="L21" s="11">
        <f>+'Legal (2019)'!L24</f>
        <v>12</v>
      </c>
      <c r="M21" s="11">
        <f>+'Legal (2019)'!N24</f>
        <v>0</v>
      </c>
      <c r="N21" s="12" t="s">
        <v>5</v>
      </c>
      <c r="O21" s="12"/>
      <c r="P21" s="12"/>
      <c r="Q21" s="12"/>
      <c r="R21" s="12"/>
      <c r="S21" s="12"/>
      <c r="T21" s="12"/>
      <c r="U21" s="12"/>
      <c r="V21" s="12"/>
      <c r="W21" s="12"/>
      <c r="X21" s="12"/>
      <c r="Y21" s="12"/>
    </row>
    <row r="22" spans="1:25" ht="13.5" customHeight="1" outlineLevel="1" x14ac:dyDescent="0.25">
      <c r="A22" s="93" t="str">
        <f>+'Legal (2019)'!A25</f>
        <v>3.3.5</v>
      </c>
      <c r="B22" s="93" t="str">
        <f>+'Legal (2019)'!B25</f>
        <v>Objective 3.5</v>
      </c>
      <c r="C22" s="93" t="str">
        <f>+'Legal (2019)'!C25</f>
        <v>Land Access (Ingreso EIA)</v>
      </c>
      <c r="D22" s="10" t="str">
        <f>+'Legal (2019)'!D25</f>
        <v xml:space="preserve">Tramitación e indemnizacion Servidumbres </v>
      </c>
      <c r="E22" s="11" t="str">
        <f>+'Legal (2019)'!E25</f>
        <v>683 / 51-11-3339</v>
      </c>
      <c r="F22" s="48"/>
      <c r="G22" s="48"/>
      <c r="H22" s="48"/>
      <c r="I22" s="48"/>
      <c r="J22" s="48"/>
      <c r="K22" s="48"/>
      <c r="L22" s="11">
        <f>+'Legal (2019)'!L25</f>
        <v>12</v>
      </c>
      <c r="M22" s="11">
        <f>+'Legal (2019)'!N25</f>
        <v>3013330.0447058822</v>
      </c>
      <c r="N22" s="12"/>
      <c r="O22" s="12"/>
      <c r="P22" s="12"/>
      <c r="Q22" s="12"/>
      <c r="R22" s="12"/>
      <c r="S22" s="12"/>
      <c r="T22" s="12"/>
      <c r="U22" s="12"/>
      <c r="V22" s="12"/>
      <c r="W22" s="12"/>
      <c r="X22" s="12"/>
      <c r="Y22" s="12"/>
    </row>
    <row r="23" spans="1:25" ht="13.5" customHeight="1" outlineLevel="1" x14ac:dyDescent="0.25">
      <c r="A23" s="93" t="str">
        <f>+'Legal (2019)'!A26</f>
        <v>3.3.6</v>
      </c>
      <c r="B23" s="93" t="str">
        <f>+'Legal (2019)'!B26</f>
        <v>Objective 3.6</v>
      </c>
      <c r="C23" s="93" t="str">
        <f>+'Legal (2019)'!C26</f>
        <v xml:space="preserve">Otros Predios </v>
      </c>
      <c r="D23" s="10" t="str">
        <f>+'Legal (2019)'!D26</f>
        <v xml:space="preserve">Adquisición de otros predios </v>
      </c>
      <c r="E23" s="11" t="str">
        <f>+'Legal (2019)'!E26</f>
        <v>683 / 51-11-3339</v>
      </c>
      <c r="F23" s="48"/>
      <c r="G23" s="48"/>
      <c r="H23" s="48"/>
      <c r="I23" s="48"/>
      <c r="J23" s="48"/>
      <c r="K23" s="48"/>
      <c r="L23" s="11">
        <f>+'Legal (2019)'!L26</f>
        <v>12</v>
      </c>
      <c r="M23" s="11">
        <f>+'Legal (2019)'!N26</f>
        <v>1120000</v>
      </c>
      <c r="N23" s="12"/>
      <c r="O23" s="12"/>
      <c r="P23" s="12"/>
      <c r="Q23" s="12"/>
      <c r="R23" s="12"/>
      <c r="S23" s="12"/>
      <c r="T23" s="12"/>
      <c r="U23" s="12"/>
      <c r="V23" s="12"/>
      <c r="W23" s="12"/>
      <c r="X23" s="12"/>
      <c r="Y23" s="12"/>
    </row>
    <row r="24" spans="1:25" ht="13.5" customHeight="1" outlineLevel="1" x14ac:dyDescent="0.25">
      <c r="A24" s="93" t="str">
        <f>+'Legal (2019)'!A27</f>
        <v>3.4</v>
      </c>
      <c r="B24" s="93" t="str">
        <f>+'Legal (2019)'!B27</f>
        <v>Objective 4</v>
      </c>
      <c r="C24" s="93" t="str">
        <f>+'Legal (2019)'!C27</f>
        <v>Agua Construcción</v>
      </c>
      <c r="D24" s="10" t="str">
        <f>+'Legal (2019)'!D27</f>
        <v>Adquisición de agua para construcción</v>
      </c>
      <c r="E24" s="11" t="str">
        <f>+'Legal (2019)'!E27</f>
        <v>683 / 51-11-3339</v>
      </c>
      <c r="F24" s="48"/>
      <c r="G24" s="48"/>
      <c r="H24" s="48"/>
      <c r="I24" s="48"/>
      <c r="J24" s="48"/>
      <c r="K24" s="48"/>
      <c r="L24" s="11">
        <f>+'Legal (2019)'!L27</f>
        <v>12</v>
      </c>
      <c r="M24" s="11">
        <f>+'Legal (2019)'!N27</f>
        <v>2770694.8302368559</v>
      </c>
      <c r="N24" s="12"/>
      <c r="O24" s="12"/>
      <c r="P24" s="12"/>
      <c r="Q24" s="12"/>
      <c r="R24" s="12"/>
      <c r="S24" s="12"/>
      <c r="T24" s="12"/>
      <c r="U24" s="12"/>
      <c r="V24" s="12"/>
      <c r="W24" s="12"/>
      <c r="X24" s="12"/>
      <c r="Y24" s="12"/>
    </row>
    <row r="25" spans="1:25" ht="13.5" customHeight="1" outlineLevel="1" x14ac:dyDescent="0.25">
      <c r="A25" s="93" t="str">
        <f>+'Legal (2019)'!A28</f>
        <v>3.5</v>
      </c>
      <c r="B25" s="93" t="str">
        <f>+'Legal (2019)'!B28</f>
        <v>Objective 5</v>
      </c>
      <c r="C25" s="93" t="str">
        <f>+'Legal (2019)'!C28</f>
        <v>Permits Licences</v>
      </c>
      <c r="D25" s="10" t="str">
        <f>+'Legal (2019)'!D28</f>
        <v>Pago de Contribuciones predios superficiales de propiedad del proyecto</v>
      </c>
      <c r="E25" s="11" t="str">
        <f>+'Legal (2019)'!E28</f>
        <v>683 / 51-11-3340</v>
      </c>
      <c r="F25" s="48"/>
      <c r="G25" s="48"/>
      <c r="H25" s="48"/>
      <c r="I25" s="48"/>
      <c r="J25" s="48"/>
      <c r="K25" s="48"/>
      <c r="L25" s="11">
        <f>+'Legal (2019)'!L28</f>
        <v>12</v>
      </c>
      <c r="M25" s="11">
        <f>+'Legal (2019)'!N28</f>
        <v>40000</v>
      </c>
      <c r="N25" s="12" t="s">
        <v>5</v>
      </c>
      <c r="O25" s="12"/>
      <c r="P25" s="12"/>
      <c r="Q25" s="12"/>
      <c r="R25" s="12"/>
      <c r="S25" s="12"/>
      <c r="T25" s="12"/>
      <c r="U25" s="12"/>
      <c r="V25" s="12"/>
      <c r="W25" s="12"/>
      <c r="X25" s="12"/>
      <c r="Y25" s="12"/>
    </row>
    <row r="26" spans="1:25" ht="15" outlineLevel="1" x14ac:dyDescent="0.25">
      <c r="A26" s="69"/>
      <c r="B26" s="70"/>
      <c r="C26" s="70"/>
      <c r="D26" s="71"/>
      <c r="E26" s="72"/>
      <c r="F26" s="72"/>
      <c r="G26" s="72"/>
      <c r="H26" s="72"/>
      <c r="I26" s="72"/>
      <c r="J26" s="74" t="s">
        <v>20</v>
      </c>
      <c r="K26" s="73"/>
      <c r="L26" s="32">
        <f>+'Legal (2019)'!L30</f>
        <v>12</v>
      </c>
      <c r="M26" s="32">
        <f>SUM(M14:M25)</f>
        <v>14907913.817119205</v>
      </c>
      <c r="N26" s="32" t="e">
        <f t="shared" ref="N26:Y26" si="0">SUM(N13:N25)</f>
        <v>#REF!</v>
      </c>
      <c r="O26" s="32" t="e">
        <f t="shared" si="0"/>
        <v>#REF!</v>
      </c>
      <c r="P26" s="32" t="e">
        <f t="shared" si="0"/>
        <v>#REF!</v>
      </c>
      <c r="Q26" s="32" t="e">
        <f t="shared" si="0"/>
        <v>#REF!</v>
      </c>
      <c r="R26" s="32" t="e">
        <f t="shared" si="0"/>
        <v>#REF!</v>
      </c>
      <c r="S26" s="32" t="e">
        <f t="shared" si="0"/>
        <v>#REF!</v>
      </c>
      <c r="T26" s="32" t="e">
        <f t="shared" si="0"/>
        <v>#REF!</v>
      </c>
      <c r="U26" s="32" t="e">
        <f t="shared" si="0"/>
        <v>#REF!</v>
      </c>
      <c r="V26" s="32" t="e">
        <f t="shared" si="0"/>
        <v>#REF!</v>
      </c>
      <c r="W26" s="32" t="e">
        <f t="shared" si="0"/>
        <v>#REF!</v>
      </c>
      <c r="X26" s="32" t="e">
        <f t="shared" si="0"/>
        <v>#REF!</v>
      </c>
      <c r="Y26" s="32" t="e">
        <f t="shared" si="0"/>
        <v>#REF!</v>
      </c>
    </row>
    <row r="27" spans="1:25" ht="6.75" customHeight="1" x14ac:dyDescent="0.25">
      <c r="A27" s="71"/>
      <c r="B27" s="71"/>
      <c r="C27" s="71"/>
      <c r="D27" s="71"/>
      <c r="E27" s="71"/>
      <c r="F27" s="71"/>
      <c r="G27" s="71"/>
      <c r="H27" s="71"/>
      <c r="I27" s="71"/>
      <c r="J27" s="71"/>
      <c r="K27" s="71"/>
    </row>
    <row r="29" spans="1:25" ht="24.75" customHeight="1" x14ac:dyDescent="0.25">
      <c r="B29" s="27" t="s">
        <v>21</v>
      </c>
      <c r="C29" s="28">
        <v>43466</v>
      </c>
      <c r="L29" s="112" t="s">
        <v>22</v>
      </c>
      <c r="M29" s="111"/>
    </row>
    <row r="30" spans="1:25" ht="24.75" customHeight="1" x14ac:dyDescent="0.25">
      <c r="B30" s="27" t="s">
        <v>23</v>
      </c>
      <c r="C30" s="28">
        <v>43003</v>
      </c>
      <c r="L30" s="112" t="s">
        <v>24</v>
      </c>
      <c r="M30" s="111"/>
    </row>
    <row r="32" spans="1:25" x14ac:dyDescent="0.25">
      <c r="L32" s="718"/>
      <c r="M32" s="162"/>
    </row>
    <row r="33" spans="13:13" x14ac:dyDescent="0.25">
      <c r="M33" s="162"/>
    </row>
  </sheetData>
  <printOptions horizontalCentered="1"/>
  <pageMargins left="0.31496062992125984" right="0.31496062992125984" top="1.1811023622047245" bottom="1.1811023622047245" header="0.31496062992125984" footer="0.31496062992125984"/>
  <pageSetup paperSize="17" scale="96" orientation="landscape" r:id="rId1"/>
  <headerFooter>
    <oddFooter>&amp;L&amp;"Arial,Normal"&amp;8NuevaUnión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'C:\Users\gineva.alcota\AppData\Local\Microsoft\Windows\INetCache\Content.Outlook\YCN3EFJG\[Budget Legal 2019_29nov2017_mejorado (002).xlsx]Lists'!#REF!</xm:f>
          </x14:formula1>
          <xm:sqref>L26</xm:sqref>
        </x14:dataValidation>
        <x14:dataValidation type="list" allowBlank="1" showInputMessage="1" showErrorMessage="1">
          <x14:formula1>
            <xm:f>'C:\Users\gineva.alcota\AppData\Local\Microsoft\Windows\INetCache\Content.Outlook\YCN3EFJG\[Budget Legal 2019_29nov2017_mejorado (002).xlsx]Lists'!#REF!</xm:f>
          </x14:formula1>
          <xm:sqref>B5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pageSetUpPr fitToPage="1"/>
  </sheetPr>
  <dimension ref="A1:Z232"/>
  <sheetViews>
    <sheetView showGridLines="0" topLeftCell="A96" zoomScale="70" zoomScaleNormal="70" zoomScalePageLayoutView="60" workbookViewId="0">
      <selection activeCell="C106" sqref="C106"/>
    </sheetView>
  </sheetViews>
  <sheetFormatPr baseColWidth="10" defaultColWidth="11.42578125" defaultRowHeight="15" outlineLevelRow="1" outlineLevelCol="1" x14ac:dyDescent="0.25"/>
  <cols>
    <col min="1" max="1" width="29.85546875" style="449" customWidth="1"/>
    <col min="2" max="2" width="32" style="449" customWidth="1"/>
    <col min="3" max="3" width="43.7109375" style="449" customWidth="1"/>
    <col min="4" max="4" width="79.42578125" style="449" customWidth="1"/>
    <col min="5" max="5" width="17.5703125" style="449" hidden="1" customWidth="1"/>
    <col min="6" max="6" width="23" style="449" hidden="1" customWidth="1"/>
    <col min="7" max="8" width="17.5703125" style="449" hidden="1" customWidth="1"/>
    <col min="9" max="10" width="11.5703125" style="449" hidden="1" customWidth="1"/>
    <col min="11" max="11" width="17.5703125" style="449" hidden="1" customWidth="1"/>
    <col min="12" max="13" width="17.7109375" style="449" hidden="1"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customHeight="1" x14ac:dyDescent="0.25"/>
    <row r="2" spans="1:26" s="416" customFormat="1" ht="24.75" customHeight="1" x14ac:dyDescent="0.25">
      <c r="B2" s="533"/>
    </row>
    <row r="3" spans="1:26" s="416" customFormat="1" ht="24.75" customHeight="1" x14ac:dyDescent="0.25">
      <c r="B3" s="534"/>
    </row>
    <row r="4" spans="1:26" s="416" customFormat="1" ht="36.6" customHeight="1" x14ac:dyDescent="0.25"/>
    <row r="5" spans="1:26" ht="24.75" customHeight="1" x14ac:dyDescent="0.25"/>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26</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VLOOKUP(B8,Lists!E2:G41,3,)</f>
        <v>685 Engineering</v>
      </c>
      <c r="C10" s="433"/>
      <c r="D10" s="423" t="str">
        <f>VLOOKUP(B8,Lists!$E$3:$F$41,2,)</f>
        <v>Walter Droppelmann</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x14ac:dyDescent="0.25">
      <c r="A16" s="442" t="s">
        <v>261</v>
      </c>
      <c r="B16" s="442" t="s">
        <v>13</v>
      </c>
      <c r="C16" s="442" t="s">
        <v>14</v>
      </c>
      <c r="D16" s="403" t="s">
        <v>15</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x14ac:dyDescent="0.25">
      <c r="A17" s="508" t="s">
        <v>154</v>
      </c>
      <c r="B17" s="508" t="s">
        <v>27</v>
      </c>
      <c r="C17" s="508" t="s">
        <v>462</v>
      </c>
      <c r="D17" s="495" t="s">
        <v>397</v>
      </c>
      <c r="E17" s="496" t="s">
        <v>28</v>
      </c>
      <c r="F17" s="410"/>
      <c r="G17" s="410"/>
      <c r="H17" s="410"/>
      <c r="I17" s="410"/>
      <c r="J17" s="410"/>
      <c r="K17" s="410"/>
      <c r="L17" s="496">
        <v>6</v>
      </c>
      <c r="M17" s="497">
        <f>+M121</f>
        <v>12</v>
      </c>
      <c r="N17" s="496">
        <f>SUM(O17:Z17)</f>
        <v>308468.27607764711</v>
      </c>
      <c r="O17" s="498">
        <f t="shared" ref="O17:Z17" si="0">+O121</f>
        <v>26518.684231960786</v>
      </c>
      <c r="P17" s="498">
        <f t="shared" si="0"/>
        <v>26371.625408431373</v>
      </c>
      <c r="Q17" s="498">
        <f t="shared" si="0"/>
        <v>28773.06982019608</v>
      </c>
      <c r="R17" s="498">
        <f t="shared" si="0"/>
        <v>24165.743055490198</v>
      </c>
      <c r="S17" s="498">
        <f t="shared" si="0"/>
        <v>24312.801879019611</v>
      </c>
      <c r="T17" s="498">
        <f t="shared" si="0"/>
        <v>26224.566584901961</v>
      </c>
      <c r="U17" s="498">
        <f t="shared" si="0"/>
        <v>24312.801879019611</v>
      </c>
      <c r="V17" s="498">
        <f t="shared" si="0"/>
        <v>25930.448937843139</v>
      </c>
      <c r="W17" s="498">
        <f t="shared" si="0"/>
        <v>27008.36393784314</v>
      </c>
      <c r="X17" s="498">
        <f t="shared" si="0"/>
        <v>24165.743055490198</v>
      </c>
      <c r="Y17" s="498">
        <f t="shared" si="0"/>
        <v>24312.801879019611</v>
      </c>
      <c r="Z17" s="498">
        <f t="shared" si="0"/>
        <v>26371.625408431373</v>
      </c>
    </row>
    <row r="18" spans="1:26" x14ac:dyDescent="0.25">
      <c r="A18" s="508" t="s">
        <v>157</v>
      </c>
      <c r="B18" s="508" t="s">
        <v>29</v>
      </c>
      <c r="C18" s="508" t="s">
        <v>463</v>
      </c>
      <c r="D18" s="495" t="s">
        <v>397</v>
      </c>
      <c r="E18" s="496" t="s">
        <v>28</v>
      </c>
      <c r="F18" s="410"/>
      <c r="G18" s="410"/>
      <c r="H18" s="410"/>
      <c r="I18" s="410"/>
      <c r="J18" s="410"/>
      <c r="K18" s="410"/>
      <c r="L18" s="496">
        <v>6</v>
      </c>
      <c r="M18" s="497">
        <f>+M136</f>
        <v>0</v>
      </c>
      <c r="N18" s="496">
        <f t="shared" ref="N18" si="1">SUM(O18:Z18)</f>
        <v>203576.47058823527</v>
      </c>
      <c r="O18" s="498">
        <f t="shared" ref="O18:Z18" si="2">+O136</f>
        <v>16950</v>
      </c>
      <c r="P18" s="498">
        <f t="shared" si="2"/>
        <v>16979.411764705881</v>
      </c>
      <c r="Q18" s="498">
        <f t="shared" si="2"/>
        <v>16950</v>
      </c>
      <c r="R18" s="498">
        <f t="shared" si="2"/>
        <v>16979.411764705881</v>
      </c>
      <c r="S18" s="498">
        <f t="shared" si="2"/>
        <v>16950</v>
      </c>
      <c r="T18" s="498">
        <f t="shared" si="2"/>
        <v>16979.411764705881</v>
      </c>
      <c r="U18" s="498">
        <f t="shared" si="2"/>
        <v>16950</v>
      </c>
      <c r="V18" s="498">
        <f t="shared" si="2"/>
        <v>16979.411764705881</v>
      </c>
      <c r="W18" s="498">
        <f t="shared" si="2"/>
        <v>16950</v>
      </c>
      <c r="X18" s="498">
        <f t="shared" si="2"/>
        <v>16979.411764705881</v>
      </c>
      <c r="Y18" s="498">
        <f t="shared" si="2"/>
        <v>16950</v>
      </c>
      <c r="Z18" s="498">
        <f t="shared" si="2"/>
        <v>16979.411764705881</v>
      </c>
    </row>
    <row r="19" spans="1:26" x14ac:dyDescent="0.25">
      <c r="A19" s="508" t="s">
        <v>158</v>
      </c>
      <c r="B19" s="508" t="s">
        <v>30</v>
      </c>
      <c r="C19" s="508" t="s">
        <v>464</v>
      </c>
      <c r="D19" s="495" t="s">
        <v>397</v>
      </c>
      <c r="E19" s="496" t="s">
        <v>28</v>
      </c>
      <c r="F19" s="410"/>
      <c r="G19" s="410"/>
      <c r="H19" s="410"/>
      <c r="I19" s="410"/>
      <c r="J19" s="410"/>
      <c r="K19" s="410"/>
      <c r="L19" s="496"/>
      <c r="M19" s="497">
        <f>+M152</f>
        <v>0</v>
      </c>
      <c r="N19" s="496">
        <f t="shared" ref="N19:Z19" si="3">+N152</f>
        <v>87955.402352941179</v>
      </c>
      <c r="O19" s="498">
        <f t="shared" si="3"/>
        <v>0</v>
      </c>
      <c r="P19" s="498">
        <f t="shared" si="3"/>
        <v>0</v>
      </c>
      <c r="Q19" s="498">
        <f t="shared" si="3"/>
        <v>0</v>
      </c>
      <c r="R19" s="498">
        <f t="shared" si="3"/>
        <v>0</v>
      </c>
      <c r="S19" s="498">
        <f t="shared" si="3"/>
        <v>0</v>
      </c>
      <c r="T19" s="498">
        <f t="shared" si="3"/>
        <v>0</v>
      </c>
      <c r="U19" s="498">
        <f t="shared" si="3"/>
        <v>0</v>
      </c>
      <c r="V19" s="498">
        <f t="shared" si="3"/>
        <v>0</v>
      </c>
      <c r="W19" s="498">
        <f t="shared" si="3"/>
        <v>21922.674117647057</v>
      </c>
      <c r="X19" s="498">
        <f t="shared" si="3"/>
        <v>22055.027058823529</v>
      </c>
      <c r="Y19" s="498">
        <f t="shared" si="3"/>
        <v>21922.674117647057</v>
      </c>
      <c r="Z19" s="498">
        <f t="shared" si="3"/>
        <v>22055.027058823529</v>
      </c>
    </row>
    <row r="20" spans="1:26" x14ac:dyDescent="0.25">
      <c r="A20" s="508"/>
      <c r="B20" s="508"/>
      <c r="C20" s="508"/>
      <c r="D20" s="495"/>
      <c r="E20" s="496"/>
      <c r="F20" s="410"/>
      <c r="G20" s="410"/>
      <c r="H20" s="410"/>
      <c r="I20" s="410"/>
      <c r="J20" s="410"/>
      <c r="K20" s="410"/>
      <c r="L20" s="496"/>
      <c r="M20" s="410"/>
      <c r="N20" s="409"/>
      <c r="O20" s="409"/>
      <c r="P20" s="409"/>
      <c r="Q20" s="409"/>
      <c r="R20" s="409"/>
      <c r="S20" s="409"/>
      <c r="T20" s="409"/>
      <c r="U20" s="409"/>
      <c r="V20" s="409"/>
      <c r="W20" s="409"/>
      <c r="X20" s="409"/>
      <c r="Y20" s="409"/>
      <c r="Z20" s="409"/>
    </row>
    <row r="21" spans="1:26" x14ac:dyDescent="0.25">
      <c r="A21" s="508"/>
      <c r="B21" s="508"/>
      <c r="C21" s="508"/>
      <c r="D21" s="495"/>
      <c r="E21" s="496"/>
      <c r="F21" s="410"/>
      <c r="G21" s="410"/>
      <c r="H21" s="410"/>
      <c r="I21" s="410"/>
      <c r="J21" s="410"/>
      <c r="K21" s="410"/>
      <c r="L21" s="496"/>
      <c r="M21" s="410"/>
      <c r="N21" s="409"/>
      <c r="O21" s="409"/>
      <c r="P21" s="409"/>
      <c r="Q21" s="409"/>
      <c r="R21" s="409"/>
      <c r="S21" s="409"/>
      <c r="T21" s="409"/>
      <c r="U21" s="409"/>
      <c r="V21" s="409"/>
      <c r="W21" s="409"/>
      <c r="X21" s="409"/>
      <c r="Y21" s="409"/>
      <c r="Z21" s="409"/>
    </row>
    <row r="22" spans="1:26" x14ac:dyDescent="0.25">
      <c r="A22" s="508"/>
      <c r="B22" s="508"/>
      <c r="C22" s="508"/>
      <c r="D22" s="495"/>
      <c r="E22" s="496"/>
      <c r="F22" s="410"/>
      <c r="G22" s="410"/>
      <c r="H22" s="410"/>
      <c r="I22" s="410"/>
      <c r="J22" s="410"/>
      <c r="K22" s="410"/>
      <c r="L22" s="496"/>
      <c r="M22" s="410"/>
      <c r="N22" s="409"/>
      <c r="O22" s="409"/>
      <c r="P22" s="409"/>
      <c r="Q22" s="409"/>
      <c r="R22" s="409"/>
      <c r="S22" s="409"/>
      <c r="T22" s="409"/>
      <c r="U22" s="409"/>
      <c r="V22" s="409"/>
      <c r="W22" s="409"/>
      <c r="X22" s="409"/>
      <c r="Y22" s="409"/>
      <c r="Z22" s="409"/>
    </row>
    <row r="23" spans="1:26" x14ac:dyDescent="0.25">
      <c r="A23" s="508"/>
      <c r="B23" s="508"/>
      <c r="C23" s="508"/>
      <c r="D23" s="495"/>
      <c r="E23" s="496"/>
      <c r="F23" s="410"/>
      <c r="G23" s="410"/>
      <c r="H23" s="410"/>
      <c r="I23" s="410"/>
      <c r="J23" s="410"/>
      <c r="K23" s="410"/>
      <c r="L23" s="496"/>
      <c r="M23" s="410"/>
      <c r="N23" s="409"/>
      <c r="O23" s="409"/>
      <c r="P23" s="409"/>
      <c r="Q23" s="409"/>
      <c r="R23" s="409"/>
      <c r="S23" s="409"/>
      <c r="T23" s="409"/>
      <c r="U23" s="409"/>
      <c r="V23" s="409"/>
      <c r="W23" s="409"/>
      <c r="X23" s="409"/>
      <c r="Y23" s="409"/>
      <c r="Z23" s="409"/>
    </row>
    <row r="24" spans="1:26" x14ac:dyDescent="0.25">
      <c r="A24" s="508"/>
      <c r="B24" s="508"/>
      <c r="C24" s="508"/>
      <c r="D24" s="495"/>
      <c r="E24" s="496"/>
      <c r="F24" s="410"/>
      <c r="G24" s="410"/>
      <c r="H24" s="410"/>
      <c r="I24" s="410"/>
      <c r="J24" s="410"/>
      <c r="K24" s="410"/>
      <c r="L24" s="496"/>
      <c r="M24" s="410"/>
      <c r="N24" s="409"/>
      <c r="O24" s="409"/>
      <c r="P24" s="409"/>
      <c r="Q24" s="409"/>
      <c r="R24" s="409"/>
      <c r="S24" s="409"/>
      <c r="T24" s="409"/>
      <c r="U24" s="409"/>
      <c r="V24" s="409"/>
      <c r="W24" s="409"/>
      <c r="X24" s="409"/>
      <c r="Y24" s="409"/>
      <c r="Z24" s="409"/>
    </row>
    <row r="25" spans="1:26" x14ac:dyDescent="0.25">
      <c r="A25" s="508"/>
      <c r="B25" s="508"/>
      <c r="C25" s="508"/>
      <c r="D25" s="495"/>
      <c r="E25" s="496"/>
      <c r="F25" s="410"/>
      <c r="G25" s="410"/>
      <c r="H25" s="410"/>
      <c r="I25" s="410"/>
      <c r="J25" s="410"/>
      <c r="K25" s="410"/>
      <c r="L25" s="496"/>
      <c r="M25" s="410"/>
      <c r="N25" s="409"/>
      <c r="O25" s="409" t="s">
        <v>5</v>
      </c>
      <c r="P25" s="409"/>
      <c r="Q25" s="409"/>
      <c r="R25" s="409"/>
      <c r="S25" s="409"/>
      <c r="T25" s="409"/>
      <c r="U25" s="409"/>
      <c r="V25" s="409"/>
      <c r="W25" s="409"/>
      <c r="X25" s="409"/>
      <c r="Y25" s="409"/>
      <c r="Z25" s="409"/>
    </row>
    <row r="26" spans="1:26" x14ac:dyDescent="0.25">
      <c r="A26" s="499"/>
      <c r="B26" s="500"/>
      <c r="C26" s="500"/>
      <c r="D26" s="501"/>
      <c r="E26" s="415"/>
      <c r="F26" s="415"/>
      <c r="G26" s="415"/>
      <c r="H26" s="415"/>
      <c r="I26" s="415"/>
      <c r="J26" s="502" t="s">
        <v>20</v>
      </c>
      <c r="K26" s="503"/>
      <c r="L26" s="404">
        <v>12</v>
      </c>
      <c r="M26" s="404">
        <f>SUM(M2:M25)</f>
        <v>12</v>
      </c>
      <c r="N26" s="404">
        <f t="shared" ref="N26" si="4">SUM(N16:N25)</f>
        <v>600000.14901882363</v>
      </c>
      <c r="O26" s="404">
        <f>SUM(O17:O25)</f>
        <v>43468.684231960782</v>
      </c>
      <c r="P26" s="404">
        <f t="shared" ref="P26:Z26" si="5">SUM(P17:P25)</f>
        <v>43351.037173137258</v>
      </c>
      <c r="Q26" s="404">
        <f t="shared" si="5"/>
        <v>45723.069820196077</v>
      </c>
      <c r="R26" s="404">
        <f t="shared" si="5"/>
        <v>41145.154820196083</v>
      </c>
      <c r="S26" s="404">
        <f t="shared" si="5"/>
        <v>41262.801879019607</v>
      </c>
      <c r="T26" s="404">
        <f t="shared" si="5"/>
        <v>43203.978349607845</v>
      </c>
      <c r="U26" s="404">
        <f t="shared" si="5"/>
        <v>41262.801879019607</v>
      </c>
      <c r="V26" s="404">
        <f t="shared" si="5"/>
        <v>42909.86070254902</v>
      </c>
      <c r="W26" s="404">
        <f t="shared" si="5"/>
        <v>65881.038055490193</v>
      </c>
      <c r="X26" s="404">
        <f t="shared" si="5"/>
        <v>63200.181879019612</v>
      </c>
      <c r="Y26" s="404">
        <f t="shared" si="5"/>
        <v>63185.475996666661</v>
      </c>
      <c r="Z26" s="404">
        <f t="shared" si="5"/>
        <v>65406.064231960787</v>
      </c>
    </row>
    <row r="27" spans="1:26" ht="6.75" customHeight="1" x14ac:dyDescent="0.25">
      <c r="A27" s="501"/>
      <c r="B27" s="501"/>
      <c r="C27" s="501"/>
      <c r="D27" s="501"/>
      <c r="E27" s="501"/>
      <c r="F27" s="501"/>
      <c r="G27" s="501"/>
      <c r="H27" s="501"/>
      <c r="I27" s="501"/>
      <c r="J27" s="501"/>
      <c r="K27" s="501"/>
    </row>
    <row r="28" spans="1:26" x14ac:dyDescent="0.25">
      <c r="A28" s="441" t="s">
        <v>33</v>
      </c>
      <c r="B28" s="441"/>
      <c r="C28" s="402"/>
      <c r="D28" s="402"/>
      <c r="E28" s="402"/>
      <c r="F28" s="402"/>
      <c r="G28" s="402"/>
      <c r="H28" s="491"/>
      <c r="I28" s="491"/>
      <c r="J28" s="402"/>
      <c r="K28" s="402"/>
      <c r="L28" s="402"/>
      <c r="M28" s="402"/>
      <c r="N28" s="402"/>
      <c r="O28" s="402" t="s">
        <v>5</v>
      </c>
      <c r="P28" s="402"/>
      <c r="Q28" s="402"/>
      <c r="R28" s="402"/>
      <c r="S28" s="402"/>
      <c r="T28" s="402"/>
      <c r="U28" s="402"/>
      <c r="V28" s="402"/>
      <c r="W28" s="402"/>
      <c r="X28" s="402"/>
      <c r="Y28" s="402"/>
      <c r="Z28" s="402"/>
    </row>
    <row r="29" spans="1:26" x14ac:dyDescent="0.25">
      <c r="A29" s="442" t="s">
        <v>261</v>
      </c>
      <c r="B29" s="442" t="s">
        <v>13</v>
      </c>
      <c r="C29" s="442" t="s">
        <v>14</v>
      </c>
      <c r="D29" s="403" t="s">
        <v>15</v>
      </c>
      <c r="E29" s="410" t="s">
        <v>5</v>
      </c>
      <c r="F29" s="410" t="s">
        <v>5</v>
      </c>
      <c r="G29" s="410" t="s">
        <v>5</v>
      </c>
      <c r="H29" s="410"/>
      <c r="I29" s="410"/>
      <c r="J29" s="410"/>
      <c r="K29" s="410" t="s">
        <v>5</v>
      </c>
      <c r="L29" s="504" t="s">
        <v>287</v>
      </c>
      <c r="M29" s="410"/>
      <c r="N29" s="409"/>
      <c r="O29" s="409" t="s">
        <v>5</v>
      </c>
      <c r="P29" s="409"/>
      <c r="Q29" s="409"/>
      <c r="R29" s="409"/>
      <c r="S29" s="409"/>
      <c r="T29" s="409"/>
      <c r="U29" s="409"/>
      <c r="V29" s="409"/>
      <c r="W29" s="409"/>
      <c r="X29" s="409"/>
      <c r="Y29" s="409"/>
      <c r="Z29" s="409"/>
    </row>
    <row r="30" spans="1:26" x14ac:dyDescent="0.25">
      <c r="A30" s="535" t="str">
        <f>CONCATENATE(B17," ",C17)</f>
        <v>Objective 1  Camp Relincho</v>
      </c>
      <c r="B30" s="535"/>
      <c r="C30" s="536"/>
      <c r="D30" s="536"/>
      <c r="E30" s="507"/>
      <c r="F30" s="507"/>
      <c r="G30" s="507"/>
      <c r="H30" s="507"/>
      <c r="I30" s="507"/>
      <c r="J30" s="507"/>
      <c r="K30" s="507"/>
      <c r="L30" s="507"/>
      <c r="M30" s="507"/>
      <c r="N30" s="507"/>
      <c r="O30" s="507" t="s">
        <v>5</v>
      </c>
      <c r="P30" s="507"/>
      <c r="Q30" s="507"/>
      <c r="R30" s="507"/>
      <c r="S30" s="507"/>
      <c r="T30" s="507"/>
      <c r="U30" s="507"/>
      <c r="V30" s="507"/>
      <c r="W30" s="507"/>
      <c r="X30" s="507"/>
      <c r="Y30" s="507"/>
      <c r="Z30" s="507"/>
    </row>
    <row r="31" spans="1:26" x14ac:dyDescent="0.25">
      <c r="A31" s="508" t="s">
        <v>250</v>
      </c>
      <c r="B31" s="508" t="s">
        <v>34</v>
      </c>
      <c r="C31" s="508" t="s">
        <v>459</v>
      </c>
      <c r="D31" s="495" t="s">
        <v>457</v>
      </c>
      <c r="E31" s="999"/>
      <c r="F31" s="999"/>
      <c r="G31" s="999"/>
      <c r="H31" s="999"/>
      <c r="I31" s="999"/>
      <c r="J31" s="999"/>
      <c r="K31" s="1000"/>
      <c r="L31" s="496" t="s">
        <v>461</v>
      </c>
      <c r="M31" s="410"/>
      <c r="N31" s="409"/>
      <c r="O31" s="409" t="s">
        <v>5</v>
      </c>
      <c r="P31" s="409"/>
      <c r="Q31" s="409"/>
      <c r="R31" s="409"/>
      <c r="S31" s="409"/>
      <c r="T31" s="409"/>
      <c r="U31" s="409"/>
      <c r="V31" s="409"/>
      <c r="W31" s="409"/>
      <c r="X31" s="409"/>
      <c r="Y31" s="409"/>
      <c r="Z31" s="409"/>
    </row>
    <row r="32" spans="1:26" x14ac:dyDescent="0.25">
      <c r="A32" s="508" t="s">
        <v>263</v>
      </c>
      <c r="B32" s="508"/>
      <c r="C32" s="508" t="s">
        <v>35</v>
      </c>
      <c r="D32" s="495" t="s">
        <v>458</v>
      </c>
      <c r="E32" s="999"/>
      <c r="F32" s="999"/>
      <c r="G32" s="999"/>
      <c r="H32" s="999"/>
      <c r="I32" s="999"/>
      <c r="J32" s="999"/>
      <c r="K32" s="1000"/>
      <c r="L32" s="496" t="s">
        <v>461</v>
      </c>
      <c r="M32" s="410"/>
      <c r="N32" s="409"/>
      <c r="O32" s="409" t="s">
        <v>5</v>
      </c>
      <c r="P32" s="409"/>
      <c r="Q32" s="409"/>
      <c r="R32" s="409"/>
      <c r="S32" s="409"/>
      <c r="T32" s="409"/>
      <c r="U32" s="409"/>
      <c r="V32" s="409"/>
      <c r="W32" s="409"/>
      <c r="X32" s="409"/>
      <c r="Y32" s="409"/>
      <c r="Z32" s="409"/>
    </row>
    <row r="33" spans="1:26" hidden="1" x14ac:dyDescent="0.25">
      <c r="A33" s="508"/>
      <c r="B33" s="508"/>
      <c r="C33" s="508"/>
      <c r="D33" s="495"/>
      <c r="E33" s="999" t="s">
        <v>5</v>
      </c>
      <c r="F33" s="999" t="s">
        <v>5</v>
      </c>
      <c r="G33" s="999" t="s">
        <v>5</v>
      </c>
      <c r="H33" s="999"/>
      <c r="I33" s="999"/>
      <c r="J33" s="999"/>
      <c r="K33" s="1000" t="s">
        <v>5</v>
      </c>
      <c r="L33" s="496"/>
      <c r="M33" s="410"/>
      <c r="N33" s="409"/>
      <c r="O33" s="409" t="s">
        <v>5</v>
      </c>
      <c r="P33" s="409"/>
      <c r="Q33" s="409"/>
      <c r="R33" s="409"/>
      <c r="S33" s="409"/>
      <c r="T33" s="409"/>
      <c r="U33" s="409"/>
      <c r="V33" s="409"/>
      <c r="W33" s="409"/>
      <c r="X33" s="409"/>
      <c r="Y33" s="409"/>
      <c r="Z33" s="409"/>
    </row>
    <row r="34" spans="1:26" hidden="1" x14ac:dyDescent="0.25">
      <c r="A34" s="508"/>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hidden="1" x14ac:dyDescent="0.25">
      <c r="A35" s="508"/>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x14ac:dyDescent="0.25">
      <c r="A36" s="535" t="str">
        <f>CONCATENATE(B18," ",C18)</f>
        <v>Objective 2 Camp El Pingo</v>
      </c>
      <c r="B36" s="535"/>
      <c r="C36" s="536"/>
      <c r="D36" s="536"/>
      <c r="E36" s="507"/>
      <c r="F36" s="507"/>
      <c r="G36" s="507"/>
      <c r="H36" s="507"/>
      <c r="I36" s="507"/>
      <c r="J36" s="507"/>
      <c r="K36" s="507"/>
      <c r="L36" s="507"/>
      <c r="M36" s="507"/>
      <c r="N36" s="507"/>
      <c r="O36" s="507" t="s">
        <v>5</v>
      </c>
      <c r="P36" s="507"/>
      <c r="Q36" s="507"/>
      <c r="R36" s="507"/>
      <c r="S36" s="507"/>
      <c r="T36" s="507"/>
      <c r="U36" s="507"/>
      <c r="V36" s="507"/>
      <c r="W36" s="507"/>
      <c r="X36" s="507"/>
      <c r="Y36" s="507"/>
      <c r="Z36" s="507"/>
    </row>
    <row r="37" spans="1:26" ht="30" x14ac:dyDescent="0.25">
      <c r="A37" s="508" t="s">
        <v>264</v>
      </c>
      <c r="B37" s="508" t="s">
        <v>36</v>
      </c>
      <c r="C37" s="508" t="s">
        <v>459</v>
      </c>
      <c r="D37" s="495" t="s">
        <v>460</v>
      </c>
      <c r="E37" s="999"/>
      <c r="F37" s="999"/>
      <c r="G37" s="999"/>
      <c r="H37" s="999"/>
      <c r="I37" s="999"/>
      <c r="J37" s="999"/>
      <c r="K37" s="1000"/>
      <c r="L37" s="496" t="s">
        <v>461</v>
      </c>
      <c r="M37" s="410"/>
      <c r="N37" s="409"/>
      <c r="O37" s="409" t="s">
        <v>5</v>
      </c>
      <c r="P37" s="409"/>
      <c r="Q37" s="409"/>
      <c r="R37" s="409"/>
      <c r="S37" s="409"/>
      <c r="T37" s="409"/>
      <c r="U37" s="409"/>
      <c r="V37" s="409"/>
      <c r="W37" s="409"/>
      <c r="X37" s="409"/>
      <c r="Y37" s="409"/>
      <c r="Z37" s="409"/>
    </row>
    <row r="38" spans="1:26" ht="25.15" customHeight="1" x14ac:dyDescent="0.25">
      <c r="A38" s="508" t="s">
        <v>253</v>
      </c>
      <c r="B38" s="508"/>
      <c r="C38" s="508" t="s">
        <v>35</v>
      </c>
      <c r="D38" s="495" t="s">
        <v>458</v>
      </c>
      <c r="E38" s="999" t="s">
        <v>5</v>
      </c>
      <c r="F38" s="999" t="s">
        <v>5</v>
      </c>
      <c r="G38" s="999" t="s">
        <v>5</v>
      </c>
      <c r="H38" s="999"/>
      <c r="I38" s="999"/>
      <c r="J38" s="999"/>
      <c r="K38" s="1000" t="s">
        <v>5</v>
      </c>
      <c r="L38" s="496" t="s">
        <v>461</v>
      </c>
      <c r="M38" s="410"/>
      <c r="N38" s="409"/>
      <c r="O38" s="409" t="s">
        <v>5</v>
      </c>
      <c r="P38" s="409"/>
      <c r="Q38" s="409"/>
      <c r="R38" s="409"/>
      <c r="S38" s="409"/>
      <c r="T38" s="409"/>
      <c r="U38" s="409"/>
      <c r="V38" s="409"/>
      <c r="W38" s="409"/>
      <c r="X38" s="409"/>
      <c r="Y38" s="409"/>
      <c r="Z38" s="409"/>
    </row>
    <row r="39" spans="1:26" ht="19.149999999999999" hidden="1" customHeight="1" x14ac:dyDescent="0.25">
      <c r="A39" s="508"/>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idden="1" x14ac:dyDescent="0.25">
      <c r="A40" s="508"/>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idden="1" x14ac:dyDescent="0.25">
      <c r="A41" s="508"/>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x14ac:dyDescent="0.25">
      <c r="A42" s="535" t="str">
        <f>CONCATENATE(B19," ",C19)</f>
        <v>Objective 3 Camp La Fortuna</v>
      </c>
      <c r="B42" s="535"/>
      <c r="C42" s="536"/>
      <c r="D42" s="536"/>
      <c r="E42" s="507"/>
      <c r="F42" s="507"/>
      <c r="G42" s="507"/>
      <c r="H42" s="507"/>
      <c r="I42" s="507"/>
      <c r="J42" s="507"/>
      <c r="K42" s="507"/>
      <c r="L42" s="507"/>
      <c r="M42" s="507"/>
      <c r="N42" s="507"/>
      <c r="O42" s="507" t="s">
        <v>5</v>
      </c>
      <c r="P42" s="507"/>
      <c r="Q42" s="507"/>
      <c r="R42" s="507"/>
      <c r="S42" s="507"/>
      <c r="T42" s="507"/>
      <c r="U42" s="507"/>
      <c r="V42" s="507"/>
      <c r="W42" s="507"/>
      <c r="X42" s="507"/>
      <c r="Y42" s="507"/>
      <c r="Z42" s="507"/>
    </row>
    <row r="43" spans="1:26" ht="30" x14ac:dyDescent="0.25">
      <c r="A43" s="508" t="s">
        <v>265</v>
      </c>
      <c r="B43" s="508"/>
      <c r="C43" s="508" t="s">
        <v>459</v>
      </c>
      <c r="D43" s="495" t="s">
        <v>460</v>
      </c>
      <c r="E43" s="999" t="s">
        <v>5</v>
      </c>
      <c r="F43" s="999" t="s">
        <v>5</v>
      </c>
      <c r="G43" s="999" t="s">
        <v>5</v>
      </c>
      <c r="H43" s="999"/>
      <c r="I43" s="999"/>
      <c r="J43" s="999"/>
      <c r="K43" s="1000" t="s">
        <v>5</v>
      </c>
      <c r="L43" s="496"/>
      <c r="M43" s="410"/>
      <c r="N43" s="409"/>
      <c r="O43" s="409" t="s">
        <v>5</v>
      </c>
      <c r="P43" s="409"/>
      <c r="Q43" s="409"/>
      <c r="R43" s="409"/>
      <c r="S43" s="409"/>
      <c r="T43" s="409"/>
      <c r="U43" s="409"/>
      <c r="V43" s="409"/>
      <c r="W43" s="409"/>
      <c r="X43" s="409"/>
      <c r="Y43" s="409"/>
      <c r="Z43" s="409"/>
    </row>
    <row r="44" spans="1:26" x14ac:dyDescent="0.25">
      <c r="A44" s="508" t="s">
        <v>266</v>
      </c>
      <c r="B44" s="508"/>
      <c r="C44" s="508" t="s">
        <v>35</v>
      </c>
      <c r="D44" s="495" t="s">
        <v>458</v>
      </c>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x14ac:dyDescent="0.25">
      <c r="A45" s="508"/>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idden="1" x14ac:dyDescent="0.25">
      <c r="A46" s="508"/>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idden="1" x14ac:dyDescent="0.25">
      <c r="A47" s="508"/>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idden="1" outlineLevel="1" x14ac:dyDescent="0.25">
      <c r="A48" s="535" t="e">
        <f>CONCATENATE(#REF!," ",#REF!)</f>
        <v>#REF!</v>
      </c>
      <c r="B48" s="535"/>
      <c r="C48" s="536"/>
      <c r="D48" s="536"/>
      <c r="E48" s="507"/>
      <c r="F48" s="507"/>
      <c r="G48" s="507"/>
      <c r="H48" s="507"/>
      <c r="I48" s="507"/>
      <c r="J48" s="507"/>
      <c r="K48" s="507"/>
      <c r="L48" s="507"/>
      <c r="M48" s="507"/>
      <c r="N48" s="507"/>
      <c r="O48" s="507" t="s">
        <v>5</v>
      </c>
      <c r="P48" s="507"/>
      <c r="Q48" s="507"/>
      <c r="R48" s="507"/>
      <c r="S48" s="507"/>
      <c r="T48" s="507"/>
      <c r="U48" s="507"/>
      <c r="V48" s="507"/>
      <c r="W48" s="507"/>
      <c r="X48" s="507"/>
      <c r="Y48" s="507"/>
      <c r="Z48" s="507"/>
    </row>
    <row r="49" spans="1:26" hidden="1" outlineLevel="1" x14ac:dyDescent="0.25">
      <c r="A49" s="508" t="s">
        <v>267</v>
      </c>
      <c r="B49" s="508"/>
      <c r="C49" s="508"/>
      <c r="D49" s="495"/>
      <c r="E49" s="999" t="s">
        <v>5</v>
      </c>
      <c r="F49" s="999" t="s">
        <v>5</v>
      </c>
      <c r="G49" s="999" t="s">
        <v>5</v>
      </c>
      <c r="H49" s="999"/>
      <c r="I49" s="999"/>
      <c r="J49" s="999"/>
      <c r="K49" s="1000" t="s">
        <v>5</v>
      </c>
      <c r="L49" s="496"/>
      <c r="M49" s="410"/>
      <c r="N49" s="409"/>
      <c r="O49" s="409" t="s">
        <v>5</v>
      </c>
      <c r="P49" s="409"/>
      <c r="Q49" s="409"/>
      <c r="R49" s="409"/>
      <c r="S49" s="409"/>
      <c r="T49" s="409"/>
      <c r="U49" s="409"/>
      <c r="V49" s="409"/>
      <c r="W49" s="409"/>
      <c r="X49" s="409"/>
      <c r="Y49" s="409"/>
      <c r="Z49" s="409"/>
    </row>
    <row r="50" spans="1:26" hidden="1" outlineLevel="1" x14ac:dyDescent="0.25">
      <c r="A50" s="508" t="s">
        <v>268</v>
      </c>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idden="1" outlineLevel="1" x14ac:dyDescent="0.25">
      <c r="A51" s="508"/>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idden="1" outlineLevel="1" x14ac:dyDescent="0.25">
      <c r="A52" s="508"/>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idden="1" outlineLevel="1" x14ac:dyDescent="0.25">
      <c r="A53" s="508"/>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idden="1" outlineLevel="1" x14ac:dyDescent="0.25">
      <c r="A54" s="535" t="str">
        <f>CONCATENATE(B20," ",C20)</f>
        <v xml:space="preserve"> </v>
      </c>
      <c r="B54" s="535"/>
      <c r="C54" s="536"/>
      <c r="D54" s="536"/>
      <c r="E54" s="507"/>
      <c r="F54" s="507"/>
      <c r="G54" s="507"/>
      <c r="H54" s="507"/>
      <c r="I54" s="507"/>
      <c r="J54" s="507"/>
      <c r="K54" s="507"/>
      <c r="L54" s="507"/>
      <c r="M54" s="507"/>
      <c r="N54" s="507"/>
      <c r="O54" s="507" t="s">
        <v>5</v>
      </c>
      <c r="P54" s="507"/>
      <c r="Q54" s="507"/>
      <c r="R54" s="507"/>
      <c r="S54" s="507"/>
      <c r="T54" s="507"/>
      <c r="U54" s="507"/>
      <c r="V54" s="507"/>
      <c r="W54" s="507"/>
      <c r="X54" s="507"/>
      <c r="Y54" s="507"/>
      <c r="Z54" s="507"/>
    </row>
    <row r="55" spans="1:26" hidden="1" outlineLevel="1" x14ac:dyDescent="0.25">
      <c r="A55" s="508" t="s">
        <v>269</v>
      </c>
      <c r="B55" s="508"/>
      <c r="C55" s="508"/>
      <c r="D55" s="495"/>
      <c r="E55" s="999" t="s">
        <v>5</v>
      </c>
      <c r="F55" s="999" t="s">
        <v>5</v>
      </c>
      <c r="G55" s="999" t="s">
        <v>5</v>
      </c>
      <c r="H55" s="999"/>
      <c r="I55" s="999"/>
      <c r="J55" s="999"/>
      <c r="K55" s="1000" t="s">
        <v>5</v>
      </c>
      <c r="L55" s="496"/>
      <c r="M55" s="410"/>
      <c r="N55" s="409"/>
      <c r="O55" s="409" t="s">
        <v>5</v>
      </c>
      <c r="P55" s="409"/>
      <c r="Q55" s="409"/>
      <c r="R55" s="409"/>
      <c r="S55" s="409"/>
      <c r="T55" s="409"/>
      <c r="U55" s="409"/>
      <c r="V55" s="409"/>
      <c r="W55" s="409"/>
      <c r="X55" s="409"/>
      <c r="Y55" s="409"/>
      <c r="Z55" s="409"/>
    </row>
    <row r="56" spans="1:26" hidden="1" outlineLevel="1" x14ac:dyDescent="0.25">
      <c r="A56" s="508" t="s">
        <v>270</v>
      </c>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idden="1" outlineLevel="1" x14ac:dyDescent="0.25">
      <c r="A57" s="508"/>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idden="1" outlineLevel="1" x14ac:dyDescent="0.25">
      <c r="A58" s="508"/>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idden="1" outlineLevel="1" x14ac:dyDescent="0.25">
      <c r="A59" s="508"/>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idden="1" outlineLevel="1" x14ac:dyDescent="0.25">
      <c r="A60" s="535" t="str">
        <f>CONCATENATE(B21," ",C21)</f>
        <v xml:space="preserve"> </v>
      </c>
      <c r="B60" s="535"/>
      <c r="C60" s="536"/>
      <c r="D60" s="536"/>
      <c r="E60" s="507"/>
      <c r="F60" s="507"/>
      <c r="G60" s="507"/>
      <c r="H60" s="507"/>
      <c r="I60" s="507"/>
      <c r="J60" s="507"/>
      <c r="K60" s="507"/>
      <c r="L60" s="507"/>
      <c r="M60" s="507"/>
      <c r="N60" s="507"/>
      <c r="O60" s="507" t="s">
        <v>5</v>
      </c>
      <c r="P60" s="507"/>
      <c r="Q60" s="507"/>
      <c r="R60" s="507"/>
      <c r="S60" s="507"/>
      <c r="T60" s="507"/>
      <c r="U60" s="507"/>
      <c r="V60" s="507"/>
      <c r="W60" s="507"/>
      <c r="X60" s="507"/>
      <c r="Y60" s="507"/>
      <c r="Z60" s="507"/>
    </row>
    <row r="61" spans="1:26" hidden="1" outlineLevel="1" x14ac:dyDescent="0.25">
      <c r="A61" s="508" t="s">
        <v>271</v>
      </c>
      <c r="B61" s="508"/>
      <c r="C61" s="508"/>
      <c r="D61" s="495"/>
      <c r="E61" s="999" t="s">
        <v>5</v>
      </c>
      <c r="F61" s="999" t="s">
        <v>5</v>
      </c>
      <c r="G61" s="999" t="s">
        <v>5</v>
      </c>
      <c r="H61" s="999"/>
      <c r="I61" s="999"/>
      <c r="J61" s="999"/>
      <c r="K61" s="1000" t="s">
        <v>5</v>
      </c>
      <c r="L61" s="496"/>
      <c r="M61" s="410"/>
      <c r="N61" s="409"/>
      <c r="O61" s="409" t="s">
        <v>5</v>
      </c>
      <c r="P61" s="409"/>
      <c r="Q61" s="409"/>
      <c r="R61" s="409"/>
      <c r="S61" s="409"/>
      <c r="T61" s="409"/>
      <c r="U61" s="409"/>
      <c r="V61" s="409"/>
      <c r="W61" s="409"/>
      <c r="X61" s="409"/>
      <c r="Y61" s="409"/>
      <c r="Z61" s="409"/>
    </row>
    <row r="62" spans="1:26" hidden="1" outlineLevel="1" x14ac:dyDescent="0.25">
      <c r="A62" s="508" t="s">
        <v>272</v>
      </c>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idden="1" outlineLevel="1" x14ac:dyDescent="0.25">
      <c r="A63" s="508"/>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idden="1" outlineLevel="1" x14ac:dyDescent="0.25">
      <c r="A64" s="508"/>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idden="1" outlineLevel="1" x14ac:dyDescent="0.25">
      <c r="A65" s="508"/>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idden="1" outlineLevel="1" x14ac:dyDescent="0.25">
      <c r="A66" s="535" t="str">
        <f>CONCATENATE(B22," ",C22)</f>
        <v xml:space="preserve"> </v>
      </c>
      <c r="B66" s="535"/>
      <c r="C66" s="536"/>
      <c r="D66" s="536"/>
      <c r="E66" s="507"/>
      <c r="F66" s="507"/>
      <c r="G66" s="507"/>
      <c r="H66" s="507"/>
      <c r="I66" s="507"/>
      <c r="J66" s="507"/>
      <c r="K66" s="507"/>
      <c r="L66" s="507"/>
      <c r="M66" s="507"/>
      <c r="N66" s="507"/>
      <c r="O66" s="507" t="s">
        <v>5</v>
      </c>
      <c r="P66" s="507"/>
      <c r="Q66" s="507"/>
      <c r="R66" s="507"/>
      <c r="S66" s="507"/>
      <c r="T66" s="507"/>
      <c r="U66" s="507"/>
      <c r="V66" s="507"/>
      <c r="W66" s="507"/>
      <c r="X66" s="507"/>
      <c r="Y66" s="507"/>
      <c r="Z66" s="507"/>
    </row>
    <row r="67" spans="1:26" hidden="1" outlineLevel="1" x14ac:dyDescent="0.25">
      <c r="A67" s="508" t="s">
        <v>273</v>
      </c>
      <c r="B67" s="508"/>
      <c r="C67" s="508"/>
      <c r="D67" s="495"/>
      <c r="E67" s="999" t="s">
        <v>5</v>
      </c>
      <c r="F67" s="999" t="s">
        <v>5</v>
      </c>
      <c r="G67" s="999" t="s">
        <v>5</v>
      </c>
      <c r="H67" s="999"/>
      <c r="I67" s="999"/>
      <c r="J67" s="999"/>
      <c r="K67" s="1000" t="s">
        <v>5</v>
      </c>
      <c r="L67" s="496"/>
      <c r="M67" s="410"/>
      <c r="N67" s="409"/>
      <c r="O67" s="409" t="s">
        <v>5</v>
      </c>
      <c r="P67" s="409"/>
      <c r="Q67" s="409"/>
      <c r="R67" s="409"/>
      <c r="S67" s="409"/>
      <c r="T67" s="409"/>
      <c r="U67" s="409"/>
      <c r="V67" s="409"/>
      <c r="W67" s="409"/>
      <c r="X67" s="409"/>
      <c r="Y67" s="409"/>
      <c r="Z67" s="409"/>
    </row>
    <row r="68" spans="1:26" hidden="1" outlineLevel="1" x14ac:dyDescent="0.25">
      <c r="A68" s="508" t="s">
        <v>274</v>
      </c>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idden="1" outlineLevel="1" x14ac:dyDescent="0.25">
      <c r="A69" s="508"/>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idden="1" outlineLevel="1" x14ac:dyDescent="0.25">
      <c r="A70" s="508"/>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idden="1" outlineLevel="1" x14ac:dyDescent="0.25">
      <c r="A71" s="508"/>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idden="1" outlineLevel="1" x14ac:dyDescent="0.25">
      <c r="A72" s="535" t="str">
        <f>CONCATENATE(B23," ",C23)</f>
        <v xml:space="preserve"> </v>
      </c>
      <c r="B72" s="535"/>
      <c r="C72" s="536"/>
      <c r="D72" s="536"/>
      <c r="E72" s="507"/>
      <c r="F72" s="507"/>
      <c r="G72" s="507"/>
      <c r="H72" s="507"/>
      <c r="I72" s="507"/>
      <c r="J72" s="507"/>
      <c r="K72" s="507"/>
      <c r="L72" s="507"/>
      <c r="M72" s="507"/>
      <c r="N72" s="507"/>
      <c r="O72" s="507" t="s">
        <v>5</v>
      </c>
      <c r="P72" s="507"/>
      <c r="Q72" s="507"/>
      <c r="R72" s="507"/>
      <c r="S72" s="507"/>
      <c r="T72" s="507"/>
      <c r="U72" s="507"/>
      <c r="V72" s="507"/>
      <c r="W72" s="507"/>
      <c r="X72" s="507"/>
      <c r="Y72" s="507"/>
      <c r="Z72" s="507"/>
    </row>
    <row r="73" spans="1:26" hidden="1" outlineLevel="1" x14ac:dyDescent="0.25">
      <c r="A73" s="508" t="s">
        <v>275</v>
      </c>
      <c r="B73" s="508"/>
      <c r="C73" s="508"/>
      <c r="D73" s="495"/>
      <c r="E73" s="999" t="s">
        <v>5</v>
      </c>
      <c r="F73" s="999" t="s">
        <v>5</v>
      </c>
      <c r="G73" s="999" t="s">
        <v>5</v>
      </c>
      <c r="H73" s="999"/>
      <c r="I73" s="999"/>
      <c r="J73" s="999"/>
      <c r="K73" s="1000" t="s">
        <v>5</v>
      </c>
      <c r="L73" s="496"/>
      <c r="M73" s="410"/>
      <c r="N73" s="409"/>
      <c r="O73" s="409" t="s">
        <v>5</v>
      </c>
      <c r="P73" s="409"/>
      <c r="Q73" s="409"/>
      <c r="R73" s="409"/>
      <c r="S73" s="409"/>
      <c r="T73" s="409"/>
      <c r="U73" s="409"/>
      <c r="V73" s="409"/>
      <c r="W73" s="409"/>
      <c r="X73" s="409"/>
      <c r="Y73" s="409"/>
      <c r="Z73" s="409"/>
    </row>
    <row r="74" spans="1:26" hidden="1" outlineLevel="1" x14ac:dyDescent="0.25">
      <c r="A74" s="508" t="s">
        <v>276</v>
      </c>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idden="1" outlineLevel="1" x14ac:dyDescent="0.25">
      <c r="A75" s="508"/>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idden="1" outlineLevel="1" x14ac:dyDescent="0.25">
      <c r="A76" s="508"/>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idden="1" outlineLevel="1" x14ac:dyDescent="0.25">
      <c r="A77" s="508"/>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idden="1" outlineLevel="1" x14ac:dyDescent="0.25">
      <c r="A78" s="535" t="str">
        <f>CONCATENATE(B24," ",C24)</f>
        <v xml:space="preserve"> </v>
      </c>
      <c r="B78" s="535"/>
      <c r="C78" s="536"/>
      <c r="D78" s="536"/>
      <c r="E78" s="507"/>
      <c r="F78" s="507"/>
      <c r="G78" s="507"/>
      <c r="H78" s="507"/>
      <c r="I78" s="507"/>
      <c r="J78" s="507"/>
      <c r="K78" s="507"/>
      <c r="L78" s="507"/>
      <c r="M78" s="507"/>
      <c r="N78" s="507"/>
      <c r="O78" s="507" t="s">
        <v>5</v>
      </c>
      <c r="P78" s="507"/>
      <c r="Q78" s="507"/>
      <c r="R78" s="507"/>
      <c r="S78" s="507"/>
      <c r="T78" s="507"/>
      <c r="U78" s="507"/>
      <c r="V78" s="507"/>
      <c r="W78" s="507"/>
      <c r="X78" s="507"/>
      <c r="Y78" s="507"/>
      <c r="Z78" s="507"/>
    </row>
    <row r="79" spans="1:26" hidden="1" outlineLevel="1" x14ac:dyDescent="0.25">
      <c r="A79" s="508" t="s">
        <v>277</v>
      </c>
      <c r="B79" s="508"/>
      <c r="C79" s="508"/>
      <c r="D79" s="495"/>
      <c r="E79" s="999" t="s">
        <v>5</v>
      </c>
      <c r="F79" s="999" t="s">
        <v>5</v>
      </c>
      <c r="G79" s="999" t="s">
        <v>5</v>
      </c>
      <c r="H79" s="999"/>
      <c r="I79" s="999"/>
      <c r="J79" s="999"/>
      <c r="K79" s="1000" t="s">
        <v>5</v>
      </c>
      <c r="L79" s="496"/>
      <c r="M79" s="410"/>
      <c r="N79" s="409"/>
      <c r="O79" s="409" t="s">
        <v>5</v>
      </c>
      <c r="P79" s="409"/>
      <c r="Q79" s="409"/>
      <c r="R79" s="409"/>
      <c r="S79" s="409"/>
      <c r="T79" s="409"/>
      <c r="U79" s="409"/>
      <c r="V79" s="409"/>
      <c r="W79" s="409"/>
      <c r="X79" s="409"/>
      <c r="Y79" s="409"/>
      <c r="Z79" s="409"/>
    </row>
    <row r="80" spans="1:26" hidden="1" outlineLevel="1" x14ac:dyDescent="0.25">
      <c r="A80" s="508" t="s">
        <v>278</v>
      </c>
      <c r="B80" s="508"/>
      <c r="C80" s="508"/>
      <c r="D80" s="495"/>
      <c r="E80" s="999" t="s">
        <v>5</v>
      </c>
      <c r="F80" s="999" t="s">
        <v>5</v>
      </c>
      <c r="G80" s="999" t="s">
        <v>5</v>
      </c>
      <c r="H80" s="999"/>
      <c r="I80" s="999"/>
      <c r="J80" s="999"/>
      <c r="K80" s="1000" t="s">
        <v>5</v>
      </c>
      <c r="L80" s="496"/>
      <c r="M80" s="410"/>
      <c r="N80" s="409"/>
      <c r="O80" s="409" t="s">
        <v>5</v>
      </c>
      <c r="P80" s="409"/>
      <c r="Q80" s="409"/>
      <c r="R80" s="409"/>
      <c r="S80" s="409"/>
      <c r="T80" s="409"/>
      <c r="U80" s="409"/>
      <c r="V80" s="409"/>
      <c r="W80" s="409"/>
      <c r="X80" s="409"/>
      <c r="Y80" s="409"/>
      <c r="Z80" s="409"/>
    </row>
    <row r="81" spans="1:26" hidden="1" outlineLevel="1" x14ac:dyDescent="0.25">
      <c r="A81" s="508"/>
      <c r="B81" s="508"/>
      <c r="C81" s="508"/>
      <c r="D81" s="495"/>
      <c r="E81" s="999" t="s">
        <v>5</v>
      </c>
      <c r="F81" s="999" t="s">
        <v>5</v>
      </c>
      <c r="G81" s="999" t="s">
        <v>5</v>
      </c>
      <c r="H81" s="999"/>
      <c r="I81" s="999"/>
      <c r="J81" s="999"/>
      <c r="K81" s="1000" t="s">
        <v>5</v>
      </c>
      <c r="L81" s="496"/>
      <c r="M81" s="410"/>
      <c r="N81" s="409"/>
      <c r="O81" s="409" t="s">
        <v>5</v>
      </c>
      <c r="P81" s="409"/>
      <c r="Q81" s="409"/>
      <c r="R81" s="409"/>
      <c r="S81" s="409"/>
      <c r="T81" s="409"/>
      <c r="U81" s="409"/>
      <c r="V81" s="409"/>
      <c r="W81" s="409"/>
      <c r="X81" s="409"/>
      <c r="Y81" s="409"/>
      <c r="Z81" s="409"/>
    </row>
    <row r="82" spans="1:26" hidden="1" outlineLevel="1" x14ac:dyDescent="0.25">
      <c r="A82" s="508"/>
      <c r="B82" s="508"/>
      <c r="C82" s="508"/>
      <c r="D82" s="495"/>
      <c r="E82" s="999" t="s">
        <v>5</v>
      </c>
      <c r="F82" s="999" t="s">
        <v>5</v>
      </c>
      <c r="G82" s="999" t="s">
        <v>5</v>
      </c>
      <c r="H82" s="999"/>
      <c r="I82" s="999"/>
      <c r="J82" s="999"/>
      <c r="K82" s="1000" t="s">
        <v>5</v>
      </c>
      <c r="L82" s="496"/>
      <c r="M82" s="410"/>
      <c r="N82" s="409"/>
      <c r="O82" s="409" t="s">
        <v>5</v>
      </c>
      <c r="P82" s="409"/>
      <c r="Q82" s="409"/>
      <c r="R82" s="409"/>
      <c r="S82" s="409"/>
      <c r="T82" s="409"/>
      <c r="U82" s="409"/>
      <c r="V82" s="409"/>
      <c r="W82" s="409"/>
      <c r="X82" s="409"/>
      <c r="Y82" s="409"/>
      <c r="Z82" s="409"/>
    </row>
    <row r="83" spans="1:26" hidden="1" outlineLevel="1" x14ac:dyDescent="0.25">
      <c r="A83" s="508"/>
      <c r="B83" s="508"/>
      <c r="C83" s="508"/>
      <c r="D83" s="495"/>
      <c r="E83" s="999" t="s">
        <v>5</v>
      </c>
      <c r="F83" s="999" t="s">
        <v>5</v>
      </c>
      <c r="G83" s="999" t="s">
        <v>5</v>
      </c>
      <c r="H83" s="999"/>
      <c r="I83" s="999"/>
      <c r="J83" s="999"/>
      <c r="K83" s="1000" t="s">
        <v>5</v>
      </c>
      <c r="L83" s="496"/>
      <c r="M83" s="410"/>
      <c r="N83" s="409"/>
      <c r="O83" s="409" t="s">
        <v>5</v>
      </c>
      <c r="P83" s="409"/>
      <c r="Q83" s="409"/>
      <c r="R83" s="409"/>
      <c r="S83" s="409"/>
      <c r="T83" s="409"/>
      <c r="U83" s="409"/>
      <c r="V83" s="409"/>
      <c r="W83" s="409"/>
      <c r="X83" s="409"/>
      <c r="Y83" s="409"/>
      <c r="Z83" s="409"/>
    </row>
    <row r="84" spans="1:26" hidden="1" outlineLevel="1" x14ac:dyDescent="0.25">
      <c r="A84" s="535" t="str">
        <f>CONCATENATE(B25," ",C25)</f>
        <v xml:space="preserve"> </v>
      </c>
      <c r="B84" s="535"/>
      <c r="C84" s="536"/>
      <c r="D84" s="536"/>
      <c r="E84" s="507"/>
      <c r="F84" s="507"/>
      <c r="G84" s="507"/>
      <c r="H84" s="507"/>
      <c r="I84" s="507"/>
      <c r="J84" s="507"/>
      <c r="K84" s="507"/>
      <c r="L84" s="507"/>
      <c r="M84" s="507"/>
      <c r="N84" s="507"/>
      <c r="O84" s="507" t="s">
        <v>5</v>
      </c>
      <c r="P84" s="507"/>
      <c r="Q84" s="507"/>
      <c r="R84" s="507"/>
      <c r="S84" s="507"/>
      <c r="T84" s="507"/>
      <c r="U84" s="507"/>
      <c r="V84" s="507"/>
      <c r="W84" s="507"/>
      <c r="X84" s="507"/>
      <c r="Y84" s="507"/>
      <c r="Z84" s="507"/>
    </row>
    <row r="85" spans="1:26" hidden="1" outlineLevel="1" x14ac:dyDescent="0.25">
      <c r="A85" s="508" t="s">
        <v>279</v>
      </c>
      <c r="B85" s="508"/>
      <c r="C85" s="508"/>
      <c r="D85" s="495"/>
      <c r="E85" s="999" t="s">
        <v>5</v>
      </c>
      <c r="F85" s="999" t="s">
        <v>5</v>
      </c>
      <c r="G85" s="999" t="s">
        <v>5</v>
      </c>
      <c r="H85" s="999"/>
      <c r="I85" s="999"/>
      <c r="J85" s="999"/>
      <c r="K85" s="1000" t="s">
        <v>5</v>
      </c>
      <c r="L85" s="496"/>
      <c r="M85" s="410"/>
      <c r="N85" s="409"/>
      <c r="O85" s="409" t="s">
        <v>5</v>
      </c>
      <c r="P85" s="409"/>
      <c r="Q85" s="409"/>
      <c r="R85" s="409"/>
      <c r="S85" s="409"/>
      <c r="T85" s="409"/>
      <c r="U85" s="409"/>
      <c r="V85" s="409"/>
      <c r="W85" s="409"/>
      <c r="X85" s="409"/>
      <c r="Y85" s="409"/>
      <c r="Z85" s="409"/>
    </row>
    <row r="86" spans="1:26" hidden="1" outlineLevel="1" x14ac:dyDescent="0.25">
      <c r="A86" s="508" t="s">
        <v>280</v>
      </c>
      <c r="B86" s="508"/>
      <c r="C86" s="508"/>
      <c r="D86" s="495"/>
      <c r="E86" s="999" t="s">
        <v>5</v>
      </c>
      <c r="F86" s="999" t="s">
        <v>5</v>
      </c>
      <c r="G86" s="999" t="s">
        <v>5</v>
      </c>
      <c r="H86" s="999"/>
      <c r="I86" s="999"/>
      <c r="J86" s="999"/>
      <c r="K86" s="1000" t="s">
        <v>5</v>
      </c>
      <c r="L86" s="496"/>
      <c r="M86" s="410"/>
      <c r="N86" s="409"/>
      <c r="O86" s="409" t="s">
        <v>5</v>
      </c>
      <c r="P86" s="409"/>
      <c r="Q86" s="409"/>
      <c r="R86" s="409"/>
      <c r="S86" s="409"/>
      <c r="T86" s="409"/>
      <c r="U86" s="409"/>
      <c r="V86" s="409"/>
      <c r="W86" s="409"/>
      <c r="X86" s="409"/>
      <c r="Y86" s="409"/>
      <c r="Z86" s="409"/>
    </row>
    <row r="87" spans="1:26" hidden="1" outlineLevel="1" x14ac:dyDescent="0.25">
      <c r="A87" s="508"/>
      <c r="B87" s="508"/>
      <c r="C87" s="508"/>
      <c r="D87" s="495"/>
      <c r="E87" s="999" t="s">
        <v>5</v>
      </c>
      <c r="F87" s="999" t="s">
        <v>5</v>
      </c>
      <c r="G87" s="999" t="s">
        <v>5</v>
      </c>
      <c r="H87" s="999"/>
      <c r="I87" s="999"/>
      <c r="J87" s="999"/>
      <c r="K87" s="1000" t="s">
        <v>5</v>
      </c>
      <c r="L87" s="496"/>
      <c r="M87" s="410"/>
      <c r="N87" s="409"/>
      <c r="O87" s="409" t="s">
        <v>5</v>
      </c>
      <c r="P87" s="409"/>
      <c r="Q87" s="409"/>
      <c r="R87" s="409"/>
      <c r="S87" s="409"/>
      <c r="T87" s="409"/>
      <c r="U87" s="409"/>
      <c r="V87" s="409"/>
      <c r="W87" s="409"/>
      <c r="X87" s="409"/>
      <c r="Y87" s="409"/>
      <c r="Z87" s="409"/>
    </row>
    <row r="88" spans="1:26" hidden="1" outlineLevel="1" x14ac:dyDescent="0.25">
      <c r="A88" s="508"/>
      <c r="B88" s="508"/>
      <c r="C88" s="508"/>
      <c r="D88" s="495"/>
      <c r="E88" s="999" t="s">
        <v>5</v>
      </c>
      <c r="F88" s="999" t="s">
        <v>5</v>
      </c>
      <c r="G88" s="999" t="s">
        <v>5</v>
      </c>
      <c r="H88" s="999"/>
      <c r="I88" s="999"/>
      <c r="J88" s="999"/>
      <c r="K88" s="1000" t="s">
        <v>5</v>
      </c>
      <c r="L88" s="496"/>
      <c r="M88" s="410"/>
      <c r="N88" s="409"/>
      <c r="O88" s="409" t="s">
        <v>5</v>
      </c>
      <c r="P88" s="409"/>
      <c r="Q88" s="409"/>
      <c r="R88" s="409"/>
      <c r="S88" s="409"/>
      <c r="T88" s="409"/>
      <c r="U88" s="409"/>
      <c r="V88" s="409"/>
      <c r="W88" s="409"/>
      <c r="X88" s="409"/>
      <c r="Y88" s="409"/>
      <c r="Z88" s="409"/>
    </row>
    <row r="89" spans="1:26" hidden="1" outlineLevel="1" x14ac:dyDescent="0.25">
      <c r="A89" s="508"/>
      <c r="B89" s="508"/>
      <c r="C89" s="508"/>
      <c r="D89" s="495"/>
      <c r="E89" s="999" t="s">
        <v>5</v>
      </c>
      <c r="F89" s="999" t="s">
        <v>5</v>
      </c>
      <c r="G89" s="999" t="s">
        <v>5</v>
      </c>
      <c r="H89" s="999"/>
      <c r="I89" s="999"/>
      <c r="J89" s="999"/>
      <c r="K89" s="1000" t="s">
        <v>5</v>
      </c>
      <c r="L89" s="496"/>
      <c r="M89" s="410"/>
      <c r="N89" s="409"/>
      <c r="O89" s="409" t="s">
        <v>5</v>
      </c>
      <c r="P89" s="409"/>
      <c r="Q89" s="409"/>
      <c r="R89" s="409"/>
      <c r="S89" s="409"/>
      <c r="T89" s="409"/>
      <c r="U89" s="409"/>
      <c r="V89" s="409"/>
      <c r="W89" s="409"/>
      <c r="X89" s="409"/>
      <c r="Y89" s="409"/>
      <c r="Z89" s="409"/>
    </row>
    <row r="90" spans="1:26" ht="6.75" customHeight="1" collapsed="1" x14ac:dyDescent="0.25"/>
    <row r="91" spans="1:26" x14ac:dyDescent="0.25">
      <c r="A91" s="441" t="s">
        <v>37</v>
      </c>
      <c r="B91" s="441"/>
      <c r="C91" s="402"/>
      <c r="D91" s="402"/>
      <c r="E91" s="402"/>
      <c r="F91" s="402"/>
      <c r="G91" s="402"/>
      <c r="H91" s="491"/>
      <c r="I91" s="491"/>
      <c r="J91" s="402"/>
      <c r="K91" s="402"/>
      <c r="L91" s="402"/>
      <c r="M91" s="402"/>
      <c r="N91" s="402"/>
      <c r="O91" s="402" t="s">
        <v>5</v>
      </c>
      <c r="P91" s="402"/>
      <c r="Q91" s="402"/>
      <c r="R91" s="402"/>
      <c r="S91" s="402"/>
      <c r="T91" s="402"/>
      <c r="U91" s="402"/>
      <c r="V91" s="402"/>
      <c r="W91" s="402"/>
      <c r="X91" s="402"/>
      <c r="Y91" s="402"/>
      <c r="Z91" s="402"/>
    </row>
    <row r="92" spans="1:26" x14ac:dyDescent="0.25">
      <c r="A92" s="535" t="str">
        <f>CONCATENATE(B17," ",C17)</f>
        <v>Objective 1  Camp Relincho</v>
      </c>
      <c r="B92" s="535"/>
      <c r="C92" s="536"/>
      <c r="D92" s="536"/>
      <c r="E92" s="507"/>
      <c r="F92" s="507"/>
      <c r="G92" s="507"/>
      <c r="H92" s="507"/>
      <c r="I92" s="507"/>
      <c r="J92" s="507"/>
      <c r="K92" s="507"/>
      <c r="L92" s="507"/>
      <c r="M92" s="507"/>
      <c r="N92" s="507"/>
      <c r="O92" s="507" t="s">
        <v>5</v>
      </c>
      <c r="P92" s="507"/>
      <c r="Q92" s="507"/>
      <c r="R92" s="507"/>
      <c r="S92" s="507"/>
      <c r="T92" s="507"/>
      <c r="U92" s="507"/>
      <c r="V92" s="507"/>
      <c r="W92" s="507"/>
      <c r="X92" s="507"/>
      <c r="Y92" s="507"/>
      <c r="Z92" s="507"/>
    </row>
    <row r="93" spans="1:26" ht="45" x14ac:dyDescent="0.25">
      <c r="A93" s="442" t="s">
        <v>261</v>
      </c>
      <c r="B93" s="442" t="s">
        <v>13</v>
      </c>
      <c r="C93" s="442" t="s">
        <v>14</v>
      </c>
      <c r="D93" s="509" t="s">
        <v>286</v>
      </c>
      <c r="E93" s="404" t="s">
        <v>16</v>
      </c>
      <c r="F93" s="404" t="s">
        <v>295</v>
      </c>
      <c r="G93" s="404" t="s">
        <v>39</v>
      </c>
      <c r="H93" s="404" t="s">
        <v>297</v>
      </c>
      <c r="I93" s="404" t="s">
        <v>298</v>
      </c>
      <c r="J93" s="404" t="s">
        <v>299</v>
      </c>
      <c r="K93" s="404" t="s">
        <v>300</v>
      </c>
      <c r="L93" s="404" t="s">
        <v>17</v>
      </c>
      <c r="M93" s="404" t="s">
        <v>18</v>
      </c>
      <c r="N93" s="404" t="s">
        <v>19</v>
      </c>
      <c r="O93" s="443">
        <v>43101</v>
      </c>
      <c r="P93" s="443">
        <v>43132</v>
      </c>
      <c r="Q93" s="443">
        <v>43160</v>
      </c>
      <c r="R93" s="443">
        <v>43191</v>
      </c>
      <c r="S93" s="443">
        <v>43221</v>
      </c>
      <c r="T93" s="443">
        <v>43252</v>
      </c>
      <c r="U93" s="443">
        <v>43282</v>
      </c>
      <c r="V93" s="443">
        <v>43313</v>
      </c>
      <c r="W93" s="443">
        <v>43344</v>
      </c>
      <c r="X93" s="443">
        <v>43374</v>
      </c>
      <c r="Y93" s="443">
        <v>43405</v>
      </c>
      <c r="Z93" s="443">
        <v>43435</v>
      </c>
    </row>
    <row r="94" spans="1:26" ht="36.6" customHeight="1" x14ac:dyDescent="0.25">
      <c r="A94" s="508" t="s">
        <v>2107</v>
      </c>
      <c r="B94" s="508" t="s">
        <v>40</v>
      </c>
      <c r="C94" s="508" t="s">
        <v>398</v>
      </c>
      <c r="D94" s="495" t="s">
        <v>419</v>
      </c>
      <c r="E94" s="496" t="s">
        <v>28</v>
      </c>
      <c r="F94" s="496" t="s">
        <v>437</v>
      </c>
      <c r="G94" s="496" t="s">
        <v>438</v>
      </c>
      <c r="H94" s="496" t="s">
        <v>41</v>
      </c>
      <c r="I94" s="496" t="s">
        <v>41</v>
      </c>
      <c r="J94" s="496" t="s">
        <v>41</v>
      </c>
      <c r="K94" s="496" t="s">
        <v>41</v>
      </c>
      <c r="L94" s="496">
        <v>12</v>
      </c>
      <c r="M94" s="496">
        <v>12</v>
      </c>
      <c r="N94" s="512">
        <f t="shared" ref="N94:N119" si="6">SUM(O94:Z94)</f>
        <v>17647.058823529409</v>
      </c>
      <c r="O94" s="496">
        <v>1470.5882352941176</v>
      </c>
      <c r="P94" s="496">
        <v>1470.5882352941176</v>
      </c>
      <c r="Q94" s="496">
        <v>1470.5882352941176</v>
      </c>
      <c r="R94" s="496">
        <v>1470.5882352941176</v>
      </c>
      <c r="S94" s="496">
        <v>1470.5882352941176</v>
      </c>
      <c r="T94" s="496">
        <v>1470.5882352941176</v>
      </c>
      <c r="U94" s="496">
        <v>1470.5882352941176</v>
      </c>
      <c r="V94" s="496">
        <v>1470.5882352941176</v>
      </c>
      <c r="W94" s="496">
        <v>1470.5882352941176</v>
      </c>
      <c r="X94" s="496">
        <v>1470.5882352941176</v>
      </c>
      <c r="Y94" s="496">
        <v>1470.5882352941176</v>
      </c>
      <c r="Z94" s="496">
        <v>1470.5882352941176</v>
      </c>
    </row>
    <row r="95" spans="1:26" x14ac:dyDescent="0.25">
      <c r="A95" s="508" t="s">
        <v>2109</v>
      </c>
      <c r="B95" s="508" t="s">
        <v>40</v>
      </c>
      <c r="C95" s="508" t="s">
        <v>399</v>
      </c>
      <c r="D95" s="495" t="s">
        <v>420</v>
      </c>
      <c r="E95" s="496" t="s">
        <v>28</v>
      </c>
      <c r="F95" s="496" t="s">
        <v>439</v>
      </c>
      <c r="G95" s="496" t="s">
        <v>440</v>
      </c>
      <c r="H95" s="496" t="s">
        <v>42</v>
      </c>
      <c r="I95" s="496" t="s">
        <v>43</v>
      </c>
      <c r="J95" s="496" t="s">
        <v>44</v>
      </c>
      <c r="K95" s="496" t="s">
        <v>45</v>
      </c>
      <c r="L95" s="496">
        <v>12</v>
      </c>
      <c r="M95" s="496"/>
      <c r="N95" s="512">
        <f t="shared" si="6"/>
        <v>17710.588235294159</v>
      </c>
      <c r="O95" s="496">
        <v>1475.88235294118</v>
      </c>
      <c r="P95" s="496">
        <v>1475.88235294118</v>
      </c>
      <c r="Q95" s="496">
        <v>1475.88235294118</v>
      </c>
      <c r="R95" s="496">
        <v>1475.88235294118</v>
      </c>
      <c r="S95" s="496">
        <v>1475.88235294118</v>
      </c>
      <c r="T95" s="496">
        <v>1475.88235294118</v>
      </c>
      <c r="U95" s="496">
        <v>1475.88235294118</v>
      </c>
      <c r="V95" s="496">
        <v>1475.88235294118</v>
      </c>
      <c r="W95" s="496">
        <v>1475.88235294118</v>
      </c>
      <c r="X95" s="496">
        <v>1475.88235294118</v>
      </c>
      <c r="Y95" s="496">
        <v>1475.88235294118</v>
      </c>
      <c r="Z95" s="496">
        <v>1475.88235294118</v>
      </c>
    </row>
    <row r="96" spans="1:26" ht="30" x14ac:dyDescent="0.25">
      <c r="A96" s="508" t="s">
        <v>2111</v>
      </c>
      <c r="B96" s="508" t="s">
        <v>40</v>
      </c>
      <c r="C96" s="508" t="s">
        <v>400</v>
      </c>
      <c r="D96" s="495" t="s">
        <v>421</v>
      </c>
      <c r="E96" s="496" t="s">
        <v>28</v>
      </c>
      <c r="F96" s="496" t="s">
        <v>441</v>
      </c>
      <c r="G96" s="496" t="s">
        <v>442</v>
      </c>
      <c r="H96" s="496" t="s">
        <v>42</v>
      </c>
      <c r="I96" s="496" t="s">
        <v>43</v>
      </c>
      <c r="J96" s="496" t="s">
        <v>44</v>
      </c>
      <c r="K96" s="496" t="s">
        <v>45</v>
      </c>
      <c r="L96" s="496">
        <v>12</v>
      </c>
      <c r="M96" s="496"/>
      <c r="N96" s="512">
        <f t="shared" si="6"/>
        <v>2647.0588235294113</v>
      </c>
      <c r="O96" s="496">
        <v>220.58823529411765</v>
      </c>
      <c r="P96" s="496">
        <v>220.58823529411765</v>
      </c>
      <c r="Q96" s="496">
        <v>220.58823529411765</v>
      </c>
      <c r="R96" s="496">
        <v>220.58823529411765</v>
      </c>
      <c r="S96" s="496">
        <v>220.58823529411765</v>
      </c>
      <c r="T96" s="496">
        <v>220.58823529411765</v>
      </c>
      <c r="U96" s="496">
        <v>220.58823529411765</v>
      </c>
      <c r="V96" s="496">
        <v>220.58823529411765</v>
      </c>
      <c r="W96" s="496">
        <v>220.58823529411765</v>
      </c>
      <c r="X96" s="496">
        <v>220.58823529411765</v>
      </c>
      <c r="Y96" s="496">
        <v>220.58823529411765</v>
      </c>
      <c r="Z96" s="496">
        <v>220.58823529411765</v>
      </c>
    </row>
    <row r="97" spans="1:26" ht="30" x14ac:dyDescent="0.25">
      <c r="A97" s="508" t="s">
        <v>2113</v>
      </c>
      <c r="B97" s="508" t="s">
        <v>40</v>
      </c>
      <c r="C97" s="508" t="s">
        <v>401</v>
      </c>
      <c r="D97" s="495" t="s">
        <v>422</v>
      </c>
      <c r="E97" s="496" t="s">
        <v>28</v>
      </c>
      <c r="F97" s="496" t="s">
        <v>439</v>
      </c>
      <c r="G97" s="496" t="s">
        <v>443</v>
      </c>
      <c r="H97" s="496" t="s">
        <v>42</v>
      </c>
      <c r="I97" s="496" t="s">
        <v>43</v>
      </c>
      <c r="J97" s="496" t="s">
        <v>44</v>
      </c>
      <c r="K97" s="496" t="s">
        <v>45</v>
      </c>
      <c r="L97" s="496">
        <v>3</v>
      </c>
      <c r="M97" s="496"/>
      <c r="N97" s="512">
        <f t="shared" si="6"/>
        <v>6617.6470588235297</v>
      </c>
      <c r="O97" s="496">
        <v>2205.8823529411766</v>
      </c>
      <c r="P97" s="496">
        <v>2205.8823529411766</v>
      </c>
      <c r="Q97" s="496"/>
      <c r="R97" s="496"/>
      <c r="S97" s="496"/>
      <c r="T97" s="496"/>
      <c r="U97" s="496"/>
      <c r="V97" s="496"/>
      <c r="W97" s="496"/>
      <c r="X97" s="496"/>
      <c r="Y97" s="496"/>
      <c r="Z97" s="496">
        <v>2205.8823529411766</v>
      </c>
    </row>
    <row r="98" spans="1:26" ht="30" x14ac:dyDescent="0.25">
      <c r="A98" s="508" t="s">
        <v>2114</v>
      </c>
      <c r="B98" s="508"/>
      <c r="C98" s="508" t="s">
        <v>402</v>
      </c>
      <c r="D98" s="495" t="s">
        <v>423</v>
      </c>
      <c r="E98" s="496" t="s">
        <v>28</v>
      </c>
      <c r="F98" s="496" t="s">
        <v>441</v>
      </c>
      <c r="G98" s="496" t="s">
        <v>442</v>
      </c>
      <c r="H98" s="496" t="s">
        <v>42</v>
      </c>
      <c r="I98" s="496" t="s">
        <v>43</v>
      </c>
      <c r="J98" s="496" t="s">
        <v>44</v>
      </c>
      <c r="K98" s="496" t="s">
        <v>45</v>
      </c>
      <c r="L98" s="496">
        <v>2</v>
      </c>
      <c r="M98" s="496"/>
      <c r="N98" s="512">
        <f t="shared" si="6"/>
        <v>5391.1241176470585</v>
      </c>
      <c r="O98" s="496"/>
      <c r="P98" s="496"/>
      <c r="Q98" s="496">
        <v>2695.5620588235292</v>
      </c>
      <c r="R98" s="496"/>
      <c r="S98" s="496"/>
      <c r="T98" s="496"/>
      <c r="U98" s="496"/>
      <c r="V98" s="496"/>
      <c r="W98" s="496">
        <v>2695.5620588235292</v>
      </c>
      <c r="X98" s="496"/>
      <c r="Y98" s="496"/>
      <c r="Z98" s="496"/>
    </row>
    <row r="99" spans="1:26" ht="30" x14ac:dyDescent="0.25">
      <c r="A99" s="508" t="s">
        <v>2115</v>
      </c>
      <c r="B99" s="508"/>
      <c r="C99" s="508" t="s">
        <v>403</v>
      </c>
      <c r="D99" s="495" t="s">
        <v>424</v>
      </c>
      <c r="E99" s="496" t="s">
        <v>28</v>
      </c>
      <c r="F99" s="496" t="s">
        <v>439</v>
      </c>
      <c r="G99" s="496" t="s">
        <v>444</v>
      </c>
      <c r="H99" s="496" t="s">
        <v>42</v>
      </c>
      <c r="I99" s="496" t="s">
        <v>43</v>
      </c>
      <c r="J99" s="496" t="s">
        <v>44</v>
      </c>
      <c r="K99" s="496" t="s">
        <v>45</v>
      </c>
      <c r="L99" s="496">
        <v>1</v>
      </c>
      <c r="M99" s="496"/>
      <c r="N99" s="512">
        <f t="shared" si="6"/>
        <v>2058.8235294117649</v>
      </c>
      <c r="O99" s="496" t="s">
        <v>5</v>
      </c>
      <c r="P99" s="496"/>
      <c r="Q99" s="496"/>
      <c r="R99" s="496"/>
      <c r="S99" s="496"/>
      <c r="T99" s="496">
        <v>2058.8235294117649</v>
      </c>
      <c r="U99" s="496"/>
      <c r="V99" s="496"/>
      <c r="W99" s="496"/>
      <c r="X99" s="496"/>
      <c r="Y99" s="496"/>
      <c r="Z99" s="496"/>
    </row>
    <row r="100" spans="1:26" x14ac:dyDescent="0.25">
      <c r="A100" s="508" t="s">
        <v>2116</v>
      </c>
      <c r="B100" s="508"/>
      <c r="C100" s="508" t="s">
        <v>404</v>
      </c>
      <c r="D100" s="495"/>
      <c r="E100" s="496" t="s">
        <v>28</v>
      </c>
      <c r="F100" s="496" t="s">
        <v>441</v>
      </c>
      <c r="G100" s="496" t="s">
        <v>445</v>
      </c>
      <c r="H100" s="496" t="s">
        <v>42</v>
      </c>
      <c r="I100" s="496" t="s">
        <v>43</v>
      </c>
      <c r="J100" s="496" t="s">
        <v>44</v>
      </c>
      <c r="K100" s="496" t="s">
        <v>45</v>
      </c>
      <c r="L100" s="496">
        <v>6</v>
      </c>
      <c r="M100" s="496"/>
      <c r="N100" s="512">
        <f t="shared" si="6"/>
        <v>3970.588235294118</v>
      </c>
      <c r="O100" s="496">
        <v>661.76470588235293</v>
      </c>
      <c r="P100" s="496"/>
      <c r="Q100" s="496">
        <v>661.76470588235293</v>
      </c>
      <c r="R100" s="496"/>
      <c r="S100" s="496">
        <v>661.76470588235293</v>
      </c>
      <c r="T100" s="496"/>
      <c r="U100" s="496">
        <v>661.76470588235293</v>
      </c>
      <c r="V100" s="496"/>
      <c r="W100" s="496">
        <v>661.76470588235293</v>
      </c>
      <c r="X100" s="496"/>
      <c r="Y100" s="496">
        <v>661.76470588235293</v>
      </c>
      <c r="Z100" s="496"/>
    </row>
    <row r="101" spans="1:26" ht="30" x14ac:dyDescent="0.25">
      <c r="A101" s="508" t="s">
        <v>2117</v>
      </c>
      <c r="B101" s="508"/>
      <c r="C101" s="508" t="s">
        <v>405</v>
      </c>
      <c r="D101" s="495"/>
      <c r="E101" s="496" t="s">
        <v>28</v>
      </c>
      <c r="F101" s="496" t="s">
        <v>439</v>
      </c>
      <c r="G101" s="496" t="s">
        <v>446</v>
      </c>
      <c r="H101" s="496" t="s">
        <v>42</v>
      </c>
      <c r="I101" s="496" t="s">
        <v>43</v>
      </c>
      <c r="J101" s="496" t="s">
        <v>44</v>
      </c>
      <c r="K101" s="496" t="s">
        <v>45</v>
      </c>
      <c r="L101" s="496">
        <v>12</v>
      </c>
      <c r="M101" s="496"/>
      <c r="N101" s="512">
        <f t="shared" si="6"/>
        <v>2964.705882352941</v>
      </c>
      <c r="O101" s="496">
        <v>247.05882352941177</v>
      </c>
      <c r="P101" s="496">
        <v>247.05882352941177</v>
      </c>
      <c r="Q101" s="496">
        <v>247.05882352941177</v>
      </c>
      <c r="R101" s="496">
        <v>247.05882352941177</v>
      </c>
      <c r="S101" s="496">
        <v>247.05882352941177</v>
      </c>
      <c r="T101" s="496">
        <v>247.05882352941177</v>
      </c>
      <c r="U101" s="496">
        <v>247.05882352941177</v>
      </c>
      <c r="V101" s="496">
        <v>247.05882352941177</v>
      </c>
      <c r="W101" s="496">
        <v>247.05882352941177</v>
      </c>
      <c r="X101" s="496">
        <v>247.05882352941177</v>
      </c>
      <c r="Y101" s="496">
        <v>247.05882352941177</v>
      </c>
      <c r="Z101" s="496">
        <v>247.05882352941177</v>
      </c>
    </row>
    <row r="102" spans="1:26" ht="30" x14ac:dyDescent="0.25">
      <c r="A102" s="508" t="s">
        <v>2118</v>
      </c>
      <c r="B102" s="508"/>
      <c r="C102" s="508" t="s">
        <v>406</v>
      </c>
      <c r="D102" s="495"/>
      <c r="E102" s="496" t="s">
        <v>28</v>
      </c>
      <c r="F102" s="496" t="s">
        <v>447</v>
      </c>
      <c r="G102" s="496"/>
      <c r="H102" s="496" t="s">
        <v>42</v>
      </c>
      <c r="I102" s="496" t="s">
        <v>43</v>
      </c>
      <c r="J102" s="496" t="s">
        <v>44</v>
      </c>
      <c r="K102" s="496" t="s">
        <v>45</v>
      </c>
      <c r="L102" s="496">
        <v>12</v>
      </c>
      <c r="M102" s="496"/>
      <c r="N102" s="512">
        <f t="shared" si="6"/>
        <v>1217.6470588235295</v>
      </c>
      <c r="O102" s="496">
        <v>101.47058823529412</v>
      </c>
      <c r="P102" s="496">
        <v>101.47058823529412</v>
      </c>
      <c r="Q102" s="496">
        <v>101.47058823529412</v>
      </c>
      <c r="R102" s="496">
        <v>101.47058823529412</v>
      </c>
      <c r="S102" s="496">
        <v>101.47058823529412</v>
      </c>
      <c r="T102" s="496">
        <v>101.47058823529412</v>
      </c>
      <c r="U102" s="496">
        <v>101.47058823529412</v>
      </c>
      <c r="V102" s="496">
        <v>101.47058823529412</v>
      </c>
      <c r="W102" s="496">
        <v>101.47058823529412</v>
      </c>
      <c r="X102" s="496">
        <v>101.47058823529412</v>
      </c>
      <c r="Y102" s="496">
        <v>101.47058823529412</v>
      </c>
      <c r="Z102" s="496">
        <v>101.47058823529412</v>
      </c>
    </row>
    <row r="103" spans="1:26" x14ac:dyDescent="0.25">
      <c r="A103" s="508" t="s">
        <v>2119</v>
      </c>
      <c r="B103" s="508"/>
      <c r="C103" s="508" t="s">
        <v>407</v>
      </c>
      <c r="D103" s="495" t="s">
        <v>425</v>
      </c>
      <c r="E103" s="496" t="s">
        <v>28</v>
      </c>
      <c r="F103" s="496" t="s">
        <v>448</v>
      </c>
      <c r="G103" s="496"/>
      <c r="H103" s="496" t="s">
        <v>42</v>
      </c>
      <c r="I103" s="496" t="s">
        <v>43</v>
      </c>
      <c r="J103" s="496" t="s">
        <v>44</v>
      </c>
      <c r="K103" s="496" t="s">
        <v>45</v>
      </c>
      <c r="L103" s="496">
        <v>12</v>
      </c>
      <c r="M103" s="496"/>
      <c r="N103" s="512">
        <f t="shared" si="6"/>
        <v>19058.823529411766</v>
      </c>
      <c r="O103" s="496">
        <v>1588.2352941176471</v>
      </c>
      <c r="P103" s="496">
        <v>1588.2352941176471</v>
      </c>
      <c r="Q103" s="496">
        <v>1588.2352941176471</v>
      </c>
      <c r="R103" s="496">
        <v>1588.2352941176471</v>
      </c>
      <c r="S103" s="496">
        <v>1588.2352941176471</v>
      </c>
      <c r="T103" s="496">
        <v>1588.2352941176471</v>
      </c>
      <c r="U103" s="496">
        <v>1588.2352941176471</v>
      </c>
      <c r="V103" s="496">
        <v>1588.2352941176471</v>
      </c>
      <c r="W103" s="496">
        <v>1588.2352941176471</v>
      </c>
      <c r="X103" s="496">
        <v>1588.2352941176471</v>
      </c>
      <c r="Y103" s="496">
        <v>1588.2352941176471</v>
      </c>
      <c r="Z103" s="496">
        <v>1588.2352941176471</v>
      </c>
    </row>
    <row r="104" spans="1:26" x14ac:dyDescent="0.25">
      <c r="A104" s="508" t="s">
        <v>2120</v>
      </c>
      <c r="B104" s="508"/>
      <c r="C104" s="508" t="s">
        <v>408</v>
      </c>
      <c r="D104" s="495" t="s">
        <v>426</v>
      </c>
      <c r="E104" s="496" t="s">
        <v>28</v>
      </c>
      <c r="F104" s="496" t="s">
        <v>449</v>
      </c>
      <c r="G104" s="496"/>
      <c r="H104" s="496" t="s">
        <v>42</v>
      </c>
      <c r="I104" s="496" t="s">
        <v>43</v>
      </c>
      <c r="J104" s="496" t="s">
        <v>44</v>
      </c>
      <c r="K104" s="496" t="s">
        <v>45</v>
      </c>
      <c r="L104" s="496">
        <v>6</v>
      </c>
      <c r="M104" s="496"/>
      <c r="N104" s="512">
        <f t="shared" si="6"/>
        <v>3088.2352941176478</v>
      </c>
      <c r="O104" s="496"/>
      <c r="P104" s="496">
        <v>514.70588235294122</v>
      </c>
      <c r="Q104" s="496"/>
      <c r="R104" s="496">
        <v>514.70588235294122</v>
      </c>
      <c r="S104" s="496"/>
      <c r="T104" s="496">
        <v>514.70588235294122</v>
      </c>
      <c r="U104" s="496"/>
      <c r="V104" s="496">
        <v>514.70588235294122</v>
      </c>
      <c r="W104" s="496"/>
      <c r="X104" s="496">
        <v>514.70588235294122</v>
      </c>
      <c r="Y104" s="496"/>
      <c r="Z104" s="496">
        <v>514.70588235294122</v>
      </c>
    </row>
    <row r="105" spans="1:26" x14ac:dyDescent="0.25">
      <c r="A105" s="508" t="s">
        <v>2121</v>
      </c>
      <c r="B105" s="508"/>
      <c r="C105" s="508" t="s">
        <v>409</v>
      </c>
      <c r="D105" s="495" t="s">
        <v>427</v>
      </c>
      <c r="E105" s="496" t="s">
        <v>28</v>
      </c>
      <c r="F105" s="496" t="s">
        <v>439</v>
      </c>
      <c r="G105" s="496"/>
      <c r="H105" s="496" t="s">
        <v>42</v>
      </c>
      <c r="I105" s="496" t="s">
        <v>43</v>
      </c>
      <c r="J105" s="496" t="s">
        <v>44</v>
      </c>
      <c r="K105" s="496" t="s">
        <v>45</v>
      </c>
      <c r="L105" s="496">
        <v>12</v>
      </c>
      <c r="M105" s="496"/>
      <c r="N105" s="512">
        <f t="shared" si="6"/>
        <v>2823.5294117647063</v>
      </c>
      <c r="O105" s="496">
        <v>235.29411764705881</v>
      </c>
      <c r="P105" s="496">
        <v>235.29411764705881</v>
      </c>
      <c r="Q105" s="496">
        <v>235.29411764705881</v>
      </c>
      <c r="R105" s="496">
        <v>235.29411764705881</v>
      </c>
      <c r="S105" s="496">
        <v>235.29411764705881</v>
      </c>
      <c r="T105" s="496">
        <v>235.29411764705881</v>
      </c>
      <c r="U105" s="496">
        <v>235.29411764705881</v>
      </c>
      <c r="V105" s="496">
        <v>235.29411764705881</v>
      </c>
      <c r="W105" s="496">
        <v>235.29411764705881</v>
      </c>
      <c r="X105" s="496">
        <v>235.29411764705881</v>
      </c>
      <c r="Y105" s="496">
        <v>235.29411764705881</v>
      </c>
      <c r="Z105" s="496">
        <v>235.29411764705881</v>
      </c>
    </row>
    <row r="106" spans="1:26" ht="30" x14ac:dyDescent="0.25">
      <c r="A106" s="508" t="s">
        <v>2122</v>
      </c>
      <c r="B106" s="508"/>
      <c r="C106" s="508" t="s">
        <v>410</v>
      </c>
      <c r="D106" s="495" t="s">
        <v>428</v>
      </c>
      <c r="E106" s="496" t="s">
        <v>28</v>
      </c>
      <c r="F106" s="496" t="s">
        <v>441</v>
      </c>
      <c r="G106" s="496"/>
      <c r="H106" s="496" t="s">
        <v>42</v>
      </c>
      <c r="I106" s="496" t="s">
        <v>43</v>
      </c>
      <c r="J106" s="496" t="s">
        <v>44</v>
      </c>
      <c r="K106" s="496" t="s">
        <v>45</v>
      </c>
      <c r="L106" s="496">
        <v>12</v>
      </c>
      <c r="M106" s="496"/>
      <c r="N106" s="512">
        <f t="shared" si="6"/>
        <v>16866.516882352942</v>
      </c>
      <c r="O106" s="496">
        <v>1405.5430735294117</v>
      </c>
      <c r="P106" s="496">
        <v>1405.5430735294117</v>
      </c>
      <c r="Q106" s="496">
        <v>1405.5430735294117</v>
      </c>
      <c r="R106" s="496">
        <v>1405.5430735294117</v>
      </c>
      <c r="S106" s="496">
        <v>1405.5430735294117</v>
      </c>
      <c r="T106" s="496">
        <v>1405.5430735294117</v>
      </c>
      <c r="U106" s="496">
        <v>1405.5430735294117</v>
      </c>
      <c r="V106" s="496">
        <v>1405.5430735294117</v>
      </c>
      <c r="W106" s="496">
        <v>1405.5430735294117</v>
      </c>
      <c r="X106" s="496">
        <v>1405.5430735294117</v>
      </c>
      <c r="Y106" s="496">
        <v>1405.5430735294117</v>
      </c>
      <c r="Z106" s="496">
        <v>1405.5430735294117</v>
      </c>
    </row>
    <row r="107" spans="1:26" ht="30" x14ac:dyDescent="0.25">
      <c r="A107" s="508" t="s">
        <v>2123</v>
      </c>
      <c r="B107" s="508"/>
      <c r="C107" s="508" t="s">
        <v>411</v>
      </c>
      <c r="D107" s="495" t="s">
        <v>429</v>
      </c>
      <c r="E107" s="496" t="s">
        <v>28</v>
      </c>
      <c r="F107" s="496" t="s">
        <v>439</v>
      </c>
      <c r="G107" s="496"/>
      <c r="H107" s="496" t="s">
        <v>42</v>
      </c>
      <c r="I107" s="496" t="s">
        <v>43</v>
      </c>
      <c r="J107" s="496" t="s">
        <v>44</v>
      </c>
      <c r="K107" s="496" t="s">
        <v>45</v>
      </c>
      <c r="L107" s="496">
        <v>12</v>
      </c>
      <c r="M107" s="496"/>
      <c r="N107" s="512">
        <f t="shared" si="6"/>
        <v>30000</v>
      </c>
      <c r="O107" s="496">
        <v>2500</v>
      </c>
      <c r="P107" s="496">
        <v>2500</v>
      </c>
      <c r="Q107" s="496">
        <v>2500</v>
      </c>
      <c r="R107" s="496">
        <v>2500</v>
      </c>
      <c r="S107" s="496">
        <v>2500</v>
      </c>
      <c r="T107" s="496">
        <v>2500</v>
      </c>
      <c r="U107" s="496">
        <v>2500</v>
      </c>
      <c r="V107" s="496">
        <v>2500</v>
      </c>
      <c r="W107" s="496">
        <v>2500</v>
      </c>
      <c r="X107" s="496">
        <v>2500</v>
      </c>
      <c r="Y107" s="496">
        <v>2500</v>
      </c>
      <c r="Z107" s="496">
        <v>2500</v>
      </c>
    </row>
    <row r="108" spans="1:26" ht="30" x14ac:dyDescent="0.25">
      <c r="A108" s="508" t="s">
        <v>2124</v>
      </c>
      <c r="B108" s="508"/>
      <c r="C108" s="508" t="s">
        <v>412</v>
      </c>
      <c r="D108" s="495" t="s">
        <v>430</v>
      </c>
      <c r="E108" s="496" t="s">
        <v>28</v>
      </c>
      <c r="F108" s="496" t="s">
        <v>441</v>
      </c>
      <c r="G108" s="496"/>
      <c r="H108" s="496" t="s">
        <v>42</v>
      </c>
      <c r="I108" s="496" t="s">
        <v>43</v>
      </c>
      <c r="J108" s="496" t="s">
        <v>44</v>
      </c>
      <c r="K108" s="496" t="s">
        <v>45</v>
      </c>
      <c r="L108" s="496">
        <v>2</v>
      </c>
      <c r="M108" s="496"/>
      <c r="N108" s="512">
        <f t="shared" si="6"/>
        <v>3529.4117647058824</v>
      </c>
      <c r="O108" s="496"/>
      <c r="P108" s="496"/>
      <c r="Q108" s="496">
        <v>1764.7058823529412</v>
      </c>
      <c r="R108" s="496"/>
      <c r="S108" s="496"/>
      <c r="T108" s="496"/>
      <c r="U108" s="496"/>
      <c r="V108" s="496">
        <v>1764.7058823529412</v>
      </c>
      <c r="W108" s="496"/>
      <c r="X108" s="496"/>
      <c r="Y108" s="496"/>
      <c r="Z108" s="496"/>
    </row>
    <row r="109" spans="1:26" x14ac:dyDescent="0.25">
      <c r="A109" s="508" t="s">
        <v>2125</v>
      </c>
      <c r="B109" s="508"/>
      <c r="C109" s="508" t="s">
        <v>413</v>
      </c>
      <c r="D109" s="495" t="s">
        <v>431</v>
      </c>
      <c r="E109" s="496" t="s">
        <v>28</v>
      </c>
      <c r="F109" s="496" t="s">
        <v>439</v>
      </c>
      <c r="G109" s="496"/>
      <c r="H109" s="496" t="s">
        <v>42</v>
      </c>
      <c r="I109" s="496" t="s">
        <v>43</v>
      </c>
      <c r="J109" s="496" t="s">
        <v>44</v>
      </c>
      <c r="K109" s="496" t="s">
        <v>45</v>
      </c>
      <c r="L109" s="496">
        <v>12</v>
      </c>
      <c r="M109" s="496"/>
      <c r="N109" s="512">
        <f t="shared" si="6"/>
        <v>45600</v>
      </c>
      <c r="O109" s="496">
        <v>3800</v>
      </c>
      <c r="P109" s="496">
        <v>3800</v>
      </c>
      <c r="Q109" s="496">
        <v>3800</v>
      </c>
      <c r="R109" s="496">
        <v>3800</v>
      </c>
      <c r="S109" s="496">
        <v>3800</v>
      </c>
      <c r="T109" s="496">
        <v>3800</v>
      </c>
      <c r="U109" s="496">
        <v>3800</v>
      </c>
      <c r="V109" s="496">
        <v>3800</v>
      </c>
      <c r="W109" s="496">
        <v>3800</v>
      </c>
      <c r="X109" s="496">
        <v>3800</v>
      </c>
      <c r="Y109" s="496">
        <v>3800</v>
      </c>
      <c r="Z109" s="496">
        <v>3800</v>
      </c>
    </row>
    <row r="110" spans="1:26" ht="30" x14ac:dyDescent="0.25">
      <c r="A110" s="508" t="s">
        <v>2126</v>
      </c>
      <c r="B110" s="508"/>
      <c r="C110" s="508" t="s">
        <v>414</v>
      </c>
      <c r="D110" s="495" t="s">
        <v>432</v>
      </c>
      <c r="E110" s="496" t="s">
        <v>28</v>
      </c>
      <c r="F110" s="496" t="s">
        <v>441</v>
      </c>
      <c r="G110" s="496"/>
      <c r="H110" s="496" t="s">
        <v>42</v>
      </c>
      <c r="I110" s="496" t="s">
        <v>43</v>
      </c>
      <c r="J110" s="496" t="s">
        <v>44</v>
      </c>
      <c r="K110" s="496" t="s">
        <v>45</v>
      </c>
      <c r="L110" s="496">
        <v>12</v>
      </c>
      <c r="M110" s="496"/>
      <c r="N110" s="512">
        <f t="shared" si="6"/>
        <v>2400</v>
      </c>
      <c r="O110" s="496">
        <v>200</v>
      </c>
      <c r="P110" s="496">
        <v>200</v>
      </c>
      <c r="Q110" s="496">
        <v>200</v>
      </c>
      <c r="R110" s="496">
        <v>200</v>
      </c>
      <c r="S110" s="496">
        <v>200</v>
      </c>
      <c r="T110" s="496">
        <v>200</v>
      </c>
      <c r="U110" s="496">
        <v>200</v>
      </c>
      <c r="V110" s="496">
        <v>200</v>
      </c>
      <c r="W110" s="496">
        <v>200</v>
      </c>
      <c r="X110" s="496">
        <v>200</v>
      </c>
      <c r="Y110" s="496">
        <v>200</v>
      </c>
      <c r="Z110" s="496">
        <v>200</v>
      </c>
    </row>
    <row r="111" spans="1:26" x14ac:dyDescent="0.25">
      <c r="A111" s="508" t="s">
        <v>2127</v>
      </c>
      <c r="B111" s="508"/>
      <c r="C111" s="508" t="s">
        <v>415</v>
      </c>
      <c r="D111" s="495" t="s">
        <v>433</v>
      </c>
      <c r="E111" s="496" t="s">
        <v>28</v>
      </c>
      <c r="F111" s="496" t="s">
        <v>439</v>
      </c>
      <c r="G111" s="496"/>
      <c r="H111" s="496" t="s">
        <v>42</v>
      </c>
      <c r="I111" s="496" t="s">
        <v>43</v>
      </c>
      <c r="J111" s="496" t="s">
        <v>44</v>
      </c>
      <c r="K111" s="496" t="s">
        <v>45</v>
      </c>
      <c r="L111" s="496">
        <v>12</v>
      </c>
      <c r="M111" s="496"/>
      <c r="N111" s="512">
        <f t="shared" si="6"/>
        <v>1200</v>
      </c>
      <c r="O111" s="496">
        <v>100</v>
      </c>
      <c r="P111" s="496">
        <v>100</v>
      </c>
      <c r="Q111" s="496">
        <v>100</v>
      </c>
      <c r="R111" s="496">
        <v>100</v>
      </c>
      <c r="S111" s="496">
        <v>100</v>
      </c>
      <c r="T111" s="496">
        <v>100</v>
      </c>
      <c r="U111" s="496">
        <v>100</v>
      </c>
      <c r="V111" s="496">
        <v>100</v>
      </c>
      <c r="W111" s="496">
        <v>100</v>
      </c>
      <c r="X111" s="496">
        <v>100</v>
      </c>
      <c r="Y111" s="496">
        <v>100</v>
      </c>
      <c r="Z111" s="496">
        <v>100</v>
      </c>
    </row>
    <row r="112" spans="1:26" ht="30" x14ac:dyDescent="0.25">
      <c r="A112" s="508" t="s">
        <v>2128</v>
      </c>
      <c r="B112" s="508"/>
      <c r="C112" s="508" t="s">
        <v>416</v>
      </c>
      <c r="D112" s="495" t="s">
        <v>434</v>
      </c>
      <c r="E112" s="496" t="s">
        <v>28</v>
      </c>
      <c r="F112" s="496" t="s">
        <v>441</v>
      </c>
      <c r="G112" s="496"/>
      <c r="H112" s="496" t="s">
        <v>42</v>
      </c>
      <c r="I112" s="496" t="s">
        <v>43</v>
      </c>
      <c r="J112" s="496" t="s">
        <v>44</v>
      </c>
      <c r="K112" s="496" t="s">
        <v>45</v>
      </c>
      <c r="L112" s="496">
        <v>12</v>
      </c>
      <c r="M112" s="496"/>
      <c r="N112" s="512">
        <f t="shared" si="6"/>
        <v>75783.801882352942</v>
      </c>
      <c r="O112" s="496">
        <v>6315.3168235294106</v>
      </c>
      <c r="P112" s="496">
        <v>6315.3168235294106</v>
      </c>
      <c r="Q112" s="496">
        <v>6315.3168235294106</v>
      </c>
      <c r="R112" s="496">
        <v>6315.3168235294106</v>
      </c>
      <c r="S112" s="496">
        <v>6315.3168235294106</v>
      </c>
      <c r="T112" s="496">
        <v>6315.3168235294106</v>
      </c>
      <c r="U112" s="496">
        <v>6315.3168235294106</v>
      </c>
      <c r="V112" s="496">
        <v>6315.3168235294106</v>
      </c>
      <c r="W112" s="496">
        <v>6315.3168235294106</v>
      </c>
      <c r="X112" s="496">
        <v>6315.3168235294106</v>
      </c>
      <c r="Y112" s="496">
        <v>6315.3168235294106</v>
      </c>
      <c r="Z112" s="496">
        <v>6315.3168235294106</v>
      </c>
    </row>
    <row r="113" spans="1:26" ht="30" x14ac:dyDescent="0.25">
      <c r="A113" s="508" t="s">
        <v>2129</v>
      </c>
      <c r="B113" s="508"/>
      <c r="C113" s="508" t="s">
        <v>417</v>
      </c>
      <c r="D113" s="495" t="s">
        <v>435</v>
      </c>
      <c r="E113" s="496" t="s">
        <v>28</v>
      </c>
      <c r="F113" s="496" t="s">
        <v>439</v>
      </c>
      <c r="G113" s="496"/>
      <c r="H113" s="496" t="s">
        <v>42</v>
      </c>
      <c r="I113" s="496" t="s">
        <v>43</v>
      </c>
      <c r="J113" s="496" t="s">
        <v>44</v>
      </c>
      <c r="K113" s="496" t="s">
        <v>45</v>
      </c>
      <c r="L113" s="496">
        <v>12</v>
      </c>
      <c r="M113" s="496"/>
      <c r="N113" s="512">
        <f t="shared" si="6"/>
        <v>28945.715548235286</v>
      </c>
      <c r="O113" s="496">
        <v>2412.1429623529411</v>
      </c>
      <c r="P113" s="496">
        <v>2412.1429623529411</v>
      </c>
      <c r="Q113" s="496">
        <v>2412.1429623529411</v>
      </c>
      <c r="R113" s="496">
        <v>2412.1429623529411</v>
      </c>
      <c r="S113" s="496">
        <v>2412.1429623529411</v>
      </c>
      <c r="T113" s="496">
        <v>2412.1429623529411</v>
      </c>
      <c r="U113" s="496">
        <v>2412.1429623529411</v>
      </c>
      <c r="V113" s="496">
        <v>2412.1429623529411</v>
      </c>
      <c r="W113" s="496">
        <v>2412.1429623529411</v>
      </c>
      <c r="X113" s="496">
        <v>2412.1429623529411</v>
      </c>
      <c r="Y113" s="496">
        <v>2412.1429623529411</v>
      </c>
      <c r="Z113" s="496">
        <v>2412.1429623529411</v>
      </c>
    </row>
    <row r="114" spans="1:26" x14ac:dyDescent="0.25">
      <c r="A114" s="508" t="s">
        <v>2131</v>
      </c>
      <c r="B114" s="508"/>
      <c r="C114" s="508" t="s">
        <v>418</v>
      </c>
      <c r="D114" s="495" t="s">
        <v>436</v>
      </c>
      <c r="E114" s="496" t="s">
        <v>28</v>
      </c>
      <c r="F114" s="496" t="s">
        <v>441</v>
      </c>
      <c r="G114" s="496"/>
      <c r="H114" s="496" t="s">
        <v>42</v>
      </c>
      <c r="I114" s="496" t="s">
        <v>43</v>
      </c>
      <c r="J114" s="496" t="s">
        <v>44</v>
      </c>
      <c r="K114" s="496" t="s">
        <v>45</v>
      </c>
      <c r="L114" s="496">
        <v>12</v>
      </c>
      <c r="M114" s="496"/>
      <c r="N114" s="512">
        <f t="shared" si="6"/>
        <v>1800</v>
      </c>
      <c r="O114" s="496">
        <v>150</v>
      </c>
      <c r="P114" s="496">
        <v>150</v>
      </c>
      <c r="Q114" s="496">
        <v>150</v>
      </c>
      <c r="R114" s="496">
        <v>150</v>
      </c>
      <c r="S114" s="496">
        <v>150</v>
      </c>
      <c r="T114" s="496">
        <v>150</v>
      </c>
      <c r="U114" s="496">
        <v>150</v>
      </c>
      <c r="V114" s="496">
        <v>150</v>
      </c>
      <c r="W114" s="496">
        <v>150</v>
      </c>
      <c r="X114" s="496">
        <v>150</v>
      </c>
      <c r="Y114" s="496">
        <v>150</v>
      </c>
      <c r="Z114" s="496">
        <v>150</v>
      </c>
    </row>
    <row r="115" spans="1:26" ht="30" x14ac:dyDescent="0.25">
      <c r="A115" s="508" t="s">
        <v>2132</v>
      </c>
      <c r="B115" s="508"/>
      <c r="C115" s="508" t="s">
        <v>456</v>
      </c>
      <c r="D115" s="510"/>
      <c r="E115" s="496" t="s">
        <v>28</v>
      </c>
      <c r="F115" s="496"/>
      <c r="G115" s="496"/>
      <c r="H115" s="496"/>
      <c r="I115" s="496"/>
      <c r="J115" s="496"/>
      <c r="K115" s="496"/>
      <c r="L115" s="496"/>
      <c r="M115" s="496"/>
      <c r="N115" s="512">
        <f t="shared" si="6"/>
        <v>17146.999999999996</v>
      </c>
      <c r="O115" s="496">
        <v>1428.9166666666667</v>
      </c>
      <c r="P115" s="496">
        <v>1428.9166666666667</v>
      </c>
      <c r="Q115" s="496">
        <v>1428.9166666666667</v>
      </c>
      <c r="R115" s="496">
        <v>1428.9166666666667</v>
      </c>
      <c r="S115" s="496">
        <v>1428.9166666666667</v>
      </c>
      <c r="T115" s="496">
        <v>1428.9166666666667</v>
      </c>
      <c r="U115" s="496">
        <v>1428.9166666666667</v>
      </c>
      <c r="V115" s="496">
        <v>1428.9166666666667</v>
      </c>
      <c r="W115" s="496">
        <v>1428.9166666666667</v>
      </c>
      <c r="X115" s="496">
        <v>1428.9166666666667</v>
      </c>
      <c r="Y115" s="496">
        <v>1428.9166666666667</v>
      </c>
      <c r="Z115" s="496">
        <v>1428.9166666666667</v>
      </c>
    </row>
    <row r="116" spans="1:26" hidden="1" x14ac:dyDescent="0.25">
      <c r="A116" s="508"/>
      <c r="B116" s="508"/>
      <c r="C116" s="508"/>
      <c r="D116" s="510"/>
      <c r="E116" s="496"/>
      <c r="F116" s="496"/>
      <c r="G116" s="496"/>
      <c r="H116" s="496"/>
      <c r="I116" s="496"/>
      <c r="J116" s="496"/>
      <c r="K116" s="496"/>
      <c r="L116" s="496"/>
      <c r="M116" s="496"/>
      <c r="N116" s="496">
        <f t="shared" si="6"/>
        <v>0</v>
      </c>
      <c r="O116" s="496"/>
      <c r="P116" s="496"/>
      <c r="Q116" s="496"/>
      <c r="R116" s="496"/>
      <c r="S116" s="496"/>
      <c r="T116" s="496"/>
      <c r="U116" s="496"/>
      <c r="V116" s="496"/>
      <c r="W116" s="496"/>
      <c r="X116" s="496"/>
      <c r="Y116" s="496"/>
      <c r="Z116" s="496"/>
    </row>
    <row r="117" spans="1:26" hidden="1" x14ac:dyDescent="0.25">
      <c r="A117" s="508"/>
      <c r="B117" s="508"/>
      <c r="C117" s="508"/>
      <c r="D117" s="510"/>
      <c r="E117" s="496"/>
      <c r="F117" s="496"/>
      <c r="G117" s="496"/>
      <c r="H117" s="496"/>
      <c r="I117" s="496"/>
      <c r="J117" s="496"/>
      <c r="K117" s="496"/>
      <c r="L117" s="496"/>
      <c r="M117" s="496"/>
      <c r="N117" s="496">
        <f t="shared" si="6"/>
        <v>0</v>
      </c>
      <c r="O117" s="496"/>
      <c r="P117" s="496"/>
      <c r="Q117" s="496"/>
      <c r="R117" s="496"/>
      <c r="S117" s="496"/>
      <c r="T117" s="496"/>
      <c r="U117" s="496"/>
      <c r="V117" s="496"/>
      <c r="W117" s="496"/>
      <c r="X117" s="496"/>
      <c r="Y117" s="496"/>
      <c r="Z117" s="496"/>
    </row>
    <row r="118" spans="1:26" hidden="1" x14ac:dyDescent="0.25">
      <c r="A118" s="508"/>
      <c r="B118" s="508"/>
      <c r="C118" s="508"/>
      <c r="D118" s="510"/>
      <c r="E118" s="496"/>
      <c r="F118" s="496"/>
      <c r="G118" s="496"/>
      <c r="H118" s="496"/>
      <c r="I118" s="496"/>
      <c r="J118" s="496"/>
      <c r="K118" s="496"/>
      <c r="L118" s="496"/>
      <c r="M118" s="496"/>
      <c r="N118" s="496">
        <f t="shared" si="6"/>
        <v>0</v>
      </c>
      <c r="O118" s="496"/>
      <c r="P118" s="496"/>
      <c r="Q118" s="496"/>
      <c r="R118" s="496"/>
      <c r="S118" s="496"/>
      <c r="T118" s="496"/>
      <c r="U118" s="496"/>
      <c r="V118" s="496"/>
      <c r="W118" s="496"/>
      <c r="X118" s="496"/>
      <c r="Y118" s="496"/>
      <c r="Z118" s="496"/>
    </row>
    <row r="119" spans="1:26" hidden="1" x14ac:dyDescent="0.25">
      <c r="A119" s="508" t="s">
        <v>282</v>
      </c>
      <c r="B119" s="508"/>
      <c r="C119" s="508"/>
      <c r="D119" s="510"/>
      <c r="E119" s="496"/>
      <c r="F119" s="496"/>
      <c r="G119" s="496"/>
      <c r="H119" s="496"/>
      <c r="I119" s="496"/>
      <c r="J119" s="496"/>
      <c r="K119" s="496"/>
      <c r="L119" s="496"/>
      <c r="M119" s="496"/>
      <c r="N119" s="496">
        <f t="shared" si="6"/>
        <v>0</v>
      </c>
      <c r="O119" s="496"/>
      <c r="P119" s="496"/>
      <c r="Q119" s="496"/>
      <c r="R119" s="496"/>
      <c r="S119" s="496"/>
      <c r="T119" s="496"/>
      <c r="U119" s="496"/>
      <c r="V119" s="496"/>
      <c r="W119" s="496"/>
      <c r="X119" s="496"/>
      <c r="Y119" s="496"/>
      <c r="Z119" s="496"/>
    </row>
    <row r="120" spans="1:26" x14ac:dyDescent="0.25">
      <c r="A120" s="510"/>
      <c r="B120" s="551"/>
      <c r="C120" s="551"/>
      <c r="D120" s="551"/>
      <c r="E120" s="497"/>
      <c r="F120" s="497"/>
      <c r="G120" s="497"/>
      <c r="H120" s="497"/>
      <c r="I120" s="497"/>
      <c r="J120" s="567"/>
      <c r="K120" s="497"/>
      <c r="L120" s="496"/>
      <c r="M120" s="496"/>
      <c r="N120" s="496"/>
      <c r="O120" s="496"/>
      <c r="P120" s="496"/>
      <c r="Q120" s="496"/>
      <c r="R120" s="496"/>
      <c r="S120" s="496"/>
      <c r="T120" s="496"/>
      <c r="U120" s="496"/>
      <c r="V120" s="496"/>
      <c r="W120" s="496"/>
      <c r="X120" s="496"/>
      <c r="Y120" s="496"/>
      <c r="Z120" s="496"/>
    </row>
    <row r="121" spans="1:26" ht="22.5" customHeight="1" x14ac:dyDescent="0.25">
      <c r="A121" s="537"/>
      <c r="B121" s="538"/>
      <c r="C121" s="538"/>
      <c r="D121" s="538"/>
      <c r="E121" s="519"/>
      <c r="F121" s="519"/>
      <c r="G121" s="519"/>
      <c r="H121" s="519"/>
      <c r="I121" s="519"/>
      <c r="J121" s="516" t="s">
        <v>20</v>
      </c>
      <c r="K121" s="519"/>
      <c r="L121" s="404">
        <f t="shared" ref="L121:Z121" si="7">SUM(L94:L119)</f>
        <v>200</v>
      </c>
      <c r="M121" s="404">
        <f t="shared" si="7"/>
        <v>12</v>
      </c>
      <c r="N121" s="404">
        <f t="shared" si="7"/>
        <v>308468.27607764711</v>
      </c>
      <c r="O121" s="404">
        <f t="shared" si="7"/>
        <v>26518.684231960786</v>
      </c>
      <c r="P121" s="404">
        <f t="shared" si="7"/>
        <v>26371.625408431373</v>
      </c>
      <c r="Q121" s="404">
        <f t="shared" si="7"/>
        <v>28773.06982019608</v>
      </c>
      <c r="R121" s="404">
        <f t="shared" si="7"/>
        <v>24165.743055490198</v>
      </c>
      <c r="S121" s="404">
        <f t="shared" si="7"/>
        <v>24312.801879019611</v>
      </c>
      <c r="T121" s="404">
        <f t="shared" si="7"/>
        <v>26224.566584901961</v>
      </c>
      <c r="U121" s="404">
        <f t="shared" si="7"/>
        <v>24312.801879019611</v>
      </c>
      <c r="V121" s="404">
        <f t="shared" si="7"/>
        <v>25930.448937843139</v>
      </c>
      <c r="W121" s="404">
        <f t="shared" si="7"/>
        <v>27008.36393784314</v>
      </c>
      <c r="X121" s="404">
        <f t="shared" si="7"/>
        <v>24165.743055490198</v>
      </c>
      <c r="Y121" s="404">
        <f t="shared" si="7"/>
        <v>24312.801879019611</v>
      </c>
      <c r="Z121" s="404">
        <f t="shared" si="7"/>
        <v>26371.625408431373</v>
      </c>
    </row>
    <row r="122" spans="1:26" x14ac:dyDescent="0.25">
      <c r="A122" s="535" t="str">
        <f>CONCATENATE(B18," ",C18)</f>
        <v>Objective 2 Camp El Pingo</v>
      </c>
      <c r="B122" s="535"/>
      <c r="C122" s="536"/>
      <c r="D122" s="536"/>
      <c r="E122" s="507"/>
      <c r="F122" s="507"/>
      <c r="G122" s="507"/>
      <c r="H122" s="507"/>
      <c r="I122" s="507"/>
      <c r="J122" s="507"/>
      <c r="K122" s="507"/>
      <c r="L122" s="507"/>
      <c r="M122" s="507"/>
      <c r="N122" s="507"/>
      <c r="O122" s="507" t="s">
        <v>5</v>
      </c>
      <c r="P122" s="507"/>
      <c r="Q122" s="507"/>
      <c r="R122" s="507"/>
      <c r="S122" s="507"/>
      <c r="T122" s="507"/>
      <c r="U122" s="507"/>
      <c r="V122" s="507"/>
      <c r="W122" s="507"/>
      <c r="X122" s="507"/>
      <c r="Y122" s="507"/>
      <c r="Z122" s="507"/>
    </row>
    <row r="123" spans="1:26" ht="45" x14ac:dyDescent="0.25">
      <c r="A123" s="442" t="s">
        <v>261</v>
      </c>
      <c r="B123" s="442" t="s">
        <v>13</v>
      </c>
      <c r="C123" s="442" t="s">
        <v>14</v>
      </c>
      <c r="D123" s="509" t="s">
        <v>286</v>
      </c>
      <c r="E123" s="404" t="s">
        <v>16</v>
      </c>
      <c r="F123" s="404" t="s">
        <v>295</v>
      </c>
      <c r="G123" s="404" t="s">
        <v>39</v>
      </c>
      <c r="H123" s="404" t="s">
        <v>297</v>
      </c>
      <c r="I123" s="404" t="s">
        <v>298</v>
      </c>
      <c r="J123" s="404" t="s">
        <v>299</v>
      </c>
      <c r="K123" s="404" t="s">
        <v>300</v>
      </c>
      <c r="L123" s="404" t="s">
        <v>17</v>
      </c>
      <c r="M123" s="404" t="s">
        <v>18</v>
      </c>
      <c r="N123" s="404" t="s">
        <v>19</v>
      </c>
      <c r="O123" s="443">
        <v>43101</v>
      </c>
      <c r="P123" s="443">
        <v>43132</v>
      </c>
      <c r="Q123" s="443">
        <v>43160</v>
      </c>
      <c r="R123" s="443">
        <v>43191</v>
      </c>
      <c r="S123" s="443">
        <v>43221</v>
      </c>
      <c r="T123" s="443">
        <v>43252</v>
      </c>
      <c r="U123" s="443">
        <v>43282</v>
      </c>
      <c r="V123" s="443">
        <v>43313</v>
      </c>
      <c r="W123" s="443">
        <v>43344</v>
      </c>
      <c r="X123" s="443">
        <v>43374</v>
      </c>
      <c r="Y123" s="443">
        <v>43405</v>
      </c>
      <c r="Z123" s="443">
        <v>43435</v>
      </c>
    </row>
    <row r="124" spans="1:26" ht="30" x14ac:dyDescent="0.25">
      <c r="A124" s="508" t="s">
        <v>2133</v>
      </c>
      <c r="B124" s="508"/>
      <c r="C124" s="508" t="s">
        <v>450</v>
      </c>
      <c r="D124" s="495" t="s">
        <v>453</v>
      </c>
      <c r="E124" s="496" t="s">
        <v>28</v>
      </c>
      <c r="F124" s="496" t="s">
        <v>437</v>
      </c>
      <c r="G124" s="496"/>
      <c r="H124" s="496" t="s">
        <v>42</v>
      </c>
      <c r="I124" s="496" t="s">
        <v>43</v>
      </c>
      <c r="J124" s="496" t="s">
        <v>44</v>
      </c>
      <c r="K124" s="496" t="s">
        <v>45</v>
      </c>
      <c r="L124" s="496">
        <v>12</v>
      </c>
      <c r="M124" s="496"/>
      <c r="N124" s="512">
        <f>SUM(O124:Z124)</f>
        <v>172764.70588235295</v>
      </c>
      <c r="O124" s="496">
        <v>14397.058823529413</v>
      </c>
      <c r="P124" s="496">
        <v>14397.058823529413</v>
      </c>
      <c r="Q124" s="496">
        <v>14397.058823529413</v>
      </c>
      <c r="R124" s="496">
        <v>14397.058823529413</v>
      </c>
      <c r="S124" s="496">
        <v>14397.058823529413</v>
      </c>
      <c r="T124" s="496">
        <v>14397.058823529413</v>
      </c>
      <c r="U124" s="496">
        <v>14397.058823529413</v>
      </c>
      <c r="V124" s="496">
        <v>14397.058823529413</v>
      </c>
      <c r="W124" s="496">
        <v>14397.058823529413</v>
      </c>
      <c r="X124" s="496">
        <v>14397.058823529413</v>
      </c>
      <c r="Y124" s="496">
        <v>14397.058823529413</v>
      </c>
      <c r="Z124" s="496">
        <v>14397.058823529413</v>
      </c>
    </row>
    <row r="125" spans="1:26" x14ac:dyDescent="0.25">
      <c r="A125" s="508" t="s">
        <v>2135</v>
      </c>
      <c r="B125" s="508"/>
      <c r="C125" s="508" t="s">
        <v>404</v>
      </c>
      <c r="D125" s="495"/>
      <c r="E125" s="496" t="s">
        <v>28</v>
      </c>
      <c r="F125" s="496" t="s">
        <v>437</v>
      </c>
      <c r="G125" s="496"/>
      <c r="H125" s="496" t="s">
        <v>42</v>
      </c>
      <c r="I125" s="496" t="s">
        <v>43</v>
      </c>
      <c r="J125" s="496" t="s">
        <v>44</v>
      </c>
      <c r="K125" s="496" t="s">
        <v>45</v>
      </c>
      <c r="L125" s="496">
        <v>6</v>
      </c>
      <c r="M125" s="496"/>
      <c r="N125" s="512">
        <f>SUM(O125:Z125)</f>
        <v>5117.6470588235297</v>
      </c>
      <c r="O125" s="496">
        <v>852.94117647058829</v>
      </c>
      <c r="P125" s="496"/>
      <c r="Q125" s="496">
        <v>852.94117647058829</v>
      </c>
      <c r="R125" s="496"/>
      <c r="S125" s="496">
        <v>852.94117647058829</v>
      </c>
      <c r="T125" s="496"/>
      <c r="U125" s="496">
        <v>852.94117647058829</v>
      </c>
      <c r="V125" s="496"/>
      <c r="W125" s="496">
        <v>852.94117647058829</v>
      </c>
      <c r="X125" s="496"/>
      <c r="Y125" s="496">
        <v>852.94117647058829</v>
      </c>
      <c r="Z125" s="496"/>
    </row>
    <row r="126" spans="1:26" x14ac:dyDescent="0.25">
      <c r="A126" s="508" t="s">
        <v>2136</v>
      </c>
      <c r="B126" s="508"/>
      <c r="C126" s="508" t="s">
        <v>451</v>
      </c>
      <c r="D126" s="495" t="s">
        <v>428</v>
      </c>
      <c r="E126" s="496" t="s">
        <v>28</v>
      </c>
      <c r="F126" s="496" t="s">
        <v>437</v>
      </c>
      <c r="G126" s="496"/>
      <c r="H126" s="496" t="s">
        <v>42</v>
      </c>
      <c r="I126" s="496" t="s">
        <v>43</v>
      </c>
      <c r="J126" s="496" t="s">
        <v>44</v>
      </c>
      <c r="K126" s="496" t="s">
        <v>45</v>
      </c>
      <c r="L126" s="496">
        <v>12</v>
      </c>
      <c r="M126" s="496"/>
      <c r="N126" s="512">
        <f>SUM(O126:Z126)</f>
        <v>8400</v>
      </c>
      <c r="O126" s="496">
        <v>700</v>
      </c>
      <c r="P126" s="496">
        <v>700</v>
      </c>
      <c r="Q126" s="496">
        <v>700</v>
      </c>
      <c r="R126" s="496">
        <v>700</v>
      </c>
      <c r="S126" s="496">
        <v>700</v>
      </c>
      <c r="T126" s="496">
        <v>700</v>
      </c>
      <c r="U126" s="496">
        <v>700</v>
      </c>
      <c r="V126" s="496">
        <v>700</v>
      </c>
      <c r="W126" s="496">
        <v>700</v>
      </c>
      <c r="X126" s="496">
        <v>700</v>
      </c>
      <c r="Y126" s="496">
        <v>700</v>
      </c>
      <c r="Z126" s="496">
        <v>700</v>
      </c>
    </row>
    <row r="127" spans="1:26" x14ac:dyDescent="0.25">
      <c r="A127" s="508" t="s">
        <v>2137</v>
      </c>
      <c r="B127" s="508"/>
      <c r="C127" s="508" t="s">
        <v>452</v>
      </c>
      <c r="D127" s="495" t="s">
        <v>454</v>
      </c>
      <c r="E127" s="496" t="s">
        <v>28</v>
      </c>
      <c r="F127" s="496" t="s">
        <v>437</v>
      </c>
      <c r="G127" s="496"/>
      <c r="H127" s="496" t="s">
        <v>42</v>
      </c>
      <c r="I127" s="496" t="s">
        <v>43</v>
      </c>
      <c r="J127" s="496" t="s">
        <v>44</v>
      </c>
      <c r="K127" s="496" t="s">
        <v>45</v>
      </c>
      <c r="L127" s="496">
        <v>6</v>
      </c>
      <c r="M127" s="496"/>
      <c r="N127" s="512">
        <f t="shared" ref="N127:N128" si="8">SUM(O127:Z127)</f>
        <v>5294.1176470588234</v>
      </c>
      <c r="O127" s="496"/>
      <c r="P127" s="496">
        <v>882.35294117647061</v>
      </c>
      <c r="Q127" s="496"/>
      <c r="R127" s="496">
        <v>882.35294117647061</v>
      </c>
      <c r="S127" s="496"/>
      <c r="T127" s="496">
        <v>882.35294117647061</v>
      </c>
      <c r="U127" s="496"/>
      <c r="V127" s="496">
        <v>882.35294117647061</v>
      </c>
      <c r="W127" s="496"/>
      <c r="X127" s="496">
        <v>882.35294117647061</v>
      </c>
      <c r="Y127" s="496"/>
      <c r="Z127" s="496">
        <v>882.35294117647061</v>
      </c>
    </row>
    <row r="128" spans="1:26" x14ac:dyDescent="0.25">
      <c r="A128" s="508" t="s">
        <v>2138</v>
      </c>
      <c r="B128" s="508"/>
      <c r="C128" s="508" t="s">
        <v>411</v>
      </c>
      <c r="D128" s="495" t="s">
        <v>429</v>
      </c>
      <c r="E128" s="496" t="s">
        <v>28</v>
      </c>
      <c r="F128" s="496" t="s">
        <v>437</v>
      </c>
      <c r="G128" s="496"/>
      <c r="H128" s="496" t="s">
        <v>42</v>
      </c>
      <c r="I128" s="496" t="s">
        <v>43</v>
      </c>
      <c r="J128" s="496" t="s">
        <v>44</v>
      </c>
      <c r="K128" s="496" t="s">
        <v>45</v>
      </c>
      <c r="L128" s="496">
        <v>12</v>
      </c>
      <c r="M128" s="496"/>
      <c r="N128" s="512">
        <f t="shared" si="8"/>
        <v>12000</v>
      </c>
      <c r="O128" s="496">
        <v>1000</v>
      </c>
      <c r="P128" s="496">
        <v>1000</v>
      </c>
      <c r="Q128" s="496">
        <v>1000</v>
      </c>
      <c r="R128" s="496">
        <v>1000</v>
      </c>
      <c r="S128" s="496">
        <v>1000</v>
      </c>
      <c r="T128" s="496">
        <v>1000</v>
      </c>
      <c r="U128" s="496">
        <v>1000</v>
      </c>
      <c r="V128" s="496">
        <v>1000</v>
      </c>
      <c r="W128" s="496">
        <v>1000</v>
      </c>
      <c r="X128" s="496">
        <v>1000</v>
      </c>
      <c r="Y128" s="496">
        <v>1000</v>
      </c>
      <c r="Z128" s="496">
        <v>1000</v>
      </c>
    </row>
    <row r="129" spans="1:26" x14ac:dyDescent="0.25">
      <c r="A129" s="508"/>
      <c r="B129" s="508"/>
      <c r="C129" s="508"/>
      <c r="D129" s="510"/>
      <c r="E129" s="496"/>
      <c r="F129" s="496"/>
      <c r="G129" s="496"/>
      <c r="H129" s="496"/>
      <c r="I129" s="496"/>
      <c r="J129" s="496"/>
      <c r="K129" s="496"/>
      <c r="L129" s="496"/>
      <c r="M129" s="496"/>
      <c r="N129" s="512"/>
      <c r="O129" s="496"/>
      <c r="P129" s="496"/>
      <c r="Q129" s="496"/>
      <c r="R129" s="496"/>
      <c r="S129" s="496"/>
      <c r="T129" s="496"/>
      <c r="U129" s="496"/>
      <c r="V129" s="496"/>
      <c r="W129" s="496"/>
      <c r="X129" s="496"/>
      <c r="Y129" s="496"/>
      <c r="Z129" s="496"/>
    </row>
    <row r="130" spans="1:26" hidden="1" x14ac:dyDescent="0.25">
      <c r="A130" s="508"/>
      <c r="B130" s="508"/>
      <c r="C130" s="508"/>
      <c r="D130" s="510"/>
      <c r="E130" s="496"/>
      <c r="F130" s="496"/>
      <c r="G130" s="496"/>
      <c r="H130" s="496"/>
      <c r="I130" s="496"/>
      <c r="J130" s="496"/>
      <c r="K130" s="496"/>
      <c r="L130" s="496"/>
      <c r="M130" s="496"/>
      <c r="N130" s="512"/>
      <c r="O130" s="496"/>
      <c r="P130" s="496"/>
      <c r="Q130" s="496"/>
      <c r="R130" s="496"/>
      <c r="S130" s="496"/>
      <c r="T130" s="496"/>
      <c r="U130" s="496"/>
      <c r="V130" s="496"/>
      <c r="W130" s="496"/>
      <c r="X130" s="496"/>
      <c r="Y130" s="496"/>
      <c r="Z130" s="496"/>
    </row>
    <row r="131" spans="1:26" hidden="1" x14ac:dyDescent="0.25">
      <c r="A131" s="508"/>
      <c r="B131" s="508"/>
      <c r="C131" s="508"/>
      <c r="D131" s="510"/>
      <c r="E131" s="496"/>
      <c r="F131" s="496"/>
      <c r="G131" s="496"/>
      <c r="H131" s="496"/>
      <c r="I131" s="496"/>
      <c r="J131" s="496"/>
      <c r="K131" s="496"/>
      <c r="L131" s="496"/>
      <c r="M131" s="496"/>
      <c r="N131" s="512"/>
      <c r="O131" s="496"/>
      <c r="P131" s="496"/>
      <c r="Q131" s="496"/>
      <c r="R131" s="496"/>
      <c r="S131" s="496"/>
      <c r="T131" s="496"/>
      <c r="U131" s="496"/>
      <c r="V131" s="496"/>
      <c r="W131" s="496"/>
      <c r="X131" s="496"/>
      <c r="Y131" s="496"/>
      <c r="Z131" s="496"/>
    </row>
    <row r="132" spans="1:26" hidden="1" x14ac:dyDescent="0.25">
      <c r="A132" s="508"/>
      <c r="B132" s="508"/>
      <c r="C132" s="508"/>
      <c r="D132" s="510"/>
      <c r="E132" s="496"/>
      <c r="F132" s="496"/>
      <c r="G132" s="496"/>
      <c r="H132" s="496"/>
      <c r="I132" s="496"/>
      <c r="J132" s="496"/>
      <c r="K132" s="496"/>
      <c r="L132" s="496"/>
      <c r="M132" s="496"/>
      <c r="N132" s="512"/>
      <c r="O132" s="496"/>
      <c r="P132" s="496"/>
      <c r="Q132" s="496"/>
      <c r="R132" s="496"/>
      <c r="S132" s="496"/>
      <c r="T132" s="496"/>
      <c r="U132" s="496"/>
      <c r="V132" s="496"/>
      <c r="W132" s="496"/>
      <c r="X132" s="496"/>
      <c r="Y132" s="496"/>
      <c r="Z132" s="496"/>
    </row>
    <row r="133" spans="1:26" hidden="1" x14ac:dyDescent="0.25">
      <c r="A133" s="508"/>
      <c r="B133" s="508"/>
      <c r="C133" s="508"/>
      <c r="D133" s="510"/>
      <c r="E133" s="496"/>
      <c r="F133" s="496"/>
      <c r="G133" s="496"/>
      <c r="H133" s="496"/>
      <c r="I133" s="496"/>
      <c r="J133" s="496"/>
      <c r="K133" s="496"/>
      <c r="L133" s="496"/>
      <c r="M133" s="496"/>
      <c r="N133" s="512"/>
      <c r="O133" s="496"/>
      <c r="P133" s="496"/>
      <c r="Q133" s="496"/>
      <c r="R133" s="496"/>
      <c r="S133" s="496"/>
      <c r="T133" s="496"/>
      <c r="U133" s="496"/>
      <c r="V133" s="496"/>
      <c r="W133" s="496"/>
      <c r="X133" s="496"/>
      <c r="Y133" s="496"/>
      <c r="Z133" s="496"/>
    </row>
    <row r="134" spans="1:26" hidden="1" x14ac:dyDescent="0.25">
      <c r="A134" s="508"/>
      <c r="B134" s="508"/>
      <c r="C134" s="508"/>
      <c r="D134" s="510"/>
      <c r="E134" s="496"/>
      <c r="F134" s="496"/>
      <c r="G134" s="496"/>
      <c r="H134" s="496"/>
      <c r="I134" s="496"/>
      <c r="J134" s="496"/>
      <c r="K134" s="496"/>
      <c r="L134" s="496"/>
      <c r="M134" s="496"/>
      <c r="N134" s="512"/>
      <c r="O134" s="496"/>
      <c r="P134" s="496"/>
      <c r="Q134" s="496"/>
      <c r="R134" s="496"/>
      <c r="S134" s="496"/>
      <c r="T134" s="496"/>
      <c r="U134" s="496"/>
      <c r="V134" s="496"/>
      <c r="W134" s="496"/>
      <c r="X134" s="496"/>
      <c r="Y134" s="496"/>
      <c r="Z134" s="496"/>
    </row>
    <row r="135" spans="1:26" ht="27.6" hidden="1" customHeight="1" x14ac:dyDescent="0.25">
      <c r="A135" s="508"/>
      <c r="B135" s="508"/>
      <c r="C135" s="508"/>
      <c r="D135" s="510"/>
      <c r="E135" s="496"/>
      <c r="F135" s="496"/>
      <c r="G135" s="496"/>
      <c r="H135" s="496"/>
      <c r="I135" s="496"/>
      <c r="J135" s="496"/>
      <c r="K135" s="496"/>
      <c r="L135" s="496"/>
      <c r="M135" s="496"/>
      <c r="N135" s="511"/>
      <c r="O135" s="496"/>
      <c r="P135" s="496"/>
      <c r="Q135" s="496"/>
      <c r="R135" s="496"/>
      <c r="S135" s="496"/>
      <c r="T135" s="496"/>
      <c r="U135" s="496"/>
      <c r="V135" s="496"/>
      <c r="W135" s="496"/>
      <c r="X135" s="496"/>
      <c r="Y135" s="496"/>
      <c r="Z135" s="496"/>
    </row>
    <row r="136" spans="1:26" ht="22.5" customHeight="1" x14ac:dyDescent="0.25">
      <c r="A136" s="537"/>
      <c r="B136" s="538"/>
      <c r="C136" s="538"/>
      <c r="D136" s="538"/>
      <c r="E136" s="519"/>
      <c r="F136" s="519"/>
      <c r="G136" s="519"/>
      <c r="H136" s="519"/>
      <c r="I136" s="519"/>
      <c r="J136" s="516" t="s">
        <v>20</v>
      </c>
      <c r="K136" s="519"/>
      <c r="L136" s="404">
        <f>SUM(L135:L135)</f>
        <v>0</v>
      </c>
      <c r="M136" s="404">
        <f>SUM(M135:M135)</f>
        <v>0</v>
      </c>
      <c r="N136" s="404">
        <f>SUM(N124:N135)</f>
        <v>203576.4705882353</v>
      </c>
      <c r="O136" s="404">
        <f>SUM(O124:O135)</f>
        <v>16950</v>
      </c>
      <c r="P136" s="404">
        <f t="shared" ref="P136:Z136" si="9">SUM(P124:P135)</f>
        <v>16979.411764705881</v>
      </c>
      <c r="Q136" s="404">
        <f t="shared" si="9"/>
        <v>16950</v>
      </c>
      <c r="R136" s="404">
        <f t="shared" si="9"/>
        <v>16979.411764705881</v>
      </c>
      <c r="S136" s="404">
        <f t="shared" si="9"/>
        <v>16950</v>
      </c>
      <c r="T136" s="404">
        <f t="shared" si="9"/>
        <v>16979.411764705881</v>
      </c>
      <c r="U136" s="404">
        <f t="shared" si="9"/>
        <v>16950</v>
      </c>
      <c r="V136" s="404">
        <f t="shared" si="9"/>
        <v>16979.411764705881</v>
      </c>
      <c r="W136" s="404">
        <f t="shared" si="9"/>
        <v>16950</v>
      </c>
      <c r="X136" s="404">
        <f t="shared" si="9"/>
        <v>16979.411764705881</v>
      </c>
      <c r="Y136" s="404">
        <f t="shared" si="9"/>
        <v>16950</v>
      </c>
      <c r="Z136" s="404">
        <f t="shared" si="9"/>
        <v>16979.411764705881</v>
      </c>
    </row>
    <row r="137" spans="1:26" x14ac:dyDescent="0.25">
      <c r="A137" s="535" t="str">
        <f>CONCATENATE(B19," ",C19)</f>
        <v>Objective 3 Camp La Fortuna</v>
      </c>
      <c r="B137" s="535"/>
      <c r="C137" s="536"/>
      <c r="D137" s="536"/>
      <c r="E137" s="507"/>
      <c r="F137" s="507"/>
      <c r="G137" s="507"/>
      <c r="H137" s="507"/>
      <c r="I137" s="507"/>
      <c r="J137" s="507"/>
      <c r="K137" s="507"/>
      <c r="L137" s="507"/>
      <c r="M137" s="507"/>
      <c r="N137" s="507"/>
      <c r="O137" s="507" t="s">
        <v>5</v>
      </c>
      <c r="P137" s="507"/>
      <c r="Q137" s="507"/>
      <c r="R137" s="507"/>
      <c r="S137" s="507"/>
      <c r="T137" s="507"/>
      <c r="U137" s="507"/>
      <c r="V137" s="507"/>
      <c r="W137" s="507"/>
      <c r="X137" s="507"/>
      <c r="Y137" s="507"/>
      <c r="Z137" s="507"/>
    </row>
    <row r="138" spans="1:26" ht="45" x14ac:dyDescent="0.25">
      <c r="A138" s="442" t="s">
        <v>261</v>
      </c>
      <c r="B138" s="442" t="s">
        <v>13</v>
      </c>
      <c r="C138" s="442" t="s">
        <v>14</v>
      </c>
      <c r="D138" s="509" t="s">
        <v>286</v>
      </c>
      <c r="E138" s="404" t="s">
        <v>16</v>
      </c>
      <c r="F138" s="404" t="s">
        <v>295</v>
      </c>
      <c r="G138" s="404" t="s">
        <v>39</v>
      </c>
      <c r="H138" s="404" t="s">
        <v>297</v>
      </c>
      <c r="I138" s="404" t="s">
        <v>298</v>
      </c>
      <c r="J138" s="404" t="s">
        <v>299</v>
      </c>
      <c r="K138" s="404" t="s">
        <v>300</v>
      </c>
      <c r="L138" s="404" t="s">
        <v>17</v>
      </c>
      <c r="M138" s="404" t="s">
        <v>18</v>
      </c>
      <c r="N138" s="404" t="s">
        <v>19</v>
      </c>
      <c r="O138" s="443">
        <v>43101</v>
      </c>
      <c r="P138" s="443">
        <v>43132</v>
      </c>
      <c r="Q138" s="443">
        <v>43160</v>
      </c>
      <c r="R138" s="443">
        <v>43191</v>
      </c>
      <c r="S138" s="443">
        <v>43221</v>
      </c>
      <c r="T138" s="443">
        <v>43252</v>
      </c>
      <c r="U138" s="443">
        <v>43282</v>
      </c>
      <c r="V138" s="443">
        <v>43313</v>
      </c>
      <c r="W138" s="443">
        <v>43344</v>
      </c>
      <c r="X138" s="443">
        <v>43374</v>
      </c>
      <c r="Y138" s="443">
        <v>43405</v>
      </c>
      <c r="Z138" s="443">
        <v>43435</v>
      </c>
    </row>
    <row r="139" spans="1:26" x14ac:dyDescent="0.25">
      <c r="A139" s="508" t="s">
        <v>2139</v>
      </c>
      <c r="B139" s="508"/>
      <c r="C139" s="508" t="s">
        <v>450</v>
      </c>
      <c r="D139" s="495" t="s">
        <v>455</v>
      </c>
      <c r="E139" s="496" t="s">
        <v>28</v>
      </c>
      <c r="F139" s="496" t="s">
        <v>437</v>
      </c>
      <c r="G139" s="496"/>
      <c r="H139" s="496" t="s">
        <v>47</v>
      </c>
      <c r="I139" s="496" t="s">
        <v>48</v>
      </c>
      <c r="J139" s="496" t="s">
        <v>49</v>
      </c>
      <c r="K139" s="496" t="s">
        <v>50</v>
      </c>
      <c r="L139" s="496">
        <v>4</v>
      </c>
      <c r="M139" s="496"/>
      <c r="N139" s="512">
        <f t="shared" ref="N139:N143" si="10">SUM(O139:Z139)</f>
        <v>67764.705882352937</v>
      </c>
      <c r="O139" s="496"/>
      <c r="P139" s="496"/>
      <c r="Q139" s="496"/>
      <c r="R139" s="496"/>
      <c r="S139" s="496"/>
      <c r="T139" s="496"/>
      <c r="U139" s="496"/>
      <c r="V139" s="496"/>
      <c r="W139" s="496">
        <v>16941.176470588234</v>
      </c>
      <c r="X139" s="496">
        <v>16941.176470588234</v>
      </c>
      <c r="Y139" s="496">
        <v>16941.176470588234</v>
      </c>
      <c r="Z139" s="496">
        <v>16941.176470588234</v>
      </c>
    </row>
    <row r="140" spans="1:26" x14ac:dyDescent="0.25">
      <c r="A140" s="508" t="s">
        <v>2141</v>
      </c>
      <c r="B140" s="508"/>
      <c r="C140" s="508" t="s">
        <v>404</v>
      </c>
      <c r="D140" s="495"/>
      <c r="E140" s="496" t="s">
        <v>28</v>
      </c>
      <c r="F140" s="496" t="s">
        <v>437</v>
      </c>
      <c r="G140" s="496"/>
      <c r="H140" s="496" t="s">
        <v>47</v>
      </c>
      <c r="I140" s="496" t="s">
        <v>48</v>
      </c>
      <c r="J140" s="496" t="s">
        <v>49</v>
      </c>
      <c r="K140" s="496" t="s">
        <v>50</v>
      </c>
      <c r="L140" s="496">
        <v>4</v>
      </c>
      <c r="M140" s="496"/>
      <c r="N140" s="512">
        <f t="shared" si="10"/>
        <v>1882.3529411764705</v>
      </c>
      <c r="O140" s="496"/>
      <c r="P140" s="496"/>
      <c r="Q140" s="496"/>
      <c r="R140" s="496"/>
      <c r="S140" s="496"/>
      <c r="T140" s="496"/>
      <c r="U140" s="496"/>
      <c r="V140" s="496"/>
      <c r="W140" s="496">
        <v>941.17647058823525</v>
      </c>
      <c r="X140" s="496">
        <v>0</v>
      </c>
      <c r="Y140" s="496">
        <v>941.17647058823525</v>
      </c>
      <c r="Z140" s="496">
        <v>0</v>
      </c>
    </row>
    <row r="141" spans="1:26" x14ac:dyDescent="0.25">
      <c r="A141" s="508" t="s">
        <v>2142</v>
      </c>
      <c r="B141" s="508"/>
      <c r="C141" s="508" t="s">
        <v>451</v>
      </c>
      <c r="D141" s="495" t="s">
        <v>428</v>
      </c>
      <c r="E141" s="496" t="s">
        <v>28</v>
      </c>
      <c r="F141" s="496" t="s">
        <v>437</v>
      </c>
      <c r="G141" s="496"/>
      <c r="H141" s="496" t="s">
        <v>47</v>
      </c>
      <c r="I141" s="496" t="s">
        <v>48</v>
      </c>
      <c r="J141" s="496" t="s">
        <v>49</v>
      </c>
      <c r="K141" s="496" t="s">
        <v>50</v>
      </c>
      <c r="L141" s="496">
        <v>4</v>
      </c>
      <c r="M141" s="496"/>
      <c r="N141" s="512">
        <f t="shared" si="10"/>
        <v>6161.2847058823527</v>
      </c>
      <c r="O141" s="496"/>
      <c r="P141" s="496"/>
      <c r="Q141" s="496"/>
      <c r="R141" s="496"/>
      <c r="S141" s="496"/>
      <c r="T141" s="496"/>
      <c r="U141" s="496"/>
      <c r="V141" s="496"/>
      <c r="W141" s="496">
        <v>1540.3211764705882</v>
      </c>
      <c r="X141" s="496">
        <v>1540.3211764705882</v>
      </c>
      <c r="Y141" s="496">
        <v>1540.3211764705882</v>
      </c>
      <c r="Z141" s="496">
        <v>1540.3211764705882</v>
      </c>
    </row>
    <row r="142" spans="1:26" x14ac:dyDescent="0.25">
      <c r="A142" s="508" t="s">
        <v>2143</v>
      </c>
      <c r="B142" s="508"/>
      <c r="C142" s="508" t="s">
        <v>452</v>
      </c>
      <c r="D142" s="495" t="s">
        <v>454</v>
      </c>
      <c r="E142" s="496" t="s">
        <v>28</v>
      </c>
      <c r="F142" s="496" t="s">
        <v>437</v>
      </c>
      <c r="G142" s="496"/>
      <c r="H142" s="496" t="s">
        <v>47</v>
      </c>
      <c r="I142" s="496" t="s">
        <v>48</v>
      </c>
      <c r="J142" s="496" t="s">
        <v>49</v>
      </c>
      <c r="K142" s="496" t="s">
        <v>50</v>
      </c>
      <c r="L142" s="496">
        <v>4</v>
      </c>
      <c r="M142" s="496"/>
      <c r="N142" s="512">
        <f t="shared" si="10"/>
        <v>2147.0588235294117</v>
      </c>
      <c r="O142" s="496"/>
      <c r="P142" s="496"/>
      <c r="Q142" s="496"/>
      <c r="R142" s="496"/>
      <c r="S142" s="496"/>
      <c r="T142" s="496"/>
      <c r="U142" s="496"/>
      <c r="V142" s="496"/>
      <c r="W142" s="496"/>
      <c r="X142" s="496">
        <v>1073.5294117647059</v>
      </c>
      <c r="Y142" s="496"/>
      <c r="Z142" s="496">
        <v>1073.5294117647059</v>
      </c>
    </row>
    <row r="143" spans="1:26" x14ac:dyDescent="0.25">
      <c r="A143" s="508" t="s">
        <v>2144</v>
      </c>
      <c r="B143" s="508"/>
      <c r="C143" s="508" t="s">
        <v>411</v>
      </c>
      <c r="D143" s="495" t="s">
        <v>429</v>
      </c>
      <c r="E143" s="496" t="s">
        <v>28</v>
      </c>
      <c r="F143" s="496" t="s">
        <v>437</v>
      </c>
      <c r="G143" s="410"/>
      <c r="H143" s="496" t="s">
        <v>47</v>
      </c>
      <c r="I143" s="496" t="s">
        <v>48</v>
      </c>
      <c r="J143" s="496" t="s">
        <v>49</v>
      </c>
      <c r="K143" s="496" t="s">
        <v>50</v>
      </c>
      <c r="L143" s="496">
        <v>4</v>
      </c>
      <c r="M143" s="496"/>
      <c r="N143" s="512">
        <f t="shared" si="10"/>
        <v>10000</v>
      </c>
      <c r="O143" s="496"/>
      <c r="P143" s="496"/>
      <c r="Q143" s="496"/>
      <c r="R143" s="496"/>
      <c r="S143" s="496"/>
      <c r="T143" s="496"/>
      <c r="U143" s="496"/>
      <c r="V143" s="496"/>
      <c r="W143" s="496">
        <v>2500</v>
      </c>
      <c r="X143" s="496">
        <v>2500</v>
      </c>
      <c r="Y143" s="496">
        <v>2500</v>
      </c>
      <c r="Z143" s="496">
        <v>2500</v>
      </c>
    </row>
    <row r="144" spans="1:26" x14ac:dyDescent="0.25">
      <c r="A144" s="508"/>
      <c r="B144" s="508"/>
      <c r="C144" s="508"/>
      <c r="D144" s="510"/>
      <c r="E144" s="496"/>
      <c r="F144" s="496"/>
      <c r="G144" s="497"/>
      <c r="H144" s="496"/>
      <c r="I144" s="496"/>
      <c r="J144" s="496"/>
      <c r="K144" s="497"/>
      <c r="L144" s="496"/>
      <c r="M144" s="496"/>
      <c r="N144" s="512"/>
      <c r="O144" s="496"/>
      <c r="P144" s="496"/>
      <c r="Q144" s="496"/>
      <c r="R144" s="496"/>
      <c r="S144" s="496"/>
      <c r="T144" s="496"/>
      <c r="U144" s="496"/>
      <c r="V144" s="496"/>
      <c r="W144" s="496"/>
      <c r="X144" s="496"/>
      <c r="Y144" s="496"/>
      <c r="Z144" s="496"/>
    </row>
    <row r="145" spans="1:26" hidden="1" x14ac:dyDescent="0.25">
      <c r="A145" s="508"/>
      <c r="B145" s="508"/>
      <c r="C145" s="508"/>
      <c r="D145" s="510"/>
      <c r="E145" s="496"/>
      <c r="F145" s="496"/>
      <c r="G145" s="497"/>
      <c r="H145" s="496"/>
      <c r="I145" s="496"/>
      <c r="J145" s="496"/>
      <c r="K145" s="497"/>
      <c r="L145" s="496"/>
      <c r="M145" s="496"/>
      <c r="N145" s="512"/>
      <c r="O145" s="496"/>
      <c r="P145" s="496"/>
      <c r="Q145" s="496"/>
      <c r="R145" s="496"/>
      <c r="S145" s="496"/>
      <c r="T145" s="496"/>
      <c r="U145" s="496"/>
      <c r="V145" s="496"/>
      <c r="W145" s="496"/>
      <c r="X145" s="496"/>
      <c r="Y145" s="496"/>
      <c r="Z145" s="496"/>
    </row>
    <row r="146" spans="1:26" ht="29.45" hidden="1" customHeight="1" x14ac:dyDescent="0.25">
      <c r="A146" s="508"/>
      <c r="B146" s="508"/>
      <c r="C146" s="508"/>
      <c r="D146" s="510"/>
      <c r="E146" s="496"/>
      <c r="F146" s="496"/>
      <c r="G146" s="497"/>
      <c r="H146" s="496"/>
      <c r="I146" s="496"/>
      <c r="J146" s="496"/>
      <c r="K146" s="497"/>
      <c r="L146" s="496"/>
      <c r="M146" s="496"/>
      <c r="N146" s="512"/>
      <c r="O146" s="496"/>
      <c r="P146" s="496"/>
      <c r="Q146" s="496"/>
      <c r="R146" s="496"/>
      <c r="S146" s="496"/>
      <c r="T146" s="496"/>
      <c r="U146" s="496"/>
      <c r="V146" s="496"/>
      <c r="W146" s="496"/>
      <c r="X146" s="496"/>
      <c r="Y146" s="496"/>
      <c r="Z146" s="496"/>
    </row>
    <row r="147" spans="1:26" hidden="1" x14ac:dyDescent="0.25">
      <c r="A147" s="508"/>
      <c r="B147" s="508"/>
      <c r="C147" s="508"/>
      <c r="D147" s="510"/>
      <c r="E147" s="496"/>
      <c r="F147" s="496"/>
      <c r="G147" s="497"/>
      <c r="H147" s="496"/>
      <c r="I147" s="496"/>
      <c r="J147" s="496"/>
      <c r="K147" s="497"/>
      <c r="L147" s="496"/>
      <c r="M147" s="496"/>
      <c r="N147" s="512"/>
      <c r="O147" s="496"/>
      <c r="P147" s="496"/>
      <c r="Q147" s="496"/>
      <c r="R147" s="496"/>
      <c r="S147" s="496"/>
      <c r="T147" s="496"/>
      <c r="U147" s="496"/>
      <c r="V147" s="496"/>
      <c r="W147" s="496"/>
      <c r="X147" s="496"/>
      <c r="Y147" s="496"/>
      <c r="Z147" s="496"/>
    </row>
    <row r="148" spans="1:26" hidden="1" x14ac:dyDescent="0.25">
      <c r="A148" s="508"/>
      <c r="B148" s="508"/>
      <c r="C148" s="508"/>
      <c r="D148" s="510"/>
      <c r="E148" s="496"/>
      <c r="F148" s="496"/>
      <c r="G148" s="497"/>
      <c r="H148" s="496"/>
      <c r="I148" s="496"/>
      <c r="J148" s="496"/>
      <c r="K148" s="497"/>
      <c r="L148" s="496"/>
      <c r="M148" s="496"/>
      <c r="N148" s="512"/>
      <c r="O148" s="496"/>
      <c r="P148" s="496"/>
      <c r="Q148" s="496"/>
      <c r="R148" s="496"/>
      <c r="S148" s="496"/>
      <c r="T148" s="496"/>
      <c r="U148" s="496"/>
      <c r="V148" s="496"/>
      <c r="W148" s="496"/>
      <c r="X148" s="496"/>
      <c r="Y148" s="496"/>
      <c r="Z148" s="496"/>
    </row>
    <row r="149" spans="1:26" hidden="1" x14ac:dyDescent="0.25">
      <c r="A149" s="508"/>
      <c r="B149" s="508"/>
      <c r="C149" s="508"/>
      <c r="D149" s="510"/>
      <c r="E149" s="496"/>
      <c r="F149" s="496"/>
      <c r="G149" s="497"/>
      <c r="H149" s="496"/>
      <c r="I149" s="496"/>
      <c r="J149" s="496"/>
      <c r="K149" s="497"/>
      <c r="L149" s="496"/>
      <c r="M149" s="496"/>
      <c r="N149" s="512"/>
      <c r="O149" s="496"/>
      <c r="P149" s="496"/>
      <c r="Q149" s="496"/>
      <c r="R149" s="496"/>
      <c r="S149" s="496"/>
      <c r="T149" s="496"/>
      <c r="U149" s="496"/>
      <c r="V149" s="496"/>
      <c r="W149" s="496"/>
      <c r="X149" s="496"/>
      <c r="Y149" s="496"/>
      <c r="Z149" s="496"/>
    </row>
    <row r="150" spans="1:26" hidden="1" x14ac:dyDescent="0.25">
      <c r="A150" s="508"/>
      <c r="B150" s="508"/>
      <c r="C150" s="508"/>
      <c r="D150" s="510"/>
      <c r="E150" s="496"/>
      <c r="F150" s="496"/>
      <c r="G150" s="497"/>
      <c r="H150" s="496"/>
      <c r="I150" s="496"/>
      <c r="J150" s="496"/>
      <c r="K150" s="497"/>
      <c r="L150" s="496"/>
      <c r="M150" s="496"/>
      <c r="N150" s="496"/>
      <c r="O150" s="496"/>
      <c r="P150" s="496"/>
      <c r="Q150" s="496"/>
      <c r="R150" s="496"/>
      <c r="S150" s="496"/>
      <c r="T150" s="496"/>
      <c r="U150" s="496"/>
      <c r="V150" s="496"/>
      <c r="W150" s="496"/>
      <c r="X150" s="496"/>
      <c r="Y150" s="496"/>
      <c r="Z150" s="496"/>
    </row>
    <row r="151" spans="1:26" hidden="1" x14ac:dyDescent="0.25">
      <c r="A151" s="508"/>
      <c r="B151" s="508"/>
      <c r="C151" s="508"/>
      <c r="D151" s="510"/>
      <c r="E151" s="496"/>
      <c r="F151" s="496"/>
      <c r="G151" s="497"/>
      <c r="H151" s="496"/>
      <c r="I151" s="496"/>
      <c r="J151" s="496"/>
      <c r="K151" s="497"/>
      <c r="L151" s="496"/>
      <c r="M151" s="496"/>
      <c r="N151" s="496"/>
      <c r="O151" s="511"/>
      <c r="P151" s="511"/>
      <c r="Q151" s="511"/>
      <c r="R151" s="511"/>
      <c r="S151" s="511"/>
      <c r="T151" s="511"/>
      <c r="U151" s="511"/>
      <c r="V151" s="511"/>
      <c r="W151" s="511"/>
      <c r="X151" s="511"/>
      <c r="Y151" s="511"/>
      <c r="Z151" s="511"/>
    </row>
    <row r="152" spans="1:26" x14ac:dyDescent="0.25">
      <c r="A152" s="508"/>
      <c r="B152" s="508"/>
      <c r="C152" s="508"/>
      <c r="D152" s="510"/>
      <c r="E152" s="496"/>
      <c r="F152" s="496"/>
      <c r="G152" s="410"/>
      <c r="H152" s="496"/>
      <c r="I152" s="496"/>
      <c r="J152" s="496"/>
      <c r="K152" s="519" t="s">
        <v>20</v>
      </c>
      <c r="L152" s="404">
        <f>SUM(L138:L142)</f>
        <v>16</v>
      </c>
      <c r="M152" s="404">
        <f>SUM(M138:M142)</f>
        <v>0</v>
      </c>
      <c r="N152" s="496">
        <f>SUM(N139:N151)</f>
        <v>87955.402352941179</v>
      </c>
      <c r="O152" s="511">
        <f>SUM(O139:O151)</f>
        <v>0</v>
      </c>
      <c r="P152" s="511">
        <f>SUM(P139:P151)</f>
        <v>0</v>
      </c>
      <c r="Q152" s="511">
        <f t="shared" ref="Q152:Z152" si="11">SUM(Q139:Q151)</f>
        <v>0</v>
      </c>
      <c r="R152" s="511">
        <f t="shared" si="11"/>
        <v>0</v>
      </c>
      <c r="S152" s="511">
        <f t="shared" si="11"/>
        <v>0</v>
      </c>
      <c r="T152" s="511">
        <f t="shared" si="11"/>
        <v>0</v>
      </c>
      <c r="U152" s="511">
        <f t="shared" si="11"/>
        <v>0</v>
      </c>
      <c r="V152" s="511">
        <f t="shared" si="11"/>
        <v>0</v>
      </c>
      <c r="W152" s="511">
        <f t="shared" si="11"/>
        <v>21922.674117647057</v>
      </c>
      <c r="X152" s="511">
        <f t="shared" si="11"/>
        <v>22055.027058823529</v>
      </c>
      <c r="Y152" s="511">
        <f t="shared" si="11"/>
        <v>21922.674117647057</v>
      </c>
      <c r="Z152" s="511">
        <f t="shared" si="11"/>
        <v>22055.027058823529</v>
      </c>
    </row>
    <row r="153" spans="1:26" hidden="1" outlineLevel="1" x14ac:dyDescent="0.25">
      <c r="A153" s="535" t="e">
        <f>CONCATENATE(#REF!," ",#REF!)</f>
        <v>#REF!</v>
      </c>
      <c r="B153" s="535"/>
      <c r="C153" s="536"/>
      <c r="D153" s="536"/>
      <c r="E153" s="507"/>
      <c r="F153" s="507"/>
      <c r="G153" s="507"/>
      <c r="H153" s="507"/>
      <c r="I153" s="507"/>
      <c r="J153" s="507"/>
      <c r="K153" s="507"/>
      <c r="L153" s="507"/>
      <c r="M153" s="507"/>
      <c r="N153" s="507"/>
      <c r="O153" s="507" t="s">
        <v>5</v>
      </c>
      <c r="P153" s="507"/>
      <c r="Q153" s="507"/>
      <c r="R153" s="507"/>
      <c r="S153" s="507"/>
      <c r="T153" s="507"/>
      <c r="U153" s="507"/>
      <c r="V153" s="507"/>
      <c r="W153" s="507"/>
      <c r="X153" s="507"/>
      <c r="Y153" s="507"/>
      <c r="Z153" s="507"/>
    </row>
    <row r="154" spans="1:26" ht="41.45" hidden="1" customHeight="1" outlineLevel="1" x14ac:dyDescent="0.25">
      <c r="A154" s="442" t="s">
        <v>261</v>
      </c>
      <c r="B154" s="442" t="s">
        <v>13</v>
      </c>
      <c r="C154" s="442" t="s">
        <v>14</v>
      </c>
      <c r="D154" s="509" t="s">
        <v>286</v>
      </c>
      <c r="E154" s="404" t="s">
        <v>16</v>
      </c>
      <c r="F154" s="404" t="s">
        <v>295</v>
      </c>
      <c r="G154" s="404" t="s">
        <v>39</v>
      </c>
      <c r="H154" s="404" t="s">
        <v>297</v>
      </c>
      <c r="I154" s="404" t="s">
        <v>298</v>
      </c>
      <c r="J154" s="404" t="s">
        <v>299</v>
      </c>
      <c r="K154" s="404" t="s">
        <v>300</v>
      </c>
      <c r="L154" s="404" t="s">
        <v>17</v>
      </c>
      <c r="M154" s="404" t="s">
        <v>18</v>
      </c>
      <c r="N154" s="404" t="s">
        <v>19</v>
      </c>
      <c r="O154" s="443">
        <v>43101</v>
      </c>
      <c r="P154" s="443">
        <v>43132</v>
      </c>
      <c r="Q154" s="443">
        <v>43160</v>
      </c>
      <c r="R154" s="443">
        <v>43191</v>
      </c>
      <c r="S154" s="443">
        <v>43221</v>
      </c>
      <c r="T154" s="443">
        <v>43252</v>
      </c>
      <c r="U154" s="443">
        <v>43282</v>
      </c>
      <c r="V154" s="443">
        <v>43313</v>
      </c>
      <c r="W154" s="443">
        <v>43344</v>
      </c>
      <c r="X154" s="443">
        <v>43374</v>
      </c>
      <c r="Y154" s="443">
        <v>43405</v>
      </c>
      <c r="Z154" s="443">
        <v>43435</v>
      </c>
    </row>
    <row r="155" spans="1:26" ht="15" hidden="1" customHeight="1" outlineLevel="1" x14ac:dyDescent="0.25">
      <c r="A155" s="508" t="s">
        <v>265</v>
      </c>
      <c r="B155" s="508"/>
      <c r="C155" s="508"/>
      <c r="D155" s="510"/>
      <c r="E155" s="496"/>
      <c r="F155" s="496"/>
      <c r="G155" s="496"/>
      <c r="H155" s="496"/>
      <c r="I155" s="496"/>
      <c r="J155" s="496"/>
      <c r="K155" s="496"/>
      <c r="L155" s="496"/>
      <c r="M155" s="496"/>
      <c r="N155" s="496">
        <f t="shared" ref="N155:N159" si="12">SUM(O155:Z155)</f>
        <v>0</v>
      </c>
      <c r="O155" s="496"/>
      <c r="P155" s="496"/>
      <c r="Q155" s="496"/>
      <c r="R155" s="496"/>
      <c r="S155" s="496"/>
      <c r="T155" s="496"/>
      <c r="U155" s="496"/>
      <c r="V155" s="496"/>
      <c r="W155" s="496"/>
      <c r="X155" s="496"/>
      <c r="Y155" s="496"/>
      <c r="Z155" s="496"/>
    </row>
    <row r="156" spans="1:26" ht="15" hidden="1" customHeight="1" outlineLevel="1" x14ac:dyDescent="0.25">
      <c r="A156" s="508" t="s">
        <v>266</v>
      </c>
      <c r="B156" s="508"/>
      <c r="C156" s="508"/>
      <c r="D156" s="510"/>
      <c r="E156" s="496"/>
      <c r="F156" s="496"/>
      <c r="G156" s="496"/>
      <c r="H156" s="496"/>
      <c r="I156" s="496"/>
      <c r="J156" s="496"/>
      <c r="K156" s="496"/>
      <c r="L156" s="496"/>
      <c r="M156" s="496"/>
      <c r="N156" s="496">
        <f t="shared" si="12"/>
        <v>0</v>
      </c>
      <c r="O156" s="496"/>
      <c r="P156" s="496"/>
      <c r="Q156" s="496"/>
      <c r="R156" s="496"/>
      <c r="S156" s="496"/>
      <c r="T156" s="496"/>
      <c r="U156" s="496"/>
      <c r="V156" s="496"/>
      <c r="W156" s="496"/>
      <c r="X156" s="496"/>
      <c r="Y156" s="496"/>
      <c r="Z156" s="496"/>
    </row>
    <row r="157" spans="1:26" ht="15" hidden="1" customHeight="1" outlineLevel="1" x14ac:dyDescent="0.25">
      <c r="A157" s="508" t="s">
        <v>283</v>
      </c>
      <c r="B157" s="508"/>
      <c r="C157" s="508"/>
      <c r="D157" s="510"/>
      <c r="E157" s="496"/>
      <c r="F157" s="496"/>
      <c r="G157" s="496"/>
      <c r="H157" s="496"/>
      <c r="I157" s="496"/>
      <c r="J157" s="496"/>
      <c r="K157" s="496"/>
      <c r="L157" s="496"/>
      <c r="M157" s="496"/>
      <c r="N157" s="496">
        <f t="shared" si="12"/>
        <v>0</v>
      </c>
      <c r="O157" s="496"/>
      <c r="P157" s="496"/>
      <c r="Q157" s="496"/>
      <c r="R157" s="496"/>
      <c r="S157" s="496"/>
      <c r="T157" s="496"/>
      <c r="U157" s="496"/>
      <c r="V157" s="496"/>
      <c r="W157" s="496"/>
      <c r="X157" s="496"/>
      <c r="Y157" s="496"/>
      <c r="Z157" s="496"/>
    </row>
    <row r="158" spans="1:26" ht="15" hidden="1" customHeight="1" outlineLevel="1" x14ac:dyDescent="0.25">
      <c r="A158" s="508" t="s">
        <v>284</v>
      </c>
      <c r="B158" s="508"/>
      <c r="C158" s="508"/>
      <c r="D158" s="510"/>
      <c r="E158" s="496"/>
      <c r="F158" s="496"/>
      <c r="G158" s="496"/>
      <c r="H158" s="496"/>
      <c r="I158" s="496"/>
      <c r="J158" s="496"/>
      <c r="K158" s="496"/>
      <c r="L158" s="496"/>
      <c r="M158" s="496"/>
      <c r="N158" s="496">
        <f t="shared" si="12"/>
        <v>0</v>
      </c>
      <c r="O158" s="496"/>
      <c r="P158" s="496"/>
      <c r="Q158" s="496"/>
      <c r="R158" s="496"/>
      <c r="S158" s="496"/>
      <c r="T158" s="496"/>
      <c r="U158" s="496"/>
      <c r="V158" s="496"/>
      <c r="W158" s="496"/>
      <c r="X158" s="496"/>
      <c r="Y158" s="496"/>
      <c r="Z158" s="496"/>
    </row>
    <row r="159" spans="1:26" ht="21" hidden="1" customHeight="1" outlineLevel="1" x14ac:dyDescent="0.25">
      <c r="A159" s="508" t="s">
        <v>285</v>
      </c>
      <c r="B159" s="508"/>
      <c r="C159" s="508"/>
      <c r="D159" s="510"/>
      <c r="E159" s="496"/>
      <c r="F159" s="496"/>
      <c r="G159" s="410"/>
      <c r="H159" s="496"/>
      <c r="I159" s="496"/>
      <c r="J159" s="496"/>
      <c r="K159" s="519" t="s">
        <v>20</v>
      </c>
      <c r="L159" s="404">
        <f>SUM(L154:L158)</f>
        <v>0</v>
      </c>
      <c r="M159" s="404">
        <f>SUM(M154:M158)</f>
        <v>0</v>
      </c>
      <c r="N159" s="496">
        <f t="shared" si="12"/>
        <v>0</v>
      </c>
      <c r="O159" s="496"/>
      <c r="P159" s="496"/>
      <c r="Q159" s="496"/>
      <c r="R159" s="496"/>
      <c r="S159" s="496"/>
      <c r="T159" s="496"/>
      <c r="U159" s="496"/>
      <c r="V159" s="496"/>
      <c r="W159" s="496"/>
      <c r="X159" s="496"/>
      <c r="Y159" s="496"/>
      <c r="Z159" s="496"/>
    </row>
    <row r="160" spans="1:26" hidden="1" outlineLevel="1" x14ac:dyDescent="0.25">
      <c r="A160" s="535" t="str">
        <f>CONCATENATE(B20," ",C20)</f>
        <v xml:space="preserve"> </v>
      </c>
      <c r="B160" s="535"/>
      <c r="C160" s="536"/>
      <c r="D160" s="536"/>
      <c r="E160" s="507"/>
      <c r="F160" s="507"/>
      <c r="G160" s="507"/>
      <c r="H160" s="507"/>
      <c r="I160" s="507"/>
      <c r="J160" s="507"/>
      <c r="K160" s="507"/>
      <c r="L160" s="507"/>
      <c r="M160" s="507"/>
      <c r="N160" s="507"/>
      <c r="O160" s="507" t="s">
        <v>5</v>
      </c>
      <c r="P160" s="507"/>
      <c r="Q160" s="507"/>
      <c r="R160" s="507"/>
      <c r="S160" s="507"/>
      <c r="T160" s="507"/>
      <c r="U160" s="507"/>
      <c r="V160" s="507"/>
      <c r="W160" s="507"/>
      <c r="X160" s="507"/>
      <c r="Y160" s="507"/>
      <c r="Z160" s="507"/>
    </row>
    <row r="161" spans="1:26" ht="41.45" hidden="1" customHeight="1" outlineLevel="1" x14ac:dyDescent="0.25">
      <c r="A161" s="442" t="s">
        <v>261</v>
      </c>
      <c r="B161" s="442" t="s">
        <v>13</v>
      </c>
      <c r="C161" s="442" t="s">
        <v>14</v>
      </c>
      <c r="D161" s="509" t="s">
        <v>286</v>
      </c>
      <c r="E161" s="404" t="s">
        <v>16</v>
      </c>
      <c r="F161" s="404" t="s">
        <v>295</v>
      </c>
      <c r="G161" s="404" t="s">
        <v>39</v>
      </c>
      <c r="H161" s="404" t="s">
        <v>297</v>
      </c>
      <c r="I161" s="404" t="s">
        <v>298</v>
      </c>
      <c r="J161" s="404" t="s">
        <v>299</v>
      </c>
      <c r="K161" s="404" t="s">
        <v>300</v>
      </c>
      <c r="L161" s="404" t="s">
        <v>17</v>
      </c>
      <c r="M161" s="404" t="s">
        <v>18</v>
      </c>
      <c r="N161" s="404" t="s">
        <v>19</v>
      </c>
      <c r="O161" s="443">
        <v>43101</v>
      </c>
      <c r="P161" s="443">
        <v>43132</v>
      </c>
      <c r="Q161" s="443">
        <v>43160</v>
      </c>
      <c r="R161" s="443">
        <v>43191</v>
      </c>
      <c r="S161" s="443">
        <v>43221</v>
      </c>
      <c r="T161" s="443">
        <v>43252</v>
      </c>
      <c r="U161" s="443">
        <v>43282</v>
      </c>
      <c r="V161" s="443">
        <v>43313</v>
      </c>
      <c r="W161" s="443">
        <v>43344</v>
      </c>
      <c r="X161" s="443">
        <v>43374</v>
      </c>
      <c r="Y161" s="443">
        <v>43405</v>
      </c>
      <c r="Z161" s="443">
        <v>43435</v>
      </c>
    </row>
    <row r="162" spans="1:26" ht="15" hidden="1" customHeight="1" outlineLevel="1" x14ac:dyDescent="0.25">
      <c r="A162" s="508" t="s">
        <v>265</v>
      </c>
      <c r="B162" s="508"/>
      <c r="C162" s="508"/>
      <c r="D162" s="510"/>
      <c r="E162" s="496"/>
      <c r="F162" s="496"/>
      <c r="G162" s="496"/>
      <c r="H162" s="496"/>
      <c r="I162" s="496"/>
      <c r="J162" s="496"/>
      <c r="K162" s="496"/>
      <c r="L162" s="496"/>
      <c r="M162" s="496"/>
      <c r="N162" s="496">
        <f t="shared" ref="N162:N166" si="13">SUM(O162:Z162)</f>
        <v>0</v>
      </c>
      <c r="O162" s="496"/>
      <c r="P162" s="496"/>
      <c r="Q162" s="496"/>
      <c r="R162" s="496"/>
      <c r="S162" s="496"/>
      <c r="T162" s="496"/>
      <c r="U162" s="496"/>
      <c r="V162" s="496"/>
      <c r="W162" s="496"/>
      <c r="X162" s="496"/>
      <c r="Y162" s="496"/>
      <c r="Z162" s="496"/>
    </row>
    <row r="163" spans="1:26" ht="15" hidden="1" customHeight="1" outlineLevel="1" x14ac:dyDescent="0.25">
      <c r="A163" s="508" t="s">
        <v>266</v>
      </c>
      <c r="B163" s="508"/>
      <c r="C163" s="508"/>
      <c r="D163" s="510"/>
      <c r="E163" s="496"/>
      <c r="F163" s="496"/>
      <c r="G163" s="496"/>
      <c r="H163" s="496"/>
      <c r="I163" s="496"/>
      <c r="J163" s="496"/>
      <c r="K163" s="496"/>
      <c r="L163" s="496"/>
      <c r="M163" s="496"/>
      <c r="N163" s="496">
        <f t="shared" si="13"/>
        <v>0</v>
      </c>
      <c r="O163" s="496"/>
      <c r="P163" s="496"/>
      <c r="Q163" s="496"/>
      <c r="R163" s="496"/>
      <c r="S163" s="496"/>
      <c r="T163" s="496"/>
      <c r="U163" s="496"/>
      <c r="V163" s="496"/>
      <c r="W163" s="496"/>
      <c r="X163" s="496"/>
      <c r="Y163" s="496"/>
      <c r="Z163" s="496"/>
    </row>
    <row r="164" spans="1:26" ht="15" hidden="1" customHeight="1" outlineLevel="1" x14ac:dyDescent="0.25">
      <c r="A164" s="508" t="s">
        <v>283</v>
      </c>
      <c r="B164" s="508"/>
      <c r="C164" s="508"/>
      <c r="D164" s="510"/>
      <c r="E164" s="496"/>
      <c r="F164" s="496"/>
      <c r="G164" s="496"/>
      <c r="H164" s="496"/>
      <c r="I164" s="496"/>
      <c r="J164" s="496"/>
      <c r="K164" s="496"/>
      <c r="L164" s="496"/>
      <c r="M164" s="496"/>
      <c r="N164" s="496">
        <f t="shared" si="13"/>
        <v>0</v>
      </c>
      <c r="O164" s="496"/>
      <c r="P164" s="496"/>
      <c r="Q164" s="496"/>
      <c r="R164" s="496"/>
      <c r="S164" s="496"/>
      <c r="T164" s="496"/>
      <c r="U164" s="496"/>
      <c r="V164" s="496"/>
      <c r="W164" s="496"/>
      <c r="X164" s="496"/>
      <c r="Y164" s="496"/>
      <c r="Z164" s="496"/>
    </row>
    <row r="165" spans="1:26" ht="15" hidden="1" customHeight="1" outlineLevel="1" x14ac:dyDescent="0.25">
      <c r="A165" s="508" t="s">
        <v>284</v>
      </c>
      <c r="B165" s="508"/>
      <c r="C165" s="508"/>
      <c r="D165" s="510"/>
      <c r="E165" s="496"/>
      <c r="F165" s="496"/>
      <c r="G165" s="496"/>
      <c r="H165" s="496"/>
      <c r="I165" s="496"/>
      <c r="J165" s="496"/>
      <c r="K165" s="496"/>
      <c r="L165" s="496"/>
      <c r="M165" s="496"/>
      <c r="N165" s="496">
        <f t="shared" si="13"/>
        <v>0</v>
      </c>
      <c r="O165" s="496"/>
      <c r="P165" s="496"/>
      <c r="Q165" s="496"/>
      <c r="R165" s="496"/>
      <c r="S165" s="496"/>
      <c r="T165" s="496"/>
      <c r="U165" s="496"/>
      <c r="V165" s="496"/>
      <c r="W165" s="496"/>
      <c r="X165" s="496"/>
      <c r="Y165" s="496"/>
      <c r="Z165" s="496"/>
    </row>
    <row r="166" spans="1:26" ht="21" hidden="1" customHeight="1" outlineLevel="1" x14ac:dyDescent="0.25">
      <c r="A166" s="508" t="s">
        <v>285</v>
      </c>
      <c r="B166" s="508"/>
      <c r="C166" s="508"/>
      <c r="D166" s="510"/>
      <c r="E166" s="496"/>
      <c r="F166" s="496"/>
      <c r="G166" s="410"/>
      <c r="H166" s="496"/>
      <c r="I166" s="496"/>
      <c r="J166" s="496"/>
      <c r="K166" s="519" t="s">
        <v>20</v>
      </c>
      <c r="L166" s="404">
        <f>SUM(L161:L165)</f>
        <v>0</v>
      </c>
      <c r="M166" s="404">
        <f>SUM(M161:M165)</f>
        <v>0</v>
      </c>
      <c r="N166" s="496">
        <f t="shared" si="13"/>
        <v>0</v>
      </c>
      <c r="O166" s="496"/>
      <c r="P166" s="496"/>
      <c r="Q166" s="496"/>
      <c r="R166" s="496"/>
      <c r="S166" s="496"/>
      <c r="T166" s="496"/>
      <c r="U166" s="496"/>
      <c r="V166" s="496"/>
      <c r="W166" s="496"/>
      <c r="X166" s="496"/>
      <c r="Y166" s="496"/>
      <c r="Z166" s="496"/>
    </row>
    <row r="167" spans="1:26" hidden="1" outlineLevel="1" x14ac:dyDescent="0.25">
      <c r="A167" s="535" t="str">
        <f>CONCATENATE(B21," ",C21)</f>
        <v xml:space="preserve"> </v>
      </c>
      <c r="B167" s="535"/>
      <c r="C167" s="536"/>
      <c r="D167" s="536"/>
      <c r="E167" s="507"/>
      <c r="F167" s="507"/>
      <c r="G167" s="507"/>
      <c r="H167" s="507"/>
      <c r="I167" s="507"/>
      <c r="J167" s="507"/>
      <c r="K167" s="507"/>
      <c r="L167" s="507"/>
      <c r="M167" s="507"/>
      <c r="N167" s="507"/>
      <c r="O167" s="507" t="s">
        <v>5</v>
      </c>
      <c r="P167" s="507"/>
      <c r="Q167" s="507"/>
      <c r="R167" s="507"/>
      <c r="S167" s="507"/>
      <c r="T167" s="507"/>
      <c r="U167" s="507"/>
      <c r="V167" s="507"/>
      <c r="W167" s="507"/>
      <c r="X167" s="507"/>
      <c r="Y167" s="507"/>
      <c r="Z167" s="507"/>
    </row>
    <row r="168" spans="1:26" ht="41.45" hidden="1" customHeight="1" outlineLevel="1" x14ac:dyDescent="0.25">
      <c r="A168" s="442" t="s">
        <v>261</v>
      </c>
      <c r="B168" s="442" t="s">
        <v>13</v>
      </c>
      <c r="C168" s="442" t="s">
        <v>14</v>
      </c>
      <c r="D168" s="509" t="s">
        <v>286</v>
      </c>
      <c r="E168" s="404" t="s">
        <v>16</v>
      </c>
      <c r="F168" s="404" t="s">
        <v>295</v>
      </c>
      <c r="G168" s="404" t="s">
        <v>39</v>
      </c>
      <c r="H168" s="404" t="s">
        <v>297</v>
      </c>
      <c r="I168" s="404" t="s">
        <v>298</v>
      </c>
      <c r="J168" s="404" t="s">
        <v>299</v>
      </c>
      <c r="K168" s="404" t="s">
        <v>300</v>
      </c>
      <c r="L168" s="404" t="s">
        <v>17</v>
      </c>
      <c r="M168" s="404" t="s">
        <v>18</v>
      </c>
      <c r="N168" s="404" t="s">
        <v>19</v>
      </c>
      <c r="O168" s="443">
        <v>43101</v>
      </c>
      <c r="P168" s="443">
        <v>43132</v>
      </c>
      <c r="Q168" s="443">
        <v>43160</v>
      </c>
      <c r="R168" s="443">
        <v>43191</v>
      </c>
      <c r="S168" s="443">
        <v>43221</v>
      </c>
      <c r="T168" s="443">
        <v>43252</v>
      </c>
      <c r="U168" s="443">
        <v>43282</v>
      </c>
      <c r="V168" s="443">
        <v>43313</v>
      </c>
      <c r="W168" s="443">
        <v>43344</v>
      </c>
      <c r="X168" s="443">
        <v>43374</v>
      </c>
      <c r="Y168" s="443">
        <v>43405</v>
      </c>
      <c r="Z168" s="443">
        <v>43435</v>
      </c>
    </row>
    <row r="169" spans="1:26" ht="15" hidden="1" customHeight="1" outlineLevel="1" x14ac:dyDescent="0.25">
      <c r="A169" s="508" t="s">
        <v>265</v>
      </c>
      <c r="B169" s="508"/>
      <c r="C169" s="508"/>
      <c r="D169" s="510"/>
      <c r="E169" s="496"/>
      <c r="F169" s="496"/>
      <c r="G169" s="496"/>
      <c r="H169" s="496"/>
      <c r="I169" s="496"/>
      <c r="J169" s="496"/>
      <c r="K169" s="496"/>
      <c r="L169" s="496"/>
      <c r="M169" s="496"/>
      <c r="N169" s="496">
        <f t="shared" ref="N169:N173" si="14">SUM(O169:Z169)</f>
        <v>0</v>
      </c>
      <c r="O169" s="496"/>
      <c r="P169" s="496"/>
      <c r="Q169" s="496"/>
      <c r="R169" s="496"/>
      <c r="S169" s="496"/>
      <c r="T169" s="496"/>
      <c r="U169" s="496"/>
      <c r="V169" s="496"/>
      <c r="W169" s="496"/>
      <c r="X169" s="496"/>
      <c r="Y169" s="496"/>
      <c r="Z169" s="496"/>
    </row>
    <row r="170" spans="1:26" ht="15" hidden="1" customHeight="1" outlineLevel="1" x14ac:dyDescent="0.25">
      <c r="A170" s="508" t="s">
        <v>266</v>
      </c>
      <c r="B170" s="508"/>
      <c r="C170" s="508"/>
      <c r="D170" s="510"/>
      <c r="E170" s="496"/>
      <c r="F170" s="496"/>
      <c r="G170" s="496"/>
      <c r="H170" s="496"/>
      <c r="I170" s="496"/>
      <c r="J170" s="496"/>
      <c r="K170" s="496"/>
      <c r="L170" s="496"/>
      <c r="M170" s="496"/>
      <c r="N170" s="496">
        <f t="shared" si="14"/>
        <v>0</v>
      </c>
      <c r="O170" s="496"/>
      <c r="P170" s="496"/>
      <c r="Q170" s="496"/>
      <c r="R170" s="496"/>
      <c r="S170" s="496"/>
      <c r="T170" s="496"/>
      <c r="U170" s="496"/>
      <c r="V170" s="496"/>
      <c r="W170" s="496"/>
      <c r="X170" s="496"/>
      <c r="Y170" s="496"/>
      <c r="Z170" s="496"/>
    </row>
    <row r="171" spans="1:26" ht="15" hidden="1" customHeight="1" outlineLevel="1" x14ac:dyDescent="0.25">
      <c r="A171" s="508" t="s">
        <v>283</v>
      </c>
      <c r="B171" s="508"/>
      <c r="C171" s="508"/>
      <c r="D171" s="510"/>
      <c r="E171" s="496"/>
      <c r="F171" s="496"/>
      <c r="G171" s="496"/>
      <c r="H171" s="496"/>
      <c r="I171" s="496"/>
      <c r="J171" s="496"/>
      <c r="K171" s="496"/>
      <c r="L171" s="496"/>
      <c r="M171" s="496"/>
      <c r="N171" s="496">
        <f t="shared" si="14"/>
        <v>0</v>
      </c>
      <c r="O171" s="496"/>
      <c r="P171" s="496"/>
      <c r="Q171" s="496"/>
      <c r="R171" s="496"/>
      <c r="S171" s="496"/>
      <c r="T171" s="496"/>
      <c r="U171" s="496"/>
      <c r="V171" s="496"/>
      <c r="W171" s="496"/>
      <c r="X171" s="496"/>
      <c r="Y171" s="496"/>
      <c r="Z171" s="496"/>
    </row>
    <row r="172" spans="1:26" ht="15" hidden="1" customHeight="1" outlineLevel="1" x14ac:dyDescent="0.25">
      <c r="A172" s="508" t="s">
        <v>284</v>
      </c>
      <c r="B172" s="508"/>
      <c r="C172" s="508"/>
      <c r="D172" s="510"/>
      <c r="E172" s="496"/>
      <c r="F172" s="496"/>
      <c r="G172" s="496"/>
      <c r="H172" s="496"/>
      <c r="I172" s="496"/>
      <c r="J172" s="496"/>
      <c r="K172" s="496"/>
      <c r="L172" s="496"/>
      <c r="M172" s="496"/>
      <c r="N172" s="496">
        <f t="shared" si="14"/>
        <v>0</v>
      </c>
      <c r="O172" s="496"/>
      <c r="P172" s="496"/>
      <c r="Q172" s="496"/>
      <c r="R172" s="496"/>
      <c r="S172" s="496"/>
      <c r="T172" s="496"/>
      <c r="U172" s="496"/>
      <c r="V172" s="496"/>
      <c r="W172" s="496"/>
      <c r="X172" s="496"/>
      <c r="Y172" s="496"/>
      <c r="Z172" s="496"/>
    </row>
    <row r="173" spans="1:26" ht="21" hidden="1" customHeight="1" outlineLevel="1" x14ac:dyDescent="0.25">
      <c r="A173" s="508" t="s">
        <v>285</v>
      </c>
      <c r="B173" s="508"/>
      <c r="C173" s="508"/>
      <c r="D173" s="510"/>
      <c r="E173" s="496"/>
      <c r="F173" s="496"/>
      <c r="G173" s="410"/>
      <c r="H173" s="496"/>
      <c r="I173" s="496"/>
      <c r="J173" s="496"/>
      <c r="K173" s="519" t="s">
        <v>20</v>
      </c>
      <c r="L173" s="404">
        <f>SUM(L168:L172)</f>
        <v>0</v>
      </c>
      <c r="M173" s="404">
        <f>SUM(M168:M172)</f>
        <v>0</v>
      </c>
      <c r="N173" s="496">
        <f t="shared" si="14"/>
        <v>0</v>
      </c>
      <c r="O173" s="496"/>
      <c r="P173" s="496"/>
      <c r="Q173" s="496"/>
      <c r="R173" s="496"/>
      <c r="S173" s="496"/>
      <c r="T173" s="496"/>
      <c r="U173" s="496"/>
      <c r="V173" s="496"/>
      <c r="W173" s="496"/>
      <c r="X173" s="496"/>
      <c r="Y173" s="496"/>
      <c r="Z173" s="496"/>
    </row>
    <row r="174" spans="1:26" hidden="1" outlineLevel="1" x14ac:dyDescent="0.25">
      <c r="A174" s="535" t="str">
        <f>CONCATENATE(B22," ",C22)</f>
        <v xml:space="preserve"> </v>
      </c>
      <c r="B174" s="535"/>
      <c r="C174" s="536"/>
      <c r="D174" s="536"/>
      <c r="E174" s="507"/>
      <c r="F174" s="507"/>
      <c r="G174" s="507"/>
      <c r="H174" s="507"/>
      <c r="I174" s="507"/>
      <c r="J174" s="507"/>
      <c r="K174" s="507"/>
      <c r="L174" s="507"/>
      <c r="M174" s="507"/>
      <c r="N174" s="507"/>
      <c r="O174" s="507" t="s">
        <v>5</v>
      </c>
      <c r="P174" s="507"/>
      <c r="Q174" s="507"/>
      <c r="R174" s="507"/>
      <c r="S174" s="507"/>
      <c r="T174" s="507"/>
      <c r="U174" s="507"/>
      <c r="V174" s="507"/>
      <c r="W174" s="507"/>
      <c r="X174" s="507"/>
      <c r="Y174" s="507"/>
      <c r="Z174" s="507"/>
    </row>
    <row r="175" spans="1:26" ht="41.45" hidden="1" customHeight="1" outlineLevel="1" x14ac:dyDescent="0.25">
      <c r="A175" s="442" t="s">
        <v>261</v>
      </c>
      <c r="B175" s="442" t="s">
        <v>13</v>
      </c>
      <c r="C175" s="442" t="s">
        <v>14</v>
      </c>
      <c r="D175" s="509" t="s">
        <v>286</v>
      </c>
      <c r="E175" s="404" t="s">
        <v>16</v>
      </c>
      <c r="F175" s="404" t="s">
        <v>295</v>
      </c>
      <c r="G175" s="404" t="s">
        <v>39</v>
      </c>
      <c r="H175" s="404" t="s">
        <v>297</v>
      </c>
      <c r="I175" s="404" t="s">
        <v>298</v>
      </c>
      <c r="J175" s="404" t="s">
        <v>299</v>
      </c>
      <c r="K175" s="404" t="s">
        <v>300</v>
      </c>
      <c r="L175" s="404" t="s">
        <v>17</v>
      </c>
      <c r="M175" s="404" t="s">
        <v>18</v>
      </c>
      <c r="N175" s="404" t="s">
        <v>19</v>
      </c>
      <c r="O175" s="443">
        <v>43101</v>
      </c>
      <c r="P175" s="443">
        <v>43132</v>
      </c>
      <c r="Q175" s="443">
        <v>43160</v>
      </c>
      <c r="R175" s="443">
        <v>43191</v>
      </c>
      <c r="S175" s="443">
        <v>43221</v>
      </c>
      <c r="T175" s="443">
        <v>43252</v>
      </c>
      <c r="U175" s="443">
        <v>43282</v>
      </c>
      <c r="V175" s="443">
        <v>43313</v>
      </c>
      <c r="W175" s="443">
        <v>43344</v>
      </c>
      <c r="X175" s="443">
        <v>43374</v>
      </c>
      <c r="Y175" s="443">
        <v>43405</v>
      </c>
      <c r="Z175" s="443">
        <v>43435</v>
      </c>
    </row>
    <row r="176" spans="1:26" ht="15" hidden="1" customHeight="1" outlineLevel="1" x14ac:dyDescent="0.25">
      <c r="A176" s="508" t="s">
        <v>265</v>
      </c>
      <c r="B176" s="508"/>
      <c r="C176" s="508"/>
      <c r="D176" s="510"/>
      <c r="E176" s="496"/>
      <c r="F176" s="496"/>
      <c r="G176" s="496"/>
      <c r="H176" s="496"/>
      <c r="I176" s="496"/>
      <c r="J176" s="496"/>
      <c r="K176" s="496"/>
      <c r="L176" s="496"/>
      <c r="M176" s="496"/>
      <c r="N176" s="496">
        <f t="shared" ref="N176:N180" si="15">SUM(O176:Z176)</f>
        <v>0</v>
      </c>
      <c r="O176" s="496"/>
      <c r="P176" s="496"/>
      <c r="Q176" s="496"/>
      <c r="R176" s="496"/>
      <c r="S176" s="496"/>
      <c r="T176" s="496"/>
      <c r="U176" s="496"/>
      <c r="V176" s="496"/>
      <c r="W176" s="496"/>
      <c r="X176" s="496"/>
      <c r="Y176" s="496"/>
      <c r="Z176" s="496"/>
    </row>
    <row r="177" spans="1:26" ht="15" hidden="1" customHeight="1" outlineLevel="1" x14ac:dyDescent="0.25">
      <c r="A177" s="508" t="s">
        <v>266</v>
      </c>
      <c r="B177" s="508"/>
      <c r="C177" s="508"/>
      <c r="D177" s="510"/>
      <c r="E177" s="496"/>
      <c r="F177" s="496"/>
      <c r="G177" s="496"/>
      <c r="H177" s="496"/>
      <c r="I177" s="496"/>
      <c r="J177" s="496"/>
      <c r="K177" s="496"/>
      <c r="L177" s="496"/>
      <c r="M177" s="496"/>
      <c r="N177" s="496">
        <f t="shared" si="15"/>
        <v>0</v>
      </c>
      <c r="O177" s="496"/>
      <c r="P177" s="496"/>
      <c r="Q177" s="496"/>
      <c r="R177" s="496"/>
      <c r="S177" s="496"/>
      <c r="T177" s="496"/>
      <c r="U177" s="496"/>
      <c r="V177" s="496"/>
      <c r="W177" s="496"/>
      <c r="X177" s="496"/>
      <c r="Y177" s="496"/>
      <c r="Z177" s="496"/>
    </row>
    <row r="178" spans="1:26" ht="15" hidden="1" customHeight="1" outlineLevel="1" x14ac:dyDescent="0.25">
      <c r="A178" s="508" t="s">
        <v>283</v>
      </c>
      <c r="B178" s="508"/>
      <c r="C178" s="508"/>
      <c r="D178" s="510"/>
      <c r="E178" s="496"/>
      <c r="F178" s="496"/>
      <c r="G178" s="496"/>
      <c r="H178" s="496"/>
      <c r="I178" s="496"/>
      <c r="J178" s="496"/>
      <c r="K178" s="496"/>
      <c r="L178" s="496"/>
      <c r="M178" s="496"/>
      <c r="N178" s="496">
        <f t="shared" si="15"/>
        <v>0</v>
      </c>
      <c r="O178" s="496"/>
      <c r="P178" s="496"/>
      <c r="Q178" s="496"/>
      <c r="R178" s="496"/>
      <c r="S178" s="496"/>
      <c r="T178" s="496"/>
      <c r="U178" s="496"/>
      <c r="V178" s="496"/>
      <c r="W178" s="496"/>
      <c r="X178" s="496"/>
      <c r="Y178" s="496"/>
      <c r="Z178" s="496"/>
    </row>
    <row r="179" spans="1:26" ht="15" hidden="1" customHeight="1" outlineLevel="1" x14ac:dyDescent="0.25">
      <c r="A179" s="508" t="s">
        <v>284</v>
      </c>
      <c r="B179" s="508"/>
      <c r="C179" s="508"/>
      <c r="D179" s="510"/>
      <c r="E179" s="496"/>
      <c r="F179" s="496"/>
      <c r="G179" s="496"/>
      <c r="H179" s="496"/>
      <c r="I179" s="496"/>
      <c r="J179" s="496"/>
      <c r="K179" s="496"/>
      <c r="L179" s="496"/>
      <c r="M179" s="496"/>
      <c r="N179" s="496">
        <f t="shared" si="15"/>
        <v>0</v>
      </c>
      <c r="O179" s="496"/>
      <c r="P179" s="496"/>
      <c r="Q179" s="496"/>
      <c r="R179" s="496"/>
      <c r="S179" s="496"/>
      <c r="T179" s="496"/>
      <c r="U179" s="496"/>
      <c r="V179" s="496"/>
      <c r="W179" s="496"/>
      <c r="X179" s="496"/>
      <c r="Y179" s="496"/>
      <c r="Z179" s="496"/>
    </row>
    <row r="180" spans="1:26" ht="21" hidden="1" customHeight="1" outlineLevel="1" x14ac:dyDescent="0.25">
      <c r="A180" s="508" t="s">
        <v>285</v>
      </c>
      <c r="B180" s="508"/>
      <c r="C180" s="508"/>
      <c r="D180" s="510"/>
      <c r="E180" s="496"/>
      <c r="F180" s="496"/>
      <c r="G180" s="410"/>
      <c r="H180" s="496"/>
      <c r="I180" s="496"/>
      <c r="J180" s="496"/>
      <c r="K180" s="519" t="s">
        <v>20</v>
      </c>
      <c r="L180" s="404">
        <f>SUM(L175:L179)</f>
        <v>0</v>
      </c>
      <c r="M180" s="404">
        <f>SUM(M175:M179)</f>
        <v>0</v>
      </c>
      <c r="N180" s="496">
        <f t="shared" si="15"/>
        <v>0</v>
      </c>
      <c r="O180" s="496"/>
      <c r="P180" s="496"/>
      <c r="Q180" s="496"/>
      <c r="R180" s="496"/>
      <c r="S180" s="496"/>
      <c r="T180" s="496"/>
      <c r="U180" s="496"/>
      <c r="V180" s="496"/>
      <c r="W180" s="496"/>
      <c r="X180" s="496"/>
      <c r="Y180" s="496"/>
      <c r="Z180" s="496"/>
    </row>
    <row r="181" spans="1:26" hidden="1" outlineLevel="1" x14ac:dyDescent="0.25">
      <c r="A181" s="535" t="str">
        <f>CONCATENATE(B23," ",C23)</f>
        <v xml:space="preserve"> </v>
      </c>
      <c r="B181" s="535"/>
      <c r="C181" s="536"/>
      <c r="D181" s="536"/>
      <c r="E181" s="507"/>
      <c r="F181" s="507"/>
      <c r="G181" s="507"/>
      <c r="H181" s="507"/>
      <c r="I181" s="507"/>
      <c r="J181" s="507"/>
      <c r="K181" s="507"/>
      <c r="L181" s="507"/>
      <c r="M181" s="507"/>
      <c r="N181" s="507"/>
      <c r="O181" s="507" t="s">
        <v>5</v>
      </c>
      <c r="P181" s="507"/>
      <c r="Q181" s="507"/>
      <c r="R181" s="507"/>
      <c r="S181" s="507"/>
      <c r="T181" s="507"/>
      <c r="U181" s="507"/>
      <c r="V181" s="507"/>
      <c r="W181" s="507"/>
      <c r="X181" s="507"/>
      <c r="Y181" s="507"/>
      <c r="Z181" s="507"/>
    </row>
    <row r="182" spans="1:26" ht="41.45" hidden="1" customHeight="1" outlineLevel="1" x14ac:dyDescent="0.25">
      <c r="A182" s="442" t="s">
        <v>261</v>
      </c>
      <c r="B182" s="442" t="s">
        <v>13</v>
      </c>
      <c r="C182" s="442" t="s">
        <v>14</v>
      </c>
      <c r="D182" s="509" t="s">
        <v>286</v>
      </c>
      <c r="E182" s="404" t="s">
        <v>16</v>
      </c>
      <c r="F182" s="404" t="s">
        <v>295</v>
      </c>
      <c r="G182" s="404" t="s">
        <v>39</v>
      </c>
      <c r="H182" s="404" t="s">
        <v>297</v>
      </c>
      <c r="I182" s="404" t="s">
        <v>298</v>
      </c>
      <c r="J182" s="404" t="s">
        <v>299</v>
      </c>
      <c r="K182" s="404" t="s">
        <v>300</v>
      </c>
      <c r="L182" s="404" t="s">
        <v>17</v>
      </c>
      <c r="M182" s="404" t="s">
        <v>18</v>
      </c>
      <c r="N182" s="404" t="s">
        <v>19</v>
      </c>
      <c r="O182" s="443">
        <v>43101</v>
      </c>
      <c r="P182" s="443">
        <v>43132</v>
      </c>
      <c r="Q182" s="443">
        <v>43160</v>
      </c>
      <c r="R182" s="443">
        <v>43191</v>
      </c>
      <c r="S182" s="443">
        <v>43221</v>
      </c>
      <c r="T182" s="443">
        <v>43252</v>
      </c>
      <c r="U182" s="443">
        <v>43282</v>
      </c>
      <c r="V182" s="443">
        <v>43313</v>
      </c>
      <c r="W182" s="443">
        <v>43344</v>
      </c>
      <c r="X182" s="443">
        <v>43374</v>
      </c>
      <c r="Y182" s="443">
        <v>43405</v>
      </c>
      <c r="Z182" s="443">
        <v>43435</v>
      </c>
    </row>
    <row r="183" spans="1:26" ht="15" hidden="1" customHeight="1" outlineLevel="1" x14ac:dyDescent="0.25">
      <c r="A183" s="508" t="s">
        <v>265</v>
      </c>
      <c r="B183" s="508"/>
      <c r="C183" s="508"/>
      <c r="D183" s="510"/>
      <c r="E183" s="496"/>
      <c r="F183" s="496"/>
      <c r="G183" s="496"/>
      <c r="H183" s="496"/>
      <c r="I183" s="496"/>
      <c r="J183" s="496"/>
      <c r="K183" s="496"/>
      <c r="L183" s="496"/>
      <c r="M183" s="496"/>
      <c r="N183" s="496">
        <f t="shared" ref="N183:N187" si="16">SUM(O183:Z183)</f>
        <v>0</v>
      </c>
      <c r="O183" s="496"/>
      <c r="P183" s="496"/>
      <c r="Q183" s="496"/>
      <c r="R183" s="496"/>
      <c r="S183" s="496"/>
      <c r="T183" s="496"/>
      <c r="U183" s="496"/>
      <c r="V183" s="496"/>
      <c r="W183" s="496"/>
      <c r="X183" s="496"/>
      <c r="Y183" s="496"/>
      <c r="Z183" s="496"/>
    </row>
    <row r="184" spans="1:26" ht="15" hidden="1" customHeight="1" outlineLevel="1" x14ac:dyDescent="0.25">
      <c r="A184" s="508" t="s">
        <v>266</v>
      </c>
      <c r="B184" s="508"/>
      <c r="C184" s="508"/>
      <c r="D184" s="510"/>
      <c r="E184" s="496"/>
      <c r="F184" s="496"/>
      <c r="G184" s="496"/>
      <c r="H184" s="496"/>
      <c r="I184" s="496"/>
      <c r="J184" s="496"/>
      <c r="K184" s="496"/>
      <c r="L184" s="496"/>
      <c r="M184" s="496"/>
      <c r="N184" s="496">
        <f t="shared" si="16"/>
        <v>0</v>
      </c>
      <c r="O184" s="496"/>
      <c r="P184" s="496"/>
      <c r="Q184" s="496"/>
      <c r="R184" s="496"/>
      <c r="S184" s="496"/>
      <c r="T184" s="496"/>
      <c r="U184" s="496"/>
      <c r="V184" s="496"/>
      <c r="W184" s="496"/>
      <c r="X184" s="496"/>
      <c r="Y184" s="496"/>
      <c r="Z184" s="496"/>
    </row>
    <row r="185" spans="1:26" ht="15" hidden="1" customHeight="1" outlineLevel="1" x14ac:dyDescent="0.25">
      <c r="A185" s="508" t="s">
        <v>283</v>
      </c>
      <c r="B185" s="508"/>
      <c r="C185" s="508"/>
      <c r="D185" s="510"/>
      <c r="E185" s="496"/>
      <c r="F185" s="496"/>
      <c r="G185" s="496"/>
      <c r="H185" s="496"/>
      <c r="I185" s="496"/>
      <c r="J185" s="496"/>
      <c r="K185" s="496"/>
      <c r="L185" s="496"/>
      <c r="M185" s="496"/>
      <c r="N185" s="496">
        <f t="shared" si="16"/>
        <v>0</v>
      </c>
      <c r="O185" s="496"/>
      <c r="P185" s="496"/>
      <c r="Q185" s="496"/>
      <c r="R185" s="496"/>
      <c r="S185" s="496"/>
      <c r="T185" s="496"/>
      <c r="U185" s="496"/>
      <c r="V185" s="496"/>
      <c r="W185" s="496"/>
      <c r="X185" s="496"/>
      <c r="Y185" s="496"/>
      <c r="Z185" s="496"/>
    </row>
    <row r="186" spans="1:26" ht="15" hidden="1" customHeight="1" outlineLevel="1" x14ac:dyDescent="0.25">
      <c r="A186" s="508" t="s">
        <v>284</v>
      </c>
      <c r="B186" s="508"/>
      <c r="C186" s="508"/>
      <c r="D186" s="510"/>
      <c r="E186" s="496"/>
      <c r="F186" s="496"/>
      <c r="G186" s="496"/>
      <c r="H186" s="496"/>
      <c r="I186" s="496"/>
      <c r="J186" s="496"/>
      <c r="K186" s="496"/>
      <c r="L186" s="496"/>
      <c r="M186" s="496"/>
      <c r="N186" s="496">
        <f t="shared" si="16"/>
        <v>0</v>
      </c>
      <c r="O186" s="496"/>
      <c r="P186" s="496"/>
      <c r="Q186" s="496"/>
      <c r="R186" s="496"/>
      <c r="S186" s="496"/>
      <c r="T186" s="496"/>
      <c r="U186" s="496"/>
      <c r="V186" s="496"/>
      <c r="W186" s="496"/>
      <c r="X186" s="496"/>
      <c r="Y186" s="496"/>
      <c r="Z186" s="496"/>
    </row>
    <row r="187" spans="1:26" ht="21" hidden="1" customHeight="1" outlineLevel="1" x14ac:dyDescent="0.25">
      <c r="A187" s="508" t="s">
        <v>285</v>
      </c>
      <c r="B187" s="508"/>
      <c r="C187" s="508"/>
      <c r="D187" s="510"/>
      <c r="E187" s="496"/>
      <c r="F187" s="496"/>
      <c r="G187" s="410"/>
      <c r="H187" s="496"/>
      <c r="I187" s="496"/>
      <c r="J187" s="496"/>
      <c r="K187" s="519" t="s">
        <v>20</v>
      </c>
      <c r="L187" s="404">
        <f>SUM(L182:L186)</f>
        <v>0</v>
      </c>
      <c r="M187" s="404">
        <f>SUM(M182:M186)</f>
        <v>0</v>
      </c>
      <c r="N187" s="496">
        <f t="shared" si="16"/>
        <v>0</v>
      </c>
      <c r="O187" s="496"/>
      <c r="P187" s="496"/>
      <c r="Q187" s="496"/>
      <c r="R187" s="496"/>
      <c r="S187" s="496"/>
      <c r="T187" s="496"/>
      <c r="U187" s="496"/>
      <c r="V187" s="496"/>
      <c r="W187" s="496"/>
      <c r="X187" s="496"/>
      <c r="Y187" s="496"/>
      <c r="Z187" s="496"/>
    </row>
    <row r="188" spans="1:26" hidden="1" outlineLevel="1" x14ac:dyDescent="0.25">
      <c r="A188" s="535" t="str">
        <f>CONCATENATE(B24," ",C24)</f>
        <v xml:space="preserve"> </v>
      </c>
      <c r="B188" s="535"/>
      <c r="C188" s="536"/>
      <c r="D188" s="536"/>
      <c r="E188" s="507"/>
      <c r="F188" s="507"/>
      <c r="G188" s="507"/>
      <c r="H188" s="507"/>
      <c r="I188" s="507"/>
      <c r="J188" s="507"/>
      <c r="K188" s="507"/>
      <c r="L188" s="507"/>
      <c r="M188" s="507"/>
      <c r="N188" s="507"/>
      <c r="O188" s="507" t="s">
        <v>5</v>
      </c>
      <c r="P188" s="507"/>
      <c r="Q188" s="507"/>
      <c r="R188" s="507"/>
      <c r="S188" s="507"/>
      <c r="T188" s="507"/>
      <c r="U188" s="507"/>
      <c r="V188" s="507"/>
      <c r="W188" s="507"/>
      <c r="X188" s="507"/>
      <c r="Y188" s="507"/>
      <c r="Z188" s="507"/>
    </row>
    <row r="189" spans="1:26" ht="41.45" hidden="1" customHeight="1" outlineLevel="1" x14ac:dyDescent="0.25">
      <c r="A189" s="442" t="s">
        <v>261</v>
      </c>
      <c r="B189" s="442" t="s">
        <v>13</v>
      </c>
      <c r="C189" s="442" t="s">
        <v>14</v>
      </c>
      <c r="D189" s="509" t="s">
        <v>286</v>
      </c>
      <c r="E189" s="404" t="s">
        <v>16</v>
      </c>
      <c r="F189" s="404" t="s">
        <v>295</v>
      </c>
      <c r="G189" s="404" t="s">
        <v>39</v>
      </c>
      <c r="H189" s="404" t="s">
        <v>297</v>
      </c>
      <c r="I189" s="404" t="s">
        <v>298</v>
      </c>
      <c r="J189" s="404" t="s">
        <v>299</v>
      </c>
      <c r="K189" s="404" t="s">
        <v>300</v>
      </c>
      <c r="L189" s="404" t="s">
        <v>17</v>
      </c>
      <c r="M189" s="404" t="s">
        <v>18</v>
      </c>
      <c r="N189" s="404" t="s">
        <v>19</v>
      </c>
      <c r="O189" s="443">
        <v>43101</v>
      </c>
      <c r="P189" s="443">
        <v>43132</v>
      </c>
      <c r="Q189" s="443">
        <v>43160</v>
      </c>
      <c r="R189" s="443">
        <v>43191</v>
      </c>
      <c r="S189" s="443">
        <v>43221</v>
      </c>
      <c r="T189" s="443">
        <v>43252</v>
      </c>
      <c r="U189" s="443">
        <v>43282</v>
      </c>
      <c r="V189" s="443">
        <v>43313</v>
      </c>
      <c r="W189" s="443">
        <v>43344</v>
      </c>
      <c r="X189" s="443">
        <v>43374</v>
      </c>
      <c r="Y189" s="443">
        <v>43405</v>
      </c>
      <c r="Z189" s="443">
        <v>43435</v>
      </c>
    </row>
    <row r="190" spans="1:26" ht="15" hidden="1" customHeight="1" outlineLevel="1" x14ac:dyDescent="0.25">
      <c r="A190" s="508" t="s">
        <v>265</v>
      </c>
      <c r="B190" s="508"/>
      <c r="C190" s="508"/>
      <c r="D190" s="510"/>
      <c r="E190" s="496"/>
      <c r="F190" s="496"/>
      <c r="G190" s="496"/>
      <c r="H190" s="496"/>
      <c r="I190" s="496"/>
      <c r="J190" s="496"/>
      <c r="K190" s="496"/>
      <c r="L190" s="496"/>
      <c r="M190" s="496"/>
      <c r="N190" s="496">
        <f t="shared" ref="N190:N194" si="17">SUM(O190:Z190)</f>
        <v>0</v>
      </c>
      <c r="O190" s="496"/>
      <c r="P190" s="496"/>
      <c r="Q190" s="496"/>
      <c r="R190" s="496"/>
      <c r="S190" s="496"/>
      <c r="T190" s="496"/>
      <c r="U190" s="496"/>
      <c r="V190" s="496"/>
      <c r="W190" s="496"/>
      <c r="X190" s="496"/>
      <c r="Y190" s="496"/>
      <c r="Z190" s="496"/>
    </row>
    <row r="191" spans="1:26" ht="15" hidden="1" customHeight="1" outlineLevel="1" x14ac:dyDescent="0.25">
      <c r="A191" s="508" t="s">
        <v>266</v>
      </c>
      <c r="B191" s="508"/>
      <c r="C191" s="508"/>
      <c r="D191" s="510"/>
      <c r="E191" s="496"/>
      <c r="F191" s="496"/>
      <c r="G191" s="496"/>
      <c r="H191" s="496"/>
      <c r="I191" s="496"/>
      <c r="J191" s="496"/>
      <c r="K191" s="496"/>
      <c r="L191" s="496"/>
      <c r="M191" s="496"/>
      <c r="N191" s="496">
        <f t="shared" si="17"/>
        <v>0</v>
      </c>
      <c r="O191" s="496"/>
      <c r="P191" s="496"/>
      <c r="Q191" s="496"/>
      <c r="R191" s="496"/>
      <c r="S191" s="496"/>
      <c r="T191" s="496"/>
      <c r="U191" s="496"/>
      <c r="V191" s="496"/>
      <c r="W191" s="496"/>
      <c r="X191" s="496"/>
      <c r="Y191" s="496"/>
      <c r="Z191" s="496"/>
    </row>
    <row r="192" spans="1:26" ht="15" hidden="1" customHeight="1" outlineLevel="1" x14ac:dyDescent="0.25">
      <c r="A192" s="508" t="s">
        <v>283</v>
      </c>
      <c r="B192" s="508"/>
      <c r="C192" s="508"/>
      <c r="D192" s="510"/>
      <c r="E192" s="496"/>
      <c r="F192" s="496"/>
      <c r="G192" s="496"/>
      <c r="H192" s="496"/>
      <c r="I192" s="496"/>
      <c r="J192" s="496"/>
      <c r="K192" s="496"/>
      <c r="L192" s="496"/>
      <c r="M192" s="496"/>
      <c r="N192" s="496">
        <f t="shared" si="17"/>
        <v>0</v>
      </c>
      <c r="O192" s="496"/>
      <c r="P192" s="496"/>
      <c r="Q192" s="496"/>
      <c r="R192" s="496"/>
      <c r="S192" s="496"/>
      <c r="T192" s="496"/>
      <c r="U192" s="496"/>
      <c r="V192" s="496"/>
      <c r="W192" s="496"/>
      <c r="X192" s="496"/>
      <c r="Y192" s="496"/>
      <c r="Z192" s="496"/>
    </row>
    <row r="193" spans="1:26" ht="15" hidden="1" customHeight="1" outlineLevel="1" x14ac:dyDescent="0.25">
      <c r="A193" s="508" t="s">
        <v>284</v>
      </c>
      <c r="B193" s="508"/>
      <c r="C193" s="508"/>
      <c r="D193" s="510"/>
      <c r="E193" s="496"/>
      <c r="F193" s="496"/>
      <c r="G193" s="496"/>
      <c r="H193" s="496"/>
      <c r="I193" s="496"/>
      <c r="J193" s="496"/>
      <c r="K193" s="496"/>
      <c r="L193" s="496"/>
      <c r="M193" s="496"/>
      <c r="N193" s="496">
        <f t="shared" si="17"/>
        <v>0</v>
      </c>
      <c r="O193" s="496"/>
      <c r="P193" s="496"/>
      <c r="Q193" s="496"/>
      <c r="R193" s="496"/>
      <c r="S193" s="496"/>
      <c r="T193" s="496"/>
      <c r="U193" s="496"/>
      <c r="V193" s="496"/>
      <c r="W193" s="496"/>
      <c r="X193" s="496"/>
      <c r="Y193" s="496"/>
      <c r="Z193" s="496"/>
    </row>
    <row r="194" spans="1:26" ht="21" hidden="1" customHeight="1" outlineLevel="1" x14ac:dyDescent="0.25">
      <c r="A194" s="508" t="s">
        <v>285</v>
      </c>
      <c r="B194" s="508"/>
      <c r="C194" s="508"/>
      <c r="D194" s="510"/>
      <c r="E194" s="496"/>
      <c r="F194" s="496"/>
      <c r="G194" s="410"/>
      <c r="H194" s="496"/>
      <c r="I194" s="496"/>
      <c r="J194" s="496"/>
      <c r="K194" s="519" t="s">
        <v>20</v>
      </c>
      <c r="L194" s="404">
        <f>SUM(L189:L193)</f>
        <v>0</v>
      </c>
      <c r="M194" s="404">
        <f>SUM(M189:M193)</f>
        <v>0</v>
      </c>
      <c r="N194" s="496">
        <f t="shared" si="17"/>
        <v>0</v>
      </c>
      <c r="O194" s="496"/>
      <c r="P194" s="496"/>
      <c r="Q194" s="496"/>
      <c r="R194" s="496"/>
      <c r="S194" s="496"/>
      <c r="T194" s="496"/>
      <c r="U194" s="496"/>
      <c r="V194" s="496"/>
      <c r="W194" s="496"/>
      <c r="X194" s="496"/>
      <c r="Y194" s="496"/>
      <c r="Z194" s="496"/>
    </row>
    <row r="195" spans="1:26" hidden="1" outlineLevel="1" x14ac:dyDescent="0.25">
      <c r="A195" s="535" t="str">
        <f>CONCATENATE(B25," ",C25)</f>
        <v xml:space="preserve"> </v>
      </c>
      <c r="B195" s="535"/>
      <c r="C195" s="536"/>
      <c r="D195" s="536"/>
      <c r="E195" s="507"/>
      <c r="F195" s="507"/>
      <c r="G195" s="507"/>
      <c r="H195" s="507"/>
      <c r="I195" s="507"/>
      <c r="J195" s="507"/>
      <c r="K195" s="507"/>
      <c r="L195" s="507"/>
      <c r="M195" s="507"/>
      <c r="N195" s="507"/>
      <c r="O195" s="507" t="s">
        <v>5</v>
      </c>
      <c r="P195" s="507"/>
      <c r="Q195" s="507"/>
      <c r="R195" s="507"/>
      <c r="S195" s="507"/>
      <c r="T195" s="507"/>
      <c r="U195" s="507"/>
      <c r="V195" s="507"/>
      <c r="W195" s="507"/>
      <c r="X195" s="507"/>
      <c r="Y195" s="507"/>
      <c r="Z195" s="507"/>
    </row>
    <row r="196" spans="1:26" ht="6.75" customHeight="1" collapsed="1" x14ac:dyDescent="0.25"/>
    <row r="197" spans="1:26" x14ac:dyDescent="0.25">
      <c r="A197" s="441" t="s">
        <v>324</v>
      </c>
      <c r="B197" s="441"/>
      <c r="C197" s="402"/>
      <c r="D197" s="402"/>
      <c r="E197" s="402"/>
      <c r="F197" s="402"/>
      <c r="G197" s="402"/>
      <c r="H197" s="491"/>
      <c r="I197" s="491"/>
      <c r="J197" s="402"/>
      <c r="K197" s="402"/>
      <c r="L197" s="402"/>
      <c r="M197" s="402"/>
      <c r="N197" s="402"/>
      <c r="O197" s="402" t="s">
        <v>5</v>
      </c>
      <c r="P197" s="402"/>
      <c r="Q197" s="402"/>
      <c r="R197" s="402"/>
      <c r="S197" s="402"/>
      <c r="T197" s="402"/>
      <c r="U197" s="402"/>
      <c r="V197" s="402"/>
      <c r="W197" s="402"/>
      <c r="X197" s="402"/>
      <c r="Y197" s="402"/>
      <c r="Z197" s="402"/>
    </row>
    <row r="198" spans="1:26" hidden="1" outlineLevel="1" x14ac:dyDescent="0.25">
      <c r="A198" s="442" t="s">
        <v>261</v>
      </c>
      <c r="B198" s="442" t="s">
        <v>13</v>
      </c>
      <c r="C198" s="442" t="s">
        <v>14</v>
      </c>
      <c r="D198" s="403" t="s">
        <v>15</v>
      </c>
      <c r="E198" s="520"/>
      <c r="F198" s="520"/>
      <c r="G198" s="520"/>
      <c r="H198" s="520"/>
      <c r="I198" s="520"/>
      <c r="J198" s="410"/>
      <c r="K198" s="409"/>
      <c r="L198" s="404" t="s">
        <v>52</v>
      </c>
      <c r="M198" s="404" t="s">
        <v>53</v>
      </c>
      <c r="N198" s="404" t="s">
        <v>54</v>
      </c>
      <c r="O198" s="443">
        <v>43101</v>
      </c>
      <c r="P198" s="443">
        <v>43132</v>
      </c>
      <c r="Q198" s="443">
        <v>43160</v>
      </c>
      <c r="R198" s="443">
        <v>43191</v>
      </c>
      <c r="S198" s="443">
        <v>43221</v>
      </c>
      <c r="T198" s="443">
        <v>43252</v>
      </c>
      <c r="U198" s="443">
        <v>43282</v>
      </c>
      <c r="V198" s="443">
        <v>43313</v>
      </c>
      <c r="W198" s="443">
        <v>43344</v>
      </c>
      <c r="X198" s="443">
        <v>43374</v>
      </c>
      <c r="Y198" s="443">
        <v>43405</v>
      </c>
      <c r="Z198" s="443">
        <v>43435</v>
      </c>
    </row>
    <row r="199" spans="1:26" hidden="1" outlineLevel="1" x14ac:dyDescent="0.25">
      <c r="A199" s="508" t="str">
        <f>+A17</f>
        <v>5.1</v>
      </c>
      <c r="B199" s="508" t="s">
        <v>27</v>
      </c>
      <c r="C199" s="508" t="str">
        <f t="shared" ref="C199:D201" si="18">C17</f>
        <v xml:space="preserve"> Camp Relincho</v>
      </c>
      <c r="D199" s="508" t="str">
        <f t="shared" si="18"/>
        <v>Operations and maintenance camp</v>
      </c>
      <c r="E199" s="520"/>
      <c r="F199" s="520"/>
      <c r="G199" s="520"/>
      <c r="H199" s="520"/>
      <c r="I199" s="520"/>
      <c r="J199" s="410"/>
      <c r="K199" s="409" t="s">
        <v>5</v>
      </c>
      <c r="L199" s="496" t="s">
        <v>48</v>
      </c>
      <c r="M199" s="496" t="s">
        <v>55</v>
      </c>
      <c r="N199" s="496">
        <v>6</v>
      </c>
      <c r="O199" s="521">
        <f t="shared" ref="O199:Z199" si="19">+O17/SUM($O17:$Z17)</f>
        <v>8.5968918973325953E-2</v>
      </c>
      <c r="P199" s="521">
        <f t="shared" si="19"/>
        <v>8.5492180083352076E-2</v>
      </c>
      <c r="Q199" s="521">
        <f t="shared" si="19"/>
        <v>9.327724129710302E-2</v>
      </c>
      <c r="R199" s="521">
        <f t="shared" si="19"/>
        <v>7.8341096733743981E-2</v>
      </c>
      <c r="S199" s="521">
        <f t="shared" si="19"/>
        <v>7.8817835623717858E-2</v>
      </c>
      <c r="T199" s="521">
        <f t="shared" si="19"/>
        <v>8.5015441193378199E-2</v>
      </c>
      <c r="U199" s="521">
        <f t="shared" si="19"/>
        <v>7.8817835623717858E-2</v>
      </c>
      <c r="V199" s="521">
        <f t="shared" si="19"/>
        <v>8.406196341343046E-2</v>
      </c>
      <c r="W199" s="521">
        <f t="shared" si="19"/>
        <v>8.7556374617416541E-2</v>
      </c>
      <c r="X199" s="521">
        <f t="shared" si="19"/>
        <v>7.8341096733743981E-2</v>
      </c>
      <c r="Y199" s="521">
        <f t="shared" si="19"/>
        <v>7.8817835623717858E-2</v>
      </c>
      <c r="Z199" s="521">
        <f t="shared" si="19"/>
        <v>8.5492180083352076E-2</v>
      </c>
    </row>
    <row r="200" spans="1:26" hidden="1" outlineLevel="1" x14ac:dyDescent="0.25">
      <c r="A200" s="508" t="str">
        <f>+A18</f>
        <v>5.2</v>
      </c>
      <c r="B200" s="508" t="s">
        <v>29</v>
      </c>
      <c r="C200" s="508" t="str">
        <f t="shared" si="18"/>
        <v>Camp El Pingo</v>
      </c>
      <c r="D200" s="508" t="str">
        <f t="shared" si="18"/>
        <v>Operations and maintenance camp</v>
      </c>
      <c r="E200" s="520"/>
      <c r="F200" s="520"/>
      <c r="G200" s="520"/>
      <c r="H200" s="520"/>
      <c r="I200" s="520"/>
      <c r="J200" s="410"/>
      <c r="K200" s="409" t="s">
        <v>5</v>
      </c>
      <c r="L200" s="496" t="s">
        <v>48</v>
      </c>
      <c r="M200" s="496" t="s">
        <v>55</v>
      </c>
      <c r="N200" s="496">
        <v>6</v>
      </c>
      <c r="O200" s="521">
        <f t="shared" ref="O200:Z200" si="20">+O18/SUM($O18:$Z18)</f>
        <v>8.3261095700416093E-2</v>
      </c>
      <c r="P200" s="521">
        <f t="shared" si="20"/>
        <v>8.3405570966250578E-2</v>
      </c>
      <c r="Q200" s="521">
        <f t="shared" si="20"/>
        <v>8.3261095700416093E-2</v>
      </c>
      <c r="R200" s="521">
        <f t="shared" si="20"/>
        <v>8.3405570966250578E-2</v>
      </c>
      <c r="S200" s="521">
        <f t="shared" si="20"/>
        <v>8.3261095700416093E-2</v>
      </c>
      <c r="T200" s="521">
        <f t="shared" si="20"/>
        <v>8.3405570966250578E-2</v>
      </c>
      <c r="U200" s="521">
        <f t="shared" si="20"/>
        <v>8.3261095700416093E-2</v>
      </c>
      <c r="V200" s="521">
        <f t="shared" si="20"/>
        <v>8.3405570966250578E-2</v>
      </c>
      <c r="W200" s="521">
        <f t="shared" si="20"/>
        <v>8.3261095700416093E-2</v>
      </c>
      <c r="X200" s="521">
        <f t="shared" si="20"/>
        <v>8.3405570966250578E-2</v>
      </c>
      <c r="Y200" s="521">
        <f t="shared" si="20"/>
        <v>8.3261095700416093E-2</v>
      </c>
      <c r="Z200" s="521">
        <f t="shared" si="20"/>
        <v>8.3405570966250578E-2</v>
      </c>
    </row>
    <row r="201" spans="1:26" hidden="1" outlineLevel="1" x14ac:dyDescent="0.25">
      <c r="A201" s="508" t="str">
        <f>+A19</f>
        <v>5.3</v>
      </c>
      <c r="B201" s="508" t="s">
        <v>30</v>
      </c>
      <c r="C201" s="508" t="str">
        <f t="shared" si="18"/>
        <v>Camp La Fortuna</v>
      </c>
      <c r="D201" s="508" t="str">
        <f t="shared" si="18"/>
        <v>Operations and maintenance camp</v>
      </c>
      <c r="E201" s="520"/>
      <c r="F201" s="520"/>
      <c r="G201" s="520"/>
      <c r="H201" s="520"/>
      <c r="I201" s="520"/>
      <c r="J201" s="410"/>
      <c r="K201" s="409" t="s">
        <v>5</v>
      </c>
      <c r="L201" s="496"/>
      <c r="M201" s="496"/>
      <c r="N201" s="496"/>
      <c r="O201" s="521">
        <f t="shared" ref="O201:Z201" si="21">+O19/SUM($O19:$Z19)</f>
        <v>0</v>
      </c>
      <c r="P201" s="521">
        <f t="shared" si="21"/>
        <v>0</v>
      </c>
      <c r="Q201" s="521">
        <f t="shared" si="21"/>
        <v>0</v>
      </c>
      <c r="R201" s="521">
        <f t="shared" si="21"/>
        <v>0</v>
      </c>
      <c r="S201" s="521">
        <f t="shared" si="21"/>
        <v>0</v>
      </c>
      <c r="T201" s="521">
        <f t="shared" si="21"/>
        <v>0</v>
      </c>
      <c r="U201" s="521">
        <f t="shared" si="21"/>
        <v>0</v>
      </c>
      <c r="V201" s="521">
        <f t="shared" si="21"/>
        <v>0</v>
      </c>
      <c r="W201" s="521">
        <f t="shared" si="21"/>
        <v>0.24924761334928938</v>
      </c>
      <c r="X201" s="521">
        <f t="shared" si="21"/>
        <v>0.25075238665071065</v>
      </c>
      <c r="Y201" s="521">
        <f t="shared" si="21"/>
        <v>0.24924761334928938</v>
      </c>
      <c r="Z201" s="521">
        <f t="shared" si="21"/>
        <v>0.25075238665071065</v>
      </c>
    </row>
    <row r="202" spans="1:26" hidden="1" outlineLevel="1" x14ac:dyDescent="0.25">
      <c r="A202" s="508" t="e">
        <f>+#REF!</f>
        <v>#REF!</v>
      </c>
      <c r="B202" s="508" t="s">
        <v>31</v>
      </c>
      <c r="C202" s="508" t="e">
        <f>#REF!</f>
        <v>#REF!</v>
      </c>
      <c r="D202" s="510" t="e">
        <f>#REF!</f>
        <v>#REF!</v>
      </c>
      <c r="E202" s="520"/>
      <c r="F202" s="520"/>
      <c r="G202" s="520"/>
      <c r="H202" s="520"/>
      <c r="I202" s="520"/>
      <c r="J202" s="410"/>
      <c r="K202" s="409" t="s">
        <v>5</v>
      </c>
      <c r="L202" s="496"/>
      <c r="M202" s="496"/>
      <c r="N202" s="496"/>
      <c r="O202" s="521" t="e">
        <f>+#REF!/SUM(#REF!)</f>
        <v>#REF!</v>
      </c>
      <c r="P202" s="521" t="e">
        <f>+#REF!/SUM(#REF!)</f>
        <v>#REF!</v>
      </c>
      <c r="Q202" s="521" t="e">
        <f>+#REF!/SUM(#REF!)</f>
        <v>#REF!</v>
      </c>
      <c r="R202" s="521" t="e">
        <f>+#REF!/SUM(#REF!)</f>
        <v>#REF!</v>
      </c>
      <c r="S202" s="521" t="e">
        <f>+#REF!/SUM(#REF!)</f>
        <v>#REF!</v>
      </c>
      <c r="T202" s="521" t="e">
        <f>+#REF!/SUM(#REF!)</f>
        <v>#REF!</v>
      </c>
      <c r="U202" s="521" t="e">
        <f>+#REF!/SUM(#REF!)</f>
        <v>#REF!</v>
      </c>
      <c r="V202" s="521" t="e">
        <f>+#REF!/SUM(#REF!)</f>
        <v>#REF!</v>
      </c>
      <c r="W202" s="521" t="e">
        <f>+#REF!/SUM(#REF!)</f>
        <v>#REF!</v>
      </c>
      <c r="X202" s="521" t="e">
        <f>+#REF!/SUM(#REF!)</f>
        <v>#REF!</v>
      </c>
      <c r="Y202" s="521" t="e">
        <f>+#REF!/SUM(#REF!)</f>
        <v>#REF!</v>
      </c>
      <c r="Z202" s="521" t="e">
        <f>+#REF!/SUM(#REF!)</f>
        <v>#REF!</v>
      </c>
    </row>
    <row r="203" spans="1:26" hidden="1" outlineLevel="1" x14ac:dyDescent="0.25">
      <c r="A203" s="508">
        <f t="shared" ref="A203:A208" si="22">+A20</f>
        <v>0</v>
      </c>
      <c r="B203" s="508" t="s">
        <v>32</v>
      </c>
      <c r="C203" s="508">
        <f t="shared" ref="C203:D208" si="23">C20</f>
        <v>0</v>
      </c>
      <c r="D203" s="510">
        <f t="shared" si="23"/>
        <v>0</v>
      </c>
      <c r="E203" s="520"/>
      <c r="F203" s="520"/>
      <c r="G203" s="520"/>
      <c r="H203" s="520"/>
      <c r="I203" s="520"/>
      <c r="J203" s="410"/>
      <c r="K203" s="409"/>
      <c r="L203" s="496"/>
      <c r="M203" s="496"/>
      <c r="N203" s="496"/>
      <c r="O203" s="521" t="e">
        <f t="shared" ref="O203:Z209" si="24">+O20/SUM($O20:$Z20)</f>
        <v>#DIV/0!</v>
      </c>
      <c r="P203" s="521" t="e">
        <f t="shared" si="24"/>
        <v>#DIV/0!</v>
      </c>
      <c r="Q203" s="521" t="e">
        <f t="shared" si="24"/>
        <v>#DIV/0!</v>
      </c>
      <c r="R203" s="521" t="e">
        <f t="shared" si="24"/>
        <v>#DIV/0!</v>
      </c>
      <c r="S203" s="521" t="e">
        <f t="shared" si="24"/>
        <v>#DIV/0!</v>
      </c>
      <c r="T203" s="521" t="e">
        <f t="shared" si="24"/>
        <v>#DIV/0!</v>
      </c>
      <c r="U203" s="521" t="e">
        <f t="shared" si="24"/>
        <v>#DIV/0!</v>
      </c>
      <c r="V203" s="521" t="e">
        <f t="shared" si="24"/>
        <v>#DIV/0!</v>
      </c>
      <c r="W203" s="521" t="e">
        <f t="shared" si="24"/>
        <v>#DIV/0!</v>
      </c>
      <c r="X203" s="521" t="e">
        <f t="shared" si="24"/>
        <v>#DIV/0!</v>
      </c>
      <c r="Y203" s="521" t="e">
        <f t="shared" si="24"/>
        <v>#DIV/0!</v>
      </c>
      <c r="Z203" s="521" t="e">
        <f t="shared" si="24"/>
        <v>#DIV/0!</v>
      </c>
    </row>
    <row r="204" spans="1:26" hidden="1" outlineLevel="1" x14ac:dyDescent="0.25">
      <c r="A204" s="508">
        <f t="shared" si="22"/>
        <v>0</v>
      </c>
      <c r="B204" s="508" t="s">
        <v>256</v>
      </c>
      <c r="C204" s="508">
        <f t="shared" si="23"/>
        <v>0</v>
      </c>
      <c r="D204" s="510">
        <f t="shared" si="23"/>
        <v>0</v>
      </c>
      <c r="E204" s="520"/>
      <c r="F204" s="520"/>
      <c r="G204" s="520"/>
      <c r="H204" s="520"/>
      <c r="I204" s="520"/>
      <c r="J204" s="410"/>
      <c r="K204" s="409"/>
      <c r="L204" s="496"/>
      <c r="M204" s="496"/>
      <c r="N204" s="496"/>
      <c r="O204" s="521" t="e">
        <f t="shared" si="24"/>
        <v>#DIV/0!</v>
      </c>
      <c r="P204" s="521" t="e">
        <f t="shared" si="24"/>
        <v>#DIV/0!</v>
      </c>
      <c r="Q204" s="521" t="e">
        <f t="shared" si="24"/>
        <v>#DIV/0!</v>
      </c>
      <c r="R204" s="521" t="e">
        <f t="shared" si="24"/>
        <v>#DIV/0!</v>
      </c>
      <c r="S204" s="521" t="e">
        <f t="shared" si="24"/>
        <v>#DIV/0!</v>
      </c>
      <c r="T204" s="521" t="e">
        <f t="shared" si="24"/>
        <v>#DIV/0!</v>
      </c>
      <c r="U204" s="521" t="e">
        <f t="shared" si="24"/>
        <v>#DIV/0!</v>
      </c>
      <c r="V204" s="521" t="e">
        <f t="shared" si="24"/>
        <v>#DIV/0!</v>
      </c>
      <c r="W204" s="521" t="e">
        <f t="shared" si="24"/>
        <v>#DIV/0!</v>
      </c>
      <c r="X204" s="521" t="e">
        <f t="shared" si="24"/>
        <v>#DIV/0!</v>
      </c>
      <c r="Y204" s="521" t="e">
        <f t="shared" si="24"/>
        <v>#DIV/0!</v>
      </c>
      <c r="Z204" s="521" t="e">
        <f t="shared" si="24"/>
        <v>#DIV/0!</v>
      </c>
    </row>
    <row r="205" spans="1:26" hidden="1" outlineLevel="1" x14ac:dyDescent="0.25">
      <c r="A205" s="508">
        <f t="shared" si="22"/>
        <v>0</v>
      </c>
      <c r="B205" s="508" t="s">
        <v>257</v>
      </c>
      <c r="C205" s="508">
        <f t="shared" si="23"/>
        <v>0</v>
      </c>
      <c r="D205" s="510">
        <f t="shared" si="23"/>
        <v>0</v>
      </c>
      <c r="E205" s="520"/>
      <c r="F205" s="520"/>
      <c r="G205" s="520"/>
      <c r="H205" s="520"/>
      <c r="I205" s="520"/>
      <c r="J205" s="410"/>
      <c r="K205" s="409"/>
      <c r="L205" s="496"/>
      <c r="M205" s="496"/>
      <c r="N205" s="496"/>
      <c r="O205" s="521" t="e">
        <f t="shared" si="24"/>
        <v>#DIV/0!</v>
      </c>
      <c r="P205" s="521" t="e">
        <f t="shared" si="24"/>
        <v>#DIV/0!</v>
      </c>
      <c r="Q205" s="521" t="e">
        <f t="shared" si="24"/>
        <v>#DIV/0!</v>
      </c>
      <c r="R205" s="521" t="e">
        <f t="shared" si="24"/>
        <v>#DIV/0!</v>
      </c>
      <c r="S205" s="521" t="e">
        <f t="shared" si="24"/>
        <v>#DIV/0!</v>
      </c>
      <c r="T205" s="521" t="e">
        <f t="shared" si="24"/>
        <v>#DIV/0!</v>
      </c>
      <c r="U205" s="521" t="e">
        <f t="shared" si="24"/>
        <v>#DIV/0!</v>
      </c>
      <c r="V205" s="521" t="e">
        <f t="shared" si="24"/>
        <v>#DIV/0!</v>
      </c>
      <c r="W205" s="521" t="e">
        <f t="shared" si="24"/>
        <v>#DIV/0!</v>
      </c>
      <c r="X205" s="521" t="e">
        <f t="shared" si="24"/>
        <v>#DIV/0!</v>
      </c>
      <c r="Y205" s="521" t="e">
        <f t="shared" si="24"/>
        <v>#DIV/0!</v>
      </c>
      <c r="Z205" s="521" t="e">
        <f t="shared" si="24"/>
        <v>#DIV/0!</v>
      </c>
    </row>
    <row r="206" spans="1:26" hidden="1" outlineLevel="1" x14ac:dyDescent="0.25">
      <c r="A206" s="508">
        <f t="shared" si="22"/>
        <v>0</v>
      </c>
      <c r="B206" s="508" t="s">
        <v>258</v>
      </c>
      <c r="C206" s="508">
        <f t="shared" si="23"/>
        <v>0</v>
      </c>
      <c r="D206" s="510">
        <f t="shared" si="23"/>
        <v>0</v>
      </c>
      <c r="E206" s="520"/>
      <c r="F206" s="520"/>
      <c r="G206" s="520"/>
      <c r="H206" s="520"/>
      <c r="I206" s="520"/>
      <c r="J206" s="410"/>
      <c r="K206" s="409"/>
      <c r="L206" s="496"/>
      <c r="M206" s="496"/>
      <c r="N206" s="496"/>
      <c r="O206" s="521" t="e">
        <f t="shared" si="24"/>
        <v>#DIV/0!</v>
      </c>
      <c r="P206" s="521" t="e">
        <f t="shared" si="24"/>
        <v>#DIV/0!</v>
      </c>
      <c r="Q206" s="521" t="e">
        <f t="shared" si="24"/>
        <v>#DIV/0!</v>
      </c>
      <c r="R206" s="521" t="e">
        <f t="shared" si="24"/>
        <v>#DIV/0!</v>
      </c>
      <c r="S206" s="521" t="e">
        <f t="shared" si="24"/>
        <v>#DIV/0!</v>
      </c>
      <c r="T206" s="521" t="e">
        <f t="shared" si="24"/>
        <v>#DIV/0!</v>
      </c>
      <c r="U206" s="521" t="e">
        <f t="shared" si="24"/>
        <v>#DIV/0!</v>
      </c>
      <c r="V206" s="521" t="e">
        <f t="shared" si="24"/>
        <v>#DIV/0!</v>
      </c>
      <c r="W206" s="521" t="e">
        <f t="shared" si="24"/>
        <v>#DIV/0!</v>
      </c>
      <c r="X206" s="521" t="e">
        <f t="shared" si="24"/>
        <v>#DIV/0!</v>
      </c>
      <c r="Y206" s="521" t="e">
        <f t="shared" si="24"/>
        <v>#DIV/0!</v>
      </c>
      <c r="Z206" s="521" t="e">
        <f t="shared" si="24"/>
        <v>#DIV/0!</v>
      </c>
    </row>
    <row r="207" spans="1:26" hidden="1" outlineLevel="1" x14ac:dyDescent="0.25">
      <c r="A207" s="508">
        <f t="shared" si="22"/>
        <v>0</v>
      </c>
      <c r="B207" s="508" t="s">
        <v>259</v>
      </c>
      <c r="C207" s="508">
        <f t="shared" si="23"/>
        <v>0</v>
      </c>
      <c r="D207" s="510">
        <f t="shared" si="23"/>
        <v>0</v>
      </c>
      <c r="E207" s="520"/>
      <c r="F207" s="520"/>
      <c r="G207" s="520"/>
      <c r="H207" s="520"/>
      <c r="I207" s="520"/>
      <c r="J207" s="410"/>
      <c r="K207" s="409"/>
      <c r="L207" s="496"/>
      <c r="M207" s="496"/>
      <c r="N207" s="496"/>
      <c r="O207" s="521" t="e">
        <f t="shared" si="24"/>
        <v>#DIV/0!</v>
      </c>
      <c r="P207" s="521" t="e">
        <f t="shared" si="24"/>
        <v>#DIV/0!</v>
      </c>
      <c r="Q207" s="521" t="e">
        <f t="shared" si="24"/>
        <v>#DIV/0!</v>
      </c>
      <c r="R207" s="521" t="e">
        <f t="shared" si="24"/>
        <v>#DIV/0!</v>
      </c>
      <c r="S207" s="521" t="e">
        <f t="shared" si="24"/>
        <v>#DIV/0!</v>
      </c>
      <c r="T207" s="521" t="e">
        <f t="shared" si="24"/>
        <v>#DIV/0!</v>
      </c>
      <c r="U207" s="521" t="e">
        <f t="shared" si="24"/>
        <v>#DIV/0!</v>
      </c>
      <c r="V207" s="521" t="e">
        <f t="shared" si="24"/>
        <v>#DIV/0!</v>
      </c>
      <c r="W207" s="521" t="e">
        <f t="shared" si="24"/>
        <v>#DIV/0!</v>
      </c>
      <c r="X207" s="521" t="e">
        <f t="shared" si="24"/>
        <v>#DIV/0!</v>
      </c>
      <c r="Y207" s="521" t="e">
        <f t="shared" si="24"/>
        <v>#DIV/0!</v>
      </c>
      <c r="Z207" s="521" t="e">
        <f t="shared" si="24"/>
        <v>#DIV/0!</v>
      </c>
    </row>
    <row r="208" spans="1:26" hidden="1" outlineLevel="1" x14ac:dyDescent="0.25">
      <c r="A208" s="508">
        <f t="shared" si="22"/>
        <v>0</v>
      </c>
      <c r="B208" s="508" t="s">
        <v>260</v>
      </c>
      <c r="C208" s="508">
        <f t="shared" si="23"/>
        <v>0</v>
      </c>
      <c r="D208" s="510">
        <f t="shared" si="23"/>
        <v>0</v>
      </c>
      <c r="E208" s="520"/>
      <c r="F208" s="520"/>
      <c r="G208" s="520"/>
      <c r="H208" s="520"/>
      <c r="I208" s="520"/>
      <c r="J208" s="410"/>
      <c r="K208" s="409" t="s">
        <v>5</v>
      </c>
      <c r="L208" s="496"/>
      <c r="M208" s="496"/>
      <c r="N208" s="496"/>
      <c r="O208" s="521" t="e">
        <f t="shared" si="24"/>
        <v>#VALUE!</v>
      </c>
      <c r="P208" s="521" t="e">
        <f t="shared" si="24"/>
        <v>#DIV/0!</v>
      </c>
      <c r="Q208" s="521" t="e">
        <f t="shared" si="24"/>
        <v>#DIV/0!</v>
      </c>
      <c r="R208" s="521" t="e">
        <f t="shared" si="24"/>
        <v>#DIV/0!</v>
      </c>
      <c r="S208" s="521" t="e">
        <f t="shared" si="24"/>
        <v>#DIV/0!</v>
      </c>
      <c r="T208" s="521" t="e">
        <f t="shared" si="24"/>
        <v>#DIV/0!</v>
      </c>
      <c r="U208" s="521" t="e">
        <f t="shared" si="24"/>
        <v>#DIV/0!</v>
      </c>
      <c r="V208" s="521" t="e">
        <f t="shared" si="24"/>
        <v>#DIV/0!</v>
      </c>
      <c r="W208" s="521" t="e">
        <f t="shared" si="24"/>
        <v>#DIV/0!</v>
      </c>
      <c r="X208" s="521" t="e">
        <f t="shared" si="24"/>
        <v>#DIV/0!</v>
      </c>
      <c r="Y208" s="521" t="e">
        <f t="shared" si="24"/>
        <v>#DIV/0!</v>
      </c>
      <c r="Z208" s="521" t="e">
        <f t="shared" si="24"/>
        <v>#DIV/0!</v>
      </c>
    </row>
    <row r="209" spans="1:26" ht="22.5" hidden="1" customHeight="1" outlineLevel="1" x14ac:dyDescent="0.25">
      <c r="A209" s="537"/>
      <c r="B209" s="538"/>
      <c r="C209" s="538"/>
      <c r="D209" s="538"/>
      <c r="E209" s="519"/>
      <c r="F209" s="519"/>
      <c r="G209" s="519"/>
      <c r="H209" s="519"/>
      <c r="I209" s="519"/>
      <c r="J209" s="516" t="s">
        <v>20</v>
      </c>
      <c r="K209" s="519"/>
      <c r="L209" s="404" t="s">
        <v>48</v>
      </c>
      <c r="M209" s="404" t="s">
        <v>55</v>
      </c>
      <c r="N209" s="522">
        <f>SUM(N199:N208)</f>
        <v>12</v>
      </c>
      <c r="O209" s="521">
        <f t="shared" si="24"/>
        <v>7.2447789059794154E-2</v>
      </c>
      <c r="P209" s="521">
        <f t="shared" si="24"/>
        <v>7.2251710677120565E-2</v>
      </c>
      <c r="Q209" s="521">
        <f t="shared" si="24"/>
        <v>7.620509744033685E-2</v>
      </c>
      <c r="R209" s="521">
        <f t="shared" si="24"/>
        <v>6.8575241001990583E-2</v>
      </c>
      <c r="S209" s="521">
        <f t="shared" si="24"/>
        <v>6.8771319384664173E-2</v>
      </c>
      <c r="T209" s="521">
        <f t="shared" si="24"/>
        <v>7.200661269877856E-2</v>
      </c>
      <c r="U209" s="521">
        <f t="shared" si="24"/>
        <v>6.8771319384664173E-2</v>
      </c>
      <c r="V209" s="521">
        <f t="shared" si="24"/>
        <v>7.1516416742094552E-2</v>
      </c>
      <c r="W209" s="521">
        <f t="shared" si="24"/>
        <v>0.10980170282161603</v>
      </c>
      <c r="X209" s="521">
        <f t="shared" si="24"/>
        <v>0.10533361030388155</v>
      </c>
      <c r="Y209" s="521">
        <f t="shared" si="24"/>
        <v>0.10530910050604733</v>
      </c>
      <c r="Z209" s="521">
        <f t="shared" si="24"/>
        <v>0.10901007997901153</v>
      </c>
    </row>
    <row r="210" spans="1:26" collapsed="1" x14ac:dyDescent="0.25"/>
    <row r="211" spans="1:26" x14ac:dyDescent="0.25">
      <c r="B211" s="445" t="s">
        <v>21</v>
      </c>
      <c r="C211" s="446">
        <v>43102</v>
      </c>
    </row>
    <row r="212" spans="1:26" x14ac:dyDescent="0.25">
      <c r="B212" s="445" t="s">
        <v>23</v>
      </c>
      <c r="C212" s="446">
        <v>42917</v>
      </c>
    </row>
    <row r="214" spans="1:26" x14ac:dyDescent="0.25">
      <c r="A214" s="539" t="s">
        <v>262</v>
      </c>
    </row>
    <row r="215" spans="1:26" x14ac:dyDescent="0.25">
      <c r="A215" s="540" t="s">
        <v>1404</v>
      </c>
    </row>
    <row r="216" spans="1:26" x14ac:dyDescent="0.25">
      <c r="A216" s="540" t="s">
        <v>323</v>
      </c>
    </row>
    <row r="218" spans="1:26" x14ac:dyDescent="0.25">
      <c r="A218" s="449" t="s">
        <v>1405</v>
      </c>
      <c r="B218" s="541" t="s">
        <v>288</v>
      </c>
      <c r="C218" s="541" t="s">
        <v>320</v>
      </c>
    </row>
    <row r="219" spans="1:26" ht="30" x14ac:dyDescent="0.25">
      <c r="A219" s="542" t="s">
        <v>310</v>
      </c>
      <c r="B219" s="541" t="s">
        <v>289</v>
      </c>
      <c r="C219" s="541" t="s">
        <v>321</v>
      </c>
    </row>
    <row r="220" spans="1:26" ht="30" x14ac:dyDescent="0.25">
      <c r="A220" s="542" t="s">
        <v>311</v>
      </c>
      <c r="B220" s="541" t="s">
        <v>290</v>
      </c>
      <c r="C220" s="541" t="s">
        <v>319</v>
      </c>
    </row>
    <row r="221" spans="1:26" ht="30" x14ac:dyDescent="0.25">
      <c r="A221" s="542" t="s">
        <v>312</v>
      </c>
      <c r="B221" s="541" t="s">
        <v>291</v>
      </c>
      <c r="C221" s="541" t="s">
        <v>322</v>
      </c>
    </row>
    <row r="222" spans="1:26" ht="30" x14ac:dyDescent="0.25">
      <c r="A222" s="542" t="s">
        <v>313</v>
      </c>
      <c r="B222" s="541" t="s">
        <v>292</v>
      </c>
      <c r="C222" s="541" t="s">
        <v>327</v>
      </c>
    </row>
    <row r="223" spans="1:26" ht="30" x14ac:dyDescent="0.25">
      <c r="A223" s="542" t="s">
        <v>314</v>
      </c>
      <c r="B223" s="541" t="s">
        <v>293</v>
      </c>
      <c r="C223" s="541" t="s">
        <v>317</v>
      </c>
    </row>
    <row r="224" spans="1:26" ht="30" x14ac:dyDescent="0.25">
      <c r="A224" s="542" t="s">
        <v>315</v>
      </c>
      <c r="B224" s="541" t="s">
        <v>296</v>
      </c>
      <c r="C224" s="541" t="s">
        <v>318</v>
      </c>
    </row>
    <row r="226" spans="1:2" ht="45" x14ac:dyDescent="0.25">
      <c r="A226" s="543" t="s">
        <v>301</v>
      </c>
      <c r="B226" s="449" t="s">
        <v>1406</v>
      </c>
    </row>
    <row r="228" spans="1:2" ht="30" x14ac:dyDescent="0.25">
      <c r="A228" s="543" t="s">
        <v>303</v>
      </c>
      <c r="B228" s="449" t="s">
        <v>1407</v>
      </c>
    </row>
    <row r="230" spans="1:2" ht="45" x14ac:dyDescent="0.25">
      <c r="A230" s="543" t="s">
        <v>304</v>
      </c>
      <c r="B230" s="449" t="s">
        <v>1408</v>
      </c>
    </row>
    <row r="232" spans="1:2" ht="30" x14ac:dyDescent="0.25">
      <c r="A232" s="449" t="s">
        <v>308</v>
      </c>
      <c r="B232" s="449" t="s">
        <v>1409</v>
      </c>
    </row>
  </sheetData>
  <mergeCells count="50">
    <mergeCell ref="E37:K37"/>
    <mergeCell ref="E31:K31"/>
    <mergeCell ref="E32:K32"/>
    <mergeCell ref="E33:K33"/>
    <mergeCell ref="E34:K34"/>
    <mergeCell ref="E35:K35"/>
    <mergeCell ref="E51:K51"/>
    <mergeCell ref="E38:K38"/>
    <mergeCell ref="E39:K39"/>
    <mergeCell ref="E40:K40"/>
    <mergeCell ref="E41:K41"/>
    <mergeCell ref="E43:K43"/>
    <mergeCell ref="E44:K44"/>
    <mergeCell ref="E45:K45"/>
    <mergeCell ref="E46:K46"/>
    <mergeCell ref="E47:K47"/>
    <mergeCell ref="E49:K49"/>
    <mergeCell ref="E50:K50"/>
    <mergeCell ref="E65:K65"/>
    <mergeCell ref="E52:K52"/>
    <mergeCell ref="E53:K53"/>
    <mergeCell ref="E55:K55"/>
    <mergeCell ref="E56:K56"/>
    <mergeCell ref="E57:K57"/>
    <mergeCell ref="E58:K58"/>
    <mergeCell ref="E59:K59"/>
    <mergeCell ref="E61:K61"/>
    <mergeCell ref="E62:K62"/>
    <mergeCell ref="E63:K63"/>
    <mergeCell ref="E64:K64"/>
    <mergeCell ref="E80:K80"/>
    <mergeCell ref="E67:K67"/>
    <mergeCell ref="E68:K68"/>
    <mergeCell ref="E69:K69"/>
    <mergeCell ref="E70:K70"/>
    <mergeCell ref="E71:K71"/>
    <mergeCell ref="E73:K73"/>
    <mergeCell ref="E74:K74"/>
    <mergeCell ref="E75:K75"/>
    <mergeCell ref="E76:K76"/>
    <mergeCell ref="E77:K77"/>
    <mergeCell ref="E79:K79"/>
    <mergeCell ref="E88:K88"/>
    <mergeCell ref="E89:K89"/>
    <mergeCell ref="E81:K81"/>
    <mergeCell ref="E82:K82"/>
    <mergeCell ref="E83:K83"/>
    <mergeCell ref="E85:K85"/>
    <mergeCell ref="E86:K86"/>
    <mergeCell ref="E87:K87"/>
  </mergeCells>
  <dataValidations count="5">
    <dataValidation type="list" allowBlank="1" showInputMessage="1" showErrorMessage="1" sqref="F135 F190:F194 F183:F187 F176:F180 F169:F173 F162:F166 F155:F159 F144:F152">
      <formula1>$A$3:$A$9</formula1>
    </dataValidation>
    <dataValidation type="list" allowBlank="1" showInputMessage="1" showErrorMessage="1" sqref="M199:M209 L199:L208 H190:J194 H183:J187 H176:J180 H169:J173 H162:I166 H155:J159 K129:K134 H135:K135 K115:K120 H144:J152">
      <formula1>$C$3:$C$15</formula1>
    </dataValidation>
    <dataValidation type="list" allowBlank="1" showInputMessage="1" showErrorMessage="1" sqref="L129:L135 L190:L193 L183:L186 L176:L179 L169:L172 L162:L165 L155:L158 L17:L19 L26 L144:L151">
      <formula1>$D$4:$D$15</formula1>
    </dataValidation>
    <dataValidation type="list" allowBlank="1" showInputMessage="1" showErrorMessage="1" sqref="J129:J134 J162:J166 K176:K179 K162:K165 K155:K158 K169:K172 L209 K190:K193 K183:K186 J115:J120 K144:K151">
      <formula1>$C$3:$C$14</formula1>
    </dataValidation>
    <dataValidation type="list" allowBlank="1" showInputMessage="1" showErrorMessage="1" sqref="L85:L89 L43:L47 L49:L53 L55:L59 L61:L65 L67:L71 L73:L77 L79:L83 L39:L41">
      <formula1>$G$2:$G$8</formula1>
    </dataValidation>
  </dataValidations>
  <printOptions horizontalCentered="1"/>
  <pageMargins left="0.31496062992125984" right="0.31496062992125984" top="1.1811023622047245" bottom="1.1811023622047245" header="0.31496062992125984" footer="0.31496062992125984"/>
  <pageSetup paperSize="17" scale="34"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2">
        <x14:dataValidation type="list" allowBlank="1" showInputMessage="1" showErrorMessage="1">
          <x14:formula1>
            <xm:f>Lists!$D$2:$D$14</xm:f>
          </x14:formula1>
          <xm:sqref>L115:L120</xm:sqref>
        </x14:dataValidation>
        <x14:dataValidation type="list" allowBlank="1" showInputMessage="1" showErrorMessage="1">
          <x14:formula1>
            <xm:f>Lists!$C$2:$C$13</xm:f>
          </x14:formula1>
          <xm:sqref>H115:I120 H129:I134</xm:sqref>
        </x14:dataValidation>
        <x14:dataValidation type="list" allowBlank="1" showInputMessage="1" showErrorMessage="1">
          <x14:formula1>
            <xm:f>Lists!$A$2:$A$8</xm:f>
          </x14:formula1>
          <xm:sqref>F115:F120 F129:F134</xm:sqref>
        </x14:dataValidation>
        <x14:dataValidation type="list" allowBlank="1" showInputMessage="1" showErrorMessage="1">
          <x14:formula1>
            <xm:f>Lists!$H$2:$H$8</xm:f>
          </x14:formula1>
          <xm:sqref>L33:L35</xm:sqref>
        </x14:dataValidation>
        <x14:dataValidation type="list" allowBlank="1" showInputMessage="1" showErrorMessage="1">
          <x14:formula1>
            <xm:f>Lists!$D$2:$D$13</xm:f>
          </x14:formula1>
          <xm:sqref>N199:N208</xm:sqref>
        </x14:dataValidation>
        <x14:dataValidation type="list" allowBlank="1" showInputMessage="1" showErrorMessage="1">
          <x14:formula1>
            <xm:f>Lists!$E$3:$E$41</xm:f>
          </x14:formula1>
          <xm:sqref>B8</xm:sqref>
        </x14:dataValidation>
        <x14:dataValidation type="list" allowBlank="1" showInputMessage="1" showErrorMessage="1">
          <x14:formula1>
            <xm:f>'CCs &amp; Accounts'!$I$2:$I$34</xm:f>
          </x14:formula1>
          <xm:sqref>E139:E152 E155:E159 E162:E166 E169:E173 E176:E180 E183:E187 E190:E194 E124:E135 E94:E120 E17:E25</xm:sqref>
        </x14:dataValidation>
        <x14:dataValidation type="list" allowBlank="1" showInputMessage="1" showErrorMessage="1">
          <x14:formula1>
            <xm:f>'C:\Users\gineva.alcota\AppData\Local\Microsoft\Windows\INetCache\Content.Outlook\ZG6HJCZN\[1002-40303-PS-SOA-0001 (002).xlsx]Lists'!#REF!</xm:f>
          </x14:formula1>
          <xm:sqref>K95:K114 K124:K128</xm:sqref>
        </x14:dataValidation>
        <x14:dataValidation type="list" allowBlank="1" showInputMessage="1" showErrorMessage="1">
          <x14:formula1>
            <xm:f>'C:\Users\gineva.alcota\AppData\Local\Microsoft\Windows\INetCache\Content.Outlook\ZG6HJCZN\[1002-40303-PS-SOA-0001 (002).xlsx]Lists'!#REF!</xm:f>
          </x14:formula1>
          <xm:sqref>L94:L114 L124:L128 L139:L143</xm:sqref>
        </x14:dataValidation>
        <x14:dataValidation type="list" allowBlank="1" showInputMessage="1" showErrorMessage="1">
          <x14:formula1>
            <xm:f>'C:\Users\gineva.alcota\AppData\Local\Microsoft\Windows\INetCache\Content.Outlook\ZG6HJCZN\[1002-40303-PS-SOA-0001 (002).xlsx]Lists'!#REF!</xm:f>
          </x14:formula1>
          <xm:sqref>K94 H94:J114 H124:J128 H139:K143</xm:sqref>
        </x14:dataValidation>
        <x14:dataValidation type="list" allowBlank="1" showInputMessage="1" showErrorMessage="1">
          <x14:formula1>
            <xm:f>'C:\Users\gineva.alcota\AppData\Local\Microsoft\Windows\INetCache\Content.Outlook\ZG6HJCZN\[1002-40303-PS-SOA-0001 (002).xlsx]Lists'!#REF!</xm:f>
          </x14:formula1>
          <xm:sqref>F94:F114 F124:F128 F139:F143</xm:sqref>
        </x14:dataValidation>
        <x14:dataValidation type="list" allowBlank="1" showInputMessage="1" showErrorMessage="1">
          <x14:formula1>
            <xm:f>Lists!$H$2:$H$9</xm:f>
          </x14:formula1>
          <xm:sqref>L31:L32 L37:L38</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pageSetUpPr fitToPage="1"/>
  </sheetPr>
  <dimension ref="A1:U36"/>
  <sheetViews>
    <sheetView showGridLines="0" view="pageLayout" topLeftCell="A7" zoomScale="80" zoomScaleNormal="70" zoomScalePageLayoutView="80" workbookViewId="0">
      <selection activeCell="E30" sqref="E30"/>
    </sheetView>
  </sheetViews>
  <sheetFormatPr baseColWidth="10" defaultColWidth="11.42578125" defaultRowHeight="15" outlineLevelRow="1" outlineLevelCol="1" x14ac:dyDescent="0.25"/>
  <cols>
    <col min="1" max="1" width="8.7109375" style="400" customWidth="1"/>
    <col min="2" max="2" width="32" style="400" customWidth="1"/>
    <col min="3" max="3" width="49.7109375" style="400" customWidth="1"/>
    <col min="4" max="4" width="44.28515625" style="400" customWidth="1"/>
    <col min="5" max="5" width="18.85546875" style="400" customWidth="1"/>
    <col min="6" max="6" width="17.7109375" style="400" customWidth="1"/>
    <col min="7" max="7" width="17.7109375" style="400" hidden="1" customWidth="1"/>
    <col min="8" max="8" width="15.7109375" style="400" customWidth="1"/>
    <col min="9" max="9" width="11.5703125" style="400" hidden="1" customWidth="1" outlineLevel="1"/>
    <col min="10" max="11" width="16.42578125" style="400" hidden="1" customWidth="1" outlineLevel="1"/>
    <col min="12" max="12" width="16.85546875" style="400" hidden="1" customWidth="1" outlineLevel="1"/>
    <col min="13" max="13" width="16.42578125" style="400" hidden="1" customWidth="1" outlineLevel="1"/>
    <col min="14" max="17" width="16.85546875" style="400" hidden="1" customWidth="1" outlineLevel="1"/>
    <col min="18" max="19" width="16.42578125" style="400" hidden="1" customWidth="1" outlineLevel="1"/>
    <col min="20" max="20" width="16.85546875" style="400" hidden="1" customWidth="1" outlineLevel="1"/>
    <col min="21" max="21" width="11.42578125" style="400" collapsed="1"/>
    <col min="22" max="16384" width="11.42578125" style="400"/>
  </cols>
  <sheetData>
    <row r="1" spans="1:20" s="416" customFormat="1" ht="36.6" customHeight="1" x14ac:dyDescent="0.25"/>
    <row r="2" spans="1:20" ht="24.75" customHeight="1" x14ac:dyDescent="0.25"/>
    <row r="3" spans="1:20" ht="36.6" customHeight="1" x14ac:dyDescent="0.25">
      <c r="A3" s="417" t="s">
        <v>1445</v>
      </c>
      <c r="B3" s="418"/>
      <c r="C3" s="401"/>
      <c r="D3" s="401"/>
      <c r="E3" s="401"/>
      <c r="F3" s="402"/>
      <c r="G3" s="402"/>
      <c r="H3" s="402"/>
      <c r="I3" s="402" t="s">
        <v>5</v>
      </c>
      <c r="J3" s="402"/>
      <c r="K3" s="402"/>
      <c r="L3" s="402"/>
      <c r="M3" s="402"/>
      <c r="N3" s="402"/>
      <c r="O3" s="402"/>
      <c r="P3" s="402"/>
      <c r="Q3" s="402"/>
      <c r="R3" s="402"/>
      <c r="S3" s="402"/>
      <c r="T3" s="402"/>
    </row>
    <row r="4" spans="1:20" x14ac:dyDescent="0.25">
      <c r="A4" s="419"/>
      <c r="B4" s="420" t="s">
        <v>6</v>
      </c>
      <c r="C4" s="420"/>
      <c r="D4" s="420"/>
      <c r="E4" s="420"/>
      <c r="F4" s="420"/>
      <c r="G4" s="420"/>
      <c r="H4" s="421"/>
      <c r="I4" s="420"/>
      <c r="J4" s="420"/>
      <c r="K4" s="420"/>
      <c r="L4" s="420"/>
      <c r="M4" s="420"/>
      <c r="N4" s="420"/>
      <c r="O4" s="420"/>
      <c r="P4" s="420"/>
      <c r="Q4" s="420"/>
      <c r="R4" s="420"/>
      <c r="S4" s="420"/>
      <c r="T4" s="421"/>
    </row>
    <row r="5" spans="1:20" x14ac:dyDescent="0.25">
      <c r="A5" s="422"/>
      <c r="B5" s="423" t="s">
        <v>241</v>
      </c>
      <c r="C5" s="424"/>
      <c r="D5" s="424"/>
      <c r="E5" s="425"/>
      <c r="F5" s="425"/>
      <c r="G5" s="425"/>
      <c r="H5" s="426" t="s">
        <v>7</v>
      </c>
      <c r="I5" s="425"/>
      <c r="J5" s="425"/>
      <c r="K5" s="425"/>
      <c r="L5" s="425"/>
      <c r="M5" s="425"/>
      <c r="N5" s="425"/>
      <c r="O5" s="425"/>
      <c r="P5" s="425"/>
      <c r="Q5" s="425"/>
      <c r="R5" s="425"/>
      <c r="S5" s="425"/>
      <c r="T5" s="427"/>
    </row>
    <row r="6" spans="1:20" x14ac:dyDescent="0.25">
      <c r="A6" s="422"/>
      <c r="B6" s="428" t="s">
        <v>1431</v>
      </c>
      <c r="C6" s="425"/>
      <c r="D6" s="428" t="s">
        <v>8</v>
      </c>
      <c r="E6" s="428"/>
      <c r="F6" s="428"/>
      <c r="G6" s="428"/>
      <c r="H6" s="429">
        <v>43102</v>
      </c>
      <c r="I6" s="428"/>
      <c r="J6" s="428"/>
      <c r="K6" s="428"/>
      <c r="L6" s="428"/>
      <c r="M6" s="428"/>
      <c r="N6" s="428"/>
      <c r="O6" s="428"/>
      <c r="P6" s="428"/>
      <c r="Q6" s="428"/>
      <c r="R6" s="428"/>
      <c r="S6" s="428"/>
      <c r="T6" s="430"/>
    </row>
    <row r="7" spans="1:20" x14ac:dyDescent="0.25">
      <c r="A7" s="431"/>
      <c r="B7" s="432" t="str">
        <f>+Mine!B10</f>
        <v>687 Operations and Technical Services</v>
      </c>
      <c r="C7" s="433"/>
      <c r="D7" s="423" t="str">
        <f>+Mine!D10</f>
        <v>Fernando Saavedra</v>
      </c>
      <c r="E7" s="425"/>
      <c r="F7" s="425"/>
      <c r="G7" s="425"/>
      <c r="H7" s="427"/>
      <c r="I7" s="425"/>
      <c r="J7" s="425"/>
      <c r="K7" s="425"/>
      <c r="L7" s="425"/>
      <c r="M7" s="425"/>
      <c r="N7" s="425"/>
      <c r="O7" s="425"/>
      <c r="P7" s="425"/>
      <c r="Q7" s="425"/>
      <c r="R7" s="425"/>
      <c r="S7" s="425"/>
      <c r="T7" s="427"/>
    </row>
    <row r="8" spans="1:20" x14ac:dyDescent="0.25">
      <c r="A8" s="431"/>
      <c r="B8" s="434" t="s">
        <v>10</v>
      </c>
      <c r="C8" s="433"/>
      <c r="D8" s="434"/>
      <c r="E8" s="434"/>
      <c r="F8" s="434"/>
      <c r="G8" s="434"/>
      <c r="H8" s="435" t="s">
        <v>11</v>
      </c>
      <c r="I8" s="434"/>
      <c r="J8" s="434"/>
      <c r="K8" s="434"/>
      <c r="L8" s="434"/>
      <c r="M8" s="434"/>
      <c r="N8" s="434"/>
      <c r="O8" s="434"/>
      <c r="P8" s="434"/>
      <c r="Q8" s="434"/>
      <c r="R8" s="434"/>
      <c r="S8" s="434"/>
      <c r="T8" s="435"/>
    </row>
    <row r="9" spans="1:20" x14ac:dyDescent="0.25">
      <c r="A9" s="431"/>
      <c r="B9" s="436">
        <f>+Mine!B12</f>
        <v>43313</v>
      </c>
      <c r="C9" s="433"/>
      <c r="D9" s="434"/>
      <c r="E9" s="425"/>
      <c r="F9" s="425"/>
      <c r="G9" s="425"/>
      <c r="H9" s="429">
        <v>43465</v>
      </c>
      <c r="I9" s="425"/>
      <c r="J9" s="425"/>
      <c r="K9" s="425"/>
      <c r="L9" s="425"/>
      <c r="M9" s="425"/>
      <c r="N9" s="425"/>
      <c r="O9" s="425"/>
      <c r="P9" s="425"/>
      <c r="Q9" s="425"/>
      <c r="R9" s="425"/>
      <c r="S9" s="425"/>
      <c r="T9" s="435"/>
    </row>
    <row r="10" spans="1:20" x14ac:dyDescent="0.25">
      <c r="A10" s="437"/>
      <c r="B10" s="438"/>
      <c r="C10" s="439"/>
      <c r="D10" s="439"/>
      <c r="E10" s="439"/>
      <c r="F10" s="439"/>
      <c r="G10" s="439"/>
      <c r="H10" s="440"/>
      <c r="I10" s="439"/>
      <c r="J10" s="439"/>
      <c r="K10" s="439"/>
      <c r="L10" s="439"/>
      <c r="M10" s="439"/>
      <c r="N10" s="439"/>
      <c r="O10" s="439"/>
      <c r="P10" s="439"/>
      <c r="Q10" s="439"/>
      <c r="R10" s="439"/>
      <c r="S10" s="439"/>
      <c r="T10" s="440"/>
    </row>
    <row r="11" spans="1:20" ht="6.75" customHeight="1" x14ac:dyDescent="0.25"/>
    <row r="12" spans="1:20" x14ac:dyDescent="0.25">
      <c r="A12" s="441" t="s">
        <v>12</v>
      </c>
      <c r="B12" s="441"/>
      <c r="C12" s="402"/>
      <c r="D12" s="402"/>
      <c r="E12" s="402"/>
      <c r="F12" s="402"/>
      <c r="G12" s="402"/>
      <c r="H12" s="402"/>
      <c r="I12" s="402" t="s">
        <v>5</v>
      </c>
      <c r="J12" s="402"/>
      <c r="K12" s="402"/>
      <c r="L12" s="402"/>
      <c r="M12" s="402"/>
      <c r="N12" s="402"/>
      <c r="O12" s="402"/>
      <c r="P12" s="402"/>
      <c r="Q12" s="402"/>
      <c r="R12" s="402"/>
      <c r="S12" s="402"/>
      <c r="T12" s="402"/>
    </row>
    <row r="13" spans="1:20" outlineLevel="1" x14ac:dyDescent="0.25">
      <c r="A13" s="442"/>
      <c r="B13" s="442" t="s">
        <v>13</v>
      </c>
      <c r="C13" s="442" t="s">
        <v>14</v>
      </c>
      <c r="D13" s="403" t="s">
        <v>15</v>
      </c>
      <c r="E13" s="404" t="s">
        <v>16</v>
      </c>
      <c r="F13" s="404" t="s">
        <v>17</v>
      </c>
      <c r="G13" s="404" t="s">
        <v>18</v>
      </c>
      <c r="H13" s="404" t="s">
        <v>825</v>
      </c>
      <c r="I13" s="443">
        <v>43101</v>
      </c>
      <c r="J13" s="443">
        <v>43132</v>
      </c>
      <c r="K13" s="443">
        <v>43160</v>
      </c>
      <c r="L13" s="443">
        <v>43191</v>
      </c>
      <c r="M13" s="443">
        <v>43221</v>
      </c>
      <c r="N13" s="443">
        <v>43252</v>
      </c>
      <c r="O13" s="443">
        <v>43282</v>
      </c>
      <c r="P13" s="443">
        <v>43313</v>
      </c>
      <c r="Q13" s="443">
        <v>43344</v>
      </c>
      <c r="R13" s="443">
        <v>43374</v>
      </c>
      <c r="S13" s="443">
        <v>43405</v>
      </c>
      <c r="T13" s="443">
        <v>43435</v>
      </c>
    </row>
    <row r="14" spans="1:20" outlineLevel="1" x14ac:dyDescent="0.25">
      <c r="A14" s="444" t="str">
        <f>+Mine!A17</f>
        <v>6.1.1</v>
      </c>
      <c r="B14" s="444" t="s">
        <v>987</v>
      </c>
      <c r="C14" s="444" t="str">
        <f>+Mine!B17</f>
        <v>Softwares and Training</v>
      </c>
      <c r="D14" s="405" t="str">
        <f>+Mine!$B$8</f>
        <v>6.1 Mine planning external support</v>
      </c>
      <c r="E14" s="406" t="str">
        <f>+Mine!E17</f>
        <v>687 / 51-11-3331</v>
      </c>
      <c r="F14" s="406">
        <f>+Mine!L17</f>
        <v>0</v>
      </c>
      <c r="G14" s="407">
        <f>+Mine!M17</f>
        <v>0</v>
      </c>
      <c r="H14" s="404">
        <f>+Mine!N17</f>
        <v>386000</v>
      </c>
      <c r="I14" s="408" t="e">
        <f>+#REF!</f>
        <v>#REF!</v>
      </c>
      <c r="J14" s="408" t="e">
        <f>+#REF!</f>
        <v>#REF!</v>
      </c>
      <c r="K14" s="408" t="e">
        <f>+#REF!</f>
        <v>#REF!</v>
      </c>
      <c r="L14" s="408" t="e">
        <f>+#REF!</f>
        <v>#REF!</v>
      </c>
      <c r="M14" s="408" t="e">
        <f>+#REF!</f>
        <v>#REF!</v>
      </c>
      <c r="N14" s="408" t="e">
        <f>+#REF!</f>
        <v>#REF!</v>
      </c>
      <c r="O14" s="408" t="e">
        <f>+#REF!</f>
        <v>#REF!</v>
      </c>
      <c r="P14" s="408" t="e">
        <f>+#REF!</f>
        <v>#REF!</v>
      </c>
      <c r="Q14" s="408" t="e">
        <f>+#REF!</f>
        <v>#REF!</v>
      </c>
      <c r="R14" s="408" t="e">
        <f>+#REF!</f>
        <v>#REF!</v>
      </c>
      <c r="S14" s="408" t="e">
        <f>+#REF!</f>
        <v>#REF!</v>
      </c>
      <c r="T14" s="408" t="e">
        <f>+#REF!</f>
        <v>#REF!</v>
      </c>
    </row>
    <row r="15" spans="1:20" outlineLevel="1" x14ac:dyDescent="0.25">
      <c r="A15" s="444" t="str">
        <f>+Mine!A18</f>
        <v>6.1.2</v>
      </c>
      <c r="B15" s="444" t="s">
        <v>988</v>
      </c>
      <c r="C15" s="444" t="str">
        <f>+Mine!B18</f>
        <v>Consulting and Studies</v>
      </c>
      <c r="D15" s="405" t="str">
        <f>+Mine!$B$8</f>
        <v>6.1 Mine planning external support</v>
      </c>
      <c r="E15" s="406" t="str">
        <f>+Mine!E18</f>
        <v>687 / 51-11-3331</v>
      </c>
      <c r="F15" s="406">
        <f>+Mine!L18</f>
        <v>0</v>
      </c>
      <c r="G15" s="407">
        <f>+Mine!M18</f>
        <v>0</v>
      </c>
      <c r="H15" s="404">
        <f>+Mine!N18</f>
        <v>750000</v>
      </c>
      <c r="I15" s="408" t="e">
        <f>+#REF!</f>
        <v>#REF!</v>
      </c>
      <c r="J15" s="408" t="e">
        <f>+#REF!</f>
        <v>#REF!</v>
      </c>
      <c r="K15" s="408" t="e">
        <f>+#REF!</f>
        <v>#REF!</v>
      </c>
      <c r="L15" s="408" t="e">
        <f>+#REF!</f>
        <v>#REF!</v>
      </c>
      <c r="M15" s="408" t="e">
        <f>+#REF!</f>
        <v>#REF!</v>
      </c>
      <c r="N15" s="408" t="e">
        <f>+#REF!</f>
        <v>#REF!</v>
      </c>
      <c r="O15" s="408" t="e">
        <f>+#REF!</f>
        <v>#REF!</v>
      </c>
      <c r="P15" s="408" t="e">
        <f>+#REF!</f>
        <v>#REF!</v>
      </c>
      <c r="Q15" s="408" t="e">
        <f>+#REF!</f>
        <v>#REF!</v>
      </c>
      <c r="R15" s="408" t="e">
        <f>+#REF!</f>
        <v>#REF!</v>
      </c>
      <c r="S15" s="408" t="e">
        <f>+#REF!</f>
        <v>#REF!</v>
      </c>
      <c r="T15" s="408" t="e">
        <f>+#REF!</f>
        <v>#REF!</v>
      </c>
    </row>
    <row r="16" spans="1:20" outlineLevel="1" x14ac:dyDescent="0.25">
      <c r="A16" s="444" t="str">
        <f>+Mine!A19</f>
        <v>6.1.3</v>
      </c>
      <c r="B16" s="444" t="s">
        <v>989</v>
      </c>
      <c r="C16" s="444" t="str">
        <f>+Mine!B19</f>
        <v>Administration and Visits</v>
      </c>
      <c r="D16" s="405" t="str">
        <f>+Mine!$B$8</f>
        <v>6.1 Mine planning external support</v>
      </c>
      <c r="E16" s="406" t="str">
        <f>+Mine!E19</f>
        <v>687 / 51-11-3331</v>
      </c>
      <c r="F16" s="406">
        <f>+Mine!L19</f>
        <v>0</v>
      </c>
      <c r="G16" s="407">
        <f>+Mine!M19</f>
        <v>0</v>
      </c>
      <c r="H16" s="404">
        <f>+Mine!N19</f>
        <v>18000</v>
      </c>
      <c r="I16" s="408" t="e">
        <f>+#REF!</f>
        <v>#REF!</v>
      </c>
      <c r="J16" s="408" t="e">
        <f>+#REF!</f>
        <v>#REF!</v>
      </c>
      <c r="K16" s="408" t="e">
        <f>+#REF!</f>
        <v>#REF!</v>
      </c>
      <c r="L16" s="408" t="e">
        <f>+#REF!</f>
        <v>#REF!</v>
      </c>
      <c r="M16" s="408" t="e">
        <f>+#REF!</f>
        <v>#REF!</v>
      </c>
      <c r="N16" s="408" t="e">
        <f>+#REF!</f>
        <v>#REF!</v>
      </c>
      <c r="O16" s="408" t="e">
        <f>+#REF!</f>
        <v>#REF!</v>
      </c>
      <c r="P16" s="408" t="e">
        <f>+#REF!</f>
        <v>#REF!</v>
      </c>
      <c r="Q16" s="408" t="e">
        <f>+#REF!</f>
        <v>#REF!</v>
      </c>
      <c r="R16" s="408" t="e">
        <f>+#REF!</f>
        <v>#REF!</v>
      </c>
      <c r="S16" s="408" t="e">
        <f>+#REF!</f>
        <v>#REF!</v>
      </c>
      <c r="T16" s="408" t="e">
        <f>+#REF!</f>
        <v>#REF!</v>
      </c>
    </row>
    <row r="17" spans="1:20" outlineLevel="1" x14ac:dyDescent="0.25">
      <c r="A17" s="442"/>
      <c r="B17" s="444" t="s">
        <v>990</v>
      </c>
      <c r="C17" s="444" t="str">
        <f>+Geology!B17</f>
        <v>General &amp; Administrative</v>
      </c>
      <c r="D17" s="405" t="str">
        <f>+Geology!$B$8</f>
        <v>6.2 Geology</v>
      </c>
      <c r="E17" s="406" t="str">
        <f>+Geology!E17</f>
        <v>687 / 51-11-3052</v>
      </c>
      <c r="F17" s="406"/>
      <c r="G17" s="407"/>
      <c r="H17" s="404">
        <f>+Geology!N17</f>
        <v>300193.07692307694</v>
      </c>
      <c r="I17" s="408"/>
      <c r="J17" s="408"/>
      <c r="K17" s="408"/>
      <c r="L17" s="408"/>
      <c r="M17" s="408"/>
      <c r="N17" s="408"/>
      <c r="O17" s="408"/>
      <c r="P17" s="408"/>
      <c r="Q17" s="408"/>
      <c r="R17" s="408"/>
      <c r="S17" s="408"/>
      <c r="T17" s="408"/>
    </row>
    <row r="18" spans="1:20" outlineLevel="1" x14ac:dyDescent="0.25">
      <c r="A18" s="444"/>
      <c r="B18" s="444" t="s">
        <v>991</v>
      </c>
      <c r="C18" s="444" t="str">
        <f>+Geology!B18</f>
        <v>Warehouses</v>
      </c>
      <c r="D18" s="405" t="str">
        <f>+Geology!$B$8</f>
        <v>6.2 Geology</v>
      </c>
      <c r="E18" s="406" t="str">
        <f>+Geology!E18</f>
        <v>687 / 51-11-3052</v>
      </c>
      <c r="F18" s="406"/>
      <c r="G18" s="407"/>
      <c r="H18" s="404">
        <f>+Geology!N18</f>
        <v>180128.76923076919</v>
      </c>
      <c r="I18" s="408"/>
      <c r="J18" s="408"/>
      <c r="K18" s="408"/>
      <c r="L18" s="408"/>
      <c r="M18" s="408"/>
      <c r="N18" s="408"/>
      <c r="O18" s="408"/>
      <c r="P18" s="408"/>
      <c r="Q18" s="408"/>
      <c r="R18" s="408"/>
      <c r="S18" s="408"/>
      <c r="T18" s="408"/>
    </row>
    <row r="19" spans="1:20" outlineLevel="1" x14ac:dyDescent="0.25">
      <c r="A19" s="444"/>
      <c r="B19" s="444" t="s">
        <v>992</v>
      </c>
      <c r="C19" s="444" t="str">
        <f>+Geology!B19</f>
        <v>Geoscience</v>
      </c>
      <c r="D19" s="405" t="str">
        <f>+Geology!$B$8</f>
        <v>6.2 Geology</v>
      </c>
      <c r="E19" s="406" t="str">
        <f>+Geology!E19</f>
        <v>687 / 51-11-3052</v>
      </c>
      <c r="F19" s="406"/>
      <c r="G19" s="407"/>
      <c r="H19" s="404">
        <f>+Geology!N19</f>
        <v>68000</v>
      </c>
      <c r="I19" s="408"/>
      <c r="J19" s="408"/>
      <c r="K19" s="408"/>
      <c r="L19" s="408"/>
      <c r="M19" s="408"/>
      <c r="N19" s="408"/>
      <c r="O19" s="408"/>
      <c r="P19" s="408"/>
      <c r="Q19" s="408"/>
      <c r="R19" s="408"/>
      <c r="S19" s="408"/>
      <c r="T19" s="408"/>
    </row>
    <row r="20" spans="1:20" outlineLevel="1" x14ac:dyDescent="0.25">
      <c r="A20" s="444"/>
      <c r="B20" s="444" t="s">
        <v>993</v>
      </c>
      <c r="C20" s="444" t="str">
        <f>+Geology!B20</f>
        <v>Brownfield Exploration</v>
      </c>
      <c r="D20" s="405" t="str">
        <f>+Geology!$B$8</f>
        <v>6.2 Geology</v>
      </c>
      <c r="E20" s="406" t="str">
        <f>+Geology!E20</f>
        <v>687 / 51-11-3052</v>
      </c>
      <c r="F20" s="406"/>
      <c r="G20" s="407"/>
      <c r="H20" s="404">
        <f>+Geology!N20</f>
        <v>1219570</v>
      </c>
      <c r="I20" s="408"/>
      <c r="J20" s="408"/>
      <c r="K20" s="408"/>
      <c r="L20" s="408"/>
      <c r="M20" s="408"/>
      <c r="N20" s="408"/>
      <c r="O20" s="408"/>
      <c r="P20" s="408"/>
      <c r="Q20" s="408"/>
      <c r="R20" s="408"/>
      <c r="S20" s="408"/>
      <c r="T20" s="408"/>
    </row>
    <row r="21" spans="1:20" outlineLevel="1" x14ac:dyDescent="0.25">
      <c r="A21" s="442"/>
      <c r="B21" s="444" t="s">
        <v>994</v>
      </c>
      <c r="C21" s="444" t="str">
        <f>+Geology!B21</f>
        <v xml:space="preserve">Mine Geology </v>
      </c>
      <c r="D21" s="405" t="str">
        <f>+Geology!$B$8</f>
        <v>6.2 Geology</v>
      </c>
      <c r="E21" s="406" t="str">
        <f>+Geology!E21</f>
        <v>687 / 51-11-3052</v>
      </c>
      <c r="F21" s="406"/>
      <c r="G21" s="407"/>
      <c r="H21" s="404">
        <f>+Geology!N21</f>
        <v>1165377</v>
      </c>
      <c r="I21" s="408"/>
      <c r="J21" s="408"/>
      <c r="K21" s="408"/>
      <c r="L21" s="408"/>
      <c r="M21" s="408"/>
      <c r="N21" s="408"/>
      <c r="O21" s="408"/>
      <c r="P21" s="408"/>
      <c r="Q21" s="408"/>
      <c r="R21" s="408"/>
      <c r="S21" s="408"/>
      <c r="T21" s="408"/>
    </row>
    <row r="22" spans="1:20" outlineLevel="1" x14ac:dyDescent="0.25">
      <c r="A22" s="442"/>
      <c r="B22" s="444" t="s">
        <v>995</v>
      </c>
      <c r="C22" s="444" t="str">
        <f>+Geology!B22</f>
        <v>Drill Campaign</v>
      </c>
      <c r="D22" s="405" t="str">
        <f>+Geology!$B$8</f>
        <v>6.2 Geology</v>
      </c>
      <c r="E22" s="406" t="str">
        <f>+Geology!E22</f>
        <v>687 / 51-11-3052</v>
      </c>
      <c r="F22" s="406"/>
      <c r="G22" s="407"/>
      <c r="H22" s="404">
        <f>+Geology!N22</f>
        <v>5374210.1428571427</v>
      </c>
      <c r="I22" s="408"/>
      <c r="J22" s="408"/>
      <c r="K22" s="408"/>
      <c r="L22" s="408"/>
      <c r="M22" s="408"/>
      <c r="N22" s="408"/>
      <c r="O22" s="408"/>
      <c r="P22" s="408"/>
      <c r="Q22" s="408"/>
      <c r="R22" s="408"/>
      <c r="S22" s="408"/>
      <c r="T22" s="408"/>
    </row>
    <row r="23" spans="1:20" outlineLevel="1" x14ac:dyDescent="0.25">
      <c r="A23" s="442"/>
      <c r="B23" s="444" t="s">
        <v>996</v>
      </c>
      <c r="C23" s="444" t="str">
        <f>+Geology!B23</f>
        <v>Mine Resource Modelling</v>
      </c>
      <c r="D23" s="405" t="str">
        <f>+Geology!$B$8</f>
        <v>6.2 Geology</v>
      </c>
      <c r="E23" s="406" t="str">
        <f>+Geology!E23</f>
        <v>687 / 51-11-3052</v>
      </c>
      <c r="F23" s="406"/>
      <c r="G23" s="407"/>
      <c r="H23" s="404">
        <f>+Geology!N23</f>
        <v>547400</v>
      </c>
      <c r="I23" s="408"/>
      <c r="J23" s="408"/>
      <c r="K23" s="408"/>
      <c r="L23" s="408"/>
      <c r="M23" s="408"/>
      <c r="N23" s="408"/>
      <c r="O23" s="408"/>
      <c r="P23" s="408"/>
      <c r="Q23" s="408"/>
      <c r="R23" s="408"/>
      <c r="S23" s="408"/>
      <c r="T23" s="408"/>
    </row>
    <row r="24" spans="1:20" outlineLevel="1" x14ac:dyDescent="0.25">
      <c r="A24" s="442"/>
      <c r="B24" s="444" t="s">
        <v>997</v>
      </c>
      <c r="C24" s="444" t="str">
        <f>+Geology!B24</f>
        <v>Feasability Resource Updates</v>
      </c>
      <c r="D24" s="405" t="str">
        <f>+Geology!$B$8</f>
        <v>6.2 Geology</v>
      </c>
      <c r="E24" s="406" t="str">
        <f>+Geology!E24</f>
        <v>687 / 51-11-3052</v>
      </c>
      <c r="F24" s="406"/>
      <c r="G24" s="407"/>
      <c r="H24" s="404">
        <f>+Geology!N24</f>
        <v>147500</v>
      </c>
      <c r="I24" s="408"/>
      <c r="J24" s="408"/>
      <c r="K24" s="408"/>
      <c r="L24" s="408"/>
      <c r="M24" s="408"/>
      <c r="N24" s="408"/>
      <c r="O24" s="408"/>
      <c r="P24" s="408"/>
      <c r="Q24" s="408"/>
      <c r="R24" s="408"/>
      <c r="S24" s="408"/>
      <c r="T24" s="408"/>
    </row>
    <row r="25" spans="1:20" outlineLevel="1" x14ac:dyDescent="0.25">
      <c r="A25" s="442"/>
      <c r="B25" s="444" t="s">
        <v>998</v>
      </c>
      <c r="C25" s="444" t="str">
        <f>+Geology!B25</f>
        <v>Classification Harmonization</v>
      </c>
      <c r="D25" s="405" t="str">
        <f>+Geology!$B$8</f>
        <v>6.2 Geology</v>
      </c>
      <c r="E25" s="406" t="str">
        <f>+Geology!E25</f>
        <v>687 / 51-11-3052</v>
      </c>
      <c r="F25" s="406"/>
      <c r="G25" s="407"/>
      <c r="H25" s="404">
        <f>+Geology!N25</f>
        <v>155000</v>
      </c>
      <c r="I25" s="408"/>
      <c r="J25" s="408"/>
      <c r="K25" s="408"/>
      <c r="L25" s="408"/>
      <c r="M25" s="408"/>
      <c r="N25" s="408"/>
      <c r="O25" s="408"/>
      <c r="P25" s="408"/>
      <c r="Q25" s="408"/>
      <c r="R25" s="408"/>
      <c r="S25" s="408"/>
      <c r="T25" s="408"/>
    </row>
    <row r="26" spans="1:20" outlineLevel="1" x14ac:dyDescent="0.25">
      <c r="A26" s="442"/>
      <c r="B26" s="444" t="s">
        <v>999</v>
      </c>
      <c r="C26" s="444" t="str">
        <f>+Geology!B26</f>
        <v>FS Reporting</v>
      </c>
      <c r="D26" s="405" t="str">
        <f>+Geology!$B$8</f>
        <v>6.2 Geology</v>
      </c>
      <c r="E26" s="406" t="str">
        <f>+Geology!E26</f>
        <v>687 / 51-11-3052</v>
      </c>
      <c r="F26" s="406"/>
      <c r="G26" s="407"/>
      <c r="H26" s="404">
        <f>+Geology!N26</f>
        <v>109200</v>
      </c>
      <c r="I26" s="408"/>
      <c r="J26" s="408"/>
      <c r="K26" s="408"/>
      <c r="L26" s="408"/>
      <c r="M26" s="408"/>
      <c r="N26" s="408"/>
      <c r="O26" s="408"/>
      <c r="P26" s="408"/>
      <c r="Q26" s="408"/>
      <c r="R26" s="408"/>
      <c r="S26" s="408"/>
      <c r="T26" s="408"/>
    </row>
    <row r="27" spans="1:20" outlineLevel="1" x14ac:dyDescent="0.25">
      <c r="A27" s="442"/>
      <c r="B27" s="444" t="s">
        <v>1000</v>
      </c>
      <c r="C27" s="444" t="str">
        <f>+Geotechnical!B17</f>
        <v>Open Pit and Waste Dump Feasibility Study</v>
      </c>
      <c r="D27" s="405" t="str">
        <f>+Geotechnical!$B$8</f>
        <v>6.3 Geotechnical</v>
      </c>
      <c r="E27" s="406" t="str">
        <f>+Geotechnical!E17</f>
        <v>687 / 51-11-3363</v>
      </c>
      <c r="F27" s="406"/>
      <c r="G27" s="407"/>
      <c r="H27" s="404">
        <f>+Geotechnical!N17</f>
        <v>448679</v>
      </c>
      <c r="I27" s="408"/>
      <c r="J27" s="408"/>
      <c r="K27" s="408"/>
      <c r="L27" s="408"/>
      <c r="M27" s="408"/>
      <c r="N27" s="408"/>
      <c r="O27" s="408"/>
      <c r="P27" s="408"/>
      <c r="Q27" s="408"/>
      <c r="R27" s="408"/>
      <c r="S27" s="408"/>
      <c r="T27" s="408"/>
    </row>
    <row r="28" spans="1:20" outlineLevel="1" x14ac:dyDescent="0.25">
      <c r="A28" s="442"/>
      <c r="B28" s="444" t="s">
        <v>1001</v>
      </c>
      <c r="C28" s="444" t="str">
        <f>+Geotechnical!B18</f>
        <v>Open Pit FS Optimization</v>
      </c>
      <c r="D28" s="405" t="str">
        <f>+Geotechnical!$B$8</f>
        <v>6.3 Geotechnical</v>
      </c>
      <c r="E28" s="406" t="str">
        <f>+Geotechnical!E18</f>
        <v>687 / 51-11-3363</v>
      </c>
      <c r="F28" s="406"/>
      <c r="G28" s="407"/>
      <c r="H28" s="404">
        <f>+Geotechnical!N18</f>
        <v>200000</v>
      </c>
      <c r="I28" s="408"/>
      <c r="J28" s="408"/>
      <c r="K28" s="408"/>
      <c r="L28" s="408"/>
      <c r="M28" s="408"/>
      <c r="N28" s="408"/>
      <c r="O28" s="408"/>
      <c r="P28" s="408"/>
      <c r="Q28" s="408"/>
      <c r="R28" s="408"/>
      <c r="S28" s="408"/>
      <c r="T28" s="408"/>
    </row>
    <row r="29" spans="1:20" outlineLevel="1" x14ac:dyDescent="0.25">
      <c r="A29" s="442"/>
      <c r="B29" s="444" t="s">
        <v>1002</v>
      </c>
      <c r="C29" s="444" t="str">
        <f>+Geotechnical!B19</f>
        <v>Geotechnical Review Panel</v>
      </c>
      <c r="D29" s="405" t="str">
        <f>+Geotechnical!$B$8</f>
        <v>6.3 Geotechnical</v>
      </c>
      <c r="E29" s="406" t="str">
        <f>+Geotechnical!E19</f>
        <v>687 / 51-11-3363</v>
      </c>
      <c r="F29" s="406"/>
      <c r="G29" s="407"/>
      <c r="H29" s="404">
        <f>+Geotechnical!N19</f>
        <v>318502.72555916157</v>
      </c>
      <c r="I29" s="408"/>
      <c r="J29" s="408"/>
      <c r="K29" s="408"/>
      <c r="L29" s="408"/>
      <c r="M29" s="408"/>
      <c r="N29" s="408"/>
      <c r="O29" s="408"/>
      <c r="P29" s="408"/>
      <c r="Q29" s="408"/>
      <c r="R29" s="408"/>
      <c r="S29" s="408"/>
      <c r="T29" s="408"/>
    </row>
    <row r="30" spans="1:20" outlineLevel="1" x14ac:dyDescent="0.25">
      <c r="A30" s="442"/>
      <c r="B30" s="444" t="s">
        <v>1003</v>
      </c>
      <c r="C30" s="444" t="str">
        <f>+Geotechnical!B20</f>
        <v>Miscellaneous Geotechnical Expenses</v>
      </c>
      <c r="D30" s="405" t="str">
        <f>+Geotechnical!$B$8</f>
        <v>6.3 Geotechnical</v>
      </c>
      <c r="E30" s="406" t="str">
        <f>+Geotechnical!E20</f>
        <v>687 / 51-11-3363</v>
      </c>
      <c r="F30" s="406"/>
      <c r="G30" s="407"/>
      <c r="H30" s="404">
        <f>+Geotechnical!N20</f>
        <v>179000</v>
      </c>
      <c r="I30" s="408"/>
      <c r="J30" s="408"/>
      <c r="K30" s="408"/>
      <c r="L30" s="408"/>
      <c r="M30" s="408"/>
      <c r="N30" s="408"/>
      <c r="O30" s="408"/>
      <c r="P30" s="408"/>
      <c r="Q30" s="408"/>
      <c r="R30" s="408"/>
      <c r="S30" s="408"/>
      <c r="T30" s="408"/>
    </row>
    <row r="31" spans="1:20" outlineLevel="1" x14ac:dyDescent="0.25">
      <c r="A31" s="444"/>
      <c r="B31" s="442"/>
      <c r="C31" s="444"/>
      <c r="D31" s="405"/>
      <c r="E31" s="406"/>
      <c r="F31" s="406"/>
      <c r="G31" s="407"/>
      <c r="H31" s="406"/>
      <c r="I31" s="408"/>
      <c r="J31" s="408"/>
      <c r="K31" s="408"/>
      <c r="L31" s="408"/>
      <c r="M31" s="408"/>
      <c r="N31" s="408"/>
      <c r="O31" s="408"/>
      <c r="P31" s="408"/>
      <c r="Q31" s="408"/>
      <c r="R31" s="408"/>
      <c r="S31" s="408"/>
      <c r="T31" s="408"/>
    </row>
    <row r="32" spans="1:20" outlineLevel="1" x14ac:dyDescent="0.25">
      <c r="A32" s="412"/>
      <c r="B32" s="413"/>
      <c r="C32" s="413"/>
      <c r="D32" s="414"/>
      <c r="E32" s="415"/>
      <c r="F32" s="404">
        <f>+Mine!L22</f>
        <v>12</v>
      </c>
      <c r="G32" s="404">
        <f>SUM(G1:G16)</f>
        <v>0</v>
      </c>
      <c r="H32" s="404">
        <f>SUM(H14:H31)</f>
        <v>11566760.714570152</v>
      </c>
      <c r="I32" s="404" t="e">
        <f t="shared" ref="I32:T32" si="0">SUM(I13:I16)</f>
        <v>#REF!</v>
      </c>
      <c r="J32" s="404" t="e">
        <f t="shared" si="0"/>
        <v>#REF!</v>
      </c>
      <c r="K32" s="404" t="e">
        <f t="shared" si="0"/>
        <v>#REF!</v>
      </c>
      <c r="L32" s="404" t="e">
        <f t="shared" si="0"/>
        <v>#REF!</v>
      </c>
      <c r="M32" s="404" t="e">
        <f t="shared" si="0"/>
        <v>#REF!</v>
      </c>
      <c r="N32" s="404" t="e">
        <f t="shared" si="0"/>
        <v>#REF!</v>
      </c>
      <c r="O32" s="404" t="e">
        <f t="shared" si="0"/>
        <v>#REF!</v>
      </c>
      <c r="P32" s="404" t="e">
        <f t="shared" si="0"/>
        <v>#REF!</v>
      </c>
      <c r="Q32" s="404" t="e">
        <f t="shared" si="0"/>
        <v>#REF!</v>
      </c>
      <c r="R32" s="404" t="e">
        <f t="shared" si="0"/>
        <v>#REF!</v>
      </c>
      <c r="S32" s="404" t="e">
        <f t="shared" si="0"/>
        <v>#REF!</v>
      </c>
      <c r="T32" s="404" t="e">
        <f t="shared" si="0"/>
        <v>#REF!</v>
      </c>
    </row>
    <row r="33" spans="1:8" ht="6.75" customHeight="1" x14ac:dyDescent="0.25">
      <c r="A33" s="414"/>
      <c r="B33" s="414"/>
      <c r="C33" s="414"/>
      <c r="D33" s="414"/>
      <c r="E33" s="414"/>
    </row>
    <row r="35" spans="1:8" ht="24.75" customHeight="1" x14ac:dyDescent="0.25">
      <c r="B35" s="445" t="s">
        <v>21</v>
      </c>
      <c r="C35" s="446">
        <v>43102</v>
      </c>
      <c r="F35" s="445" t="s">
        <v>22</v>
      </c>
      <c r="G35" s="447"/>
      <c r="H35" s="448"/>
    </row>
    <row r="36" spans="1:8" ht="24.75" customHeight="1" x14ac:dyDescent="0.25">
      <c r="B36" s="445" t="s">
        <v>23</v>
      </c>
      <c r="C36" s="446">
        <v>42917</v>
      </c>
      <c r="F36" s="445" t="s">
        <v>24</v>
      </c>
      <c r="G36" s="447"/>
      <c r="H36"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F32</xm:sqref>
        </x14:dataValidation>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B5</xm:sqref>
        </x14:dataValidation>
      </x14:dataValidations>
    </ext>
  </extLs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2">
    <tabColor theme="9" tint="0.59999389629810485"/>
    <pageSetUpPr fitToPage="1"/>
  </sheetPr>
  <dimension ref="A1:AC167"/>
  <sheetViews>
    <sheetView showGridLines="0" topLeftCell="E15" zoomScale="60" zoomScaleNormal="60" zoomScalePageLayoutView="60" workbookViewId="0">
      <selection activeCell="U88" sqref="U88"/>
    </sheetView>
  </sheetViews>
  <sheetFormatPr baseColWidth="10" defaultColWidth="11.42578125" defaultRowHeight="15" outlineLevelRow="1" outlineLevelCol="1" x14ac:dyDescent="0.25"/>
  <cols>
    <col min="1" max="1" width="22.5703125" style="449" customWidth="1"/>
    <col min="2" max="2" width="41.28515625" style="449" customWidth="1"/>
    <col min="3" max="3" width="15.28515625" style="449" customWidth="1"/>
    <col min="4" max="4" width="36.140625" style="449" customWidth="1"/>
    <col min="5" max="5" width="17.5703125" style="449" customWidth="1"/>
    <col min="6" max="6" width="14" style="449" customWidth="1"/>
    <col min="7" max="11" width="10.5703125" style="449" customWidth="1"/>
    <col min="12" max="12" width="31.85546875" style="449" customWidth="1"/>
    <col min="13" max="13" width="17.7109375" style="449"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28" width="11.42578125" style="449"/>
    <col min="29" max="29" width="12.140625" style="449" customWidth="1"/>
    <col min="30" max="16384" width="11.42578125" style="449"/>
  </cols>
  <sheetData>
    <row r="1" spans="1:26" ht="24.75" customHeight="1" x14ac:dyDescent="0.25"/>
    <row r="2" spans="1:26" s="416" customFormat="1" ht="24.75" customHeight="1" x14ac:dyDescent="0.25">
      <c r="B2" s="533"/>
    </row>
    <row r="3" spans="1:26" s="416" customFormat="1" ht="24.75" customHeight="1" x14ac:dyDescent="0.25">
      <c r="B3" s="534"/>
    </row>
    <row r="4" spans="1:26" s="416" customFormat="1" ht="36.6" customHeight="1" x14ac:dyDescent="0.25"/>
    <row r="5" spans="1:26" ht="24.75" customHeight="1" x14ac:dyDescent="0.25"/>
    <row r="6" spans="1:26"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x14ac:dyDescent="0.25">
      <c r="A8" s="422"/>
      <c r="B8" s="423" t="s">
        <v>241</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x14ac:dyDescent="0.25">
      <c r="A9" s="422"/>
      <c r="B9" s="428" t="s">
        <v>8</v>
      </c>
      <c r="C9" s="425"/>
      <c r="D9" s="428" t="s">
        <v>9</v>
      </c>
      <c r="E9" s="428"/>
      <c r="F9" s="428"/>
      <c r="G9" s="428"/>
      <c r="H9" s="428"/>
      <c r="I9" s="428"/>
      <c r="J9" s="428"/>
      <c r="K9" s="428"/>
      <c r="L9" s="428"/>
      <c r="M9" s="428"/>
      <c r="N9" s="429">
        <v>43102</v>
      </c>
      <c r="O9" s="428"/>
      <c r="P9" s="428"/>
      <c r="Q9" s="428"/>
      <c r="R9" s="428"/>
      <c r="S9" s="428"/>
      <c r="T9" s="428"/>
      <c r="U9" s="428"/>
      <c r="V9" s="428"/>
      <c r="W9" s="428"/>
      <c r="X9" s="428"/>
      <c r="Y9" s="428"/>
      <c r="Z9" s="430"/>
    </row>
    <row r="10" spans="1:26" x14ac:dyDescent="0.25">
      <c r="A10" s="431"/>
      <c r="B10" s="432" t="str">
        <f>VLOOKUP(B8,Lists!E1:I41,3,FALSE)</f>
        <v>687 Operations and Technical Services</v>
      </c>
      <c r="C10" s="433"/>
      <c r="D10" s="423" t="s">
        <v>198</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x14ac:dyDescent="0.25">
      <c r="A12" s="431"/>
      <c r="B12" s="436">
        <v>43313</v>
      </c>
      <c r="C12" s="433"/>
      <c r="D12" s="434"/>
      <c r="E12" s="425"/>
      <c r="F12" s="425"/>
      <c r="G12" s="425"/>
      <c r="H12" s="425"/>
      <c r="I12" s="425"/>
      <c r="J12" s="425"/>
      <c r="K12" s="425"/>
      <c r="L12" s="425"/>
      <c r="M12" s="425"/>
      <c r="N12" s="429">
        <v>43465</v>
      </c>
      <c r="O12" s="425"/>
      <c r="P12" s="425"/>
      <c r="Q12" s="425"/>
      <c r="R12" s="425"/>
      <c r="S12" s="425"/>
      <c r="T12" s="425"/>
      <c r="U12" s="425"/>
      <c r="V12" s="425"/>
      <c r="W12" s="425"/>
      <c r="X12" s="425"/>
      <c r="Y12" s="425"/>
      <c r="Z12" s="435"/>
    </row>
    <row r="13" spans="1:26"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x14ac:dyDescent="0.25">
      <c r="A15" s="441" t="s">
        <v>12</v>
      </c>
      <c r="B15" s="441"/>
      <c r="C15" s="402"/>
      <c r="D15" s="402"/>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x14ac:dyDescent="0.25">
      <c r="A16" s="442" t="s">
        <v>261</v>
      </c>
      <c r="B16" s="442" t="s">
        <v>13</v>
      </c>
      <c r="C16" s="442" t="s">
        <v>14</v>
      </c>
      <c r="D16" s="403" t="s">
        <v>15</v>
      </c>
      <c r="E16" s="404" t="s">
        <v>16</v>
      </c>
      <c r="F16" s="410"/>
      <c r="G16" s="410"/>
      <c r="H16" s="410"/>
      <c r="I16" s="410"/>
      <c r="J16" s="410"/>
      <c r="K16" s="410"/>
      <c r="L16" s="404" t="s">
        <v>17</v>
      </c>
      <c r="M16" s="404" t="s">
        <v>18</v>
      </c>
      <c r="N16" s="404" t="s">
        <v>19</v>
      </c>
      <c r="O16" s="443">
        <v>43101</v>
      </c>
      <c r="P16" s="443">
        <v>43132</v>
      </c>
      <c r="Q16" s="443">
        <v>43160</v>
      </c>
      <c r="R16" s="443">
        <v>43191</v>
      </c>
      <c r="S16" s="443">
        <v>43221</v>
      </c>
      <c r="T16" s="443">
        <v>43252</v>
      </c>
      <c r="U16" s="443">
        <v>43282</v>
      </c>
      <c r="V16" s="443">
        <v>43313</v>
      </c>
      <c r="W16" s="443">
        <v>43344</v>
      </c>
      <c r="X16" s="443">
        <v>43374</v>
      </c>
      <c r="Y16" s="443">
        <v>43405</v>
      </c>
      <c r="Z16" s="443">
        <v>43435</v>
      </c>
    </row>
    <row r="17" spans="1:26" x14ac:dyDescent="0.25">
      <c r="A17" s="508" t="s">
        <v>481</v>
      </c>
      <c r="B17" s="508" t="s">
        <v>482</v>
      </c>
      <c r="C17" s="508" t="s">
        <v>483</v>
      </c>
      <c r="D17" s="495" t="s">
        <v>484</v>
      </c>
      <c r="E17" s="496" t="s">
        <v>240</v>
      </c>
      <c r="F17" s="580" t="s">
        <v>485</v>
      </c>
      <c r="G17" s="410"/>
      <c r="H17" s="410"/>
      <c r="I17" s="410"/>
      <c r="J17" s="410"/>
      <c r="K17" s="410"/>
      <c r="L17" s="496"/>
      <c r="M17" s="497">
        <f>+M82</f>
        <v>0</v>
      </c>
      <c r="N17" s="496">
        <f>SUM(O17:Z17)</f>
        <v>386000</v>
      </c>
      <c r="O17" s="498">
        <f t="shared" ref="O17:Z17" si="0">+O82</f>
        <v>60000</v>
      </c>
      <c r="P17" s="498">
        <f t="shared" si="0"/>
        <v>60000</v>
      </c>
      <c r="Q17" s="498">
        <f t="shared" si="0"/>
        <v>112000</v>
      </c>
      <c r="R17" s="498">
        <f t="shared" si="0"/>
        <v>82000</v>
      </c>
      <c r="S17" s="498">
        <f t="shared" si="0"/>
        <v>12000</v>
      </c>
      <c r="T17" s="498">
        <f t="shared" si="0"/>
        <v>12000</v>
      </c>
      <c r="U17" s="498">
        <f t="shared" si="0"/>
        <v>12000</v>
      </c>
      <c r="V17" s="498">
        <f t="shared" si="0"/>
        <v>12000</v>
      </c>
      <c r="W17" s="498">
        <f t="shared" si="0"/>
        <v>12000</v>
      </c>
      <c r="X17" s="498">
        <f t="shared" si="0"/>
        <v>12000</v>
      </c>
      <c r="Y17" s="498">
        <f t="shared" si="0"/>
        <v>0</v>
      </c>
      <c r="Z17" s="498">
        <f t="shared" si="0"/>
        <v>0</v>
      </c>
    </row>
    <row r="18" spans="1:26" x14ac:dyDescent="0.25">
      <c r="A18" s="508" t="s">
        <v>486</v>
      </c>
      <c r="B18" s="508" t="s">
        <v>487</v>
      </c>
      <c r="C18" s="508" t="s">
        <v>483</v>
      </c>
      <c r="D18" s="495" t="s">
        <v>484</v>
      </c>
      <c r="E18" s="496" t="s">
        <v>240</v>
      </c>
      <c r="F18" s="580" t="s">
        <v>488</v>
      </c>
      <c r="G18" s="410"/>
      <c r="H18" s="410"/>
      <c r="I18" s="410"/>
      <c r="J18" s="410"/>
      <c r="K18" s="410"/>
      <c r="L18" s="496"/>
      <c r="M18" s="497">
        <f>+M96</f>
        <v>0</v>
      </c>
      <c r="N18" s="496">
        <f t="shared" ref="N18" si="1">SUM(O18:Z18)</f>
        <v>750000</v>
      </c>
      <c r="O18" s="498">
        <f t="shared" ref="O18:Z18" si="2">+O96</f>
        <v>0</v>
      </c>
      <c r="P18" s="498">
        <f t="shared" si="2"/>
        <v>0</v>
      </c>
      <c r="Q18" s="498">
        <f t="shared" si="2"/>
        <v>44000</v>
      </c>
      <c r="R18" s="498">
        <f t="shared" si="2"/>
        <v>61500</v>
      </c>
      <c r="S18" s="498">
        <f t="shared" si="2"/>
        <v>61500</v>
      </c>
      <c r="T18" s="498">
        <f t="shared" si="2"/>
        <v>61500</v>
      </c>
      <c r="U18" s="498">
        <f t="shared" si="2"/>
        <v>61500</v>
      </c>
      <c r="V18" s="498">
        <f t="shared" si="2"/>
        <v>92000</v>
      </c>
      <c r="W18" s="498">
        <f t="shared" si="2"/>
        <v>92000</v>
      </c>
      <c r="X18" s="498">
        <f t="shared" si="2"/>
        <v>92000</v>
      </c>
      <c r="Y18" s="498">
        <f t="shared" si="2"/>
        <v>92000</v>
      </c>
      <c r="Z18" s="498">
        <f t="shared" si="2"/>
        <v>92000</v>
      </c>
    </row>
    <row r="19" spans="1:26" x14ac:dyDescent="0.25">
      <c r="A19" s="508" t="s">
        <v>489</v>
      </c>
      <c r="B19" s="508" t="s">
        <v>490</v>
      </c>
      <c r="C19" s="508" t="s">
        <v>483</v>
      </c>
      <c r="D19" s="495" t="s">
        <v>484</v>
      </c>
      <c r="E19" s="496" t="s">
        <v>240</v>
      </c>
      <c r="F19" s="580" t="s">
        <v>491</v>
      </c>
      <c r="G19" s="581"/>
      <c r="H19" s="581"/>
      <c r="I19" s="581"/>
      <c r="J19" s="581"/>
      <c r="K19" s="581"/>
      <c r="L19" s="496"/>
      <c r="M19" s="497">
        <f>+M101</f>
        <v>0</v>
      </c>
      <c r="N19" s="496">
        <f t="shared" ref="N19:Z19" si="3">+N101</f>
        <v>18000</v>
      </c>
      <c r="O19" s="498">
        <f t="shared" si="3"/>
        <v>1500</v>
      </c>
      <c r="P19" s="498">
        <f t="shared" si="3"/>
        <v>1500</v>
      </c>
      <c r="Q19" s="498">
        <f t="shared" si="3"/>
        <v>1500</v>
      </c>
      <c r="R19" s="498">
        <f t="shared" si="3"/>
        <v>1500</v>
      </c>
      <c r="S19" s="498">
        <f t="shared" si="3"/>
        <v>1500</v>
      </c>
      <c r="T19" s="498">
        <f t="shared" si="3"/>
        <v>1500</v>
      </c>
      <c r="U19" s="498">
        <f t="shared" si="3"/>
        <v>1500</v>
      </c>
      <c r="V19" s="498">
        <f t="shared" si="3"/>
        <v>1500</v>
      </c>
      <c r="W19" s="498">
        <f t="shared" si="3"/>
        <v>1500</v>
      </c>
      <c r="X19" s="498">
        <f t="shared" si="3"/>
        <v>1500</v>
      </c>
      <c r="Y19" s="498">
        <f t="shared" si="3"/>
        <v>1500</v>
      </c>
      <c r="Z19" s="498">
        <f t="shared" si="3"/>
        <v>1500</v>
      </c>
    </row>
    <row r="20" spans="1:26" x14ac:dyDescent="0.25">
      <c r="A20" s="508"/>
      <c r="B20" s="508"/>
      <c r="C20" s="508"/>
      <c r="D20" s="495"/>
      <c r="E20" s="496"/>
      <c r="F20" s="410"/>
      <c r="G20" s="410"/>
      <c r="H20" s="410"/>
      <c r="I20" s="410"/>
      <c r="J20" s="410"/>
      <c r="K20" s="410"/>
      <c r="L20" s="496"/>
      <c r="M20" s="410"/>
      <c r="N20" s="409"/>
      <c r="O20" s="409"/>
      <c r="P20" s="409"/>
      <c r="Q20" s="409"/>
      <c r="R20" s="409"/>
      <c r="S20" s="409"/>
      <c r="T20" s="409"/>
      <c r="U20" s="409"/>
      <c r="V20" s="409"/>
      <c r="W20" s="409"/>
      <c r="X20" s="409"/>
      <c r="Y20" s="409"/>
      <c r="Z20" s="409"/>
    </row>
    <row r="21" spans="1:26" x14ac:dyDescent="0.25">
      <c r="A21" s="508"/>
      <c r="B21" s="508"/>
      <c r="C21" s="508"/>
      <c r="D21" s="495"/>
      <c r="E21" s="496"/>
      <c r="F21" s="410"/>
      <c r="G21" s="410"/>
      <c r="H21" s="410"/>
      <c r="I21" s="410"/>
      <c r="J21" s="410"/>
      <c r="K21" s="410"/>
      <c r="L21" s="496"/>
      <c r="M21" s="410"/>
      <c r="N21" s="409"/>
      <c r="O21" s="409" t="s">
        <v>5</v>
      </c>
      <c r="P21" s="409"/>
      <c r="Q21" s="409"/>
      <c r="R21" s="409"/>
      <c r="S21" s="409"/>
      <c r="T21" s="409"/>
      <c r="U21" s="409"/>
      <c r="V21" s="409"/>
      <c r="W21" s="409"/>
      <c r="X21" s="409"/>
      <c r="Y21" s="409"/>
      <c r="Z21" s="409"/>
    </row>
    <row r="22" spans="1:26" x14ac:dyDescent="0.25">
      <c r="A22" s="499"/>
      <c r="B22" s="500"/>
      <c r="C22" s="500"/>
      <c r="D22" s="501"/>
      <c r="E22" s="415"/>
      <c r="F22" s="415"/>
      <c r="G22" s="415"/>
      <c r="H22" s="415"/>
      <c r="I22" s="415"/>
      <c r="J22" s="502" t="s">
        <v>20</v>
      </c>
      <c r="K22" s="503"/>
      <c r="L22" s="404">
        <v>12</v>
      </c>
      <c r="M22" s="404">
        <f>SUM(M17:M21)</f>
        <v>0</v>
      </c>
      <c r="N22" s="404">
        <f>SUM(N17:N21)</f>
        <v>1154000</v>
      </c>
      <c r="O22" s="404">
        <f t="shared" ref="O22:W22" si="4">SUM(O17:O21)</f>
        <v>61500</v>
      </c>
      <c r="P22" s="404">
        <f t="shared" si="4"/>
        <v>61500</v>
      </c>
      <c r="Q22" s="404">
        <f t="shared" si="4"/>
        <v>157500</v>
      </c>
      <c r="R22" s="404">
        <f t="shared" si="4"/>
        <v>145000</v>
      </c>
      <c r="S22" s="404">
        <f t="shared" si="4"/>
        <v>75000</v>
      </c>
      <c r="T22" s="404">
        <f t="shared" si="4"/>
        <v>75000</v>
      </c>
      <c r="U22" s="404">
        <f t="shared" si="4"/>
        <v>75000</v>
      </c>
      <c r="V22" s="404">
        <f t="shared" si="4"/>
        <v>105500</v>
      </c>
      <c r="W22" s="404">
        <f t="shared" si="4"/>
        <v>105500</v>
      </c>
      <c r="X22" s="404">
        <f>SUM(X17:X21)</f>
        <v>105500</v>
      </c>
      <c r="Y22" s="404">
        <f t="shared" ref="Y22:Z22" si="5">SUM(Y17:Y21)</f>
        <v>93500</v>
      </c>
      <c r="Z22" s="404">
        <f t="shared" si="5"/>
        <v>93500</v>
      </c>
    </row>
    <row r="23" spans="1:26" ht="6.75" customHeight="1" x14ac:dyDescent="0.25">
      <c r="A23" s="501"/>
      <c r="B23" s="501"/>
      <c r="C23" s="501"/>
      <c r="D23" s="501"/>
      <c r="E23" s="501"/>
      <c r="F23" s="501"/>
      <c r="G23" s="501"/>
      <c r="H23" s="501"/>
      <c r="I23" s="501"/>
      <c r="J23" s="501"/>
      <c r="K23" s="501"/>
    </row>
    <row r="24" spans="1:26" x14ac:dyDescent="0.25">
      <c r="A24" s="441" t="s">
        <v>33</v>
      </c>
      <c r="B24" s="441"/>
      <c r="C24" s="402"/>
      <c r="D24" s="402"/>
      <c r="E24" s="402"/>
      <c r="F24" s="402"/>
      <c r="G24" s="402"/>
      <c r="H24" s="491"/>
      <c r="I24" s="491"/>
      <c r="J24" s="402"/>
      <c r="K24" s="402"/>
      <c r="L24" s="402"/>
      <c r="M24" s="402"/>
      <c r="N24" s="402"/>
      <c r="O24" s="402" t="s">
        <v>5</v>
      </c>
      <c r="P24" s="402"/>
      <c r="Q24" s="402"/>
      <c r="R24" s="402"/>
      <c r="S24" s="402"/>
      <c r="T24" s="402"/>
      <c r="U24" s="402"/>
      <c r="V24" s="402"/>
      <c r="W24" s="402"/>
      <c r="X24" s="402"/>
      <c r="Y24" s="402"/>
      <c r="Z24" s="402"/>
    </row>
    <row r="25" spans="1:26" hidden="1" x14ac:dyDescent="0.25">
      <c r="A25" s="442" t="s">
        <v>261</v>
      </c>
      <c r="B25" s="442" t="s">
        <v>13</v>
      </c>
      <c r="C25" s="442" t="s">
        <v>14</v>
      </c>
      <c r="D25" s="403" t="s">
        <v>15</v>
      </c>
      <c r="E25" s="410" t="s">
        <v>5</v>
      </c>
      <c r="F25" s="410" t="s">
        <v>5</v>
      </c>
      <c r="G25" s="410" t="s">
        <v>5</v>
      </c>
      <c r="H25" s="410"/>
      <c r="I25" s="410"/>
      <c r="J25" s="410"/>
      <c r="K25" s="410" t="s">
        <v>5</v>
      </c>
      <c r="L25" s="504" t="s">
        <v>287</v>
      </c>
      <c r="M25" s="410"/>
      <c r="N25" s="409"/>
      <c r="O25" s="409" t="s">
        <v>5</v>
      </c>
      <c r="P25" s="409"/>
      <c r="Q25" s="409"/>
      <c r="R25" s="409"/>
      <c r="S25" s="409"/>
      <c r="T25" s="409"/>
      <c r="U25" s="409"/>
      <c r="V25" s="409"/>
      <c r="W25" s="409"/>
      <c r="X25" s="409"/>
      <c r="Y25" s="409"/>
      <c r="Z25" s="409"/>
    </row>
    <row r="26" spans="1:26" hidden="1" x14ac:dyDescent="0.25">
      <c r="A26" s="535" t="str">
        <f>CONCATENATE(B17," ",C17)</f>
        <v>Softwares and Training NuevaUnion</v>
      </c>
      <c r="B26" s="535"/>
      <c r="C26" s="536"/>
      <c r="D26" s="536"/>
      <c r="E26" s="507"/>
      <c r="F26" s="507"/>
      <c r="G26" s="507"/>
      <c r="H26" s="507"/>
      <c r="I26" s="507"/>
      <c r="J26" s="507"/>
      <c r="K26" s="507"/>
      <c r="L26" s="582" t="s">
        <v>484</v>
      </c>
      <c r="M26" s="507"/>
      <c r="N26" s="507"/>
      <c r="O26" s="507" t="s">
        <v>5</v>
      </c>
      <c r="P26" s="507"/>
      <c r="Q26" s="507"/>
      <c r="R26" s="507"/>
      <c r="S26" s="507"/>
      <c r="T26" s="507"/>
      <c r="U26" s="507"/>
      <c r="V26" s="507"/>
      <c r="W26" s="507"/>
      <c r="X26" s="507"/>
      <c r="Y26" s="507"/>
      <c r="Z26" s="507"/>
    </row>
    <row r="27" spans="1:26" hidden="1" x14ac:dyDescent="0.25">
      <c r="A27" s="508"/>
      <c r="B27" s="508"/>
      <c r="C27" s="508"/>
      <c r="D27" s="495"/>
      <c r="E27" s="999"/>
      <c r="F27" s="999"/>
      <c r="G27" s="999"/>
      <c r="H27" s="999"/>
      <c r="I27" s="999"/>
      <c r="J27" s="999"/>
      <c r="K27" s="1000"/>
      <c r="L27" s="496"/>
      <c r="M27" s="410"/>
      <c r="N27" s="583"/>
      <c r="O27" s="409"/>
      <c r="P27" s="409"/>
      <c r="Q27" s="409"/>
      <c r="R27" s="409"/>
      <c r="S27" s="409"/>
      <c r="T27" s="409"/>
      <c r="U27" s="409"/>
      <c r="V27" s="409"/>
      <c r="W27" s="409"/>
      <c r="X27" s="409"/>
      <c r="Y27" s="409"/>
      <c r="Z27" s="409"/>
    </row>
    <row r="28" spans="1:26" hidden="1" x14ac:dyDescent="0.25">
      <c r="A28" s="510"/>
      <c r="B28" s="510"/>
      <c r="C28" s="551"/>
      <c r="D28" s="552"/>
      <c r="E28" s="551"/>
      <c r="F28" s="551"/>
      <c r="G28" s="551"/>
      <c r="H28" s="551"/>
      <c r="I28" s="551"/>
      <c r="J28" s="551"/>
      <c r="K28" s="578"/>
      <c r="L28" s="496"/>
      <c r="M28" s="410"/>
      <c r="N28" s="409"/>
      <c r="O28" s="409"/>
      <c r="P28" s="409"/>
      <c r="Q28" s="409"/>
      <c r="R28" s="409"/>
      <c r="S28" s="409"/>
      <c r="T28" s="409"/>
      <c r="U28" s="409"/>
      <c r="V28" s="409"/>
      <c r="W28" s="409"/>
      <c r="X28" s="409"/>
      <c r="Y28" s="409"/>
      <c r="Z28" s="409"/>
    </row>
    <row r="29" spans="1:26" hidden="1" x14ac:dyDescent="0.25">
      <c r="A29" s="535" t="str">
        <f>CONCATENATE(B18," ",C18)</f>
        <v>Consulting and Studies NuevaUnion</v>
      </c>
      <c r="B29" s="535"/>
      <c r="C29" s="536"/>
      <c r="D29" s="536"/>
      <c r="E29" s="507"/>
      <c r="F29" s="507"/>
      <c r="G29" s="507"/>
      <c r="H29" s="507"/>
      <c r="I29" s="507"/>
      <c r="J29" s="507"/>
      <c r="K29" s="507"/>
      <c r="L29" s="582" t="s">
        <v>484</v>
      </c>
      <c r="M29" s="507"/>
      <c r="N29" s="507"/>
      <c r="O29" s="507" t="s">
        <v>5</v>
      </c>
      <c r="P29" s="507"/>
      <c r="Q29" s="507"/>
      <c r="R29" s="507"/>
      <c r="S29" s="507"/>
      <c r="T29" s="507"/>
      <c r="U29" s="507"/>
      <c r="V29" s="507"/>
      <c r="W29" s="507"/>
      <c r="X29" s="507"/>
      <c r="Y29" s="507"/>
      <c r="Z29" s="507"/>
    </row>
    <row r="30" spans="1:26" hidden="1" x14ac:dyDescent="0.25">
      <c r="A30" s="508"/>
      <c r="B30" s="508"/>
      <c r="C30" s="508"/>
      <c r="D30" s="495"/>
      <c r="E30" s="551"/>
      <c r="F30" s="551"/>
      <c r="G30" s="551"/>
      <c r="H30" s="551"/>
      <c r="I30" s="551"/>
      <c r="J30" s="551"/>
      <c r="K30" s="578"/>
      <c r="L30" s="496"/>
      <c r="M30" s="410"/>
      <c r="N30" s="583"/>
      <c r="O30" s="584"/>
      <c r="P30" s="584"/>
      <c r="Q30" s="584"/>
      <c r="R30" s="584"/>
      <c r="S30" s="584"/>
      <c r="T30" s="584"/>
      <c r="U30" s="584"/>
      <c r="V30" s="584"/>
      <c r="W30" s="584"/>
      <c r="X30" s="584"/>
      <c r="Y30" s="584"/>
      <c r="Z30" s="584"/>
    </row>
    <row r="31" spans="1:26" hidden="1" x14ac:dyDescent="0.25">
      <c r="A31" s="508"/>
      <c r="B31" s="508"/>
      <c r="C31" s="508"/>
      <c r="D31" s="495"/>
      <c r="E31" s="999" t="s">
        <v>5</v>
      </c>
      <c r="F31" s="999" t="s">
        <v>5</v>
      </c>
      <c r="G31" s="999" t="s">
        <v>5</v>
      </c>
      <c r="H31" s="999"/>
      <c r="I31" s="999"/>
      <c r="J31" s="999"/>
      <c r="K31" s="1000" t="s">
        <v>5</v>
      </c>
      <c r="L31" s="496"/>
      <c r="M31" s="410"/>
      <c r="N31" s="409"/>
      <c r="O31" s="585" t="s">
        <v>5</v>
      </c>
      <c r="P31" s="585" t="s">
        <v>5</v>
      </c>
      <c r="Q31" s="585" t="s">
        <v>5</v>
      </c>
      <c r="R31" s="585" t="s">
        <v>5</v>
      </c>
      <c r="S31" s="585" t="s">
        <v>5</v>
      </c>
      <c r="T31" s="585" t="s">
        <v>5</v>
      </c>
      <c r="U31" s="585" t="s">
        <v>5</v>
      </c>
      <c r="V31" s="585" t="s">
        <v>5</v>
      </c>
      <c r="W31" s="585" t="s">
        <v>5</v>
      </c>
      <c r="X31" s="585" t="s">
        <v>5</v>
      </c>
      <c r="Y31" s="585" t="s">
        <v>5</v>
      </c>
      <c r="Z31" s="585" t="s">
        <v>5</v>
      </c>
    </row>
    <row r="32" spans="1:26" hidden="1" x14ac:dyDescent="0.25">
      <c r="A32" s="535" t="str">
        <f>CONCATENATE(B19," ",C19)</f>
        <v>Administration and Visits NuevaUnion</v>
      </c>
      <c r="B32" s="535"/>
      <c r="C32" s="536"/>
      <c r="D32" s="536"/>
      <c r="E32" s="507"/>
      <c r="F32" s="507"/>
      <c r="G32" s="507"/>
      <c r="H32" s="507"/>
      <c r="I32" s="507"/>
      <c r="J32" s="507"/>
      <c r="K32" s="507"/>
      <c r="L32" s="582" t="s">
        <v>484</v>
      </c>
      <c r="M32" s="507"/>
      <c r="N32" s="507"/>
      <c r="O32" s="507" t="s">
        <v>5</v>
      </c>
      <c r="P32" s="507"/>
      <c r="Q32" s="507"/>
      <c r="R32" s="507"/>
      <c r="S32" s="507"/>
      <c r="T32" s="507"/>
      <c r="U32" s="507"/>
      <c r="V32" s="507"/>
      <c r="W32" s="507"/>
      <c r="X32" s="507"/>
      <c r="Y32" s="507"/>
      <c r="Z32" s="507"/>
    </row>
    <row r="33" spans="1:26" hidden="1" x14ac:dyDescent="0.25">
      <c r="A33" s="508"/>
      <c r="B33" s="508"/>
      <c r="C33" s="508"/>
      <c r="D33" s="495"/>
      <c r="E33" s="999"/>
      <c r="F33" s="999"/>
      <c r="G33" s="999"/>
      <c r="H33" s="999"/>
      <c r="I33" s="999"/>
      <c r="J33" s="999"/>
      <c r="K33" s="1000"/>
      <c r="L33" s="496"/>
      <c r="M33" s="410"/>
      <c r="N33" s="583"/>
      <c r="O33" s="409"/>
      <c r="P33" s="409"/>
      <c r="Q33" s="409"/>
      <c r="R33" s="409"/>
      <c r="S33" s="409"/>
      <c r="T33" s="409"/>
      <c r="U33" s="409"/>
      <c r="V33" s="409"/>
      <c r="W33" s="409"/>
      <c r="X33" s="409"/>
      <c r="Y33" s="409"/>
      <c r="Z33" s="409"/>
    </row>
    <row r="34" spans="1:26" hidden="1" outlineLevel="1" x14ac:dyDescent="0.25">
      <c r="A34" s="508"/>
      <c r="B34" s="508"/>
      <c r="C34" s="508"/>
      <c r="D34" s="495"/>
      <c r="E34" s="999" t="s">
        <v>5</v>
      </c>
      <c r="F34" s="999" t="s">
        <v>5</v>
      </c>
      <c r="G34" s="999" t="s">
        <v>5</v>
      </c>
      <c r="H34" s="999"/>
      <c r="I34" s="999"/>
      <c r="J34" s="999"/>
      <c r="K34" s="1000" t="s">
        <v>5</v>
      </c>
      <c r="L34" s="496"/>
      <c r="M34" s="410"/>
      <c r="N34" s="409"/>
      <c r="O34" s="409" t="s">
        <v>5</v>
      </c>
      <c r="P34" s="409"/>
      <c r="Q34" s="409"/>
      <c r="R34" s="409"/>
      <c r="S34" s="409"/>
      <c r="T34" s="409"/>
      <c r="U34" s="409"/>
      <c r="V34" s="409"/>
      <c r="W34" s="409"/>
      <c r="X34" s="409"/>
      <c r="Y34" s="409"/>
      <c r="Z34" s="409"/>
    </row>
    <row r="35" spans="1:26" hidden="1" outlineLevel="1" x14ac:dyDescent="0.25">
      <c r="A35" s="535" t="e">
        <f>CONCATENATE(#REF!," ",#REF!)</f>
        <v>#REF!</v>
      </c>
      <c r="B35" s="535"/>
      <c r="C35" s="536"/>
      <c r="D35" s="536"/>
      <c r="E35" s="507"/>
      <c r="F35" s="507"/>
      <c r="G35" s="507"/>
      <c r="H35" s="507"/>
      <c r="I35" s="507"/>
      <c r="J35" s="507"/>
      <c r="K35" s="507"/>
      <c r="L35" s="507"/>
      <c r="M35" s="507"/>
      <c r="N35" s="507"/>
      <c r="O35" s="507" t="s">
        <v>5</v>
      </c>
      <c r="P35" s="507"/>
      <c r="Q35" s="507"/>
      <c r="R35" s="507"/>
      <c r="S35" s="507"/>
      <c r="T35" s="507"/>
      <c r="U35" s="507"/>
      <c r="V35" s="507"/>
      <c r="W35" s="507"/>
      <c r="X35" s="507"/>
      <c r="Y35" s="507"/>
      <c r="Z35" s="507"/>
    </row>
    <row r="36" spans="1:26" hidden="1" outlineLevel="1" x14ac:dyDescent="0.25">
      <c r="A36" s="508" t="s">
        <v>269</v>
      </c>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idden="1" outlineLevel="1" x14ac:dyDescent="0.25">
      <c r="A37" s="508" t="s">
        <v>270</v>
      </c>
      <c r="B37" s="508"/>
      <c r="C37" s="508"/>
      <c r="D37" s="495"/>
      <c r="E37" s="999" t="s">
        <v>5</v>
      </c>
      <c r="F37" s="999" t="s">
        <v>5</v>
      </c>
      <c r="G37" s="999" t="s">
        <v>5</v>
      </c>
      <c r="H37" s="999"/>
      <c r="I37" s="999"/>
      <c r="J37" s="999"/>
      <c r="K37" s="1000" t="s">
        <v>5</v>
      </c>
      <c r="L37" s="496"/>
      <c r="M37" s="410"/>
      <c r="N37" s="409"/>
      <c r="O37" s="409" t="s">
        <v>5</v>
      </c>
      <c r="P37" s="409"/>
      <c r="Q37" s="409"/>
      <c r="R37" s="409"/>
      <c r="S37" s="409"/>
      <c r="T37" s="409"/>
      <c r="U37" s="409"/>
      <c r="V37" s="409"/>
      <c r="W37" s="409"/>
      <c r="X37" s="409"/>
      <c r="Y37" s="409"/>
      <c r="Z37" s="409"/>
    </row>
    <row r="38" spans="1:26" hidden="1" outlineLevel="1" x14ac:dyDescent="0.25">
      <c r="A38" s="508"/>
      <c r="B38" s="508"/>
      <c r="C38" s="508"/>
      <c r="D38" s="495"/>
      <c r="E38" s="999" t="s">
        <v>5</v>
      </c>
      <c r="F38" s="999" t="s">
        <v>5</v>
      </c>
      <c r="G38" s="999" t="s">
        <v>5</v>
      </c>
      <c r="H38" s="999"/>
      <c r="I38" s="999"/>
      <c r="J38" s="999"/>
      <c r="K38" s="1000" t="s">
        <v>5</v>
      </c>
      <c r="L38" s="496"/>
      <c r="M38" s="410"/>
      <c r="N38" s="409"/>
      <c r="O38" s="409" t="s">
        <v>5</v>
      </c>
      <c r="P38" s="409"/>
      <c r="Q38" s="409"/>
      <c r="R38" s="409"/>
      <c r="S38" s="409"/>
      <c r="T38" s="409"/>
      <c r="U38" s="409"/>
      <c r="V38" s="409"/>
      <c r="W38" s="409"/>
      <c r="X38" s="409"/>
      <c r="Y38" s="409"/>
      <c r="Z38" s="409"/>
    </row>
    <row r="39" spans="1:26" hidden="1" outlineLevel="1" x14ac:dyDescent="0.25">
      <c r="A39" s="508"/>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idden="1" outlineLevel="1" x14ac:dyDescent="0.25">
      <c r="A40" s="508"/>
      <c r="B40" s="508"/>
      <c r="C40" s="508"/>
      <c r="D40" s="495"/>
      <c r="E40" s="999" t="s">
        <v>5</v>
      </c>
      <c r="F40" s="999" t="s">
        <v>5</v>
      </c>
      <c r="G40" s="999" t="s">
        <v>5</v>
      </c>
      <c r="H40" s="999"/>
      <c r="I40" s="999"/>
      <c r="J40" s="999"/>
      <c r="K40" s="1000" t="s">
        <v>5</v>
      </c>
      <c r="L40" s="496"/>
      <c r="M40" s="410"/>
      <c r="N40" s="409"/>
      <c r="O40" s="409" t="s">
        <v>5</v>
      </c>
      <c r="P40" s="409"/>
      <c r="Q40" s="409"/>
      <c r="R40" s="409"/>
      <c r="S40" s="409"/>
      <c r="T40" s="409"/>
      <c r="U40" s="409"/>
      <c r="V40" s="409"/>
      <c r="W40" s="409"/>
      <c r="X40" s="409"/>
      <c r="Y40" s="409"/>
      <c r="Z40" s="409"/>
    </row>
    <row r="41" spans="1:26" hidden="1" outlineLevel="1" x14ac:dyDescent="0.25">
      <c r="A41" s="535" t="e">
        <f>CONCATENATE(#REF!," ",#REF!)</f>
        <v>#REF!</v>
      </c>
      <c r="B41" s="535"/>
      <c r="C41" s="536"/>
      <c r="D41" s="536"/>
      <c r="E41" s="507"/>
      <c r="F41" s="507"/>
      <c r="G41" s="507"/>
      <c r="H41" s="507"/>
      <c r="I41" s="507"/>
      <c r="J41" s="507"/>
      <c r="K41" s="507"/>
      <c r="L41" s="507"/>
      <c r="M41" s="507"/>
      <c r="N41" s="507"/>
      <c r="O41" s="507" t="s">
        <v>5</v>
      </c>
      <c r="P41" s="507"/>
      <c r="Q41" s="507"/>
      <c r="R41" s="507"/>
      <c r="S41" s="507"/>
      <c r="T41" s="507"/>
      <c r="U41" s="507"/>
      <c r="V41" s="507"/>
      <c r="W41" s="507"/>
      <c r="X41" s="507"/>
      <c r="Y41" s="507"/>
      <c r="Z41" s="507"/>
    </row>
    <row r="42" spans="1:26" hidden="1" outlineLevel="1" x14ac:dyDescent="0.25">
      <c r="A42" s="508" t="s">
        <v>271</v>
      </c>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idden="1" outlineLevel="1" x14ac:dyDescent="0.25">
      <c r="A43" s="508" t="s">
        <v>272</v>
      </c>
      <c r="B43" s="508"/>
      <c r="C43" s="508"/>
      <c r="D43" s="495"/>
      <c r="E43" s="999" t="s">
        <v>5</v>
      </c>
      <c r="F43" s="999" t="s">
        <v>5</v>
      </c>
      <c r="G43" s="999" t="s">
        <v>5</v>
      </c>
      <c r="H43" s="999"/>
      <c r="I43" s="999"/>
      <c r="J43" s="999"/>
      <c r="K43" s="1000" t="s">
        <v>5</v>
      </c>
      <c r="L43" s="496"/>
      <c r="M43" s="410"/>
      <c r="N43" s="409"/>
      <c r="O43" s="409" t="s">
        <v>5</v>
      </c>
      <c r="P43" s="409"/>
      <c r="Q43" s="409"/>
      <c r="R43" s="409"/>
      <c r="S43" s="409"/>
      <c r="T43" s="409"/>
      <c r="U43" s="409"/>
      <c r="V43" s="409"/>
      <c r="W43" s="409"/>
      <c r="X43" s="409"/>
      <c r="Y43" s="409"/>
      <c r="Z43" s="409"/>
    </row>
    <row r="44" spans="1:26" hidden="1" outlineLevel="1" x14ac:dyDescent="0.25">
      <c r="A44" s="508"/>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idden="1" outlineLevel="1" x14ac:dyDescent="0.25">
      <c r="A45" s="508"/>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idden="1" outlineLevel="1" x14ac:dyDescent="0.25">
      <c r="A46" s="508"/>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idden="1" outlineLevel="1" x14ac:dyDescent="0.25">
      <c r="A47" s="535" t="e">
        <f>CONCATENATE(#REF!," ",#REF!)</f>
        <v>#REF!</v>
      </c>
      <c r="B47" s="535"/>
      <c r="C47" s="536"/>
      <c r="D47" s="536"/>
      <c r="E47" s="507"/>
      <c r="F47" s="507"/>
      <c r="G47" s="507"/>
      <c r="H47" s="507"/>
      <c r="I47" s="507"/>
      <c r="J47" s="507"/>
      <c r="K47" s="507"/>
      <c r="L47" s="507"/>
      <c r="M47" s="507"/>
      <c r="N47" s="507"/>
      <c r="O47" s="507" t="s">
        <v>5</v>
      </c>
      <c r="P47" s="507"/>
      <c r="Q47" s="507"/>
      <c r="R47" s="507"/>
      <c r="S47" s="507"/>
      <c r="T47" s="507"/>
      <c r="U47" s="507"/>
      <c r="V47" s="507"/>
      <c r="W47" s="507"/>
      <c r="X47" s="507"/>
      <c r="Y47" s="507"/>
      <c r="Z47" s="507"/>
    </row>
    <row r="48" spans="1:26" hidden="1" outlineLevel="1" x14ac:dyDescent="0.25">
      <c r="A48" s="508" t="s">
        <v>273</v>
      </c>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idden="1" outlineLevel="1" x14ac:dyDescent="0.25">
      <c r="A49" s="508" t="s">
        <v>274</v>
      </c>
      <c r="B49" s="508"/>
      <c r="C49" s="508"/>
      <c r="D49" s="495"/>
      <c r="E49" s="999" t="s">
        <v>5</v>
      </c>
      <c r="F49" s="999" t="s">
        <v>5</v>
      </c>
      <c r="G49" s="999" t="s">
        <v>5</v>
      </c>
      <c r="H49" s="999"/>
      <c r="I49" s="999"/>
      <c r="J49" s="999"/>
      <c r="K49" s="1000" t="s">
        <v>5</v>
      </c>
      <c r="L49" s="496"/>
      <c r="M49" s="410"/>
      <c r="N49" s="409"/>
      <c r="O49" s="409" t="s">
        <v>5</v>
      </c>
      <c r="P49" s="409"/>
      <c r="Q49" s="409"/>
      <c r="R49" s="409"/>
      <c r="S49" s="409"/>
      <c r="T49" s="409"/>
      <c r="U49" s="409"/>
      <c r="V49" s="409"/>
      <c r="W49" s="409"/>
      <c r="X49" s="409"/>
      <c r="Y49" s="409"/>
      <c r="Z49" s="409"/>
    </row>
    <row r="50" spans="1:26" hidden="1" outlineLevel="1" x14ac:dyDescent="0.25">
      <c r="A50" s="508"/>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idden="1" outlineLevel="1" x14ac:dyDescent="0.25">
      <c r="A51" s="508"/>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idden="1" outlineLevel="1" x14ac:dyDescent="0.25">
      <c r="A52" s="508"/>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idden="1" outlineLevel="1" x14ac:dyDescent="0.25">
      <c r="A53" s="535" t="e">
        <f>CONCATENATE(#REF!," ",#REF!)</f>
        <v>#REF!</v>
      </c>
      <c r="B53" s="535"/>
      <c r="C53" s="536"/>
      <c r="D53" s="536"/>
      <c r="E53" s="507"/>
      <c r="F53" s="507"/>
      <c r="G53" s="507"/>
      <c r="H53" s="507"/>
      <c r="I53" s="507"/>
      <c r="J53" s="507"/>
      <c r="K53" s="507"/>
      <c r="L53" s="507"/>
      <c r="M53" s="507"/>
      <c r="N53" s="507"/>
      <c r="O53" s="507" t="s">
        <v>5</v>
      </c>
      <c r="P53" s="507"/>
      <c r="Q53" s="507"/>
      <c r="R53" s="507"/>
      <c r="S53" s="507"/>
      <c r="T53" s="507"/>
      <c r="U53" s="507"/>
      <c r="V53" s="507"/>
      <c r="W53" s="507"/>
      <c r="X53" s="507"/>
      <c r="Y53" s="507"/>
      <c r="Z53" s="507"/>
    </row>
    <row r="54" spans="1:26" hidden="1" outlineLevel="1" x14ac:dyDescent="0.25">
      <c r="A54" s="508" t="s">
        <v>275</v>
      </c>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idden="1" outlineLevel="1" x14ac:dyDescent="0.25">
      <c r="A55" s="508" t="s">
        <v>276</v>
      </c>
      <c r="B55" s="508"/>
      <c r="C55" s="508"/>
      <c r="D55" s="495"/>
      <c r="E55" s="999" t="s">
        <v>5</v>
      </c>
      <c r="F55" s="999" t="s">
        <v>5</v>
      </c>
      <c r="G55" s="999" t="s">
        <v>5</v>
      </c>
      <c r="H55" s="999"/>
      <c r="I55" s="999"/>
      <c r="J55" s="999"/>
      <c r="K55" s="1000" t="s">
        <v>5</v>
      </c>
      <c r="L55" s="496"/>
      <c r="M55" s="410"/>
      <c r="N55" s="409"/>
      <c r="O55" s="409" t="s">
        <v>5</v>
      </c>
      <c r="P55" s="409"/>
      <c r="Q55" s="409"/>
      <c r="R55" s="409"/>
      <c r="S55" s="409"/>
      <c r="T55" s="409"/>
      <c r="U55" s="409"/>
      <c r="V55" s="409"/>
      <c r="W55" s="409"/>
      <c r="X55" s="409"/>
      <c r="Y55" s="409"/>
      <c r="Z55" s="409"/>
    </row>
    <row r="56" spans="1:26" hidden="1" outlineLevel="1" x14ac:dyDescent="0.25">
      <c r="A56" s="508"/>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idden="1" outlineLevel="1" x14ac:dyDescent="0.25">
      <c r="A57" s="508"/>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idden="1" outlineLevel="1" x14ac:dyDescent="0.25">
      <c r="A58" s="508"/>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idden="1" outlineLevel="1" x14ac:dyDescent="0.25">
      <c r="A59" s="535" t="str">
        <f>CONCATENATE(B20," ",C20)</f>
        <v xml:space="preserve"> </v>
      </c>
      <c r="B59" s="535"/>
      <c r="C59" s="536"/>
      <c r="D59" s="536"/>
      <c r="E59" s="507"/>
      <c r="F59" s="507"/>
      <c r="G59" s="507"/>
      <c r="H59" s="507"/>
      <c r="I59" s="507"/>
      <c r="J59" s="507"/>
      <c r="K59" s="507"/>
      <c r="L59" s="507"/>
      <c r="M59" s="507"/>
      <c r="N59" s="507"/>
      <c r="O59" s="507" t="s">
        <v>5</v>
      </c>
      <c r="P59" s="507"/>
      <c r="Q59" s="507"/>
      <c r="R59" s="507"/>
      <c r="S59" s="507"/>
      <c r="T59" s="507"/>
      <c r="U59" s="507"/>
      <c r="V59" s="507"/>
      <c r="W59" s="507"/>
      <c r="X59" s="507"/>
      <c r="Y59" s="507"/>
      <c r="Z59" s="507"/>
    </row>
    <row r="60" spans="1:26" hidden="1" outlineLevel="1" x14ac:dyDescent="0.25">
      <c r="A60" s="508" t="s">
        <v>277</v>
      </c>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idden="1" outlineLevel="1" x14ac:dyDescent="0.25">
      <c r="A61" s="508" t="s">
        <v>278</v>
      </c>
      <c r="B61" s="508"/>
      <c r="C61" s="508"/>
      <c r="D61" s="495"/>
      <c r="E61" s="999" t="s">
        <v>5</v>
      </c>
      <c r="F61" s="999" t="s">
        <v>5</v>
      </c>
      <c r="G61" s="999" t="s">
        <v>5</v>
      </c>
      <c r="H61" s="999"/>
      <c r="I61" s="999"/>
      <c r="J61" s="999"/>
      <c r="K61" s="1000" t="s">
        <v>5</v>
      </c>
      <c r="L61" s="496"/>
      <c r="M61" s="410"/>
      <c r="N61" s="409"/>
      <c r="O61" s="409" t="s">
        <v>5</v>
      </c>
      <c r="P61" s="409"/>
      <c r="Q61" s="409"/>
      <c r="R61" s="409"/>
      <c r="S61" s="409"/>
      <c r="T61" s="409"/>
      <c r="U61" s="409"/>
      <c r="V61" s="409"/>
      <c r="W61" s="409"/>
      <c r="X61" s="409"/>
      <c r="Y61" s="409"/>
      <c r="Z61" s="409"/>
    </row>
    <row r="62" spans="1:26" hidden="1" outlineLevel="1" x14ac:dyDescent="0.25">
      <c r="A62" s="508"/>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idden="1" outlineLevel="1" x14ac:dyDescent="0.25">
      <c r="A63" s="508"/>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idden="1" outlineLevel="1" x14ac:dyDescent="0.25">
      <c r="A64" s="508"/>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idden="1" outlineLevel="1" x14ac:dyDescent="0.25">
      <c r="A65" s="535" t="str">
        <f>CONCATENATE(B21," ",C21)</f>
        <v xml:space="preserve"> </v>
      </c>
      <c r="B65" s="535"/>
      <c r="C65" s="536"/>
      <c r="D65" s="536"/>
      <c r="E65" s="507"/>
      <c r="F65" s="507"/>
      <c r="G65" s="507"/>
      <c r="H65" s="507"/>
      <c r="I65" s="507"/>
      <c r="J65" s="507"/>
      <c r="K65" s="507"/>
      <c r="L65" s="507"/>
      <c r="M65" s="507"/>
      <c r="N65" s="507"/>
      <c r="O65" s="507" t="s">
        <v>5</v>
      </c>
      <c r="P65" s="507"/>
      <c r="Q65" s="507"/>
      <c r="R65" s="507"/>
      <c r="S65" s="507"/>
      <c r="T65" s="507"/>
      <c r="U65" s="507"/>
      <c r="V65" s="507"/>
      <c r="W65" s="507"/>
      <c r="X65" s="507"/>
      <c r="Y65" s="507"/>
      <c r="Z65" s="507"/>
    </row>
    <row r="66" spans="1:26" hidden="1" outlineLevel="1" x14ac:dyDescent="0.25">
      <c r="A66" s="508" t="s">
        <v>279</v>
      </c>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idden="1" outlineLevel="1" x14ac:dyDescent="0.25">
      <c r="A67" s="508" t="s">
        <v>280</v>
      </c>
      <c r="B67" s="508"/>
      <c r="C67" s="508"/>
      <c r="D67" s="495"/>
      <c r="E67" s="999" t="s">
        <v>5</v>
      </c>
      <c r="F67" s="999" t="s">
        <v>5</v>
      </c>
      <c r="G67" s="999" t="s">
        <v>5</v>
      </c>
      <c r="H67" s="999"/>
      <c r="I67" s="999"/>
      <c r="J67" s="999"/>
      <c r="K67" s="1000" t="s">
        <v>5</v>
      </c>
      <c r="L67" s="496"/>
      <c r="M67" s="410"/>
      <c r="N67" s="409"/>
      <c r="O67" s="409" t="s">
        <v>5</v>
      </c>
      <c r="P67" s="409"/>
      <c r="Q67" s="409"/>
      <c r="R67" s="409"/>
      <c r="S67" s="409"/>
      <c r="T67" s="409"/>
      <c r="U67" s="409"/>
      <c r="V67" s="409"/>
      <c r="W67" s="409"/>
      <c r="X67" s="409"/>
      <c r="Y67" s="409"/>
      <c r="Z67" s="409"/>
    </row>
    <row r="68" spans="1:26" hidden="1" outlineLevel="1" x14ac:dyDescent="0.25">
      <c r="A68" s="508"/>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idden="1" outlineLevel="1" x14ac:dyDescent="0.25">
      <c r="A69" s="508"/>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idden="1" outlineLevel="1" x14ac:dyDescent="0.25">
      <c r="A70" s="508"/>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t="6.75" customHeight="1" collapsed="1" x14ac:dyDescent="0.25"/>
    <row r="72" spans="1:26" x14ac:dyDescent="0.25">
      <c r="A72" s="441" t="s">
        <v>37</v>
      </c>
      <c r="B72" s="441"/>
      <c r="C72" s="402"/>
      <c r="D72" s="402"/>
      <c r="E72" s="402"/>
      <c r="F72" s="402"/>
      <c r="G72" s="402"/>
      <c r="H72" s="491"/>
      <c r="I72" s="491"/>
      <c r="J72" s="402"/>
      <c r="K72" s="402"/>
      <c r="L72" s="402"/>
      <c r="M72" s="402"/>
      <c r="N72" s="402"/>
      <c r="O72" s="402" t="s">
        <v>5</v>
      </c>
      <c r="P72" s="402"/>
      <c r="Q72" s="402"/>
      <c r="R72" s="402"/>
      <c r="S72" s="402"/>
      <c r="T72" s="402"/>
      <c r="U72" s="402"/>
      <c r="V72" s="402"/>
      <c r="W72" s="402"/>
      <c r="X72" s="402"/>
      <c r="Y72" s="402"/>
      <c r="Z72" s="402"/>
    </row>
    <row r="73" spans="1:26" x14ac:dyDescent="0.25">
      <c r="A73" s="535" t="str">
        <f>CONCATENATE(B17," ",C17)</f>
        <v>Softwares and Training NuevaUnion</v>
      </c>
      <c r="B73" s="535"/>
      <c r="C73" s="536"/>
      <c r="D73" s="53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t="57" customHeight="1" x14ac:dyDescent="0.25">
      <c r="A74" s="442" t="s">
        <v>261</v>
      </c>
      <c r="B74" s="442" t="s">
        <v>13</v>
      </c>
      <c r="C74" s="442" t="s">
        <v>14</v>
      </c>
      <c r="D74" s="509" t="s">
        <v>286</v>
      </c>
      <c r="E74" s="404" t="s">
        <v>16</v>
      </c>
      <c r="F74" s="404" t="s">
        <v>295</v>
      </c>
      <c r="G74" s="404" t="s">
        <v>39</v>
      </c>
      <c r="H74" s="404" t="s">
        <v>297</v>
      </c>
      <c r="I74" s="404" t="s">
        <v>298</v>
      </c>
      <c r="J74" s="404" t="s">
        <v>299</v>
      </c>
      <c r="K74" s="404" t="s">
        <v>300</v>
      </c>
      <c r="L74" s="404" t="s">
        <v>17</v>
      </c>
      <c r="M74" s="404" t="s">
        <v>18</v>
      </c>
      <c r="N74" s="404" t="s">
        <v>19</v>
      </c>
      <c r="O74" s="443">
        <v>43101</v>
      </c>
      <c r="P74" s="443">
        <v>43132</v>
      </c>
      <c r="Q74" s="443">
        <v>43160</v>
      </c>
      <c r="R74" s="443">
        <v>43191</v>
      </c>
      <c r="S74" s="443">
        <v>43221</v>
      </c>
      <c r="T74" s="443">
        <v>43252</v>
      </c>
      <c r="U74" s="443">
        <v>43282</v>
      </c>
      <c r="V74" s="443">
        <v>43313</v>
      </c>
      <c r="W74" s="443">
        <v>43344</v>
      </c>
      <c r="X74" s="443">
        <v>43374</v>
      </c>
      <c r="Y74" s="443">
        <v>43405</v>
      </c>
      <c r="Z74" s="443">
        <v>43435</v>
      </c>
    </row>
    <row r="75" spans="1:26" ht="15" customHeight="1" x14ac:dyDescent="0.25">
      <c r="A75" s="508" t="s">
        <v>2145</v>
      </c>
      <c r="B75" s="508" t="s">
        <v>492</v>
      </c>
      <c r="C75" s="508" t="s">
        <v>483</v>
      </c>
      <c r="D75" s="495" t="s">
        <v>484</v>
      </c>
      <c r="E75" s="496" t="s">
        <v>240</v>
      </c>
      <c r="F75" s="496"/>
      <c r="G75" s="496" t="s">
        <v>493</v>
      </c>
      <c r="H75" s="511" t="s">
        <v>42</v>
      </c>
      <c r="I75" s="511" t="s">
        <v>42</v>
      </c>
      <c r="J75" s="511"/>
      <c r="K75" s="511" t="s">
        <v>42</v>
      </c>
      <c r="L75" s="496">
        <v>12</v>
      </c>
      <c r="M75" s="496"/>
      <c r="N75" s="512">
        <f>SUM(O75:Z75)</f>
        <v>100000</v>
      </c>
      <c r="O75" s="496"/>
      <c r="P75" s="496"/>
      <c r="Q75" s="912">
        <v>50000</v>
      </c>
      <c r="R75" s="912">
        <v>50000</v>
      </c>
      <c r="S75" s="496"/>
      <c r="T75" s="496"/>
      <c r="U75" s="496"/>
      <c r="V75" s="496"/>
      <c r="W75" s="496"/>
      <c r="X75" s="496"/>
      <c r="Y75" s="496"/>
      <c r="Z75" s="496"/>
    </row>
    <row r="76" spans="1:26" ht="15" customHeight="1" x14ac:dyDescent="0.25">
      <c r="A76" s="508" t="s">
        <v>2146</v>
      </c>
      <c r="B76" s="508" t="s">
        <v>494</v>
      </c>
      <c r="C76" s="508" t="s">
        <v>483</v>
      </c>
      <c r="D76" s="495" t="s">
        <v>484</v>
      </c>
      <c r="E76" s="496" t="s">
        <v>240</v>
      </c>
      <c r="F76" s="496"/>
      <c r="G76" s="496" t="s">
        <v>493</v>
      </c>
      <c r="H76" s="511" t="s">
        <v>42</v>
      </c>
      <c r="I76" s="511" t="s">
        <v>42</v>
      </c>
      <c r="J76" s="511"/>
      <c r="K76" s="511" t="s">
        <v>42</v>
      </c>
      <c r="L76" s="496">
        <v>12</v>
      </c>
      <c r="M76" s="496"/>
      <c r="N76" s="512">
        <f t="shared" ref="N76:N80" si="6">SUM(O76:Z76)</f>
        <v>20000</v>
      </c>
      <c r="O76" s="496"/>
      <c r="P76" s="496"/>
      <c r="Q76" s="912">
        <v>10000</v>
      </c>
      <c r="R76" s="912">
        <v>10000</v>
      </c>
      <c r="S76" s="496"/>
      <c r="T76" s="496"/>
      <c r="U76" s="496"/>
      <c r="V76" s="496"/>
      <c r="W76" s="496"/>
      <c r="X76" s="496"/>
      <c r="Y76" s="496"/>
      <c r="Z76" s="496"/>
    </row>
    <row r="77" spans="1:26" ht="15" customHeight="1" x14ac:dyDescent="0.25">
      <c r="A77" s="508" t="s">
        <v>2147</v>
      </c>
      <c r="B77" s="508" t="s">
        <v>495</v>
      </c>
      <c r="C77" s="508" t="s">
        <v>483</v>
      </c>
      <c r="D77" s="495" t="s">
        <v>484</v>
      </c>
      <c r="E77" s="496" t="s">
        <v>240</v>
      </c>
      <c r="F77" s="496"/>
      <c r="G77" s="496" t="s">
        <v>493</v>
      </c>
      <c r="H77" s="511" t="s">
        <v>42</v>
      </c>
      <c r="I77" s="511" t="s">
        <v>42</v>
      </c>
      <c r="J77" s="511"/>
      <c r="K77" s="511" t="s">
        <v>42</v>
      </c>
      <c r="L77" s="496">
        <v>12</v>
      </c>
      <c r="M77" s="496"/>
      <c r="N77" s="512">
        <f t="shared" si="6"/>
        <v>120000</v>
      </c>
      <c r="O77" s="496">
        <v>60000</v>
      </c>
      <c r="P77" s="496">
        <v>60000</v>
      </c>
      <c r="Q77" s="496"/>
      <c r="R77" s="496"/>
      <c r="S77" s="496"/>
      <c r="T77" s="496"/>
      <c r="U77" s="496"/>
      <c r="V77" s="496"/>
      <c r="W77" s="496"/>
      <c r="X77" s="496"/>
      <c r="Y77" s="496"/>
      <c r="Z77" s="496"/>
    </row>
    <row r="78" spans="1:26" ht="15" customHeight="1" x14ac:dyDescent="0.25">
      <c r="A78" s="508" t="s">
        <v>2148</v>
      </c>
      <c r="B78" s="508" t="s">
        <v>496</v>
      </c>
      <c r="C78" s="508" t="s">
        <v>483</v>
      </c>
      <c r="D78" s="495" t="s">
        <v>484</v>
      </c>
      <c r="E78" s="496" t="s">
        <v>240</v>
      </c>
      <c r="F78" s="496"/>
      <c r="G78" s="496" t="s">
        <v>493</v>
      </c>
      <c r="H78" s="511" t="s">
        <v>42</v>
      </c>
      <c r="I78" s="511" t="s">
        <v>42</v>
      </c>
      <c r="J78" s="511"/>
      <c r="K78" s="511" t="s">
        <v>42</v>
      </c>
      <c r="L78" s="496">
        <v>12</v>
      </c>
      <c r="M78" s="496"/>
      <c r="N78" s="512">
        <f t="shared" si="6"/>
        <v>20000</v>
      </c>
      <c r="O78" s="496"/>
      <c r="P78" s="496"/>
      <c r="Q78" s="912">
        <v>10000</v>
      </c>
      <c r="R78" s="912">
        <v>10000</v>
      </c>
      <c r="S78" s="496"/>
      <c r="T78" s="496"/>
      <c r="U78" s="496"/>
      <c r="V78" s="496"/>
      <c r="W78" s="496"/>
      <c r="X78" s="496"/>
      <c r="Y78" s="496"/>
      <c r="Z78" s="496"/>
    </row>
    <row r="79" spans="1:26" ht="15" customHeight="1" x14ac:dyDescent="0.25">
      <c r="A79" s="508" t="s">
        <v>2149</v>
      </c>
      <c r="B79" s="508" t="s">
        <v>497</v>
      </c>
      <c r="C79" s="508" t="s">
        <v>483</v>
      </c>
      <c r="D79" s="495" t="s">
        <v>484</v>
      </c>
      <c r="E79" s="496" t="s">
        <v>240</v>
      </c>
      <c r="F79" s="496"/>
      <c r="G79" s="496" t="s">
        <v>493</v>
      </c>
      <c r="H79" s="511" t="s">
        <v>42</v>
      </c>
      <c r="I79" s="511" t="s">
        <v>42</v>
      </c>
      <c r="J79" s="511"/>
      <c r="K79" s="511" t="s">
        <v>42</v>
      </c>
      <c r="L79" s="496">
        <v>12</v>
      </c>
      <c r="M79" s="496"/>
      <c r="N79" s="512">
        <f t="shared" si="6"/>
        <v>30000</v>
      </c>
      <c r="O79" s="496"/>
      <c r="P79" s="496"/>
      <c r="Q79" s="912">
        <v>30000</v>
      </c>
      <c r="R79" s="496"/>
      <c r="S79" s="496"/>
      <c r="T79" s="496"/>
      <c r="U79" s="496"/>
      <c r="V79" s="496"/>
      <c r="W79" s="496"/>
      <c r="X79" s="496"/>
      <c r="Y79" s="496"/>
      <c r="Z79" s="496"/>
    </row>
    <row r="80" spans="1:26" ht="15" customHeight="1" x14ac:dyDescent="0.25">
      <c r="A80" s="508" t="s">
        <v>2150</v>
      </c>
      <c r="B80" s="508" t="s">
        <v>1178</v>
      </c>
      <c r="C80" s="508" t="s">
        <v>483</v>
      </c>
      <c r="D80" s="495" t="s">
        <v>484</v>
      </c>
      <c r="E80" s="496" t="s">
        <v>240</v>
      </c>
      <c r="F80" s="496"/>
      <c r="G80" s="496" t="s">
        <v>493</v>
      </c>
      <c r="H80" s="511" t="s">
        <v>42</v>
      </c>
      <c r="I80" s="511" t="s">
        <v>42</v>
      </c>
      <c r="J80" s="511"/>
      <c r="K80" s="511" t="s">
        <v>42</v>
      </c>
      <c r="L80" s="496">
        <v>12</v>
      </c>
      <c r="M80" s="496"/>
      <c r="N80" s="512">
        <f t="shared" si="6"/>
        <v>96000</v>
      </c>
      <c r="O80" s="496"/>
      <c r="P80" s="496"/>
      <c r="Q80" s="496">
        <v>12000</v>
      </c>
      <c r="R80" s="496">
        <v>12000</v>
      </c>
      <c r="S80" s="496">
        <v>12000</v>
      </c>
      <c r="T80" s="496">
        <v>12000</v>
      </c>
      <c r="U80" s="496">
        <v>12000</v>
      </c>
      <c r="V80" s="496">
        <v>12000</v>
      </c>
      <c r="W80" s="496">
        <v>12000</v>
      </c>
      <c r="X80" s="496">
        <v>12000</v>
      </c>
      <c r="Y80" s="496"/>
      <c r="Z80" s="496"/>
    </row>
    <row r="81" spans="1:26" x14ac:dyDescent="0.25">
      <c r="A81" s="508"/>
      <c r="B81" s="508"/>
      <c r="C81" s="508"/>
      <c r="D81" s="510"/>
      <c r="E81" s="496"/>
      <c r="F81" s="496"/>
      <c r="G81" s="496"/>
      <c r="H81" s="496"/>
      <c r="I81" s="496"/>
      <c r="J81" s="496"/>
      <c r="K81" s="496"/>
      <c r="L81" s="496"/>
      <c r="M81" s="496"/>
      <c r="N81" s="496"/>
      <c r="O81" s="496"/>
      <c r="P81" s="496"/>
      <c r="Q81" s="496"/>
      <c r="R81" s="496"/>
      <c r="S81" s="496"/>
      <c r="T81" s="496"/>
      <c r="U81" s="496"/>
      <c r="V81" s="496"/>
      <c r="W81" s="496"/>
      <c r="X81" s="496"/>
      <c r="Y81" s="496"/>
      <c r="Z81" s="496"/>
    </row>
    <row r="82" spans="1:26" ht="22.5" customHeight="1" x14ac:dyDescent="0.25">
      <c r="A82" s="537"/>
      <c r="B82" s="538"/>
      <c r="C82" s="538"/>
      <c r="D82" s="538"/>
      <c r="E82" s="519"/>
      <c r="F82" s="519"/>
      <c r="G82" s="519"/>
      <c r="H82" s="519"/>
      <c r="I82" s="519"/>
      <c r="J82" s="516" t="s">
        <v>20</v>
      </c>
      <c r="K82" s="519"/>
      <c r="L82" s="404">
        <f t="shared" ref="L82:Z82" si="7">SUM(L75:L81)</f>
        <v>72</v>
      </c>
      <c r="M82" s="404">
        <f t="shared" si="7"/>
        <v>0</v>
      </c>
      <c r="N82" s="404">
        <f t="shared" si="7"/>
        <v>386000</v>
      </c>
      <c r="O82" s="404">
        <f t="shared" si="7"/>
        <v>60000</v>
      </c>
      <c r="P82" s="404">
        <f t="shared" si="7"/>
        <v>60000</v>
      </c>
      <c r="Q82" s="404">
        <f t="shared" si="7"/>
        <v>112000</v>
      </c>
      <c r="R82" s="404">
        <f t="shared" si="7"/>
        <v>82000</v>
      </c>
      <c r="S82" s="404">
        <f t="shared" si="7"/>
        <v>12000</v>
      </c>
      <c r="T82" s="404">
        <f t="shared" si="7"/>
        <v>12000</v>
      </c>
      <c r="U82" s="404">
        <f t="shared" si="7"/>
        <v>12000</v>
      </c>
      <c r="V82" s="404">
        <f t="shared" si="7"/>
        <v>12000</v>
      </c>
      <c r="W82" s="404">
        <f t="shared" si="7"/>
        <v>12000</v>
      </c>
      <c r="X82" s="404">
        <f t="shared" si="7"/>
        <v>12000</v>
      </c>
      <c r="Y82" s="404">
        <f t="shared" si="7"/>
        <v>0</v>
      </c>
      <c r="Z82" s="404">
        <f t="shared" si="7"/>
        <v>0</v>
      </c>
    </row>
    <row r="83" spans="1:26" x14ac:dyDescent="0.25">
      <c r="A83" s="535" t="str">
        <f>CONCATENATE(B18," ",C18)</f>
        <v>Consulting and Studies NuevaUnion</v>
      </c>
      <c r="B83" s="535"/>
      <c r="C83" s="536"/>
      <c r="D83" s="536"/>
      <c r="E83" s="507"/>
      <c r="F83" s="507"/>
      <c r="G83" s="507"/>
      <c r="H83" s="507"/>
      <c r="I83" s="507"/>
      <c r="J83" s="507"/>
      <c r="K83" s="507"/>
      <c r="L83" s="507"/>
      <c r="M83" s="507"/>
      <c r="N83" s="507"/>
      <c r="O83" s="507" t="s">
        <v>5</v>
      </c>
      <c r="P83" s="507"/>
      <c r="Q83" s="507"/>
      <c r="R83" s="507"/>
      <c r="S83" s="507"/>
      <c r="T83" s="507"/>
      <c r="U83" s="507"/>
      <c r="V83" s="507"/>
      <c r="W83" s="507"/>
      <c r="X83" s="507"/>
      <c r="Y83" s="507"/>
      <c r="Z83" s="507"/>
    </row>
    <row r="84" spans="1:26" ht="60" x14ac:dyDescent="0.25">
      <c r="A84" s="442" t="s">
        <v>261</v>
      </c>
      <c r="B84" s="442" t="s">
        <v>13</v>
      </c>
      <c r="C84" s="442" t="s">
        <v>14</v>
      </c>
      <c r="D84" s="509" t="s">
        <v>286</v>
      </c>
      <c r="E84" s="404" t="s">
        <v>16</v>
      </c>
      <c r="F84" s="404" t="s">
        <v>295</v>
      </c>
      <c r="G84" s="404" t="s">
        <v>39</v>
      </c>
      <c r="H84" s="404" t="s">
        <v>297</v>
      </c>
      <c r="I84" s="404" t="s">
        <v>298</v>
      </c>
      <c r="J84" s="404" t="s">
        <v>299</v>
      </c>
      <c r="K84" s="404" t="s">
        <v>300</v>
      </c>
      <c r="L84" s="404" t="s">
        <v>17</v>
      </c>
      <c r="M84" s="404" t="s">
        <v>18</v>
      </c>
      <c r="N84" s="404" t="s">
        <v>19</v>
      </c>
      <c r="O84" s="443">
        <v>43101</v>
      </c>
      <c r="P84" s="443">
        <v>43132</v>
      </c>
      <c r="Q84" s="443">
        <v>43160</v>
      </c>
      <c r="R84" s="443">
        <v>43191</v>
      </c>
      <c r="S84" s="443">
        <v>43221</v>
      </c>
      <c r="T84" s="443">
        <v>43252</v>
      </c>
      <c r="U84" s="443">
        <v>43282</v>
      </c>
      <c r="V84" s="443">
        <v>43313</v>
      </c>
      <c r="W84" s="443">
        <v>43344</v>
      </c>
      <c r="X84" s="443">
        <v>43374</v>
      </c>
      <c r="Y84" s="443">
        <v>43405</v>
      </c>
      <c r="Z84" s="443">
        <v>43435</v>
      </c>
    </row>
    <row r="85" spans="1:26" x14ac:dyDescent="0.25">
      <c r="A85" s="508" t="s">
        <v>2151</v>
      </c>
      <c r="B85" s="508" t="s">
        <v>498</v>
      </c>
      <c r="C85" s="508" t="s">
        <v>483</v>
      </c>
      <c r="D85" s="495" t="s">
        <v>484</v>
      </c>
      <c r="E85" s="496" t="s">
        <v>240</v>
      </c>
      <c r="F85" s="496"/>
      <c r="G85" s="496" t="s">
        <v>493</v>
      </c>
      <c r="H85" s="511" t="s">
        <v>42</v>
      </c>
      <c r="I85" s="511" t="s">
        <v>42</v>
      </c>
      <c r="J85" s="511"/>
      <c r="K85" s="511" t="s">
        <v>42</v>
      </c>
      <c r="L85" s="496">
        <v>12</v>
      </c>
      <c r="M85" s="496"/>
      <c r="N85" s="511">
        <f t="shared" ref="N85:N92" si="8">SUM(O85:Z85)</f>
        <v>60000</v>
      </c>
      <c r="O85" s="511"/>
      <c r="P85" s="511"/>
      <c r="Q85" s="912">
        <v>6000</v>
      </c>
      <c r="R85" s="912">
        <v>6000</v>
      </c>
      <c r="S85" s="912">
        <v>6000</v>
      </c>
      <c r="T85" s="912">
        <v>6000</v>
      </c>
      <c r="U85" s="912">
        <v>6000</v>
      </c>
      <c r="V85" s="912">
        <v>6000</v>
      </c>
      <c r="W85" s="912">
        <v>6000</v>
      </c>
      <c r="X85" s="912">
        <v>6000</v>
      </c>
      <c r="Y85" s="912">
        <v>6000</v>
      </c>
      <c r="Z85" s="912">
        <v>6000</v>
      </c>
    </row>
    <row r="86" spans="1:26" x14ac:dyDescent="0.25">
      <c r="A86" s="508" t="s">
        <v>2152</v>
      </c>
      <c r="B86" s="508" t="s">
        <v>499</v>
      </c>
      <c r="C86" s="508" t="s">
        <v>483</v>
      </c>
      <c r="D86" s="495" t="s">
        <v>484</v>
      </c>
      <c r="E86" s="496" t="s">
        <v>240</v>
      </c>
      <c r="F86" s="496"/>
      <c r="G86" s="496" t="s">
        <v>493</v>
      </c>
      <c r="H86" s="511" t="s">
        <v>42</v>
      </c>
      <c r="I86" s="511" t="s">
        <v>42</v>
      </c>
      <c r="J86" s="511"/>
      <c r="K86" s="511" t="s">
        <v>42</v>
      </c>
      <c r="L86" s="496">
        <v>12</v>
      </c>
      <c r="M86" s="496"/>
      <c r="N86" s="511">
        <f t="shared" si="8"/>
        <v>0</v>
      </c>
      <c r="O86" s="511"/>
      <c r="P86" s="511"/>
      <c r="Q86" s="511"/>
      <c r="R86" s="511"/>
      <c r="S86" s="511"/>
      <c r="T86" s="511"/>
      <c r="U86" s="511"/>
      <c r="V86" s="511"/>
      <c r="W86" s="511"/>
      <c r="X86" s="511"/>
      <c r="Y86" s="511"/>
      <c r="Z86" s="511"/>
    </row>
    <row r="87" spans="1:26" x14ac:dyDescent="0.25">
      <c r="A87" s="508" t="s">
        <v>2153</v>
      </c>
      <c r="B87" s="508" t="s">
        <v>500</v>
      </c>
      <c r="C87" s="508" t="s">
        <v>483</v>
      </c>
      <c r="D87" s="495" t="s">
        <v>484</v>
      </c>
      <c r="E87" s="496" t="s">
        <v>240</v>
      </c>
      <c r="F87" s="496"/>
      <c r="G87" s="496" t="s">
        <v>493</v>
      </c>
      <c r="H87" s="511" t="s">
        <v>42</v>
      </c>
      <c r="I87" s="511" t="s">
        <v>42</v>
      </c>
      <c r="J87" s="511"/>
      <c r="K87" s="511" t="s">
        <v>42</v>
      </c>
      <c r="L87" s="496">
        <v>12</v>
      </c>
      <c r="M87" s="496"/>
      <c r="N87" s="511">
        <f t="shared" si="8"/>
        <v>240000</v>
      </c>
      <c r="O87" s="511"/>
      <c r="P87" s="511"/>
      <c r="Q87" s="912">
        <v>0</v>
      </c>
      <c r="R87" s="912">
        <v>0</v>
      </c>
      <c r="S87" s="912">
        <v>0</v>
      </c>
      <c r="T87" s="912">
        <v>0</v>
      </c>
      <c r="U87" s="912">
        <v>0</v>
      </c>
      <c r="V87" s="912">
        <f t="shared" ref="V87:Z87" si="9">240000/5</f>
        <v>48000</v>
      </c>
      <c r="W87" s="912">
        <f t="shared" si="9"/>
        <v>48000</v>
      </c>
      <c r="X87" s="912">
        <f t="shared" si="9"/>
        <v>48000</v>
      </c>
      <c r="Y87" s="912">
        <f t="shared" si="9"/>
        <v>48000</v>
      </c>
      <c r="Z87" s="912">
        <f t="shared" si="9"/>
        <v>48000</v>
      </c>
    </row>
    <row r="88" spans="1:26" ht="30" x14ac:dyDescent="0.25">
      <c r="A88" s="508" t="s">
        <v>2154</v>
      </c>
      <c r="B88" s="508" t="s">
        <v>501</v>
      </c>
      <c r="C88" s="508" t="s">
        <v>483</v>
      </c>
      <c r="D88" s="495" t="s">
        <v>484</v>
      </c>
      <c r="E88" s="496" t="s">
        <v>240</v>
      </c>
      <c r="F88" s="496"/>
      <c r="G88" s="556" t="s">
        <v>493</v>
      </c>
      <c r="H88" s="511" t="s">
        <v>42</v>
      </c>
      <c r="I88" s="511" t="s">
        <v>42</v>
      </c>
      <c r="J88" s="511"/>
      <c r="K88" s="511" t="s">
        <v>42</v>
      </c>
      <c r="L88" s="496">
        <v>12</v>
      </c>
      <c r="M88" s="496"/>
      <c r="N88" s="511">
        <f t="shared" si="8"/>
        <v>0</v>
      </c>
      <c r="O88" s="511"/>
      <c r="P88" s="511"/>
      <c r="Q88" s="511"/>
      <c r="R88" s="511"/>
      <c r="S88" s="511"/>
      <c r="T88" s="511"/>
      <c r="U88" s="511"/>
      <c r="V88" s="511"/>
      <c r="W88" s="511"/>
      <c r="X88" s="511"/>
      <c r="Y88" s="511"/>
      <c r="Z88" s="511"/>
    </row>
    <row r="89" spans="1:26" x14ac:dyDescent="0.25">
      <c r="A89" s="508" t="s">
        <v>2155</v>
      </c>
      <c r="B89" s="508" t="s">
        <v>502</v>
      </c>
      <c r="C89" s="508" t="s">
        <v>483</v>
      </c>
      <c r="D89" s="495" t="s">
        <v>484</v>
      </c>
      <c r="E89" s="496" t="s">
        <v>240</v>
      </c>
      <c r="F89" s="496"/>
      <c r="G89" s="556" t="s">
        <v>493</v>
      </c>
      <c r="H89" s="511" t="s">
        <v>42</v>
      </c>
      <c r="I89" s="511" t="s">
        <v>42</v>
      </c>
      <c r="J89" s="511"/>
      <c r="K89" s="511" t="s">
        <v>42</v>
      </c>
      <c r="L89" s="496">
        <v>12</v>
      </c>
      <c r="M89" s="496"/>
      <c r="N89" s="511">
        <f t="shared" si="8"/>
        <v>0</v>
      </c>
      <c r="O89" s="511"/>
      <c r="P89" s="511"/>
      <c r="Q89" s="511"/>
      <c r="R89" s="511"/>
      <c r="S89" s="511"/>
      <c r="T89" s="511"/>
      <c r="U89" s="511"/>
      <c r="V89" s="511"/>
      <c r="W89" s="511"/>
      <c r="X89" s="511"/>
      <c r="Y89" s="511"/>
      <c r="Z89" s="511"/>
    </row>
    <row r="90" spans="1:26" x14ac:dyDescent="0.25">
      <c r="A90" s="508" t="s">
        <v>2156</v>
      </c>
      <c r="B90" s="508" t="s">
        <v>1179</v>
      </c>
      <c r="C90" s="508" t="s">
        <v>483</v>
      </c>
      <c r="D90" s="495" t="s">
        <v>484</v>
      </c>
      <c r="E90" s="496" t="s">
        <v>240</v>
      </c>
      <c r="F90" s="496"/>
      <c r="G90" s="556" t="s">
        <v>493</v>
      </c>
      <c r="H90" s="511" t="s">
        <v>42</v>
      </c>
      <c r="I90" s="511" t="s">
        <v>42</v>
      </c>
      <c r="J90" s="511"/>
      <c r="K90" s="511" t="s">
        <v>42</v>
      </c>
      <c r="L90" s="496">
        <v>12</v>
      </c>
      <c r="M90" s="496"/>
      <c r="N90" s="511">
        <f t="shared" si="8"/>
        <v>70000</v>
      </c>
      <c r="O90" s="511"/>
      <c r="P90" s="511"/>
      <c r="Q90" s="511"/>
      <c r="R90" s="912">
        <v>17500</v>
      </c>
      <c r="S90" s="912">
        <v>17500</v>
      </c>
      <c r="T90" s="912">
        <v>17500</v>
      </c>
      <c r="U90" s="912">
        <v>17500</v>
      </c>
      <c r="V90" s="511"/>
      <c r="W90" s="511"/>
      <c r="X90" s="511"/>
      <c r="Y90" s="511"/>
      <c r="Z90" s="511"/>
    </row>
    <row r="91" spans="1:26" x14ac:dyDescent="0.25">
      <c r="A91" s="508" t="s">
        <v>2157</v>
      </c>
      <c r="B91" s="508" t="s">
        <v>503</v>
      </c>
      <c r="C91" s="508" t="s">
        <v>483</v>
      </c>
      <c r="D91" s="495" t="s">
        <v>484</v>
      </c>
      <c r="E91" s="496" t="s">
        <v>240</v>
      </c>
      <c r="F91" s="496"/>
      <c r="G91" s="556" t="s">
        <v>493</v>
      </c>
      <c r="H91" s="511" t="s">
        <v>42</v>
      </c>
      <c r="I91" s="511" t="s">
        <v>42</v>
      </c>
      <c r="J91" s="511"/>
      <c r="K91" s="511" t="s">
        <v>42</v>
      </c>
      <c r="L91" s="496">
        <v>12</v>
      </c>
      <c r="M91" s="496"/>
      <c r="N91" s="511">
        <f t="shared" si="8"/>
        <v>0</v>
      </c>
      <c r="O91" s="511"/>
      <c r="P91" s="511"/>
      <c r="Q91" s="511"/>
      <c r="R91" s="511"/>
      <c r="S91" s="511"/>
      <c r="T91" s="511"/>
      <c r="U91" s="511"/>
      <c r="V91" s="511"/>
      <c r="W91" s="511"/>
      <c r="X91" s="511"/>
      <c r="Y91" s="511"/>
      <c r="Z91" s="511"/>
    </row>
    <row r="92" spans="1:26" ht="13.9" customHeight="1" x14ac:dyDescent="0.25">
      <c r="A92" s="508" t="s">
        <v>2158</v>
      </c>
      <c r="B92" s="508" t="s">
        <v>504</v>
      </c>
      <c r="C92" s="508" t="s">
        <v>483</v>
      </c>
      <c r="D92" s="495" t="s">
        <v>484</v>
      </c>
      <c r="E92" s="496" t="s">
        <v>240</v>
      </c>
      <c r="F92" s="496"/>
      <c r="G92" s="556" t="s">
        <v>493</v>
      </c>
      <c r="H92" s="511" t="s">
        <v>42</v>
      </c>
      <c r="I92" s="511" t="s">
        <v>42</v>
      </c>
      <c r="J92" s="511"/>
      <c r="K92" s="511" t="s">
        <v>42</v>
      </c>
      <c r="L92" s="496">
        <v>12</v>
      </c>
      <c r="M92" s="496"/>
      <c r="N92" s="511">
        <f t="shared" si="8"/>
        <v>0</v>
      </c>
      <c r="O92" s="511"/>
      <c r="P92" s="511"/>
      <c r="Q92" s="511"/>
      <c r="R92" s="511"/>
      <c r="S92" s="511"/>
      <c r="T92" s="511"/>
      <c r="U92" s="511"/>
      <c r="V92" s="511"/>
      <c r="W92" s="511"/>
      <c r="X92" s="511"/>
      <c r="Y92" s="511"/>
      <c r="Z92" s="511"/>
    </row>
    <row r="93" spans="1:26" ht="13.9" customHeight="1" x14ac:dyDescent="0.25">
      <c r="A93" s="508" t="s">
        <v>2159</v>
      </c>
      <c r="B93" s="508" t="s">
        <v>505</v>
      </c>
      <c r="C93" s="508" t="s">
        <v>483</v>
      </c>
      <c r="D93" s="495" t="s">
        <v>484</v>
      </c>
      <c r="E93" s="496" t="s">
        <v>240</v>
      </c>
      <c r="F93" s="496"/>
      <c r="G93" s="556" t="s">
        <v>493</v>
      </c>
      <c r="H93" s="511" t="s">
        <v>42</v>
      </c>
      <c r="I93" s="511" t="s">
        <v>42</v>
      </c>
      <c r="J93" s="511"/>
      <c r="K93" s="511" t="s">
        <v>42</v>
      </c>
      <c r="L93" s="496">
        <v>12</v>
      </c>
      <c r="M93" s="496"/>
      <c r="N93" s="511">
        <f t="shared" ref="N93:N95" si="10">SUM(O93:Z93)</f>
        <v>180000</v>
      </c>
      <c r="O93" s="511"/>
      <c r="P93" s="511"/>
      <c r="Q93" s="912">
        <v>18000</v>
      </c>
      <c r="R93" s="912">
        <v>18000</v>
      </c>
      <c r="S93" s="912">
        <v>18000</v>
      </c>
      <c r="T93" s="912">
        <v>18000</v>
      </c>
      <c r="U93" s="912">
        <v>18000</v>
      </c>
      <c r="V93" s="912">
        <v>18000</v>
      </c>
      <c r="W93" s="912">
        <v>18000</v>
      </c>
      <c r="X93" s="912">
        <v>18000</v>
      </c>
      <c r="Y93" s="912">
        <v>18000</v>
      </c>
      <c r="Z93" s="912">
        <v>18000</v>
      </c>
    </row>
    <row r="94" spans="1:26" s="588" customFormat="1" x14ac:dyDescent="0.25">
      <c r="A94" s="590" t="s">
        <v>2160</v>
      </c>
      <c r="B94" s="590" t="s">
        <v>506</v>
      </c>
      <c r="C94" s="590" t="s">
        <v>483</v>
      </c>
      <c r="D94" s="586" t="s">
        <v>484</v>
      </c>
      <c r="E94" s="587" t="s">
        <v>240</v>
      </c>
      <c r="F94" s="587"/>
      <c r="G94" s="587" t="s">
        <v>493</v>
      </c>
      <c r="H94" s="587" t="s">
        <v>42</v>
      </c>
      <c r="I94" s="587" t="s">
        <v>42</v>
      </c>
      <c r="J94" s="587"/>
      <c r="K94" s="587" t="s">
        <v>42</v>
      </c>
      <c r="L94" s="587">
        <v>12</v>
      </c>
      <c r="M94" s="587"/>
      <c r="N94" s="587">
        <f t="shared" si="10"/>
        <v>0</v>
      </c>
      <c r="O94" s="587"/>
      <c r="P94" s="587"/>
      <c r="Q94" s="587"/>
      <c r="R94" s="587"/>
      <c r="S94" s="587"/>
      <c r="T94" s="587"/>
      <c r="U94" s="587"/>
      <c r="V94" s="587"/>
      <c r="W94" s="587"/>
      <c r="X94" s="587"/>
      <c r="Y94" s="587"/>
      <c r="Z94" s="587"/>
    </row>
    <row r="95" spans="1:26" ht="27.6" customHeight="1" x14ac:dyDescent="0.25">
      <c r="A95" s="508" t="s">
        <v>2161</v>
      </c>
      <c r="B95" s="508" t="s">
        <v>1613</v>
      </c>
      <c r="C95" s="508"/>
      <c r="D95" s="777" t="s">
        <v>1614</v>
      </c>
      <c r="E95" s="496"/>
      <c r="F95" s="496"/>
      <c r="G95" s="496"/>
      <c r="H95" s="496"/>
      <c r="I95" s="496"/>
      <c r="J95" s="496"/>
      <c r="K95" s="496"/>
      <c r="L95" s="496"/>
      <c r="M95" s="496"/>
      <c r="N95" s="587">
        <f t="shared" si="10"/>
        <v>200000</v>
      </c>
      <c r="O95" s="496"/>
      <c r="P95" s="496"/>
      <c r="Q95" s="912">
        <f t="shared" ref="Q95:X95" si="11">200000/10</f>
        <v>20000</v>
      </c>
      <c r="R95" s="912">
        <f t="shared" si="11"/>
        <v>20000</v>
      </c>
      <c r="S95" s="912">
        <f t="shared" si="11"/>
        <v>20000</v>
      </c>
      <c r="T95" s="912">
        <f t="shared" si="11"/>
        <v>20000</v>
      </c>
      <c r="U95" s="912">
        <f t="shared" si="11"/>
        <v>20000</v>
      </c>
      <c r="V95" s="912">
        <f t="shared" si="11"/>
        <v>20000</v>
      </c>
      <c r="W95" s="912">
        <f t="shared" si="11"/>
        <v>20000</v>
      </c>
      <c r="X95" s="912">
        <f t="shared" si="11"/>
        <v>20000</v>
      </c>
      <c r="Y95" s="912">
        <v>20000</v>
      </c>
      <c r="Z95" s="912">
        <v>20000</v>
      </c>
    </row>
    <row r="96" spans="1:26" ht="22.5" customHeight="1" x14ac:dyDescent="0.25">
      <c r="A96" s="537"/>
      <c r="B96" s="538"/>
      <c r="C96" s="538"/>
      <c r="D96" s="538"/>
      <c r="E96" s="519"/>
      <c r="F96" s="519"/>
      <c r="G96" s="519"/>
      <c r="H96" s="519"/>
      <c r="I96" s="519"/>
      <c r="J96" s="516" t="s">
        <v>20</v>
      </c>
      <c r="K96" s="519"/>
      <c r="L96" s="404">
        <f>SUM(L95:L95)</f>
        <v>0</v>
      </c>
      <c r="M96" s="404">
        <f>SUM(M95:M95)</f>
        <v>0</v>
      </c>
      <c r="N96" s="404">
        <f>SUM(N85:N95)</f>
        <v>750000</v>
      </c>
      <c r="O96" s="404">
        <f t="shared" ref="O96:Z96" si="12">SUM(O85:O95)</f>
        <v>0</v>
      </c>
      <c r="P96" s="404">
        <f t="shared" si="12"/>
        <v>0</v>
      </c>
      <c r="Q96" s="404">
        <f t="shared" si="12"/>
        <v>44000</v>
      </c>
      <c r="R96" s="404">
        <f t="shared" si="12"/>
        <v>61500</v>
      </c>
      <c r="S96" s="404">
        <f t="shared" si="12"/>
        <v>61500</v>
      </c>
      <c r="T96" s="404">
        <f t="shared" si="12"/>
        <v>61500</v>
      </c>
      <c r="U96" s="404">
        <f t="shared" si="12"/>
        <v>61500</v>
      </c>
      <c r="V96" s="404">
        <f t="shared" si="12"/>
        <v>92000</v>
      </c>
      <c r="W96" s="404">
        <f t="shared" si="12"/>
        <v>92000</v>
      </c>
      <c r="X96" s="404">
        <f t="shared" si="12"/>
        <v>92000</v>
      </c>
      <c r="Y96" s="404">
        <f t="shared" si="12"/>
        <v>92000</v>
      </c>
      <c r="Z96" s="404">
        <f t="shared" si="12"/>
        <v>92000</v>
      </c>
    </row>
    <row r="97" spans="1:29" x14ac:dyDescent="0.25">
      <c r="A97" s="535" t="str">
        <f>CONCATENATE(B19," ",C19)</f>
        <v>Administration and Visits NuevaUnion</v>
      </c>
      <c r="B97" s="535"/>
      <c r="C97" s="536"/>
      <c r="D97" s="536"/>
      <c r="E97" s="507"/>
      <c r="F97" s="507"/>
      <c r="G97" s="507"/>
      <c r="H97" s="507"/>
      <c r="I97" s="507"/>
      <c r="J97" s="507"/>
      <c r="K97" s="507"/>
      <c r="L97" s="507"/>
      <c r="M97" s="507"/>
      <c r="N97" s="507"/>
      <c r="O97" s="507" t="s">
        <v>5</v>
      </c>
      <c r="P97" s="507"/>
      <c r="Q97" s="507"/>
      <c r="R97" s="507"/>
      <c r="S97" s="507"/>
      <c r="T97" s="507"/>
      <c r="U97" s="507"/>
      <c r="V97" s="507"/>
      <c r="W97" s="507"/>
      <c r="X97" s="507"/>
      <c r="Y97" s="507"/>
      <c r="Z97" s="507"/>
    </row>
    <row r="98" spans="1:29" ht="60" x14ac:dyDescent="0.25">
      <c r="A98" s="442" t="s">
        <v>261</v>
      </c>
      <c r="B98" s="442" t="s">
        <v>13</v>
      </c>
      <c r="C98" s="442" t="s">
        <v>14</v>
      </c>
      <c r="D98" s="509" t="s">
        <v>286</v>
      </c>
      <c r="E98" s="404" t="s">
        <v>16</v>
      </c>
      <c r="F98" s="404" t="s">
        <v>295</v>
      </c>
      <c r="G98" s="404" t="s">
        <v>39</v>
      </c>
      <c r="H98" s="404" t="s">
        <v>297</v>
      </c>
      <c r="I98" s="404" t="s">
        <v>298</v>
      </c>
      <c r="J98" s="404" t="s">
        <v>299</v>
      </c>
      <c r="K98" s="404" t="s">
        <v>300</v>
      </c>
      <c r="L98" s="404" t="s">
        <v>17</v>
      </c>
      <c r="M98" s="404" t="s">
        <v>18</v>
      </c>
      <c r="N98" s="404" t="s">
        <v>19</v>
      </c>
      <c r="O98" s="443">
        <v>43101</v>
      </c>
      <c r="P98" s="443" t="s">
        <v>5</v>
      </c>
      <c r="Q98" s="443">
        <v>43160</v>
      </c>
      <c r="R98" s="443">
        <v>43191</v>
      </c>
      <c r="S98" s="443">
        <v>43221</v>
      </c>
      <c r="T98" s="443">
        <v>43252</v>
      </c>
      <c r="U98" s="443">
        <v>43282</v>
      </c>
      <c r="V98" s="443">
        <v>43313</v>
      </c>
      <c r="W98" s="443">
        <v>43344</v>
      </c>
      <c r="X98" s="443">
        <v>43374</v>
      </c>
      <c r="Y98" s="443">
        <v>43405</v>
      </c>
      <c r="Z98" s="443">
        <v>43435</v>
      </c>
    </row>
    <row r="99" spans="1:29" x14ac:dyDescent="0.25">
      <c r="A99" s="508" t="s">
        <v>2164</v>
      </c>
      <c r="B99" s="508" t="s">
        <v>507</v>
      </c>
      <c r="C99" s="508"/>
      <c r="D99" s="510"/>
      <c r="E99" s="496" t="s">
        <v>240</v>
      </c>
      <c r="F99" s="496"/>
      <c r="G99" s="496" t="s">
        <v>493</v>
      </c>
      <c r="H99" s="511" t="s">
        <v>42</v>
      </c>
      <c r="I99" s="511" t="s">
        <v>42</v>
      </c>
      <c r="J99" s="511"/>
      <c r="K99" s="511" t="s">
        <v>42</v>
      </c>
      <c r="L99" s="496">
        <v>12</v>
      </c>
      <c r="M99" s="496"/>
      <c r="N99" s="512">
        <f t="shared" ref="N99" si="13">SUM(O99:Z99)</f>
        <v>0</v>
      </c>
      <c r="O99" s="496"/>
      <c r="P99" s="496"/>
      <c r="Q99" s="496"/>
      <c r="R99" s="496"/>
      <c r="S99" s="496"/>
      <c r="T99" s="496"/>
      <c r="U99" s="496"/>
      <c r="V99" s="496"/>
      <c r="W99" s="496"/>
      <c r="X99" s="496"/>
      <c r="Y99" s="496"/>
      <c r="Z99" s="496"/>
      <c r="AC99" s="526"/>
    </row>
    <row r="100" spans="1:29" x14ac:dyDescent="0.25">
      <c r="A100" s="508" t="s">
        <v>2165</v>
      </c>
      <c r="B100" s="508" t="s">
        <v>508</v>
      </c>
      <c r="C100" s="508"/>
      <c r="D100" s="510"/>
      <c r="E100" s="496" t="s">
        <v>240</v>
      </c>
      <c r="F100" s="496"/>
      <c r="G100" s="496" t="s">
        <v>493</v>
      </c>
      <c r="H100" s="511" t="s">
        <v>42</v>
      </c>
      <c r="I100" s="511" t="s">
        <v>42</v>
      </c>
      <c r="J100" s="511"/>
      <c r="K100" s="511" t="s">
        <v>42</v>
      </c>
      <c r="L100" s="496">
        <v>12</v>
      </c>
      <c r="M100" s="496"/>
      <c r="N100" s="512">
        <f t="shared" ref="N100" si="14">SUM(O100:Z100)</f>
        <v>18000</v>
      </c>
      <c r="O100" s="496">
        <v>1500</v>
      </c>
      <c r="P100" s="496">
        <v>1500</v>
      </c>
      <c r="Q100" s="496">
        <v>1500</v>
      </c>
      <c r="R100" s="496">
        <v>1500</v>
      </c>
      <c r="S100" s="496">
        <v>1500</v>
      </c>
      <c r="T100" s="496">
        <v>1500</v>
      </c>
      <c r="U100" s="496">
        <v>1500</v>
      </c>
      <c r="V100" s="496">
        <v>1500</v>
      </c>
      <c r="W100" s="496">
        <v>1500</v>
      </c>
      <c r="X100" s="496">
        <v>1500</v>
      </c>
      <c r="Y100" s="496">
        <v>1500</v>
      </c>
      <c r="Z100" s="496">
        <v>1500</v>
      </c>
      <c r="AC100" s="526"/>
    </row>
    <row r="101" spans="1:29" x14ac:dyDescent="0.25">
      <c r="A101" s="508"/>
      <c r="B101" s="508"/>
      <c r="C101" s="508"/>
      <c r="D101" s="510"/>
      <c r="E101" s="496"/>
      <c r="F101" s="496"/>
      <c r="G101" s="410"/>
      <c r="H101" s="496"/>
      <c r="I101" s="496"/>
      <c r="J101" s="496"/>
      <c r="K101" s="519" t="s">
        <v>20</v>
      </c>
      <c r="L101" s="404">
        <f>SUM(L98:L99)</f>
        <v>12</v>
      </c>
      <c r="M101" s="404">
        <f>SUM(M98:M99)</f>
        <v>0</v>
      </c>
      <c r="N101" s="589">
        <f t="shared" ref="N101:Z101" si="15">SUM(N99:N100)</f>
        <v>18000</v>
      </c>
      <c r="O101" s="589">
        <f t="shared" si="15"/>
        <v>1500</v>
      </c>
      <c r="P101" s="589">
        <f t="shared" si="15"/>
        <v>1500</v>
      </c>
      <c r="Q101" s="589">
        <f t="shared" si="15"/>
        <v>1500</v>
      </c>
      <c r="R101" s="589">
        <f t="shared" si="15"/>
        <v>1500</v>
      </c>
      <c r="S101" s="589">
        <f t="shared" si="15"/>
        <v>1500</v>
      </c>
      <c r="T101" s="589">
        <f t="shared" si="15"/>
        <v>1500</v>
      </c>
      <c r="U101" s="589">
        <f t="shared" si="15"/>
        <v>1500</v>
      </c>
      <c r="V101" s="589">
        <f t="shared" si="15"/>
        <v>1500</v>
      </c>
      <c r="W101" s="589">
        <f t="shared" si="15"/>
        <v>1500</v>
      </c>
      <c r="X101" s="589">
        <f t="shared" si="15"/>
        <v>1500</v>
      </c>
      <c r="Y101" s="589">
        <f t="shared" si="15"/>
        <v>1500</v>
      </c>
      <c r="Z101" s="589">
        <f t="shared" si="15"/>
        <v>1500</v>
      </c>
    </row>
    <row r="102" spans="1:29" hidden="1" outlineLevel="1" x14ac:dyDescent="0.25">
      <c r="A102" s="535" t="e">
        <f>CONCATENATE(#REF!," ",#REF!)</f>
        <v>#REF!</v>
      </c>
      <c r="B102" s="535"/>
      <c r="C102" s="536"/>
      <c r="D102" s="536"/>
      <c r="E102" s="507"/>
      <c r="F102" s="507"/>
      <c r="G102" s="507"/>
      <c r="H102" s="507"/>
      <c r="I102" s="507"/>
      <c r="J102" s="507"/>
      <c r="K102" s="507"/>
      <c r="L102" s="507"/>
      <c r="M102" s="507"/>
      <c r="N102" s="507"/>
      <c r="O102" s="507" t="s">
        <v>5</v>
      </c>
      <c r="P102" s="507"/>
      <c r="Q102" s="507"/>
      <c r="R102" s="507"/>
      <c r="S102" s="507"/>
      <c r="T102" s="507"/>
      <c r="U102" s="507"/>
      <c r="V102" s="507"/>
      <c r="W102" s="507"/>
      <c r="X102" s="507"/>
      <c r="Y102" s="507"/>
      <c r="Z102" s="507"/>
    </row>
    <row r="103" spans="1:29" ht="41.45" hidden="1" customHeight="1" outlineLevel="1" x14ac:dyDescent="0.25">
      <c r="A103" s="442" t="s">
        <v>261</v>
      </c>
      <c r="B103" s="442" t="s">
        <v>13</v>
      </c>
      <c r="C103" s="442" t="s">
        <v>14</v>
      </c>
      <c r="D103" s="509" t="s">
        <v>286</v>
      </c>
      <c r="E103" s="404" t="s">
        <v>16</v>
      </c>
      <c r="F103" s="404" t="s">
        <v>295</v>
      </c>
      <c r="G103" s="404" t="s">
        <v>39</v>
      </c>
      <c r="H103" s="404" t="s">
        <v>297</v>
      </c>
      <c r="I103" s="404" t="s">
        <v>298</v>
      </c>
      <c r="J103" s="404" t="s">
        <v>299</v>
      </c>
      <c r="K103" s="404" t="s">
        <v>300</v>
      </c>
      <c r="L103" s="404" t="s">
        <v>17</v>
      </c>
      <c r="M103" s="404" t="s">
        <v>18</v>
      </c>
      <c r="N103" s="404" t="s">
        <v>19</v>
      </c>
      <c r="O103" s="443">
        <v>43101</v>
      </c>
      <c r="P103" s="443">
        <v>43132</v>
      </c>
      <c r="Q103" s="443">
        <v>43160</v>
      </c>
      <c r="R103" s="443">
        <v>43191</v>
      </c>
      <c r="S103" s="443">
        <v>43221</v>
      </c>
      <c r="T103" s="443">
        <v>43252</v>
      </c>
      <c r="U103" s="443">
        <v>43282</v>
      </c>
      <c r="V103" s="443">
        <v>43313</v>
      </c>
      <c r="W103" s="443">
        <v>43344</v>
      </c>
      <c r="X103" s="443">
        <v>43374</v>
      </c>
      <c r="Y103" s="443">
        <v>43405</v>
      </c>
      <c r="Z103" s="443">
        <v>43435</v>
      </c>
    </row>
    <row r="104" spans="1:29" ht="15" hidden="1" customHeight="1" outlineLevel="1" x14ac:dyDescent="0.25">
      <c r="A104" s="508" t="s">
        <v>265</v>
      </c>
      <c r="B104" s="508"/>
      <c r="C104" s="508"/>
      <c r="D104" s="510"/>
      <c r="E104" s="496"/>
      <c r="F104" s="496"/>
      <c r="G104" s="496"/>
      <c r="H104" s="496"/>
      <c r="I104" s="496"/>
      <c r="J104" s="496"/>
      <c r="K104" s="496"/>
      <c r="L104" s="496"/>
      <c r="M104" s="496"/>
      <c r="N104" s="496">
        <f t="shared" ref="N104:N107" si="16">SUM(O104:Z104)</f>
        <v>0</v>
      </c>
      <c r="O104" s="496"/>
      <c r="P104" s="496"/>
      <c r="Q104" s="496"/>
      <c r="R104" s="496"/>
      <c r="S104" s="496"/>
      <c r="T104" s="496"/>
      <c r="U104" s="496"/>
      <c r="V104" s="496"/>
      <c r="W104" s="496"/>
      <c r="X104" s="496"/>
      <c r="Y104" s="496"/>
      <c r="Z104" s="496"/>
    </row>
    <row r="105" spans="1:29" ht="15" hidden="1" customHeight="1" outlineLevel="1" x14ac:dyDescent="0.25">
      <c r="A105" s="508" t="s">
        <v>266</v>
      </c>
      <c r="B105" s="508"/>
      <c r="C105" s="508"/>
      <c r="D105" s="510"/>
      <c r="E105" s="496"/>
      <c r="F105" s="496"/>
      <c r="G105" s="496"/>
      <c r="H105" s="496"/>
      <c r="I105" s="496"/>
      <c r="J105" s="496"/>
      <c r="K105" s="496"/>
      <c r="L105" s="496"/>
      <c r="M105" s="496"/>
      <c r="N105" s="496">
        <f t="shared" si="16"/>
        <v>0</v>
      </c>
      <c r="O105" s="496"/>
      <c r="P105" s="496"/>
      <c r="Q105" s="496"/>
      <c r="R105" s="496"/>
      <c r="S105" s="496"/>
      <c r="T105" s="496"/>
      <c r="U105" s="496"/>
      <c r="V105" s="496"/>
      <c r="W105" s="496"/>
      <c r="X105" s="496"/>
      <c r="Y105" s="496"/>
      <c r="Z105" s="496"/>
    </row>
    <row r="106" spans="1:29" ht="15" hidden="1" customHeight="1" outlineLevel="1" x14ac:dyDescent="0.25">
      <c r="A106" s="508" t="s">
        <v>283</v>
      </c>
      <c r="B106" s="508"/>
      <c r="C106" s="508"/>
      <c r="D106" s="510"/>
      <c r="E106" s="496"/>
      <c r="F106" s="496"/>
      <c r="G106" s="496"/>
      <c r="H106" s="496"/>
      <c r="I106" s="496"/>
      <c r="J106" s="496"/>
      <c r="K106" s="496"/>
      <c r="L106" s="496"/>
      <c r="M106" s="496"/>
      <c r="N106" s="496">
        <f t="shared" si="16"/>
        <v>0</v>
      </c>
      <c r="O106" s="496"/>
      <c r="P106" s="496"/>
      <c r="Q106" s="496"/>
      <c r="R106" s="496"/>
      <c r="S106" s="496"/>
      <c r="T106" s="496"/>
      <c r="U106" s="496"/>
      <c r="V106" s="496"/>
      <c r="W106" s="496"/>
      <c r="X106" s="496"/>
      <c r="Y106" s="496"/>
      <c r="Z106" s="496"/>
    </row>
    <row r="107" spans="1:29" ht="15" hidden="1" customHeight="1" outlineLevel="1" x14ac:dyDescent="0.25">
      <c r="A107" s="508" t="s">
        <v>284</v>
      </c>
      <c r="B107" s="508"/>
      <c r="C107" s="508"/>
      <c r="D107" s="510"/>
      <c r="E107" s="496"/>
      <c r="F107" s="496"/>
      <c r="G107" s="496"/>
      <c r="H107" s="496"/>
      <c r="I107" s="496"/>
      <c r="J107" s="496"/>
      <c r="K107" s="496"/>
      <c r="L107" s="496"/>
      <c r="M107" s="496"/>
      <c r="N107" s="496">
        <f t="shared" si="16"/>
        <v>0</v>
      </c>
      <c r="O107" s="496"/>
      <c r="P107" s="496"/>
      <c r="Q107" s="496"/>
      <c r="R107" s="496"/>
      <c r="S107" s="496"/>
      <c r="T107" s="496"/>
      <c r="U107" s="496"/>
      <c r="V107" s="496"/>
      <c r="W107" s="496"/>
      <c r="X107" s="496"/>
      <c r="Y107" s="496"/>
      <c r="Z107" s="496"/>
    </row>
    <row r="108" spans="1:29" ht="21" hidden="1" customHeight="1" outlineLevel="1" x14ac:dyDescent="0.25">
      <c r="A108" s="508" t="s">
        <v>285</v>
      </c>
      <c r="B108" s="508"/>
      <c r="C108" s="508"/>
      <c r="D108" s="510"/>
      <c r="E108" s="496"/>
      <c r="F108" s="496"/>
      <c r="G108" s="410"/>
      <c r="H108" s="496"/>
      <c r="I108" s="496"/>
      <c r="J108" s="496"/>
      <c r="K108" s="519" t="s">
        <v>20</v>
      </c>
      <c r="L108" s="404">
        <f>SUM(L103:L107)</f>
        <v>0</v>
      </c>
      <c r="M108" s="404">
        <f>SUM(M103:M107)</f>
        <v>0</v>
      </c>
      <c r="N108" s="496">
        <f>SUM(N104:N107)</f>
        <v>0</v>
      </c>
      <c r="O108" s="496">
        <f t="shared" ref="O108:Z108" si="17">SUM(O104:O107)</f>
        <v>0</v>
      </c>
      <c r="P108" s="496">
        <f t="shared" si="17"/>
        <v>0</v>
      </c>
      <c r="Q108" s="496">
        <f t="shared" si="17"/>
        <v>0</v>
      </c>
      <c r="R108" s="496">
        <f t="shared" si="17"/>
        <v>0</v>
      </c>
      <c r="S108" s="496">
        <f t="shared" si="17"/>
        <v>0</v>
      </c>
      <c r="T108" s="496">
        <f t="shared" si="17"/>
        <v>0</v>
      </c>
      <c r="U108" s="496">
        <f t="shared" si="17"/>
        <v>0</v>
      </c>
      <c r="V108" s="496">
        <f t="shared" si="17"/>
        <v>0</v>
      </c>
      <c r="W108" s="496">
        <f t="shared" si="17"/>
        <v>0</v>
      </c>
      <c r="X108" s="496">
        <f t="shared" si="17"/>
        <v>0</v>
      </c>
      <c r="Y108" s="496">
        <f t="shared" si="17"/>
        <v>0</v>
      </c>
      <c r="Z108" s="496">
        <f t="shared" si="17"/>
        <v>0</v>
      </c>
    </row>
    <row r="109" spans="1:29" hidden="1" outlineLevel="1" x14ac:dyDescent="0.25">
      <c r="A109" s="535" t="e">
        <f>CONCATENATE(#REF!," ",#REF!)</f>
        <v>#REF!</v>
      </c>
      <c r="B109" s="535"/>
      <c r="C109" s="536"/>
      <c r="D109" s="536"/>
      <c r="E109" s="507"/>
      <c r="F109" s="507"/>
      <c r="G109" s="507"/>
      <c r="H109" s="507"/>
      <c r="I109" s="507"/>
      <c r="J109" s="507"/>
      <c r="K109" s="507"/>
      <c r="L109" s="507"/>
      <c r="M109" s="507"/>
      <c r="N109" s="507"/>
      <c r="O109" s="507" t="s">
        <v>5</v>
      </c>
      <c r="P109" s="507"/>
      <c r="Q109" s="507"/>
      <c r="R109" s="507"/>
      <c r="S109" s="507"/>
      <c r="T109" s="507"/>
      <c r="U109" s="507"/>
      <c r="V109" s="507"/>
      <c r="W109" s="507"/>
      <c r="X109" s="507"/>
      <c r="Y109" s="507"/>
      <c r="Z109" s="507"/>
    </row>
    <row r="110" spans="1:29" ht="41.45" hidden="1" customHeight="1" outlineLevel="1" x14ac:dyDescent="0.25">
      <c r="A110" s="442" t="s">
        <v>261</v>
      </c>
      <c r="B110" s="442" t="s">
        <v>13</v>
      </c>
      <c r="C110" s="442" t="s">
        <v>14</v>
      </c>
      <c r="D110" s="509" t="s">
        <v>286</v>
      </c>
      <c r="E110" s="404" t="s">
        <v>16</v>
      </c>
      <c r="F110" s="404" t="s">
        <v>295</v>
      </c>
      <c r="G110" s="404" t="s">
        <v>39</v>
      </c>
      <c r="H110" s="404" t="s">
        <v>297</v>
      </c>
      <c r="I110" s="404" t="s">
        <v>298</v>
      </c>
      <c r="J110" s="404" t="s">
        <v>299</v>
      </c>
      <c r="K110" s="404" t="s">
        <v>300</v>
      </c>
      <c r="L110" s="404" t="s">
        <v>17</v>
      </c>
      <c r="M110" s="404" t="s">
        <v>18</v>
      </c>
      <c r="N110" s="404" t="s">
        <v>19</v>
      </c>
      <c r="O110" s="443">
        <v>43101</v>
      </c>
      <c r="P110" s="443">
        <v>43132</v>
      </c>
      <c r="Q110" s="443">
        <v>43160</v>
      </c>
      <c r="R110" s="443">
        <v>43191</v>
      </c>
      <c r="S110" s="443">
        <v>43221</v>
      </c>
      <c r="T110" s="443">
        <v>43252</v>
      </c>
      <c r="U110" s="443">
        <v>43282</v>
      </c>
      <c r="V110" s="443">
        <v>43313</v>
      </c>
      <c r="W110" s="443">
        <v>43344</v>
      </c>
      <c r="X110" s="443">
        <v>43374</v>
      </c>
      <c r="Y110" s="443">
        <v>43405</v>
      </c>
      <c r="Z110" s="443">
        <v>43435</v>
      </c>
    </row>
    <row r="111" spans="1:29" ht="15" hidden="1" customHeight="1" outlineLevel="1" x14ac:dyDescent="0.25">
      <c r="A111" s="508" t="s">
        <v>265</v>
      </c>
      <c r="B111" s="508"/>
      <c r="C111" s="508"/>
      <c r="D111" s="510"/>
      <c r="E111" s="496"/>
      <c r="F111" s="496"/>
      <c r="G111" s="496"/>
      <c r="H111" s="496"/>
      <c r="I111" s="496"/>
      <c r="J111" s="496"/>
      <c r="K111" s="496"/>
      <c r="L111" s="496"/>
      <c r="M111" s="496"/>
      <c r="N111" s="496">
        <f t="shared" ref="N111:N114" si="18">SUM(O111:Z111)</f>
        <v>0</v>
      </c>
      <c r="O111" s="496"/>
      <c r="P111" s="496"/>
      <c r="Q111" s="496"/>
      <c r="R111" s="496"/>
      <c r="S111" s="496"/>
      <c r="T111" s="496"/>
      <c r="U111" s="496"/>
      <c r="V111" s="496"/>
      <c r="W111" s="496"/>
      <c r="X111" s="496"/>
      <c r="Y111" s="496"/>
      <c r="Z111" s="496"/>
    </row>
    <row r="112" spans="1:29" ht="15" hidden="1" customHeight="1" outlineLevel="1" x14ac:dyDescent="0.25">
      <c r="A112" s="508" t="s">
        <v>266</v>
      </c>
      <c r="B112" s="508"/>
      <c r="C112" s="508"/>
      <c r="D112" s="510"/>
      <c r="E112" s="496"/>
      <c r="F112" s="496"/>
      <c r="G112" s="496"/>
      <c r="H112" s="496"/>
      <c r="I112" s="496"/>
      <c r="J112" s="496"/>
      <c r="K112" s="496"/>
      <c r="L112" s="496"/>
      <c r="M112" s="496"/>
      <c r="N112" s="496">
        <f t="shared" si="18"/>
        <v>0</v>
      </c>
      <c r="O112" s="496"/>
      <c r="P112" s="496"/>
      <c r="Q112" s="496"/>
      <c r="R112" s="496"/>
      <c r="S112" s="496"/>
      <c r="T112" s="496"/>
      <c r="U112" s="496"/>
      <c r="V112" s="496"/>
      <c r="W112" s="496"/>
      <c r="X112" s="496"/>
      <c r="Y112" s="496"/>
      <c r="Z112" s="496"/>
    </row>
    <row r="113" spans="1:26" ht="15" hidden="1" customHeight="1" outlineLevel="1" x14ac:dyDescent="0.25">
      <c r="A113" s="508" t="s">
        <v>283</v>
      </c>
      <c r="B113" s="508"/>
      <c r="C113" s="508"/>
      <c r="D113" s="510"/>
      <c r="E113" s="496"/>
      <c r="F113" s="496"/>
      <c r="G113" s="496"/>
      <c r="H113" s="496"/>
      <c r="I113" s="496"/>
      <c r="J113" s="496"/>
      <c r="K113" s="496"/>
      <c r="L113" s="496"/>
      <c r="M113" s="496"/>
      <c r="N113" s="496">
        <f t="shared" si="18"/>
        <v>0</v>
      </c>
      <c r="O113" s="496"/>
      <c r="P113" s="496"/>
      <c r="Q113" s="496"/>
      <c r="R113" s="496"/>
      <c r="S113" s="496"/>
      <c r="T113" s="496"/>
      <c r="U113" s="496"/>
      <c r="V113" s="496"/>
      <c r="W113" s="496"/>
      <c r="X113" s="496"/>
      <c r="Y113" s="496"/>
      <c r="Z113" s="496"/>
    </row>
    <row r="114" spans="1:26" ht="15" hidden="1" customHeight="1" outlineLevel="1" x14ac:dyDescent="0.25">
      <c r="A114" s="508" t="s">
        <v>284</v>
      </c>
      <c r="B114" s="508"/>
      <c r="C114" s="508"/>
      <c r="D114" s="510"/>
      <c r="E114" s="496"/>
      <c r="F114" s="496"/>
      <c r="G114" s="496"/>
      <c r="H114" s="496"/>
      <c r="I114" s="496"/>
      <c r="J114" s="496"/>
      <c r="K114" s="496"/>
      <c r="L114" s="496"/>
      <c r="M114" s="496"/>
      <c r="N114" s="496">
        <f t="shared" si="18"/>
        <v>0</v>
      </c>
      <c r="O114" s="496"/>
      <c r="P114" s="496"/>
      <c r="Q114" s="496"/>
      <c r="R114" s="496"/>
      <c r="S114" s="496"/>
      <c r="T114" s="496"/>
      <c r="U114" s="496"/>
      <c r="V114" s="496"/>
      <c r="W114" s="496"/>
      <c r="X114" s="496"/>
      <c r="Y114" s="496"/>
      <c r="Z114" s="496"/>
    </row>
    <row r="115" spans="1:26" ht="21" hidden="1" customHeight="1" outlineLevel="1" x14ac:dyDescent="0.25">
      <c r="A115" s="508" t="s">
        <v>285</v>
      </c>
      <c r="B115" s="508"/>
      <c r="C115" s="508"/>
      <c r="D115" s="510"/>
      <c r="E115" s="496"/>
      <c r="F115" s="496"/>
      <c r="G115" s="410"/>
      <c r="H115" s="496"/>
      <c r="I115" s="496"/>
      <c r="J115" s="496"/>
      <c r="K115" s="519" t="s">
        <v>20</v>
      </c>
      <c r="L115" s="404">
        <f>SUM(L110:L114)</f>
        <v>0</v>
      </c>
      <c r="M115" s="404">
        <f>SUM(M110:M114)</f>
        <v>0</v>
      </c>
      <c r="N115" s="496">
        <f>SUM(N111:N114)</f>
        <v>0</v>
      </c>
      <c r="O115" s="496">
        <f t="shared" ref="O115:Z115" si="19">SUM(O111:O114)</f>
        <v>0</v>
      </c>
      <c r="P115" s="496">
        <f t="shared" si="19"/>
        <v>0</v>
      </c>
      <c r="Q115" s="496">
        <f t="shared" si="19"/>
        <v>0</v>
      </c>
      <c r="R115" s="496">
        <f t="shared" si="19"/>
        <v>0</v>
      </c>
      <c r="S115" s="496">
        <f t="shared" si="19"/>
        <v>0</v>
      </c>
      <c r="T115" s="496">
        <f t="shared" si="19"/>
        <v>0</v>
      </c>
      <c r="U115" s="496">
        <f t="shared" si="19"/>
        <v>0</v>
      </c>
      <c r="V115" s="496">
        <f t="shared" si="19"/>
        <v>0</v>
      </c>
      <c r="W115" s="496">
        <f t="shared" si="19"/>
        <v>0</v>
      </c>
      <c r="X115" s="496">
        <f t="shared" si="19"/>
        <v>0</v>
      </c>
      <c r="Y115" s="496">
        <f t="shared" si="19"/>
        <v>0</v>
      </c>
      <c r="Z115" s="496">
        <f t="shared" si="19"/>
        <v>0</v>
      </c>
    </row>
    <row r="116" spans="1:26" hidden="1" outlineLevel="1" x14ac:dyDescent="0.25">
      <c r="A116" s="535" t="e">
        <f>CONCATENATE(#REF!," ",#REF!)</f>
        <v>#REF!</v>
      </c>
      <c r="B116" s="535"/>
      <c r="C116" s="536"/>
      <c r="D116" s="536"/>
      <c r="E116" s="507"/>
      <c r="F116" s="507"/>
      <c r="G116" s="507"/>
      <c r="H116" s="507"/>
      <c r="I116" s="507"/>
      <c r="J116" s="507"/>
      <c r="K116" s="507"/>
      <c r="L116" s="507"/>
      <c r="M116" s="507"/>
      <c r="N116" s="507"/>
      <c r="O116" s="507" t="s">
        <v>5</v>
      </c>
      <c r="P116" s="507"/>
      <c r="Q116" s="507"/>
      <c r="R116" s="507"/>
      <c r="S116" s="507"/>
      <c r="T116" s="507"/>
      <c r="U116" s="507"/>
      <c r="V116" s="507"/>
      <c r="W116" s="507"/>
      <c r="X116" s="507"/>
      <c r="Y116" s="507"/>
      <c r="Z116" s="507"/>
    </row>
    <row r="117" spans="1:26" ht="41.45" hidden="1" customHeight="1" outlineLevel="1" x14ac:dyDescent="0.25">
      <c r="A117" s="442" t="s">
        <v>261</v>
      </c>
      <c r="B117" s="442" t="s">
        <v>13</v>
      </c>
      <c r="C117" s="442" t="s">
        <v>14</v>
      </c>
      <c r="D117" s="509" t="s">
        <v>286</v>
      </c>
      <c r="E117" s="404" t="s">
        <v>16</v>
      </c>
      <c r="F117" s="404" t="s">
        <v>295</v>
      </c>
      <c r="G117" s="404" t="s">
        <v>39</v>
      </c>
      <c r="H117" s="404" t="s">
        <v>297</v>
      </c>
      <c r="I117" s="404" t="s">
        <v>298</v>
      </c>
      <c r="J117" s="404" t="s">
        <v>299</v>
      </c>
      <c r="K117" s="404" t="s">
        <v>300</v>
      </c>
      <c r="L117" s="404" t="s">
        <v>17</v>
      </c>
      <c r="M117" s="404" t="s">
        <v>18</v>
      </c>
      <c r="N117" s="404" t="s">
        <v>19</v>
      </c>
      <c r="O117" s="443">
        <v>43101</v>
      </c>
      <c r="P117" s="443">
        <v>43132</v>
      </c>
      <c r="Q117" s="443">
        <v>43160</v>
      </c>
      <c r="R117" s="443">
        <v>43191</v>
      </c>
      <c r="S117" s="443">
        <v>43221</v>
      </c>
      <c r="T117" s="443">
        <v>43252</v>
      </c>
      <c r="U117" s="443">
        <v>43282</v>
      </c>
      <c r="V117" s="443">
        <v>43313</v>
      </c>
      <c r="W117" s="443">
        <v>43344</v>
      </c>
      <c r="X117" s="443">
        <v>43374</v>
      </c>
      <c r="Y117" s="443">
        <v>43405</v>
      </c>
      <c r="Z117" s="443">
        <v>43435</v>
      </c>
    </row>
    <row r="118" spans="1:26" ht="15" hidden="1" customHeight="1" outlineLevel="1" x14ac:dyDescent="0.25">
      <c r="A118" s="508" t="s">
        <v>265</v>
      </c>
      <c r="B118" s="508"/>
      <c r="C118" s="508"/>
      <c r="D118" s="510"/>
      <c r="E118" s="496"/>
      <c r="F118" s="496"/>
      <c r="G118" s="496"/>
      <c r="H118" s="496"/>
      <c r="I118" s="496"/>
      <c r="J118" s="496"/>
      <c r="K118" s="496"/>
      <c r="L118" s="496"/>
      <c r="M118" s="496"/>
      <c r="N118" s="496">
        <f t="shared" ref="N118:N121" si="20">SUM(O118:Z118)</f>
        <v>0</v>
      </c>
      <c r="O118" s="496"/>
      <c r="P118" s="496"/>
      <c r="Q118" s="496"/>
      <c r="R118" s="496"/>
      <c r="S118" s="496"/>
      <c r="T118" s="496"/>
      <c r="U118" s="496"/>
      <c r="V118" s="496"/>
      <c r="W118" s="496"/>
      <c r="X118" s="496"/>
      <c r="Y118" s="496"/>
      <c r="Z118" s="496"/>
    </row>
    <row r="119" spans="1:26" ht="15" hidden="1" customHeight="1" outlineLevel="1" x14ac:dyDescent="0.25">
      <c r="A119" s="508" t="s">
        <v>266</v>
      </c>
      <c r="B119" s="508"/>
      <c r="C119" s="508"/>
      <c r="D119" s="510"/>
      <c r="E119" s="496"/>
      <c r="F119" s="496"/>
      <c r="G119" s="496"/>
      <c r="H119" s="496"/>
      <c r="I119" s="496"/>
      <c r="J119" s="496"/>
      <c r="K119" s="496"/>
      <c r="L119" s="496"/>
      <c r="M119" s="496"/>
      <c r="N119" s="496">
        <f t="shared" si="20"/>
        <v>0</v>
      </c>
      <c r="O119" s="496"/>
      <c r="P119" s="496"/>
      <c r="Q119" s="496"/>
      <c r="R119" s="496"/>
      <c r="S119" s="496"/>
      <c r="T119" s="496"/>
      <c r="U119" s="496"/>
      <c r="V119" s="496"/>
      <c r="W119" s="496"/>
      <c r="X119" s="496"/>
      <c r="Y119" s="496"/>
      <c r="Z119" s="496"/>
    </row>
    <row r="120" spans="1:26" ht="15" hidden="1" customHeight="1" outlineLevel="1" x14ac:dyDescent="0.25">
      <c r="A120" s="508" t="s">
        <v>283</v>
      </c>
      <c r="B120" s="508"/>
      <c r="C120" s="508"/>
      <c r="D120" s="510"/>
      <c r="E120" s="496"/>
      <c r="F120" s="496"/>
      <c r="G120" s="496"/>
      <c r="H120" s="496"/>
      <c r="I120" s="496"/>
      <c r="J120" s="496"/>
      <c r="K120" s="496"/>
      <c r="L120" s="496"/>
      <c r="M120" s="496"/>
      <c r="N120" s="496">
        <f t="shared" si="20"/>
        <v>0</v>
      </c>
      <c r="O120" s="496"/>
      <c r="P120" s="496"/>
      <c r="Q120" s="496"/>
      <c r="R120" s="496"/>
      <c r="S120" s="496"/>
      <c r="T120" s="496"/>
      <c r="U120" s="496"/>
      <c r="V120" s="496"/>
      <c r="W120" s="496"/>
      <c r="X120" s="496"/>
      <c r="Y120" s="496"/>
      <c r="Z120" s="496"/>
    </row>
    <row r="121" spans="1:26" ht="15" hidden="1" customHeight="1" outlineLevel="1" x14ac:dyDescent="0.25">
      <c r="A121" s="508" t="s">
        <v>284</v>
      </c>
      <c r="B121" s="508"/>
      <c r="C121" s="508"/>
      <c r="D121" s="510"/>
      <c r="E121" s="496"/>
      <c r="F121" s="496"/>
      <c r="G121" s="496"/>
      <c r="H121" s="496"/>
      <c r="I121" s="496"/>
      <c r="J121" s="496"/>
      <c r="K121" s="496"/>
      <c r="L121" s="496"/>
      <c r="M121" s="496"/>
      <c r="N121" s="496">
        <f t="shared" si="20"/>
        <v>0</v>
      </c>
      <c r="O121" s="496"/>
      <c r="P121" s="496"/>
      <c r="Q121" s="496"/>
      <c r="R121" s="496"/>
      <c r="S121" s="496"/>
      <c r="T121" s="496"/>
      <c r="U121" s="496"/>
      <c r="V121" s="496"/>
      <c r="W121" s="496"/>
      <c r="X121" s="496"/>
      <c r="Y121" s="496"/>
      <c r="Z121" s="496"/>
    </row>
    <row r="122" spans="1:26" ht="21" hidden="1" customHeight="1" outlineLevel="1" x14ac:dyDescent="0.25">
      <c r="A122" s="508" t="s">
        <v>285</v>
      </c>
      <c r="B122" s="508"/>
      <c r="C122" s="508"/>
      <c r="D122" s="510"/>
      <c r="E122" s="496"/>
      <c r="F122" s="496"/>
      <c r="G122" s="410"/>
      <c r="H122" s="496"/>
      <c r="I122" s="496"/>
      <c r="J122" s="496"/>
      <c r="K122" s="519" t="s">
        <v>20</v>
      </c>
      <c r="L122" s="404">
        <f>SUM(L117:L121)</f>
        <v>0</v>
      </c>
      <c r="M122" s="404">
        <f>SUM(M117:M121)</f>
        <v>0</v>
      </c>
      <c r="N122" s="496">
        <f>SUM(N118:N121)</f>
        <v>0</v>
      </c>
      <c r="O122" s="496">
        <f t="shared" ref="O122:Z122" si="21">SUM(O118:O121)</f>
        <v>0</v>
      </c>
      <c r="P122" s="496">
        <f t="shared" si="21"/>
        <v>0</v>
      </c>
      <c r="Q122" s="496">
        <f t="shared" si="21"/>
        <v>0</v>
      </c>
      <c r="R122" s="496">
        <f t="shared" si="21"/>
        <v>0</v>
      </c>
      <c r="S122" s="496">
        <f t="shared" si="21"/>
        <v>0</v>
      </c>
      <c r="T122" s="496">
        <f t="shared" si="21"/>
        <v>0</v>
      </c>
      <c r="U122" s="496">
        <f t="shared" si="21"/>
        <v>0</v>
      </c>
      <c r="V122" s="496">
        <f t="shared" si="21"/>
        <v>0</v>
      </c>
      <c r="W122" s="496">
        <f t="shared" si="21"/>
        <v>0</v>
      </c>
      <c r="X122" s="496">
        <f t="shared" si="21"/>
        <v>0</v>
      </c>
      <c r="Y122" s="496">
        <f t="shared" si="21"/>
        <v>0</v>
      </c>
      <c r="Z122" s="496">
        <f t="shared" si="21"/>
        <v>0</v>
      </c>
    </row>
    <row r="123" spans="1:26" hidden="1" outlineLevel="1" x14ac:dyDescent="0.25">
      <c r="A123" s="535" t="e">
        <f>CONCATENATE(#REF!," ",#REF!)</f>
        <v>#REF!</v>
      </c>
      <c r="B123" s="535"/>
      <c r="C123" s="536"/>
      <c r="D123" s="536"/>
      <c r="E123" s="507"/>
      <c r="F123" s="507"/>
      <c r="G123" s="507"/>
      <c r="H123" s="507"/>
      <c r="I123" s="507"/>
      <c r="J123" s="507"/>
      <c r="K123" s="507"/>
      <c r="L123" s="507"/>
      <c r="M123" s="507"/>
      <c r="N123" s="507"/>
      <c r="O123" s="507" t="s">
        <v>5</v>
      </c>
      <c r="P123" s="507"/>
      <c r="Q123" s="507"/>
      <c r="R123" s="507"/>
      <c r="S123" s="507"/>
      <c r="T123" s="507"/>
      <c r="U123" s="507"/>
      <c r="V123" s="507"/>
      <c r="W123" s="507"/>
      <c r="X123" s="507"/>
      <c r="Y123" s="507"/>
      <c r="Z123" s="507"/>
    </row>
    <row r="124" spans="1:26" ht="41.45" hidden="1" customHeight="1" outlineLevel="1" x14ac:dyDescent="0.25">
      <c r="A124" s="442" t="s">
        <v>261</v>
      </c>
      <c r="B124" s="442" t="s">
        <v>13</v>
      </c>
      <c r="C124" s="442" t="s">
        <v>14</v>
      </c>
      <c r="D124" s="509" t="s">
        <v>286</v>
      </c>
      <c r="E124" s="404" t="s">
        <v>16</v>
      </c>
      <c r="F124" s="404" t="s">
        <v>295</v>
      </c>
      <c r="G124" s="404" t="s">
        <v>39</v>
      </c>
      <c r="H124" s="404" t="s">
        <v>297</v>
      </c>
      <c r="I124" s="404" t="s">
        <v>298</v>
      </c>
      <c r="J124" s="404" t="s">
        <v>299</v>
      </c>
      <c r="K124" s="404" t="s">
        <v>300</v>
      </c>
      <c r="L124" s="404" t="s">
        <v>17</v>
      </c>
      <c r="M124" s="404" t="s">
        <v>18</v>
      </c>
      <c r="N124" s="404" t="s">
        <v>19</v>
      </c>
      <c r="O124" s="443">
        <v>43101</v>
      </c>
      <c r="P124" s="443">
        <v>43132</v>
      </c>
      <c r="Q124" s="443">
        <v>43160</v>
      </c>
      <c r="R124" s="443">
        <v>43191</v>
      </c>
      <c r="S124" s="443">
        <v>43221</v>
      </c>
      <c r="T124" s="443">
        <v>43252</v>
      </c>
      <c r="U124" s="443">
        <v>43282</v>
      </c>
      <c r="V124" s="443">
        <v>43313</v>
      </c>
      <c r="W124" s="443">
        <v>43344</v>
      </c>
      <c r="X124" s="443">
        <v>43374</v>
      </c>
      <c r="Y124" s="443">
        <v>43405</v>
      </c>
      <c r="Z124" s="443">
        <v>43435</v>
      </c>
    </row>
    <row r="125" spans="1:26" ht="15" hidden="1" customHeight="1" outlineLevel="1" x14ac:dyDescent="0.25">
      <c r="A125" s="508" t="s">
        <v>265</v>
      </c>
      <c r="B125" s="508"/>
      <c r="C125" s="508"/>
      <c r="D125" s="510"/>
      <c r="E125" s="496"/>
      <c r="F125" s="496"/>
      <c r="G125" s="496"/>
      <c r="H125" s="496"/>
      <c r="I125" s="496"/>
      <c r="J125" s="496"/>
      <c r="K125" s="496"/>
      <c r="L125" s="496"/>
      <c r="M125" s="496"/>
      <c r="N125" s="496">
        <f t="shared" ref="N125:N128" si="22">SUM(O125:Z125)</f>
        <v>0</v>
      </c>
      <c r="O125" s="496"/>
      <c r="P125" s="496"/>
      <c r="Q125" s="496"/>
      <c r="R125" s="496"/>
      <c r="S125" s="496"/>
      <c r="T125" s="496"/>
      <c r="U125" s="496"/>
      <c r="V125" s="496"/>
      <c r="W125" s="496"/>
      <c r="X125" s="496"/>
      <c r="Y125" s="496"/>
      <c r="Z125" s="496"/>
    </row>
    <row r="126" spans="1:26" ht="15" hidden="1" customHeight="1" outlineLevel="1" x14ac:dyDescent="0.25">
      <c r="A126" s="508" t="s">
        <v>266</v>
      </c>
      <c r="B126" s="508"/>
      <c r="C126" s="508"/>
      <c r="D126" s="510"/>
      <c r="E126" s="496"/>
      <c r="F126" s="496"/>
      <c r="G126" s="496"/>
      <c r="H126" s="496"/>
      <c r="I126" s="496"/>
      <c r="J126" s="496"/>
      <c r="K126" s="496"/>
      <c r="L126" s="496"/>
      <c r="M126" s="496"/>
      <c r="N126" s="496">
        <f t="shared" si="22"/>
        <v>0</v>
      </c>
      <c r="O126" s="496"/>
      <c r="P126" s="496"/>
      <c r="Q126" s="496"/>
      <c r="R126" s="496"/>
      <c r="S126" s="496"/>
      <c r="T126" s="496"/>
      <c r="U126" s="496"/>
      <c r="V126" s="496"/>
      <c r="W126" s="496"/>
      <c r="X126" s="496"/>
      <c r="Y126" s="496"/>
      <c r="Z126" s="496"/>
    </row>
    <row r="127" spans="1:26" ht="15" hidden="1" customHeight="1" outlineLevel="1" x14ac:dyDescent="0.25">
      <c r="A127" s="508" t="s">
        <v>283</v>
      </c>
      <c r="B127" s="508"/>
      <c r="C127" s="508"/>
      <c r="D127" s="510"/>
      <c r="E127" s="496"/>
      <c r="F127" s="496"/>
      <c r="G127" s="496"/>
      <c r="H127" s="496"/>
      <c r="I127" s="496"/>
      <c r="J127" s="496"/>
      <c r="K127" s="496"/>
      <c r="L127" s="496"/>
      <c r="M127" s="496"/>
      <c r="N127" s="496">
        <f t="shared" si="22"/>
        <v>0</v>
      </c>
      <c r="O127" s="496"/>
      <c r="P127" s="496"/>
      <c r="Q127" s="496"/>
      <c r="R127" s="496"/>
      <c r="S127" s="496"/>
      <c r="T127" s="496"/>
      <c r="U127" s="496"/>
      <c r="V127" s="496"/>
      <c r="W127" s="496"/>
      <c r="X127" s="496"/>
      <c r="Y127" s="496"/>
      <c r="Z127" s="496"/>
    </row>
    <row r="128" spans="1:26" ht="15" hidden="1" customHeight="1" outlineLevel="1" x14ac:dyDescent="0.25">
      <c r="A128" s="508" t="s">
        <v>284</v>
      </c>
      <c r="B128" s="508"/>
      <c r="C128" s="508"/>
      <c r="D128" s="510"/>
      <c r="E128" s="496"/>
      <c r="F128" s="496"/>
      <c r="G128" s="496"/>
      <c r="H128" s="496"/>
      <c r="I128" s="496"/>
      <c r="J128" s="496"/>
      <c r="K128" s="496"/>
      <c r="L128" s="496"/>
      <c r="M128" s="496"/>
      <c r="N128" s="496">
        <f t="shared" si="22"/>
        <v>0</v>
      </c>
      <c r="O128" s="496"/>
      <c r="P128" s="496"/>
      <c r="Q128" s="496"/>
      <c r="R128" s="496"/>
      <c r="S128" s="496"/>
      <c r="T128" s="496"/>
      <c r="U128" s="496"/>
      <c r="V128" s="496"/>
      <c r="W128" s="496"/>
      <c r="X128" s="496"/>
      <c r="Y128" s="496"/>
      <c r="Z128" s="496"/>
    </row>
    <row r="129" spans="1:26" ht="21" hidden="1" customHeight="1" outlineLevel="1" x14ac:dyDescent="0.25">
      <c r="A129" s="508" t="s">
        <v>285</v>
      </c>
      <c r="B129" s="508"/>
      <c r="C129" s="508"/>
      <c r="D129" s="510"/>
      <c r="E129" s="496"/>
      <c r="F129" s="496"/>
      <c r="G129" s="410"/>
      <c r="H129" s="496"/>
      <c r="I129" s="496"/>
      <c r="J129" s="496"/>
      <c r="K129" s="519" t="s">
        <v>20</v>
      </c>
      <c r="L129" s="404">
        <f>SUM(L124:L128)</f>
        <v>0</v>
      </c>
      <c r="M129" s="404">
        <f>SUM(M124:M128)</f>
        <v>0</v>
      </c>
      <c r="N129" s="496">
        <f>SUM(N125:N128)</f>
        <v>0</v>
      </c>
      <c r="O129" s="496">
        <f t="shared" ref="O129:Z129" si="23">SUM(O125:O128)</f>
        <v>0</v>
      </c>
      <c r="P129" s="496">
        <f t="shared" si="23"/>
        <v>0</v>
      </c>
      <c r="Q129" s="496">
        <f t="shared" si="23"/>
        <v>0</v>
      </c>
      <c r="R129" s="496">
        <f t="shared" si="23"/>
        <v>0</v>
      </c>
      <c r="S129" s="496">
        <f t="shared" si="23"/>
        <v>0</v>
      </c>
      <c r="T129" s="496">
        <f t="shared" si="23"/>
        <v>0</v>
      </c>
      <c r="U129" s="496">
        <f t="shared" si="23"/>
        <v>0</v>
      </c>
      <c r="V129" s="496">
        <f t="shared" si="23"/>
        <v>0</v>
      </c>
      <c r="W129" s="496">
        <f t="shared" si="23"/>
        <v>0</v>
      </c>
      <c r="X129" s="496">
        <f t="shared" si="23"/>
        <v>0</v>
      </c>
      <c r="Y129" s="496">
        <f t="shared" si="23"/>
        <v>0</v>
      </c>
      <c r="Z129" s="496">
        <f t="shared" si="23"/>
        <v>0</v>
      </c>
    </row>
    <row r="130" spans="1:26" hidden="1" outlineLevel="1" x14ac:dyDescent="0.25">
      <c r="A130" s="535" t="str">
        <f>CONCATENATE(B20," ",C20)</f>
        <v xml:space="preserve"> </v>
      </c>
      <c r="B130" s="535"/>
      <c r="C130" s="536"/>
      <c r="D130" s="536"/>
      <c r="E130" s="507"/>
      <c r="F130" s="507"/>
      <c r="G130" s="507"/>
      <c r="H130" s="507"/>
      <c r="I130" s="507"/>
      <c r="J130" s="507"/>
      <c r="K130" s="507"/>
      <c r="L130" s="507"/>
      <c r="M130" s="507"/>
      <c r="N130" s="507"/>
      <c r="O130" s="507" t="s">
        <v>5</v>
      </c>
      <c r="P130" s="507"/>
      <c r="Q130" s="507"/>
      <c r="R130" s="507"/>
      <c r="S130" s="507"/>
      <c r="T130" s="507"/>
      <c r="U130" s="507"/>
      <c r="V130" s="507"/>
      <c r="W130" s="507"/>
      <c r="X130" s="507"/>
      <c r="Y130" s="507"/>
      <c r="Z130" s="507"/>
    </row>
    <row r="131" spans="1:26" ht="41.45" hidden="1" customHeight="1" outlineLevel="1" x14ac:dyDescent="0.25">
      <c r="A131" s="442" t="s">
        <v>261</v>
      </c>
      <c r="B131" s="442" t="s">
        <v>13</v>
      </c>
      <c r="C131" s="442" t="s">
        <v>14</v>
      </c>
      <c r="D131" s="509" t="s">
        <v>286</v>
      </c>
      <c r="E131" s="404" t="s">
        <v>16</v>
      </c>
      <c r="F131" s="404" t="s">
        <v>295</v>
      </c>
      <c r="G131" s="404" t="s">
        <v>39</v>
      </c>
      <c r="H131" s="404" t="s">
        <v>297</v>
      </c>
      <c r="I131" s="404" t="s">
        <v>298</v>
      </c>
      <c r="J131" s="404" t="s">
        <v>299</v>
      </c>
      <c r="K131" s="404" t="s">
        <v>300</v>
      </c>
      <c r="L131" s="404" t="s">
        <v>17</v>
      </c>
      <c r="M131" s="404" t="s">
        <v>18</v>
      </c>
      <c r="N131" s="404" t="s">
        <v>19</v>
      </c>
      <c r="O131" s="443">
        <v>43101</v>
      </c>
      <c r="P131" s="443">
        <v>43132</v>
      </c>
      <c r="Q131" s="443">
        <v>43160</v>
      </c>
      <c r="R131" s="443">
        <v>43191</v>
      </c>
      <c r="S131" s="443">
        <v>43221</v>
      </c>
      <c r="T131" s="443">
        <v>43252</v>
      </c>
      <c r="U131" s="443">
        <v>43282</v>
      </c>
      <c r="V131" s="443">
        <v>43313</v>
      </c>
      <c r="W131" s="443">
        <v>43344</v>
      </c>
      <c r="X131" s="443">
        <v>43374</v>
      </c>
      <c r="Y131" s="443">
        <v>43405</v>
      </c>
      <c r="Z131" s="443">
        <v>43435</v>
      </c>
    </row>
    <row r="132" spans="1:26" ht="15" hidden="1" customHeight="1" outlineLevel="1" x14ac:dyDescent="0.25">
      <c r="A132" s="508" t="s">
        <v>265</v>
      </c>
      <c r="B132" s="508"/>
      <c r="C132" s="508"/>
      <c r="D132" s="510"/>
      <c r="E132" s="496"/>
      <c r="F132" s="496"/>
      <c r="G132" s="496"/>
      <c r="H132" s="496"/>
      <c r="I132" s="496"/>
      <c r="J132" s="496"/>
      <c r="K132" s="496"/>
      <c r="L132" s="496"/>
      <c r="M132" s="496"/>
      <c r="N132" s="496">
        <f t="shared" ref="N132:N135" si="24">SUM(O132:Z132)</f>
        <v>0</v>
      </c>
      <c r="O132" s="496"/>
      <c r="P132" s="496"/>
      <c r="Q132" s="496"/>
      <c r="R132" s="496"/>
      <c r="S132" s="496"/>
      <c r="T132" s="496"/>
      <c r="U132" s="496"/>
      <c r="V132" s="496"/>
      <c r="W132" s="496"/>
      <c r="X132" s="496"/>
      <c r="Y132" s="496"/>
      <c r="Z132" s="496"/>
    </row>
    <row r="133" spans="1:26" ht="15" hidden="1" customHeight="1" outlineLevel="1" x14ac:dyDescent="0.25">
      <c r="A133" s="508" t="s">
        <v>266</v>
      </c>
      <c r="B133" s="508"/>
      <c r="C133" s="508"/>
      <c r="D133" s="510"/>
      <c r="E133" s="496"/>
      <c r="F133" s="496"/>
      <c r="G133" s="496"/>
      <c r="H133" s="496"/>
      <c r="I133" s="496"/>
      <c r="J133" s="496"/>
      <c r="K133" s="496"/>
      <c r="L133" s="496"/>
      <c r="M133" s="496"/>
      <c r="N133" s="496">
        <f t="shared" si="24"/>
        <v>0</v>
      </c>
      <c r="O133" s="496"/>
      <c r="P133" s="496"/>
      <c r="Q133" s="496"/>
      <c r="R133" s="496"/>
      <c r="S133" s="496"/>
      <c r="T133" s="496"/>
      <c r="U133" s="496"/>
      <c r="V133" s="496"/>
      <c r="W133" s="496"/>
      <c r="X133" s="496"/>
      <c r="Y133" s="496"/>
      <c r="Z133" s="496"/>
    </row>
    <row r="134" spans="1:26" ht="15" hidden="1" customHeight="1" outlineLevel="1" x14ac:dyDescent="0.25">
      <c r="A134" s="508" t="s">
        <v>283</v>
      </c>
      <c r="B134" s="508"/>
      <c r="C134" s="508"/>
      <c r="D134" s="510"/>
      <c r="E134" s="496"/>
      <c r="F134" s="496"/>
      <c r="G134" s="496"/>
      <c r="H134" s="496"/>
      <c r="I134" s="496"/>
      <c r="J134" s="496"/>
      <c r="K134" s="496"/>
      <c r="L134" s="496"/>
      <c r="M134" s="496"/>
      <c r="N134" s="496">
        <f t="shared" si="24"/>
        <v>0</v>
      </c>
      <c r="O134" s="496"/>
      <c r="P134" s="496"/>
      <c r="Q134" s="496"/>
      <c r="R134" s="496"/>
      <c r="S134" s="496"/>
      <c r="T134" s="496"/>
      <c r="U134" s="496"/>
      <c r="V134" s="496"/>
      <c r="W134" s="496"/>
      <c r="X134" s="496"/>
      <c r="Y134" s="496"/>
      <c r="Z134" s="496"/>
    </row>
    <row r="135" spans="1:26" ht="15" hidden="1" customHeight="1" outlineLevel="1" x14ac:dyDescent="0.25">
      <c r="A135" s="508" t="s">
        <v>284</v>
      </c>
      <c r="B135" s="508"/>
      <c r="C135" s="508"/>
      <c r="D135" s="510"/>
      <c r="E135" s="496"/>
      <c r="F135" s="496"/>
      <c r="G135" s="496"/>
      <c r="H135" s="496"/>
      <c r="I135" s="496"/>
      <c r="J135" s="496"/>
      <c r="K135" s="496"/>
      <c r="L135" s="496"/>
      <c r="M135" s="496"/>
      <c r="N135" s="496">
        <f t="shared" si="24"/>
        <v>0</v>
      </c>
      <c r="O135" s="496"/>
      <c r="P135" s="496"/>
      <c r="Q135" s="496"/>
      <c r="R135" s="496"/>
      <c r="S135" s="496"/>
      <c r="T135" s="496"/>
      <c r="U135" s="496"/>
      <c r="V135" s="496"/>
      <c r="W135" s="496"/>
      <c r="X135" s="496"/>
      <c r="Y135" s="496"/>
      <c r="Z135" s="496"/>
    </row>
    <row r="136" spans="1:26" ht="21" hidden="1" customHeight="1" outlineLevel="1" x14ac:dyDescent="0.25">
      <c r="A136" s="508" t="s">
        <v>285</v>
      </c>
      <c r="B136" s="508"/>
      <c r="C136" s="508"/>
      <c r="D136" s="510"/>
      <c r="E136" s="496"/>
      <c r="F136" s="496"/>
      <c r="G136" s="410"/>
      <c r="H136" s="496"/>
      <c r="I136" s="496"/>
      <c r="J136" s="496"/>
      <c r="K136" s="519" t="s">
        <v>20</v>
      </c>
      <c r="L136" s="404">
        <f>SUM(L131:L135)</f>
        <v>0</v>
      </c>
      <c r="M136" s="404">
        <f>SUM(M131:M135)</f>
        <v>0</v>
      </c>
      <c r="N136" s="496">
        <f>SUM(N132:N135)</f>
        <v>0</v>
      </c>
      <c r="O136" s="496">
        <f t="shared" ref="O136:Z136" si="25">SUM(O132:O135)</f>
        <v>0</v>
      </c>
      <c r="P136" s="496">
        <f t="shared" si="25"/>
        <v>0</v>
      </c>
      <c r="Q136" s="496">
        <f t="shared" si="25"/>
        <v>0</v>
      </c>
      <c r="R136" s="496">
        <f t="shared" si="25"/>
        <v>0</v>
      </c>
      <c r="S136" s="496">
        <f t="shared" si="25"/>
        <v>0</v>
      </c>
      <c r="T136" s="496">
        <f t="shared" si="25"/>
        <v>0</v>
      </c>
      <c r="U136" s="496">
        <f t="shared" si="25"/>
        <v>0</v>
      </c>
      <c r="V136" s="496">
        <f t="shared" si="25"/>
        <v>0</v>
      </c>
      <c r="W136" s="496">
        <f t="shared" si="25"/>
        <v>0</v>
      </c>
      <c r="X136" s="496">
        <f t="shared" si="25"/>
        <v>0</v>
      </c>
      <c r="Y136" s="496">
        <f t="shared" si="25"/>
        <v>0</v>
      </c>
      <c r="Z136" s="496">
        <f t="shared" si="25"/>
        <v>0</v>
      </c>
    </row>
    <row r="137" spans="1:26" hidden="1" outlineLevel="1" x14ac:dyDescent="0.25">
      <c r="A137" s="535" t="str">
        <f>CONCATENATE(B21," ",C21)</f>
        <v xml:space="preserve"> </v>
      </c>
      <c r="B137" s="535"/>
      <c r="C137" s="536"/>
      <c r="D137" s="536"/>
      <c r="E137" s="507"/>
      <c r="F137" s="507"/>
      <c r="G137" s="507"/>
      <c r="H137" s="507"/>
      <c r="I137" s="507"/>
      <c r="J137" s="507"/>
      <c r="K137" s="507"/>
      <c r="L137" s="507"/>
      <c r="M137" s="507"/>
      <c r="N137" s="507"/>
      <c r="O137" s="507" t="s">
        <v>5</v>
      </c>
      <c r="P137" s="507"/>
      <c r="Q137" s="507"/>
      <c r="R137" s="507"/>
      <c r="S137" s="507"/>
      <c r="T137" s="507"/>
      <c r="U137" s="507"/>
      <c r="V137" s="507"/>
      <c r="W137" s="507"/>
      <c r="X137" s="507"/>
      <c r="Y137" s="507"/>
      <c r="Z137" s="507"/>
    </row>
    <row r="138" spans="1:26" ht="6.75" hidden="1" customHeight="1" collapsed="1" x14ac:dyDescent="0.25"/>
    <row r="139" spans="1:26" x14ac:dyDescent="0.25">
      <c r="A139" s="441" t="s">
        <v>324</v>
      </c>
      <c r="B139" s="441"/>
      <c r="C139" s="402"/>
      <c r="D139" s="402"/>
      <c r="E139" s="402"/>
      <c r="F139" s="402"/>
      <c r="G139" s="402"/>
      <c r="H139" s="491"/>
      <c r="I139" s="491"/>
      <c r="J139" s="402"/>
      <c r="K139" s="402"/>
      <c r="L139" s="402"/>
      <c r="M139" s="402"/>
      <c r="N139" s="402"/>
      <c r="O139" s="402" t="s">
        <v>5</v>
      </c>
      <c r="P139" s="402"/>
      <c r="Q139" s="402"/>
      <c r="R139" s="402"/>
      <c r="S139" s="402"/>
      <c r="T139" s="402"/>
      <c r="U139" s="402"/>
      <c r="V139" s="402"/>
      <c r="W139" s="402"/>
      <c r="X139" s="402"/>
      <c r="Y139" s="402"/>
      <c r="Z139" s="402"/>
    </row>
    <row r="140" spans="1:26" outlineLevel="1" x14ac:dyDescent="0.25">
      <c r="A140" s="442" t="s">
        <v>261</v>
      </c>
      <c r="B140" s="442" t="s">
        <v>13</v>
      </c>
      <c r="C140" s="442" t="s">
        <v>14</v>
      </c>
      <c r="D140" s="403" t="s">
        <v>15</v>
      </c>
      <c r="E140" s="520"/>
      <c r="F140" s="520"/>
      <c r="G140" s="520"/>
      <c r="H140" s="520"/>
      <c r="I140" s="520"/>
      <c r="J140" s="410"/>
      <c r="K140" s="409"/>
      <c r="L140" s="404" t="s">
        <v>52</v>
      </c>
      <c r="M140" s="404" t="s">
        <v>53</v>
      </c>
      <c r="N140" s="404" t="s">
        <v>54</v>
      </c>
      <c r="O140" s="443">
        <v>43101</v>
      </c>
      <c r="P140" s="443">
        <v>43132</v>
      </c>
      <c r="Q140" s="443">
        <v>43160</v>
      </c>
      <c r="R140" s="443">
        <v>43191</v>
      </c>
      <c r="S140" s="443">
        <v>43221</v>
      </c>
      <c r="T140" s="443">
        <v>43252</v>
      </c>
      <c r="U140" s="443">
        <v>43282</v>
      </c>
      <c r="V140" s="443">
        <v>43313</v>
      </c>
      <c r="W140" s="443">
        <v>43344</v>
      </c>
      <c r="X140" s="443">
        <v>43374</v>
      </c>
      <c r="Y140" s="443">
        <v>43405</v>
      </c>
      <c r="Z140" s="443">
        <v>43435</v>
      </c>
    </row>
    <row r="141" spans="1:26" outlineLevel="1" x14ac:dyDescent="0.25">
      <c r="A141" s="508" t="str">
        <f>+A17</f>
        <v>6.1.1</v>
      </c>
      <c r="B141" s="508" t="s">
        <v>27</v>
      </c>
      <c r="C141" s="508" t="str">
        <f t="shared" ref="C141:D143" si="26">C17</f>
        <v>NuevaUnion</v>
      </c>
      <c r="D141" s="508" t="str">
        <f t="shared" si="26"/>
        <v>Operations and Technical Services</v>
      </c>
      <c r="E141" s="520"/>
      <c r="F141" s="520"/>
      <c r="G141" s="520"/>
      <c r="H141" s="520"/>
      <c r="I141" s="520"/>
      <c r="J141" s="410"/>
      <c r="K141" s="409" t="s">
        <v>5</v>
      </c>
      <c r="L141" s="511" t="s">
        <v>42</v>
      </c>
      <c r="M141" s="511" t="s">
        <v>55</v>
      </c>
      <c r="N141" s="496">
        <v>12</v>
      </c>
      <c r="O141" s="521">
        <f t="shared" ref="O141:Z141" si="27">+O17/SUM($O17:$Z17)</f>
        <v>0.15544041450777202</v>
      </c>
      <c r="P141" s="521">
        <f t="shared" si="27"/>
        <v>0.15544041450777202</v>
      </c>
      <c r="Q141" s="521">
        <f t="shared" si="27"/>
        <v>0.29015544041450775</v>
      </c>
      <c r="R141" s="521">
        <f t="shared" si="27"/>
        <v>0.21243523316062177</v>
      </c>
      <c r="S141" s="521">
        <f t="shared" si="27"/>
        <v>3.1088082901554404E-2</v>
      </c>
      <c r="T141" s="521">
        <f t="shared" si="27"/>
        <v>3.1088082901554404E-2</v>
      </c>
      <c r="U141" s="521">
        <f t="shared" si="27"/>
        <v>3.1088082901554404E-2</v>
      </c>
      <c r="V141" s="521">
        <f t="shared" si="27"/>
        <v>3.1088082901554404E-2</v>
      </c>
      <c r="W141" s="521">
        <f t="shared" si="27"/>
        <v>3.1088082901554404E-2</v>
      </c>
      <c r="X141" s="521">
        <f t="shared" si="27"/>
        <v>3.1088082901554404E-2</v>
      </c>
      <c r="Y141" s="521">
        <f t="shared" si="27"/>
        <v>0</v>
      </c>
      <c r="Z141" s="521">
        <f t="shared" si="27"/>
        <v>0</v>
      </c>
    </row>
    <row r="142" spans="1:26" outlineLevel="1" x14ac:dyDescent="0.25">
      <c r="A142" s="508" t="str">
        <f>+A18</f>
        <v>6.1.2</v>
      </c>
      <c r="B142" s="508" t="s">
        <v>29</v>
      </c>
      <c r="C142" s="508" t="str">
        <f t="shared" si="26"/>
        <v>NuevaUnion</v>
      </c>
      <c r="D142" s="508" t="str">
        <f t="shared" si="26"/>
        <v>Operations and Technical Services</v>
      </c>
      <c r="E142" s="520"/>
      <c r="F142" s="520"/>
      <c r="G142" s="520"/>
      <c r="H142" s="520"/>
      <c r="I142" s="520"/>
      <c r="J142" s="410"/>
      <c r="K142" s="409" t="s">
        <v>5</v>
      </c>
      <c r="L142" s="511" t="s">
        <v>42</v>
      </c>
      <c r="M142" s="511" t="s">
        <v>55</v>
      </c>
      <c r="N142" s="496">
        <v>12</v>
      </c>
      <c r="O142" s="521">
        <f t="shared" ref="O142:Z142" si="28">+O18/SUM($O18:$Z18)</f>
        <v>0</v>
      </c>
      <c r="P142" s="521">
        <f t="shared" si="28"/>
        <v>0</v>
      </c>
      <c r="Q142" s="521">
        <f t="shared" si="28"/>
        <v>5.8666666666666666E-2</v>
      </c>
      <c r="R142" s="521">
        <f t="shared" si="28"/>
        <v>8.2000000000000003E-2</v>
      </c>
      <c r="S142" s="521">
        <f t="shared" si="28"/>
        <v>8.2000000000000003E-2</v>
      </c>
      <c r="T142" s="521">
        <f t="shared" si="28"/>
        <v>8.2000000000000003E-2</v>
      </c>
      <c r="U142" s="521">
        <f t="shared" si="28"/>
        <v>8.2000000000000003E-2</v>
      </c>
      <c r="V142" s="521">
        <f t="shared" si="28"/>
        <v>0.12266666666666666</v>
      </c>
      <c r="W142" s="521">
        <f t="shared" si="28"/>
        <v>0.12266666666666666</v>
      </c>
      <c r="X142" s="521">
        <f t="shared" si="28"/>
        <v>0.12266666666666666</v>
      </c>
      <c r="Y142" s="521">
        <f t="shared" si="28"/>
        <v>0.12266666666666666</v>
      </c>
      <c r="Z142" s="521">
        <f t="shared" si="28"/>
        <v>0.12266666666666666</v>
      </c>
    </row>
    <row r="143" spans="1:26" outlineLevel="1" x14ac:dyDescent="0.25">
      <c r="A143" s="508" t="str">
        <f>+A19</f>
        <v>6.1.3</v>
      </c>
      <c r="B143" s="508" t="s">
        <v>30</v>
      </c>
      <c r="C143" s="508" t="str">
        <f t="shared" si="26"/>
        <v>NuevaUnion</v>
      </c>
      <c r="D143" s="508" t="str">
        <f t="shared" si="26"/>
        <v>Operations and Technical Services</v>
      </c>
      <c r="E143" s="520"/>
      <c r="F143" s="520"/>
      <c r="G143" s="520"/>
      <c r="H143" s="520"/>
      <c r="I143" s="520"/>
      <c r="J143" s="410"/>
      <c r="K143" s="409" t="s">
        <v>5</v>
      </c>
      <c r="L143" s="511" t="s">
        <v>42</v>
      </c>
      <c r="M143" s="511" t="s">
        <v>55</v>
      </c>
      <c r="N143" s="496">
        <v>12</v>
      </c>
      <c r="O143" s="521">
        <f t="shared" ref="O143:Z143" si="29">+O19/SUM($O19:$Z19)</f>
        <v>8.3333333333333329E-2</v>
      </c>
      <c r="P143" s="521">
        <f t="shared" si="29"/>
        <v>8.3333333333333329E-2</v>
      </c>
      <c r="Q143" s="521">
        <f t="shared" si="29"/>
        <v>8.3333333333333329E-2</v>
      </c>
      <c r="R143" s="521">
        <f t="shared" si="29"/>
        <v>8.3333333333333329E-2</v>
      </c>
      <c r="S143" s="521">
        <f t="shared" si="29"/>
        <v>8.3333333333333329E-2</v>
      </c>
      <c r="T143" s="521">
        <f t="shared" si="29"/>
        <v>8.3333333333333329E-2</v>
      </c>
      <c r="U143" s="521">
        <f t="shared" si="29"/>
        <v>8.3333333333333329E-2</v>
      </c>
      <c r="V143" s="521">
        <f t="shared" si="29"/>
        <v>8.3333333333333329E-2</v>
      </c>
      <c r="W143" s="521">
        <f t="shared" si="29"/>
        <v>8.3333333333333329E-2</v>
      </c>
      <c r="X143" s="521">
        <f t="shared" si="29"/>
        <v>8.3333333333333329E-2</v>
      </c>
      <c r="Y143" s="521">
        <f t="shared" si="29"/>
        <v>8.3333333333333329E-2</v>
      </c>
      <c r="Z143" s="521">
        <f t="shared" si="29"/>
        <v>8.3333333333333329E-2</v>
      </c>
    </row>
    <row r="144" spans="1:26" ht="22.5" customHeight="1" outlineLevel="1" x14ac:dyDescent="0.25">
      <c r="A144" s="537"/>
      <c r="B144" s="538"/>
      <c r="C144" s="538"/>
      <c r="D144" s="538"/>
      <c r="E144" s="519"/>
      <c r="F144" s="519"/>
      <c r="G144" s="519"/>
      <c r="H144" s="519"/>
      <c r="I144" s="519"/>
      <c r="J144" s="516" t="s">
        <v>20</v>
      </c>
      <c r="K144" s="519"/>
      <c r="L144" s="511" t="s">
        <v>42</v>
      </c>
      <c r="M144" s="511" t="s">
        <v>55</v>
      </c>
      <c r="N144" s="522">
        <f>SUM(N141:N143)</f>
        <v>36</v>
      </c>
      <c r="O144" s="521">
        <f t="shared" ref="O144:Z144" si="30">+O22/SUM($O22:$Z22)</f>
        <v>5.3292894280762566E-2</v>
      </c>
      <c r="P144" s="521">
        <f t="shared" si="30"/>
        <v>5.3292894280762566E-2</v>
      </c>
      <c r="Q144" s="521">
        <f t="shared" si="30"/>
        <v>0.13648180242634314</v>
      </c>
      <c r="R144" s="521">
        <f t="shared" si="30"/>
        <v>0.12564991334488734</v>
      </c>
      <c r="S144" s="521">
        <f t="shared" si="30"/>
        <v>6.4991334488734842E-2</v>
      </c>
      <c r="T144" s="521">
        <f t="shared" si="30"/>
        <v>6.4991334488734842E-2</v>
      </c>
      <c r="U144" s="521">
        <f t="shared" si="30"/>
        <v>6.4991334488734842E-2</v>
      </c>
      <c r="V144" s="521">
        <f t="shared" si="30"/>
        <v>9.1421143847487008E-2</v>
      </c>
      <c r="W144" s="521">
        <f t="shared" si="30"/>
        <v>9.1421143847487008E-2</v>
      </c>
      <c r="X144" s="521">
        <f t="shared" si="30"/>
        <v>9.1421143847487008E-2</v>
      </c>
      <c r="Y144" s="521">
        <f t="shared" si="30"/>
        <v>8.1022530329289424E-2</v>
      </c>
      <c r="Z144" s="521">
        <f t="shared" si="30"/>
        <v>8.1022530329289424E-2</v>
      </c>
    </row>
    <row r="146" spans="1:3" x14ac:dyDescent="0.25">
      <c r="B146" s="445" t="s">
        <v>21</v>
      </c>
      <c r="C146" s="446">
        <v>43102</v>
      </c>
    </row>
    <row r="147" spans="1:3" x14ac:dyDescent="0.25">
      <c r="B147" s="445" t="s">
        <v>23</v>
      </c>
      <c r="C147" s="446">
        <v>42917</v>
      </c>
    </row>
    <row r="149" spans="1:3" x14ac:dyDescent="0.25">
      <c r="A149" s="539" t="s">
        <v>262</v>
      </c>
    </row>
    <row r="150" spans="1:3" x14ac:dyDescent="0.25">
      <c r="A150" s="540" t="s">
        <v>1404</v>
      </c>
    </row>
    <row r="151" spans="1:3" x14ac:dyDescent="0.25">
      <c r="A151" s="540" t="s">
        <v>323</v>
      </c>
    </row>
    <row r="153" spans="1:3" ht="30" x14ac:dyDescent="0.25">
      <c r="A153" s="449" t="s">
        <v>1405</v>
      </c>
      <c r="B153" s="541" t="s">
        <v>288</v>
      </c>
      <c r="C153" s="541" t="s">
        <v>320</v>
      </c>
    </row>
    <row r="154" spans="1:3" ht="30" x14ac:dyDescent="0.25">
      <c r="A154" s="542" t="s">
        <v>310</v>
      </c>
      <c r="B154" s="541" t="s">
        <v>289</v>
      </c>
      <c r="C154" s="541" t="s">
        <v>321</v>
      </c>
    </row>
    <row r="155" spans="1:3" ht="90" x14ac:dyDescent="0.25">
      <c r="A155" s="542" t="s">
        <v>311</v>
      </c>
      <c r="B155" s="541" t="s">
        <v>290</v>
      </c>
      <c r="C155" s="541" t="s">
        <v>319</v>
      </c>
    </row>
    <row r="156" spans="1:3" ht="75" x14ac:dyDescent="0.25">
      <c r="A156" s="542" t="s">
        <v>312</v>
      </c>
      <c r="B156" s="541" t="s">
        <v>291</v>
      </c>
      <c r="C156" s="541" t="s">
        <v>322</v>
      </c>
    </row>
    <row r="157" spans="1:3" ht="90" x14ac:dyDescent="0.25">
      <c r="A157" s="542" t="s">
        <v>313</v>
      </c>
      <c r="B157" s="541" t="s">
        <v>292</v>
      </c>
      <c r="C157" s="541" t="s">
        <v>327</v>
      </c>
    </row>
    <row r="158" spans="1:3" ht="60" x14ac:dyDescent="0.25">
      <c r="A158" s="542" t="s">
        <v>314</v>
      </c>
      <c r="B158" s="541" t="s">
        <v>293</v>
      </c>
      <c r="C158" s="541" t="s">
        <v>317</v>
      </c>
    </row>
    <row r="159" spans="1:3" ht="90" x14ac:dyDescent="0.25">
      <c r="A159" s="542" t="s">
        <v>315</v>
      </c>
      <c r="B159" s="541" t="s">
        <v>296</v>
      </c>
      <c r="C159" s="541" t="s">
        <v>318</v>
      </c>
    </row>
    <row r="161" spans="1:2" ht="30" x14ac:dyDescent="0.25">
      <c r="A161" s="543" t="s">
        <v>301</v>
      </c>
      <c r="B161" s="449" t="s">
        <v>1406</v>
      </c>
    </row>
    <row r="163" spans="1:2" ht="30" x14ac:dyDescent="0.25">
      <c r="A163" s="543" t="s">
        <v>303</v>
      </c>
      <c r="B163" s="449" t="s">
        <v>1407</v>
      </c>
    </row>
    <row r="165" spans="1:2" ht="30" x14ac:dyDescent="0.25">
      <c r="A165" s="543" t="s">
        <v>304</v>
      </c>
      <c r="B165" s="449" t="s">
        <v>1408</v>
      </c>
    </row>
    <row r="167" spans="1:2" ht="30" x14ac:dyDescent="0.25">
      <c r="A167" s="449" t="s">
        <v>308</v>
      </c>
      <c r="B167" s="449" t="s">
        <v>1409</v>
      </c>
    </row>
  </sheetData>
  <mergeCells count="34">
    <mergeCell ref="E67:K67"/>
    <mergeCell ref="E68:K68"/>
    <mergeCell ref="E69:K69"/>
    <mergeCell ref="E70:K70"/>
    <mergeCell ref="E60:K60"/>
    <mergeCell ref="E61:K61"/>
    <mergeCell ref="E62:K62"/>
    <mergeCell ref="E63:K63"/>
    <mergeCell ref="E64:K64"/>
    <mergeCell ref="E66:K66"/>
    <mergeCell ref="E58:K58"/>
    <mergeCell ref="E45:K45"/>
    <mergeCell ref="E46:K46"/>
    <mergeCell ref="E48:K48"/>
    <mergeCell ref="E49:K49"/>
    <mergeCell ref="E50:K50"/>
    <mergeCell ref="E51:K51"/>
    <mergeCell ref="E52:K52"/>
    <mergeCell ref="E54:K54"/>
    <mergeCell ref="E55:K55"/>
    <mergeCell ref="E56:K56"/>
    <mergeCell ref="E57:K57"/>
    <mergeCell ref="E44:K44"/>
    <mergeCell ref="E27:K27"/>
    <mergeCell ref="E31:K31"/>
    <mergeCell ref="E33:K33"/>
    <mergeCell ref="E34:K34"/>
    <mergeCell ref="E36:K36"/>
    <mergeCell ref="E37:K37"/>
    <mergeCell ref="E38:K38"/>
    <mergeCell ref="E39:K39"/>
    <mergeCell ref="E40:K40"/>
    <mergeCell ref="E42:K42"/>
    <mergeCell ref="E43:K43"/>
  </mergeCells>
  <dataValidations disablePrompts="1" count="5">
    <dataValidation type="list" allowBlank="1" showInputMessage="1" showErrorMessage="1" sqref="F95 F132:F136 F125:F129 F118:F122 F111:F115 F104:F108 F99:F101">
      <formula1>$A$3:$A$9</formula1>
    </dataValidation>
    <dataValidation type="list" allowBlank="1" showInputMessage="1" showErrorMessage="1" sqref="H125:K128 H118:K121 H111:K114 H104:K107 H115:J115 H122:J122 H129:J129 H136:J136 H132:K135 H108:I108 K81 H101:J101">
      <formula1>$C$3:$C$15</formula1>
    </dataValidation>
    <dataValidation type="list" allowBlank="1" showInputMessage="1" showErrorMessage="1" sqref="L22">
      <formula1>$D$4:$D$15</formula1>
    </dataValidation>
    <dataValidation type="list" allowBlank="1" showInputMessage="1" showErrorMessage="1" sqref="J108 J81">
      <formula1>$C$3:$C$14</formula1>
    </dataValidation>
    <dataValidation type="list" allowBlank="1" showInputMessage="1" showErrorMessage="1" sqref="L36:L40 L42:L46 L48:L52 L54:L58 L60:L64 L66:L70">
      <formula1>$G$2:$G$8</formula1>
    </dataValidation>
  </dataValidations>
  <printOptions horizontalCentered="1"/>
  <pageMargins left="0.31496062992125984" right="0.31496062992125984" top="1.1811023622047245" bottom="1.1811023622047245" header="0.31496062992125984" footer="0.31496062992125984"/>
  <pageSetup paperSize="17" scale="45" orientation="landscape" r:id="rId1"/>
  <headerFooter>
    <oddHeader>&amp;R&amp;10&amp;G</oddHeader>
    <oddFooter>&amp;L&amp;"Arial,Normal"&amp;8NuveaUnión - Scope of Approval
&amp;F&amp;C&amp;8&amp;P / &amp;N
&amp;RRev B</oddFooter>
  </headerFooter>
  <legacyDrawing r:id="rId2"/>
  <extLst>
    <ext xmlns:x14="http://schemas.microsoft.com/office/spreadsheetml/2009/9/main" uri="{CCE6A557-97BC-4b89-ADB6-D9C93CAAB3DF}">
      <x14:dataValidations xmlns:xm="http://schemas.microsoft.com/office/excel/2006/main" disablePrompts="1" count="10">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H81:I81</xm:sqref>
        </x14:dataValidation>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L95 L104:M107 L111:M114 L118:M121 L125:M128 L132:M135 L81 M99:M100</xm:sqref>
        </x14:dataValidation>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F75:F81 F85:F94</xm:sqref>
        </x14:dataValidation>
        <x14:dataValidation type="list" allowBlank="1" showInputMessage="1" showErrorMessage="1">
          <x14:formula1>
            <xm:f>'https://nuevaunionspa-my.sharepoint.com/personal/gineva_alcota_nuevaunion_cl/Documents/40300 Cost Control/40303 Presupuestos/2018/[Copia de 1002-40303-PS-SOA-0001_REV5-Operations.xlsx]Lists'!#REF!</xm:f>
          </x14:formula1>
          <xm:sqref>H95:K95 M85:M95</xm:sqref>
        </x14:dataValidation>
        <x14:dataValidation type="list" allowBlank="1" showInputMessage="1" showErrorMessage="1">
          <x14:formula1>
            <xm:f>Lists!$E$2:$E$41</xm:f>
          </x14:formula1>
          <xm:sqref>B8</xm:sqref>
        </x14:dataValidation>
        <x14:dataValidation type="list" allowBlank="1" showInputMessage="1" showErrorMessage="1">
          <x14:formula1>
            <xm:f>'https://nuevaunionspa-my.sharepoint.com/personal/gineva_alcota_nuevaunion_cl/Documents/40300 Cost Control/40303 Presupuestos/2018/[Copia de 1002-40303-PS-SOA-0001_REV5-Operations.xlsx]CCs &amp; Accounts'!#REF!</xm:f>
          </x14:formula1>
          <xm:sqref>E20:E21 E104:E108 E111:E115 E118:E122 E125:E129 E132:E136 E95 E81 E101</xm:sqref>
        </x14:dataValidation>
        <x14:dataValidation type="list" allowBlank="1" showInputMessage="1" showErrorMessage="1">
          <x14:formula1>
            <xm:f>Lists!$B$3:$B$41</xm:f>
          </x14:formula1>
          <xm:sqref>E17:E19 E75:E80 E85:E94 E99:E100</xm:sqref>
        </x14:dataValidation>
        <x14:dataValidation type="list" allowBlank="1" showInputMessage="1" showErrorMessage="1">
          <x14:formula1>
            <xm:f>Lists!$D$2:$D$14</xm:f>
          </x14:formula1>
          <xm:sqref>L17:L21 L75:L80 L85:L94 L99:L100 N141:N143</xm:sqref>
        </x14:dataValidation>
        <x14:dataValidation type="list" allowBlank="1" showInputMessage="1" showErrorMessage="1">
          <x14:formula1>
            <xm:f>Lists!$H$2:$H$10</xm:f>
          </x14:formula1>
          <xm:sqref>L27:L28 L30:L31 L33:L34</xm:sqref>
        </x14:dataValidation>
        <x14:dataValidation type="list" allowBlank="1" showInputMessage="1" showErrorMessage="1">
          <x14:formula1>
            <xm:f>Lists!$C$2:$C$14</xm:f>
          </x14:formula1>
          <xm:sqref>H75:K80 H85:K94 H99:K100 L141:M144</xm:sqref>
        </x14:dataValidation>
      </x14:dataValidations>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3">
    <tabColor theme="9" tint="0.39997558519241921"/>
    <pageSetUpPr fitToPage="1"/>
  </sheetPr>
  <dimension ref="A1:AA202"/>
  <sheetViews>
    <sheetView showGridLines="0" topLeftCell="A133" zoomScale="50" zoomScaleNormal="50" workbookViewId="0">
      <selection activeCell="I150" sqref="I150"/>
    </sheetView>
  </sheetViews>
  <sheetFormatPr baseColWidth="10" defaultColWidth="11.42578125" defaultRowHeight="15" outlineLevelRow="1" outlineLevelCol="1" x14ac:dyDescent="0.25"/>
  <cols>
    <col min="1" max="1" width="22.140625" style="449" customWidth="1"/>
    <col min="2" max="2" width="37.85546875" style="449" customWidth="1"/>
    <col min="3" max="3" width="37.28515625" style="449" customWidth="1"/>
    <col min="4" max="4" width="28.5703125" style="449" customWidth="1"/>
    <col min="5" max="5" width="23.7109375" style="449" customWidth="1"/>
    <col min="6" max="11" width="16" style="449" customWidth="1"/>
    <col min="12" max="12" width="10.28515625" style="449" customWidth="1"/>
    <col min="13" max="13" width="8.7109375" style="449" customWidth="1"/>
    <col min="14" max="14" width="15.5703125" style="449" customWidth="1"/>
    <col min="15" max="15" width="15.42578125" style="449" customWidth="1" outlineLevel="1"/>
    <col min="16" max="16" width="13.7109375" style="449" customWidth="1" outlineLevel="1"/>
    <col min="17"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1" spans="1:26" ht="24.75" customHeight="1" x14ac:dyDescent="0.25"/>
    <row r="2" spans="1:26" s="450" customFormat="1" ht="24.75" customHeight="1" x14ac:dyDescent="0.2">
      <c r="B2" s="451"/>
    </row>
    <row r="3" spans="1:26" s="450" customFormat="1" ht="24.75" customHeight="1" x14ac:dyDescent="0.3">
      <c r="B3" s="452"/>
    </row>
    <row r="4" spans="1:26" s="450" customFormat="1" ht="36.6" customHeight="1" x14ac:dyDescent="0.2"/>
    <row r="5" spans="1:26" ht="24.75" customHeight="1" x14ac:dyDescent="0.25"/>
    <row r="6" spans="1:26" ht="36.6" customHeight="1" x14ac:dyDescent="0.25">
      <c r="A6" s="453" t="s">
        <v>25</v>
      </c>
      <c r="B6" s="454"/>
      <c r="C6" s="455"/>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ht="18.75" x14ac:dyDescent="0.3">
      <c r="A7" s="458"/>
      <c r="B7" s="459" t="s">
        <v>6</v>
      </c>
      <c r="C7" s="459"/>
      <c r="D7" s="459"/>
      <c r="E7" s="459"/>
      <c r="F7" s="459"/>
      <c r="G7" s="459"/>
      <c r="H7" s="459"/>
      <c r="I7" s="459"/>
      <c r="J7" s="459"/>
      <c r="K7" s="459"/>
      <c r="L7" s="459"/>
      <c r="M7" s="459"/>
      <c r="N7" s="460"/>
      <c r="O7" s="461"/>
      <c r="P7" s="461"/>
      <c r="Q7" s="461"/>
      <c r="R7" s="461"/>
      <c r="S7" s="461"/>
      <c r="T7" s="461"/>
      <c r="U7" s="461"/>
      <c r="V7" s="461"/>
      <c r="W7" s="461"/>
      <c r="X7" s="461"/>
      <c r="Y7" s="461"/>
      <c r="Z7" s="462"/>
    </row>
    <row r="8" spans="1:26" ht="18.75" x14ac:dyDescent="0.3">
      <c r="A8" s="463"/>
      <c r="B8" s="464" t="s">
        <v>243</v>
      </c>
      <c r="C8" s="465"/>
      <c r="D8" s="465"/>
      <c r="E8" s="466"/>
      <c r="F8" s="466"/>
      <c r="G8" s="466"/>
      <c r="H8" s="466"/>
      <c r="I8" s="466"/>
      <c r="J8" s="466"/>
      <c r="K8" s="466"/>
      <c r="L8" s="466"/>
      <c r="M8" s="466"/>
      <c r="N8" s="467" t="s">
        <v>7</v>
      </c>
      <c r="O8" s="468"/>
      <c r="P8" s="468"/>
      <c r="Q8" s="468"/>
      <c r="R8" s="468"/>
      <c r="S8" s="468"/>
      <c r="T8" s="468"/>
      <c r="U8" s="468"/>
      <c r="V8" s="468"/>
      <c r="W8" s="468"/>
      <c r="X8" s="468"/>
      <c r="Y8" s="468"/>
      <c r="Z8" s="469"/>
    </row>
    <row r="9" spans="1:26" ht="18.75" x14ac:dyDescent="0.3">
      <c r="A9" s="463"/>
      <c r="B9" s="470" t="s">
        <v>8</v>
      </c>
      <c r="C9" s="466"/>
      <c r="D9" s="470" t="s">
        <v>9</v>
      </c>
      <c r="E9" s="470"/>
      <c r="F9" s="470"/>
      <c r="G9" s="470"/>
      <c r="H9" s="470"/>
      <c r="I9" s="470"/>
      <c r="J9" s="470"/>
      <c r="K9" s="470"/>
      <c r="L9" s="470"/>
      <c r="M9" s="470"/>
      <c r="N9" s="471">
        <v>43102</v>
      </c>
      <c r="O9" s="472"/>
      <c r="P9" s="472"/>
      <c r="Q9" s="472"/>
      <c r="R9" s="472"/>
      <c r="S9" s="472"/>
      <c r="T9" s="472"/>
      <c r="U9" s="472"/>
      <c r="V9" s="472"/>
      <c r="W9" s="472"/>
      <c r="X9" s="472"/>
      <c r="Y9" s="472"/>
      <c r="Z9" s="473"/>
    </row>
    <row r="10" spans="1:26" ht="18.75" x14ac:dyDescent="0.3">
      <c r="A10" s="474"/>
      <c r="B10" s="475" t="str">
        <f>VLOOKUP(B8,[25]Lists!E2:G41,3,)</f>
        <v>687 Operations and Technical Services</v>
      </c>
      <c r="C10" s="476"/>
      <c r="D10" s="464" t="str">
        <f>VLOOKUP(B8,[25]Lists!$E$3:$F$41,2,)</f>
        <v>Fernando Saavedra</v>
      </c>
      <c r="E10" s="466"/>
      <c r="F10" s="466"/>
      <c r="G10" s="466"/>
      <c r="H10" s="466"/>
      <c r="I10" s="466"/>
      <c r="J10" s="466"/>
      <c r="K10" s="466"/>
      <c r="L10" s="466"/>
      <c r="M10" s="466"/>
      <c r="N10" s="477"/>
      <c r="O10" s="468"/>
      <c r="P10" s="468"/>
      <c r="Q10" s="468"/>
      <c r="R10" s="468"/>
      <c r="S10" s="468"/>
      <c r="T10" s="468"/>
      <c r="U10" s="468"/>
      <c r="V10" s="468"/>
      <c r="W10" s="468"/>
      <c r="X10" s="468"/>
      <c r="Y10" s="468"/>
      <c r="Z10" s="469"/>
    </row>
    <row r="11" spans="1:26" ht="18.75" x14ac:dyDescent="0.3">
      <c r="A11" s="474"/>
      <c r="B11" s="478" t="s">
        <v>10</v>
      </c>
      <c r="C11" s="476"/>
      <c r="D11" s="478"/>
      <c r="E11" s="478"/>
      <c r="F11" s="478"/>
      <c r="G11" s="478"/>
      <c r="H11" s="478"/>
      <c r="I11" s="478"/>
      <c r="J11" s="478"/>
      <c r="K11" s="478"/>
      <c r="L11" s="478"/>
      <c r="M11" s="478"/>
      <c r="N11" s="479" t="s">
        <v>11</v>
      </c>
      <c r="O11" s="480"/>
      <c r="P11" s="480"/>
      <c r="Q11" s="480"/>
      <c r="R11" s="480"/>
      <c r="S11" s="480"/>
      <c r="T11" s="480"/>
      <c r="U11" s="480"/>
      <c r="V11" s="480"/>
      <c r="W11" s="480"/>
      <c r="X11" s="480"/>
      <c r="Y11" s="480"/>
      <c r="Z11" s="481"/>
    </row>
    <row r="12" spans="1:26" ht="18.75" x14ac:dyDescent="0.3">
      <c r="A12" s="474"/>
      <c r="B12" s="482">
        <v>43313</v>
      </c>
      <c r="C12" s="476"/>
      <c r="D12" s="478"/>
      <c r="E12" s="466"/>
      <c r="F12" s="466"/>
      <c r="G12" s="466"/>
      <c r="H12" s="466"/>
      <c r="I12" s="466"/>
      <c r="J12" s="466"/>
      <c r="K12" s="466"/>
      <c r="L12" s="466"/>
      <c r="M12" s="466"/>
      <c r="N12" s="471">
        <v>43465</v>
      </c>
      <c r="O12" s="468"/>
      <c r="P12" s="468"/>
      <c r="Q12" s="468"/>
      <c r="R12" s="468"/>
      <c r="S12" s="468"/>
      <c r="T12" s="468"/>
      <c r="U12" s="468"/>
      <c r="V12" s="468"/>
      <c r="W12" s="468"/>
      <c r="X12" s="468"/>
      <c r="Y12" s="468"/>
      <c r="Z12" s="481"/>
    </row>
    <row r="13" spans="1:26" ht="18.75" x14ac:dyDescent="0.3">
      <c r="A13" s="483"/>
      <c r="B13" s="484"/>
      <c r="C13" s="485"/>
      <c r="D13" s="485"/>
      <c r="E13" s="485"/>
      <c r="F13" s="485"/>
      <c r="G13" s="485"/>
      <c r="H13" s="485"/>
      <c r="I13" s="485"/>
      <c r="J13" s="485"/>
      <c r="K13" s="485"/>
      <c r="L13" s="485"/>
      <c r="M13" s="485"/>
      <c r="N13" s="486"/>
      <c r="O13" s="487"/>
      <c r="P13" s="487"/>
      <c r="Q13" s="487"/>
      <c r="R13" s="487"/>
      <c r="S13" s="487"/>
      <c r="T13" s="487"/>
      <c r="U13" s="487"/>
      <c r="V13" s="487"/>
      <c r="W13" s="487"/>
      <c r="X13" s="487"/>
      <c r="Y13" s="487"/>
      <c r="Z13" s="488"/>
    </row>
    <row r="14" spans="1:26" ht="6.75" customHeight="1" x14ac:dyDescent="0.25"/>
    <row r="15" spans="1:26" ht="18.75" x14ac:dyDescent="0.25">
      <c r="A15" s="489" t="s">
        <v>12</v>
      </c>
      <c r="B15" s="489"/>
      <c r="C15" s="490"/>
      <c r="D15" s="490"/>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ht="30" x14ac:dyDescent="0.25">
      <c r="A16" s="492" t="s">
        <v>261</v>
      </c>
      <c r="B16" s="492" t="s">
        <v>13</v>
      </c>
      <c r="C16" s="492" t="s">
        <v>14</v>
      </c>
      <c r="D16" s="403" t="s">
        <v>15</v>
      </c>
      <c r="E16" s="404" t="s">
        <v>16</v>
      </c>
      <c r="F16" s="410"/>
      <c r="G16" s="410"/>
      <c r="H16" s="410"/>
      <c r="I16" s="410"/>
      <c r="J16" s="410"/>
      <c r="K16" s="410"/>
      <c r="L16" s="404" t="s">
        <v>17</v>
      </c>
      <c r="M16" s="404" t="s">
        <v>18</v>
      </c>
      <c r="N16" s="404" t="s">
        <v>19</v>
      </c>
      <c r="O16" s="493">
        <v>43101</v>
      </c>
      <c r="P16" s="493">
        <v>43132</v>
      </c>
      <c r="Q16" s="493">
        <v>43160</v>
      </c>
      <c r="R16" s="493">
        <v>43191</v>
      </c>
      <c r="S16" s="493">
        <v>43221</v>
      </c>
      <c r="T16" s="493">
        <v>43252</v>
      </c>
      <c r="U16" s="493">
        <v>43282</v>
      </c>
      <c r="V16" s="493">
        <v>43313</v>
      </c>
      <c r="W16" s="493">
        <v>43344</v>
      </c>
      <c r="X16" s="493">
        <v>43374</v>
      </c>
      <c r="Y16" s="493">
        <v>43405</v>
      </c>
      <c r="Z16" s="493">
        <v>43435</v>
      </c>
    </row>
    <row r="17" spans="1:26" ht="15.75" x14ac:dyDescent="0.25">
      <c r="A17" s="494" t="s">
        <v>509</v>
      </c>
      <c r="B17" s="494" t="s">
        <v>510</v>
      </c>
      <c r="C17" s="494"/>
      <c r="D17" s="495"/>
      <c r="E17" s="496" t="s">
        <v>242</v>
      </c>
      <c r="F17" s="410"/>
      <c r="G17" s="410"/>
      <c r="H17" s="410"/>
      <c r="I17" s="410"/>
      <c r="J17" s="410"/>
      <c r="K17" s="410"/>
      <c r="L17" s="496">
        <v>12</v>
      </c>
      <c r="M17" s="497">
        <f>+M71</f>
        <v>0</v>
      </c>
      <c r="N17" s="496">
        <f>SUM(O17:Z17)</f>
        <v>300193.07692307694</v>
      </c>
      <c r="O17" s="498">
        <f>+O71</f>
        <v>12120.25641025641</v>
      </c>
      <c r="P17" s="498">
        <f t="shared" ref="P17:Z17" si="0">+P71</f>
        <v>46870.256410256407</v>
      </c>
      <c r="Q17" s="498">
        <f t="shared" si="0"/>
        <v>46870.256410256407</v>
      </c>
      <c r="R17" s="498">
        <f t="shared" si="0"/>
        <v>21870.25641025641</v>
      </c>
      <c r="S17" s="498">
        <f t="shared" si="0"/>
        <v>21870.25641025641</v>
      </c>
      <c r="T17" s="498">
        <f t="shared" si="0"/>
        <v>21870.25641025641</v>
      </c>
      <c r="U17" s="498">
        <f t="shared" si="0"/>
        <v>21870.25641025641</v>
      </c>
      <c r="V17" s="498">
        <f t="shared" si="0"/>
        <v>21870.25641025641</v>
      </c>
      <c r="W17" s="498">
        <f t="shared" si="0"/>
        <v>21870.25641025641</v>
      </c>
      <c r="X17" s="498">
        <f t="shared" si="0"/>
        <v>21870.25641025641</v>
      </c>
      <c r="Y17" s="498">
        <f t="shared" si="0"/>
        <v>21870.25641025641</v>
      </c>
      <c r="Z17" s="498">
        <f t="shared" si="0"/>
        <v>19370.25641025641</v>
      </c>
    </row>
    <row r="18" spans="1:26" ht="15.75" x14ac:dyDescent="0.25">
      <c r="A18" s="494" t="s">
        <v>511</v>
      </c>
      <c r="B18" s="494" t="s">
        <v>512</v>
      </c>
      <c r="C18" s="494"/>
      <c r="D18" s="495"/>
      <c r="E18" s="496" t="s">
        <v>242</v>
      </c>
      <c r="F18" s="410"/>
      <c r="G18" s="410"/>
      <c r="H18" s="410"/>
      <c r="I18" s="410"/>
      <c r="J18" s="410"/>
      <c r="K18" s="410"/>
      <c r="L18" s="496">
        <v>12</v>
      </c>
      <c r="M18" s="496">
        <f>+M77</f>
        <v>0</v>
      </c>
      <c r="N18" s="496">
        <f t="shared" ref="N18" si="1">SUM(O18:Z18)</f>
        <v>180128.76923076919</v>
      </c>
      <c r="O18" s="498">
        <f>+O77</f>
        <v>8750</v>
      </c>
      <c r="P18" s="498">
        <f t="shared" ref="P18:Z18" si="2">+P77</f>
        <v>18136.538461538461</v>
      </c>
      <c r="Q18" s="498">
        <f t="shared" si="2"/>
        <v>18136.538461538461</v>
      </c>
      <c r="R18" s="498">
        <f t="shared" si="2"/>
        <v>18136.538461538461</v>
      </c>
      <c r="S18" s="498">
        <f t="shared" si="2"/>
        <v>18137</v>
      </c>
      <c r="T18" s="498">
        <f t="shared" si="2"/>
        <v>16266.430769230768</v>
      </c>
      <c r="U18" s="498">
        <f t="shared" si="2"/>
        <v>16266.430769230768</v>
      </c>
      <c r="V18" s="498">
        <f t="shared" si="2"/>
        <v>16266.430769230768</v>
      </c>
      <c r="W18" s="498">
        <f t="shared" si="2"/>
        <v>16266.430769230768</v>
      </c>
      <c r="X18" s="498">
        <f t="shared" si="2"/>
        <v>16266.430769230768</v>
      </c>
      <c r="Y18" s="498">
        <f t="shared" si="2"/>
        <v>8750</v>
      </c>
      <c r="Z18" s="498">
        <f t="shared" si="2"/>
        <v>8750</v>
      </c>
    </row>
    <row r="19" spans="1:26" ht="15.75" x14ac:dyDescent="0.25">
      <c r="A19" s="494" t="s">
        <v>513</v>
      </c>
      <c r="B19" s="494" t="s">
        <v>514</v>
      </c>
      <c r="C19" s="494"/>
      <c r="D19" s="495"/>
      <c r="E19" s="496" t="s">
        <v>242</v>
      </c>
      <c r="F19" s="410"/>
      <c r="G19" s="410"/>
      <c r="H19" s="410"/>
      <c r="I19" s="410"/>
      <c r="J19" s="410"/>
      <c r="K19" s="410"/>
      <c r="L19" s="496">
        <v>12</v>
      </c>
      <c r="M19" s="496">
        <f t="shared" ref="M19:Z19" si="3">+M85</f>
        <v>0</v>
      </c>
      <c r="N19" s="496">
        <f t="shared" si="3"/>
        <v>68000</v>
      </c>
      <c r="O19" s="498">
        <f>+O85</f>
        <v>0</v>
      </c>
      <c r="P19" s="498">
        <f t="shared" si="3"/>
        <v>0</v>
      </c>
      <c r="Q19" s="498">
        <f t="shared" si="3"/>
        <v>22500</v>
      </c>
      <c r="R19" s="498">
        <f t="shared" si="3"/>
        <v>22500</v>
      </c>
      <c r="S19" s="498">
        <f t="shared" si="3"/>
        <v>0</v>
      </c>
      <c r="T19" s="498">
        <f t="shared" si="3"/>
        <v>23000</v>
      </c>
      <c r="U19" s="498">
        <f t="shared" si="3"/>
        <v>0</v>
      </c>
      <c r="V19" s="498">
        <f t="shared" si="3"/>
        <v>0</v>
      </c>
      <c r="W19" s="498">
        <f t="shared" si="3"/>
        <v>0</v>
      </c>
      <c r="X19" s="498">
        <f t="shared" si="3"/>
        <v>0</v>
      </c>
      <c r="Y19" s="498">
        <f t="shared" si="3"/>
        <v>0</v>
      </c>
      <c r="Z19" s="498">
        <f t="shared" si="3"/>
        <v>0</v>
      </c>
    </row>
    <row r="20" spans="1:26" ht="15.75" x14ac:dyDescent="0.25">
      <c r="A20" s="494" t="s">
        <v>515</v>
      </c>
      <c r="B20" s="494" t="s">
        <v>516</v>
      </c>
      <c r="C20" s="494"/>
      <c r="D20" s="495"/>
      <c r="E20" s="496" t="s">
        <v>242</v>
      </c>
      <c r="F20" s="410"/>
      <c r="G20" s="410"/>
      <c r="H20" s="410"/>
      <c r="I20" s="410"/>
      <c r="J20" s="410"/>
      <c r="K20" s="410"/>
      <c r="L20" s="496">
        <v>12</v>
      </c>
      <c r="M20" s="498">
        <f t="shared" ref="M20:N20" si="4">+M104</f>
        <v>0</v>
      </c>
      <c r="N20" s="498">
        <f t="shared" si="4"/>
        <v>1219570</v>
      </c>
      <c r="O20" s="498">
        <f>+O104</f>
        <v>2516.6666666666665</v>
      </c>
      <c r="P20" s="498">
        <f t="shared" ref="P20:Z20" si="5">+P104</f>
        <v>25626.66666666665</v>
      </c>
      <c r="Q20" s="498">
        <f t="shared" si="5"/>
        <v>94626.666666666657</v>
      </c>
      <c r="R20" s="498">
        <f t="shared" si="5"/>
        <v>27346.666666666664</v>
      </c>
      <c r="S20" s="498">
        <f t="shared" si="5"/>
        <v>11916.666666666666</v>
      </c>
      <c r="T20" s="498">
        <f t="shared" si="5"/>
        <v>34376.666666666657</v>
      </c>
      <c r="U20" s="498">
        <f t="shared" si="5"/>
        <v>10391.666666666659</v>
      </c>
      <c r="V20" s="498">
        <f t="shared" si="5"/>
        <v>10391.666666666659</v>
      </c>
      <c r="W20" s="498">
        <f t="shared" si="5"/>
        <v>3516.6666666666665</v>
      </c>
      <c r="X20" s="498">
        <f t="shared" si="5"/>
        <v>3516.6666666666665</v>
      </c>
      <c r="Y20" s="498">
        <f t="shared" si="5"/>
        <v>498171.66666666663</v>
      </c>
      <c r="Z20" s="498">
        <f t="shared" si="5"/>
        <v>497171.66666666663</v>
      </c>
    </row>
    <row r="21" spans="1:26" ht="15.75" x14ac:dyDescent="0.25">
      <c r="A21" s="494" t="s">
        <v>517</v>
      </c>
      <c r="B21" s="494" t="s">
        <v>518</v>
      </c>
      <c r="C21" s="494"/>
      <c r="D21" s="495"/>
      <c r="E21" s="496" t="s">
        <v>242</v>
      </c>
      <c r="F21" s="410"/>
      <c r="G21" s="410"/>
      <c r="H21" s="410"/>
      <c r="I21" s="410"/>
      <c r="J21" s="410"/>
      <c r="K21" s="410"/>
      <c r="L21" s="496">
        <v>12</v>
      </c>
      <c r="M21" s="498">
        <f t="shared" ref="M21:N21" si="6">+M110</f>
        <v>0</v>
      </c>
      <c r="N21" s="498">
        <f t="shared" si="6"/>
        <v>1165377</v>
      </c>
      <c r="O21" s="498">
        <f>+O110</f>
        <v>0</v>
      </c>
      <c r="P21" s="498">
        <f t="shared" ref="P21:Z21" si="7">+P110</f>
        <v>0</v>
      </c>
      <c r="Q21" s="498">
        <f t="shared" si="7"/>
        <v>194229.5</v>
      </c>
      <c r="R21" s="498">
        <f t="shared" si="7"/>
        <v>194229.5</v>
      </c>
      <c r="S21" s="498">
        <f t="shared" si="7"/>
        <v>194229.5</v>
      </c>
      <c r="T21" s="498">
        <f t="shared" si="7"/>
        <v>194229.5</v>
      </c>
      <c r="U21" s="498">
        <f t="shared" si="7"/>
        <v>194229.5</v>
      </c>
      <c r="V21" s="498">
        <f t="shared" si="7"/>
        <v>194229.5</v>
      </c>
      <c r="W21" s="498">
        <f t="shared" si="7"/>
        <v>0</v>
      </c>
      <c r="X21" s="498">
        <f t="shared" si="7"/>
        <v>0</v>
      </c>
      <c r="Y21" s="498">
        <f t="shared" si="7"/>
        <v>0</v>
      </c>
      <c r="Z21" s="498">
        <f t="shared" si="7"/>
        <v>0</v>
      </c>
    </row>
    <row r="22" spans="1:26" ht="15.75" x14ac:dyDescent="0.25">
      <c r="A22" s="494" t="s">
        <v>519</v>
      </c>
      <c r="B22" s="494" t="s">
        <v>520</v>
      </c>
      <c r="C22" s="494"/>
      <c r="D22" s="495"/>
      <c r="E22" s="496" t="s">
        <v>242</v>
      </c>
      <c r="F22" s="410"/>
      <c r="G22" s="410"/>
      <c r="H22" s="410"/>
      <c r="I22" s="410"/>
      <c r="J22" s="410"/>
      <c r="K22" s="410"/>
      <c r="L22" s="496">
        <v>12</v>
      </c>
      <c r="M22" s="498">
        <f t="shared" ref="M22:N22" si="8">+M145</f>
        <v>0</v>
      </c>
      <c r="N22" s="498">
        <f t="shared" si="8"/>
        <v>5374210.1428571427</v>
      </c>
      <c r="O22" s="498">
        <f>+O145</f>
        <v>25200</v>
      </c>
      <c r="P22" s="498">
        <f t="shared" ref="P22:Z22" si="9">+P145</f>
        <v>559772.85714285716</v>
      </c>
      <c r="Q22" s="498">
        <f t="shared" si="9"/>
        <v>1115452.8571428573</v>
      </c>
      <c r="R22" s="498">
        <f t="shared" si="9"/>
        <v>1707683</v>
      </c>
      <c r="S22" s="498">
        <f t="shared" si="9"/>
        <v>347326.19047619047</v>
      </c>
      <c r="T22" s="498">
        <f t="shared" si="9"/>
        <v>746649.52380952379</v>
      </c>
      <c r="U22" s="498">
        <f t="shared" si="9"/>
        <v>721482.85714285716</v>
      </c>
      <c r="V22" s="498">
        <f t="shared" si="9"/>
        <v>150642.85714285716</v>
      </c>
      <c r="W22" s="498">
        <f t="shared" si="9"/>
        <v>0</v>
      </c>
      <c r="X22" s="498">
        <f t="shared" si="9"/>
        <v>0</v>
      </c>
      <c r="Y22" s="498">
        <f t="shared" si="9"/>
        <v>0</v>
      </c>
      <c r="Z22" s="498">
        <f t="shared" si="9"/>
        <v>0</v>
      </c>
    </row>
    <row r="23" spans="1:26" ht="15.75" x14ac:dyDescent="0.25">
      <c r="A23" s="494" t="s">
        <v>521</v>
      </c>
      <c r="B23" s="494" t="s">
        <v>522</v>
      </c>
      <c r="C23" s="494"/>
      <c r="D23" s="495"/>
      <c r="E23" s="496" t="s">
        <v>242</v>
      </c>
      <c r="F23" s="410"/>
      <c r="G23" s="410"/>
      <c r="H23" s="410"/>
      <c r="I23" s="410"/>
      <c r="J23" s="410"/>
      <c r="K23" s="410"/>
      <c r="L23" s="496">
        <v>12</v>
      </c>
      <c r="M23" s="498">
        <f t="shared" ref="M23:N23" si="10">+M151</f>
        <v>0</v>
      </c>
      <c r="N23" s="498">
        <f t="shared" si="10"/>
        <v>547400</v>
      </c>
      <c r="O23" s="498">
        <f>+O151</f>
        <v>0</v>
      </c>
      <c r="P23" s="498">
        <f t="shared" ref="P23:Z23" si="11">+P151</f>
        <v>111466.66666666666</v>
      </c>
      <c r="Q23" s="498">
        <f t="shared" si="11"/>
        <v>75966.666666666657</v>
      </c>
      <c r="R23" s="498">
        <f t="shared" si="11"/>
        <v>75966.666666666657</v>
      </c>
      <c r="S23" s="498">
        <f t="shared" si="11"/>
        <v>35500</v>
      </c>
      <c r="T23" s="498">
        <f t="shared" si="11"/>
        <v>35500</v>
      </c>
      <c r="U23" s="498">
        <f t="shared" si="11"/>
        <v>35500</v>
      </c>
      <c r="V23" s="498">
        <f t="shared" si="11"/>
        <v>35500</v>
      </c>
      <c r="W23" s="498">
        <f t="shared" si="11"/>
        <v>35500</v>
      </c>
      <c r="X23" s="498">
        <f t="shared" si="11"/>
        <v>35500</v>
      </c>
      <c r="Y23" s="498">
        <f t="shared" si="11"/>
        <v>35500</v>
      </c>
      <c r="Z23" s="498">
        <f t="shared" si="11"/>
        <v>35500</v>
      </c>
    </row>
    <row r="24" spans="1:26" ht="15.75" x14ac:dyDescent="0.25">
      <c r="A24" s="494" t="s">
        <v>523</v>
      </c>
      <c r="B24" s="494" t="s">
        <v>524</v>
      </c>
      <c r="C24" s="494"/>
      <c r="D24" s="495"/>
      <c r="E24" s="496" t="s">
        <v>242</v>
      </c>
      <c r="F24" s="410"/>
      <c r="G24" s="410"/>
      <c r="H24" s="410"/>
      <c r="I24" s="410"/>
      <c r="J24" s="410"/>
      <c r="K24" s="410"/>
      <c r="L24" s="496">
        <v>12</v>
      </c>
      <c r="M24" s="498">
        <f t="shared" ref="M24:N24" si="12">+M155</f>
        <v>0</v>
      </c>
      <c r="N24" s="498">
        <f t="shared" si="12"/>
        <v>147500</v>
      </c>
      <c r="O24" s="498">
        <f>+O155</f>
        <v>0</v>
      </c>
      <c r="P24" s="498">
        <f t="shared" ref="P24:Z24" si="13">+P155</f>
        <v>29500</v>
      </c>
      <c r="Q24" s="498">
        <f t="shared" si="13"/>
        <v>29500</v>
      </c>
      <c r="R24" s="498">
        <f t="shared" si="13"/>
        <v>29500</v>
      </c>
      <c r="S24" s="498">
        <f t="shared" si="13"/>
        <v>29500</v>
      </c>
      <c r="T24" s="498">
        <f t="shared" si="13"/>
        <v>29500</v>
      </c>
      <c r="U24" s="498">
        <f t="shared" si="13"/>
        <v>0</v>
      </c>
      <c r="V24" s="498">
        <f t="shared" si="13"/>
        <v>0</v>
      </c>
      <c r="W24" s="498">
        <f t="shared" si="13"/>
        <v>0</v>
      </c>
      <c r="X24" s="498">
        <f t="shared" si="13"/>
        <v>0</v>
      </c>
      <c r="Y24" s="498">
        <f t="shared" si="13"/>
        <v>0</v>
      </c>
      <c r="Z24" s="498">
        <f t="shared" si="13"/>
        <v>0</v>
      </c>
    </row>
    <row r="25" spans="1:26" ht="15.75" x14ac:dyDescent="0.25">
      <c r="A25" s="494" t="s">
        <v>525</v>
      </c>
      <c r="B25" s="494" t="s">
        <v>526</v>
      </c>
      <c r="C25" s="494"/>
      <c r="D25" s="495"/>
      <c r="E25" s="496" t="s">
        <v>242</v>
      </c>
      <c r="F25" s="410"/>
      <c r="G25" s="410"/>
      <c r="H25" s="410"/>
      <c r="I25" s="410"/>
      <c r="J25" s="410"/>
      <c r="K25" s="410"/>
      <c r="L25" s="496">
        <v>12</v>
      </c>
      <c r="M25" s="498">
        <f t="shared" ref="M25:N25" si="14">+M160</f>
        <v>0</v>
      </c>
      <c r="N25" s="498">
        <f t="shared" si="14"/>
        <v>155000</v>
      </c>
      <c r="O25" s="498">
        <f>+O160</f>
        <v>0</v>
      </c>
      <c r="P25" s="498">
        <f t="shared" ref="P25:Z25" si="15">+P160</f>
        <v>0</v>
      </c>
      <c r="Q25" s="498">
        <f t="shared" si="15"/>
        <v>0</v>
      </c>
      <c r="R25" s="498">
        <f t="shared" si="15"/>
        <v>51666.666666666664</v>
      </c>
      <c r="S25" s="498">
        <f t="shared" si="15"/>
        <v>51666.666666666664</v>
      </c>
      <c r="T25" s="498">
        <f t="shared" si="15"/>
        <v>51666.666666666664</v>
      </c>
      <c r="U25" s="498">
        <f t="shared" si="15"/>
        <v>0</v>
      </c>
      <c r="V25" s="498">
        <f t="shared" si="15"/>
        <v>0</v>
      </c>
      <c r="W25" s="498">
        <f t="shared" si="15"/>
        <v>0</v>
      </c>
      <c r="X25" s="498">
        <f t="shared" si="15"/>
        <v>0</v>
      </c>
      <c r="Y25" s="498">
        <f t="shared" si="15"/>
        <v>0</v>
      </c>
      <c r="Z25" s="498">
        <f t="shared" si="15"/>
        <v>0</v>
      </c>
    </row>
    <row r="26" spans="1:26" ht="15.75" x14ac:dyDescent="0.25">
      <c r="A26" s="494" t="s">
        <v>527</v>
      </c>
      <c r="B26" s="494" t="s">
        <v>528</v>
      </c>
      <c r="C26" s="494"/>
      <c r="D26" s="495"/>
      <c r="E26" s="496" t="s">
        <v>242</v>
      </c>
      <c r="F26" s="410"/>
      <c r="G26" s="410"/>
      <c r="H26" s="410"/>
      <c r="I26" s="410"/>
      <c r="J26" s="410"/>
      <c r="K26" s="410"/>
      <c r="L26" s="496">
        <v>12</v>
      </c>
      <c r="M26" s="498">
        <f t="shared" ref="M26:N26" si="16">+M165</f>
        <v>0</v>
      </c>
      <c r="N26" s="498">
        <f t="shared" si="16"/>
        <v>109200</v>
      </c>
      <c r="O26" s="498">
        <f>+O165</f>
        <v>0</v>
      </c>
      <c r="P26" s="498">
        <f t="shared" ref="P26:Z26" si="17">+P165</f>
        <v>0</v>
      </c>
      <c r="Q26" s="498">
        <f t="shared" si="17"/>
        <v>0</v>
      </c>
      <c r="R26" s="498">
        <f t="shared" si="17"/>
        <v>0</v>
      </c>
      <c r="S26" s="498">
        <f t="shared" si="17"/>
        <v>0</v>
      </c>
      <c r="T26" s="498">
        <f t="shared" si="17"/>
        <v>0</v>
      </c>
      <c r="U26" s="498">
        <f t="shared" si="17"/>
        <v>0</v>
      </c>
      <c r="V26" s="498">
        <f t="shared" si="17"/>
        <v>0</v>
      </c>
      <c r="W26" s="498">
        <f t="shared" si="17"/>
        <v>27300</v>
      </c>
      <c r="X26" s="498">
        <f t="shared" si="17"/>
        <v>27300</v>
      </c>
      <c r="Y26" s="498">
        <f t="shared" si="17"/>
        <v>27300</v>
      </c>
      <c r="Z26" s="498">
        <f t="shared" si="17"/>
        <v>27300</v>
      </c>
    </row>
    <row r="27" spans="1:26" x14ac:dyDescent="0.25">
      <c r="A27" s="499"/>
      <c r="B27" s="500"/>
      <c r="C27" s="500"/>
      <c r="D27" s="501"/>
      <c r="E27" s="415"/>
      <c r="F27" s="415"/>
      <c r="G27" s="415"/>
      <c r="H27" s="415"/>
      <c r="I27" s="415"/>
      <c r="J27" s="502" t="s">
        <v>20</v>
      </c>
      <c r="K27" s="503"/>
      <c r="L27" s="404">
        <v>12</v>
      </c>
      <c r="M27" s="404">
        <f>SUM(M17:M26)</f>
        <v>0</v>
      </c>
      <c r="N27" s="404">
        <f t="shared" ref="N27:Z27" si="18">SUM(N17:N26)</f>
        <v>9266578.9890109897</v>
      </c>
      <c r="O27" s="404">
        <f t="shared" si="18"/>
        <v>48586.923076923078</v>
      </c>
      <c r="P27" s="404">
        <f t="shared" si="18"/>
        <v>791372.98534798529</v>
      </c>
      <c r="Q27" s="404">
        <f t="shared" si="18"/>
        <v>1597282.4853479855</v>
      </c>
      <c r="R27" s="404">
        <f t="shared" si="18"/>
        <v>2148899.2948717945</v>
      </c>
      <c r="S27" s="404">
        <f t="shared" si="18"/>
        <v>710146.28021978016</v>
      </c>
      <c r="T27" s="404">
        <f t="shared" si="18"/>
        <v>1153059.0443223442</v>
      </c>
      <c r="U27" s="404">
        <f t="shared" si="18"/>
        <v>999740.71098901099</v>
      </c>
      <c r="V27" s="404">
        <f t="shared" si="18"/>
        <v>428900.71098901099</v>
      </c>
      <c r="W27" s="404">
        <f t="shared" si="18"/>
        <v>104453.35384615384</v>
      </c>
      <c r="X27" s="404">
        <f t="shared" si="18"/>
        <v>104453.35384615384</v>
      </c>
      <c r="Y27" s="404">
        <f t="shared" si="18"/>
        <v>591591.92307692301</v>
      </c>
      <c r="Z27" s="404">
        <f t="shared" si="18"/>
        <v>588091.92307692301</v>
      </c>
    </row>
    <row r="28" spans="1:26" ht="6.75" customHeight="1" x14ac:dyDescent="0.25">
      <c r="A28" s="501"/>
      <c r="B28" s="501"/>
      <c r="C28" s="501"/>
      <c r="D28" s="501"/>
      <c r="E28" s="501"/>
      <c r="F28" s="501"/>
      <c r="G28" s="501"/>
      <c r="H28" s="501"/>
      <c r="I28" s="501"/>
      <c r="J28" s="501"/>
      <c r="K28" s="501"/>
    </row>
    <row r="29" spans="1:26" ht="18.75" hidden="1" x14ac:dyDescent="0.25">
      <c r="A29" s="489" t="s">
        <v>33</v>
      </c>
      <c r="B29" s="489"/>
      <c r="C29" s="490"/>
      <c r="D29" s="490"/>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ht="15.75" hidden="1" x14ac:dyDescent="0.25">
      <c r="A30" s="492" t="s">
        <v>261</v>
      </c>
      <c r="B30" s="442" t="s">
        <v>13</v>
      </c>
      <c r="C30" s="442" t="s">
        <v>14</v>
      </c>
      <c r="D30" s="403" t="s">
        <v>15</v>
      </c>
      <c r="E30" s="410" t="s">
        <v>5</v>
      </c>
      <c r="F30" s="410" t="s">
        <v>5</v>
      </c>
      <c r="G30" s="410" t="s">
        <v>5</v>
      </c>
      <c r="H30" s="410"/>
      <c r="I30" s="410"/>
      <c r="J30" s="410"/>
      <c r="K30" s="410" t="s">
        <v>5</v>
      </c>
      <c r="L30" s="504" t="s">
        <v>287</v>
      </c>
      <c r="M30" s="410"/>
      <c r="N30" s="409"/>
      <c r="O30" s="409" t="s">
        <v>5</v>
      </c>
      <c r="P30" s="409"/>
      <c r="Q30" s="409"/>
      <c r="R30" s="409"/>
      <c r="S30" s="409"/>
      <c r="T30" s="409"/>
      <c r="U30" s="409"/>
      <c r="V30" s="409"/>
      <c r="W30" s="409"/>
      <c r="X30" s="409"/>
      <c r="Y30" s="409"/>
      <c r="Z30" s="409"/>
    </row>
    <row r="31" spans="1:26" ht="18.75" hidden="1" x14ac:dyDescent="0.25">
      <c r="A31" s="505" t="str">
        <f>CONCATENATE(B17," ",C17)</f>
        <v xml:space="preserve">General &amp; Administrative </v>
      </c>
      <c r="B31" s="505"/>
      <c r="C31" s="506"/>
      <c r="D31" s="506"/>
      <c r="E31" s="507"/>
      <c r="F31" s="507"/>
      <c r="G31" s="507"/>
      <c r="H31" s="507"/>
      <c r="I31" s="507"/>
      <c r="J31" s="507"/>
      <c r="K31" s="507"/>
      <c r="L31" s="507"/>
      <c r="M31" s="507"/>
      <c r="N31" s="507"/>
      <c r="O31" s="507" t="s">
        <v>5</v>
      </c>
      <c r="P31" s="507"/>
      <c r="Q31" s="507"/>
      <c r="R31" s="507"/>
      <c r="S31" s="507"/>
      <c r="T31" s="507"/>
      <c r="U31" s="507"/>
      <c r="V31" s="507"/>
      <c r="W31" s="507"/>
      <c r="X31" s="507"/>
      <c r="Y31" s="507"/>
      <c r="Z31" s="507"/>
    </row>
    <row r="32" spans="1:26" ht="15.75" hidden="1" x14ac:dyDescent="0.25">
      <c r="A32" s="494"/>
      <c r="B32" s="508"/>
      <c r="C32" s="508"/>
      <c r="D32" s="495"/>
      <c r="E32" s="999" t="s">
        <v>5</v>
      </c>
      <c r="F32" s="999" t="s">
        <v>5</v>
      </c>
      <c r="G32" s="999" t="s">
        <v>5</v>
      </c>
      <c r="H32" s="999"/>
      <c r="I32" s="999"/>
      <c r="J32" s="999"/>
      <c r="K32" s="1000" t="s">
        <v>5</v>
      </c>
      <c r="L32" s="496"/>
      <c r="M32" s="410"/>
      <c r="N32" s="409"/>
      <c r="O32" s="409" t="s">
        <v>5</v>
      </c>
      <c r="P32" s="409"/>
      <c r="Q32" s="409"/>
      <c r="R32" s="409"/>
      <c r="S32" s="409"/>
      <c r="T32" s="409"/>
      <c r="U32" s="409"/>
      <c r="V32" s="409"/>
      <c r="W32" s="409"/>
      <c r="X32" s="409"/>
      <c r="Y32" s="409"/>
      <c r="Z32" s="409"/>
    </row>
    <row r="33" spans="1:26" ht="15.75" hidden="1" x14ac:dyDescent="0.25">
      <c r="A33" s="494"/>
      <c r="B33" s="508"/>
      <c r="C33" s="508"/>
      <c r="D33" s="495"/>
      <c r="E33" s="999" t="s">
        <v>5</v>
      </c>
      <c r="F33" s="999" t="s">
        <v>5</v>
      </c>
      <c r="G33" s="999" t="s">
        <v>5</v>
      </c>
      <c r="H33" s="999"/>
      <c r="I33" s="999"/>
      <c r="J33" s="999"/>
      <c r="K33" s="1000" t="s">
        <v>5</v>
      </c>
      <c r="L33" s="496"/>
      <c r="M33" s="410"/>
      <c r="N33" s="409"/>
      <c r="O33" s="409" t="s">
        <v>5</v>
      </c>
      <c r="P33" s="409"/>
      <c r="Q33" s="409"/>
      <c r="R33" s="409"/>
      <c r="S33" s="409"/>
      <c r="T33" s="409"/>
      <c r="U33" s="409"/>
      <c r="V33" s="409"/>
      <c r="W33" s="409"/>
      <c r="X33" s="409"/>
      <c r="Y33" s="409"/>
      <c r="Z33" s="409"/>
    </row>
    <row r="34" spans="1:26" ht="18.75" hidden="1" x14ac:dyDescent="0.25">
      <c r="A34" s="505" t="str">
        <f>CONCATENATE(B18," ",C18)</f>
        <v xml:space="preserve">Warehouses </v>
      </c>
      <c r="B34" s="505"/>
      <c r="C34" s="506"/>
      <c r="D34" s="506"/>
      <c r="E34" s="507"/>
      <c r="F34" s="507"/>
      <c r="G34" s="507"/>
      <c r="H34" s="507"/>
      <c r="I34" s="507"/>
      <c r="J34" s="507"/>
      <c r="K34" s="507"/>
      <c r="L34" s="507"/>
      <c r="M34" s="507"/>
      <c r="N34" s="507"/>
      <c r="O34" s="507" t="s">
        <v>5</v>
      </c>
      <c r="P34" s="507"/>
      <c r="Q34" s="507"/>
      <c r="R34" s="507"/>
      <c r="S34" s="507"/>
      <c r="T34" s="507"/>
      <c r="U34" s="507"/>
      <c r="V34" s="507"/>
      <c r="W34" s="507"/>
      <c r="X34" s="507"/>
      <c r="Y34" s="507"/>
      <c r="Z34" s="507"/>
    </row>
    <row r="35" spans="1:26" ht="15.75" hidden="1" x14ac:dyDescent="0.25">
      <c r="A35" s="494"/>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ht="15.75" hidden="1" x14ac:dyDescent="0.25">
      <c r="A36" s="494"/>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t="18.75" hidden="1" x14ac:dyDescent="0.25">
      <c r="A37" s="505" t="str">
        <f>CONCATENATE(B19," ",C19)</f>
        <v xml:space="preserve">Geoscience </v>
      </c>
      <c r="B37" s="505"/>
      <c r="C37" s="506"/>
      <c r="D37" s="506"/>
      <c r="E37" s="507"/>
      <c r="F37" s="507"/>
      <c r="G37" s="507"/>
      <c r="H37" s="507"/>
      <c r="I37" s="507"/>
      <c r="J37" s="507"/>
      <c r="K37" s="507"/>
      <c r="L37" s="507"/>
      <c r="M37" s="507"/>
      <c r="N37" s="507"/>
      <c r="O37" s="507" t="s">
        <v>5</v>
      </c>
      <c r="P37" s="507"/>
      <c r="Q37" s="507"/>
      <c r="R37" s="507"/>
      <c r="S37" s="507"/>
      <c r="T37" s="507"/>
      <c r="U37" s="507"/>
      <c r="V37" s="507"/>
      <c r="W37" s="507"/>
      <c r="X37" s="507"/>
      <c r="Y37" s="507"/>
      <c r="Z37" s="507"/>
    </row>
    <row r="38" spans="1:26" ht="15.75" hidden="1" x14ac:dyDescent="0.25">
      <c r="A38" s="494"/>
      <c r="B38" s="508"/>
      <c r="C38" s="508"/>
      <c r="D38" s="495"/>
      <c r="E38" s="999" t="s">
        <v>5</v>
      </c>
      <c r="F38" s="999" t="s">
        <v>5</v>
      </c>
      <c r="G38" s="999" t="s">
        <v>5</v>
      </c>
      <c r="H38" s="999"/>
      <c r="I38" s="999"/>
      <c r="J38" s="999"/>
      <c r="K38" s="1000" t="s">
        <v>5</v>
      </c>
      <c r="L38" s="496"/>
      <c r="M38" s="410"/>
      <c r="N38" s="409"/>
      <c r="O38" s="409" t="s">
        <v>5</v>
      </c>
      <c r="P38" s="409"/>
      <c r="Q38" s="409"/>
      <c r="R38" s="409"/>
      <c r="S38" s="409"/>
      <c r="T38" s="409"/>
      <c r="U38" s="409"/>
      <c r="V38" s="409"/>
      <c r="W38" s="409"/>
      <c r="X38" s="409"/>
      <c r="Y38" s="409"/>
      <c r="Z38" s="409"/>
    </row>
    <row r="39" spans="1:26" ht="15.75" hidden="1" x14ac:dyDescent="0.25">
      <c r="A39" s="494"/>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t="18.75" hidden="1" outlineLevel="1" x14ac:dyDescent="0.25">
      <c r="A40" s="505" t="str">
        <f>CONCATENATE(B20," ",C20)</f>
        <v xml:space="preserve">Brownfield Exploration </v>
      </c>
      <c r="B40" s="505"/>
      <c r="C40" s="506"/>
      <c r="D40" s="506"/>
      <c r="E40" s="507"/>
      <c r="F40" s="507"/>
      <c r="G40" s="507"/>
      <c r="H40" s="507"/>
      <c r="I40" s="507"/>
      <c r="J40" s="507"/>
      <c r="K40" s="507"/>
      <c r="L40" s="507"/>
      <c r="M40" s="507"/>
      <c r="N40" s="507"/>
      <c r="O40" s="507" t="s">
        <v>5</v>
      </c>
      <c r="P40" s="507"/>
      <c r="Q40" s="507"/>
      <c r="R40" s="507"/>
      <c r="S40" s="507"/>
      <c r="T40" s="507"/>
      <c r="U40" s="507"/>
      <c r="V40" s="507"/>
      <c r="W40" s="507"/>
      <c r="X40" s="507"/>
      <c r="Y40" s="507"/>
      <c r="Z40" s="507"/>
    </row>
    <row r="41" spans="1:26" ht="15.75" hidden="1" outlineLevel="1" x14ac:dyDescent="0.25">
      <c r="A41" s="494"/>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t="15.75" hidden="1" outlineLevel="1" x14ac:dyDescent="0.25">
      <c r="A42" s="494"/>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t="18.75" hidden="1" outlineLevel="1" x14ac:dyDescent="0.25">
      <c r="A43" s="505" t="str">
        <f>CONCATENATE(B21," ",C21)</f>
        <v xml:space="preserve">Mine Geology  </v>
      </c>
      <c r="B43" s="505"/>
      <c r="C43" s="506"/>
      <c r="D43" s="50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t="15.75" hidden="1" outlineLevel="1" x14ac:dyDescent="0.25">
      <c r="A44" s="494"/>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t="15.75" hidden="1" outlineLevel="1" x14ac:dyDescent="0.25">
      <c r="A45" s="494"/>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t="18.75" hidden="1" outlineLevel="1" x14ac:dyDescent="0.25">
      <c r="A46" s="505" t="str">
        <f>CONCATENATE(B22," ",C22)</f>
        <v xml:space="preserve">Drill Campaign </v>
      </c>
      <c r="B46" s="505"/>
      <c r="C46" s="506"/>
      <c r="D46" s="506"/>
      <c r="E46" s="507"/>
      <c r="F46" s="507"/>
      <c r="G46" s="507"/>
      <c r="H46" s="507"/>
      <c r="I46" s="507"/>
      <c r="J46" s="507"/>
      <c r="K46" s="507"/>
      <c r="L46" s="507"/>
      <c r="M46" s="507"/>
      <c r="N46" s="507"/>
      <c r="O46" s="507" t="s">
        <v>5</v>
      </c>
      <c r="P46" s="507"/>
      <c r="Q46" s="507"/>
      <c r="R46" s="507"/>
      <c r="S46" s="507"/>
      <c r="T46" s="507"/>
      <c r="U46" s="507"/>
      <c r="V46" s="507"/>
      <c r="W46" s="507"/>
      <c r="X46" s="507"/>
      <c r="Y46" s="507"/>
      <c r="Z46" s="507"/>
    </row>
    <row r="47" spans="1:26" ht="15.75" hidden="1" outlineLevel="1" x14ac:dyDescent="0.25">
      <c r="A47" s="494"/>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t="15.75" hidden="1" outlineLevel="1" x14ac:dyDescent="0.25">
      <c r="A48" s="494"/>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t="18.75" hidden="1" outlineLevel="1" x14ac:dyDescent="0.25">
      <c r="A49" s="505" t="str">
        <f>CONCATENATE(B23," ",C23)</f>
        <v xml:space="preserve">Mine Resource Modelling </v>
      </c>
      <c r="B49" s="505"/>
      <c r="C49" s="506"/>
      <c r="D49" s="50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t="15.75" hidden="1" outlineLevel="1" x14ac:dyDescent="0.25">
      <c r="A50" s="494"/>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t="15.75" hidden="1" outlineLevel="1" x14ac:dyDescent="0.25">
      <c r="A51" s="494"/>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t="18.75" hidden="1" outlineLevel="1" x14ac:dyDescent="0.25">
      <c r="A52" s="505" t="str">
        <f>CONCATENATE(B24," ",C24)</f>
        <v xml:space="preserve">Feasability Resource Updates </v>
      </c>
      <c r="B52" s="505"/>
      <c r="C52" s="506"/>
      <c r="D52" s="506"/>
      <c r="E52" s="507"/>
      <c r="F52" s="507"/>
      <c r="G52" s="507"/>
      <c r="H52" s="507"/>
      <c r="I52" s="507"/>
      <c r="J52" s="507"/>
      <c r="K52" s="507"/>
      <c r="L52" s="507"/>
      <c r="M52" s="507"/>
      <c r="N52" s="507"/>
      <c r="O52" s="507" t="s">
        <v>5</v>
      </c>
      <c r="P52" s="507"/>
      <c r="Q52" s="507"/>
      <c r="R52" s="507"/>
      <c r="S52" s="507"/>
      <c r="T52" s="507"/>
      <c r="U52" s="507"/>
      <c r="V52" s="507"/>
      <c r="W52" s="507"/>
      <c r="X52" s="507"/>
      <c r="Y52" s="507"/>
      <c r="Z52" s="507"/>
    </row>
    <row r="53" spans="1:26" ht="15.75" hidden="1" outlineLevel="1" x14ac:dyDescent="0.25">
      <c r="A53" s="494"/>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t="15.75" hidden="1" outlineLevel="1" x14ac:dyDescent="0.25">
      <c r="A54" s="494"/>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t="18.75" hidden="1" outlineLevel="1" x14ac:dyDescent="0.25">
      <c r="A55" s="505" t="str">
        <f>CONCATENATE(B25," ",C25)</f>
        <v xml:space="preserve">Classification Harmonization </v>
      </c>
      <c r="B55" s="505"/>
      <c r="C55" s="506"/>
      <c r="D55" s="50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t="15.75" hidden="1" outlineLevel="1" x14ac:dyDescent="0.25">
      <c r="A56" s="494"/>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t="15.75" hidden="1" outlineLevel="1" x14ac:dyDescent="0.25">
      <c r="A57" s="494"/>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t="18.75" hidden="1" outlineLevel="1" x14ac:dyDescent="0.25">
      <c r="A58" s="505" t="str">
        <f>CONCATENATE(B26," ",C26)</f>
        <v xml:space="preserve">FS Reporting </v>
      </c>
      <c r="B58" s="505"/>
      <c r="C58" s="506"/>
      <c r="D58" s="506"/>
      <c r="E58" s="507"/>
      <c r="F58" s="507"/>
      <c r="G58" s="507"/>
      <c r="H58" s="507"/>
      <c r="I58" s="507"/>
      <c r="J58" s="507"/>
      <c r="K58" s="507"/>
      <c r="L58" s="507"/>
      <c r="M58" s="507"/>
      <c r="N58" s="507"/>
      <c r="O58" s="507" t="s">
        <v>5</v>
      </c>
      <c r="P58" s="507"/>
      <c r="Q58" s="507"/>
      <c r="R58" s="507"/>
      <c r="S58" s="507"/>
      <c r="T58" s="507"/>
      <c r="U58" s="507"/>
      <c r="V58" s="507"/>
      <c r="W58" s="507"/>
      <c r="X58" s="507"/>
      <c r="Y58" s="507"/>
      <c r="Z58" s="507"/>
    </row>
    <row r="59" spans="1:26" ht="15.75" hidden="1" outlineLevel="1" x14ac:dyDescent="0.25">
      <c r="A59" s="494"/>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t="15.75" hidden="1" outlineLevel="1" x14ac:dyDescent="0.25">
      <c r="A60" s="494"/>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t="18.75" collapsed="1" x14ac:dyDescent="0.25">
      <c r="A61" s="489" t="s">
        <v>37</v>
      </c>
      <c r="B61" s="489"/>
      <c r="C61" s="490"/>
      <c r="D61" s="490"/>
      <c r="E61" s="402"/>
      <c r="F61" s="402"/>
      <c r="G61" s="402"/>
      <c r="H61" s="491"/>
      <c r="I61" s="491"/>
      <c r="J61" s="402"/>
      <c r="K61" s="402"/>
      <c r="L61" s="402"/>
      <c r="M61" s="402"/>
      <c r="N61" s="402"/>
      <c r="O61" s="402" t="s">
        <v>5</v>
      </c>
      <c r="P61" s="402"/>
      <c r="Q61" s="402"/>
      <c r="R61" s="402"/>
      <c r="S61" s="402"/>
      <c r="T61" s="402"/>
      <c r="U61" s="402"/>
      <c r="V61" s="402"/>
      <c r="W61" s="402"/>
      <c r="X61" s="402"/>
      <c r="Y61" s="402"/>
      <c r="Z61" s="402"/>
    </row>
    <row r="62" spans="1:26" ht="18.75" x14ac:dyDescent="0.25">
      <c r="A62" s="505" t="str">
        <f>CONCATENATE(B17," ",C17)</f>
        <v xml:space="preserve">General &amp; Administrative </v>
      </c>
      <c r="B62" s="505"/>
      <c r="C62" s="506"/>
      <c r="D62" s="506"/>
      <c r="E62" s="507"/>
      <c r="F62" s="507"/>
      <c r="G62" s="507"/>
      <c r="H62" s="507"/>
      <c r="I62" s="507"/>
      <c r="J62" s="507"/>
      <c r="K62" s="507"/>
      <c r="L62" s="507"/>
      <c r="M62" s="507"/>
      <c r="N62" s="507"/>
      <c r="O62" s="507" t="s">
        <v>5</v>
      </c>
      <c r="P62" s="507"/>
      <c r="Q62" s="507"/>
      <c r="R62" s="507"/>
      <c r="S62" s="507"/>
      <c r="T62" s="507"/>
      <c r="U62" s="507"/>
      <c r="V62" s="507"/>
      <c r="W62" s="507"/>
      <c r="X62" s="507"/>
      <c r="Y62" s="507"/>
      <c r="Z62" s="507"/>
    </row>
    <row r="63" spans="1:26" ht="48.6" customHeight="1" x14ac:dyDescent="0.25">
      <c r="A63" s="492" t="s">
        <v>261</v>
      </c>
      <c r="B63" s="492" t="s">
        <v>13</v>
      </c>
      <c r="C63" s="492" t="s">
        <v>14</v>
      </c>
      <c r="D63" s="509" t="s">
        <v>286</v>
      </c>
      <c r="E63" s="404" t="s">
        <v>16</v>
      </c>
      <c r="F63" s="404" t="s">
        <v>295</v>
      </c>
      <c r="G63" s="404" t="s">
        <v>39</v>
      </c>
      <c r="H63" s="404" t="s">
        <v>297</v>
      </c>
      <c r="I63" s="404" t="s">
        <v>298</v>
      </c>
      <c r="J63" s="404" t="s">
        <v>299</v>
      </c>
      <c r="K63" s="404" t="s">
        <v>300</v>
      </c>
      <c r="L63" s="404" t="s">
        <v>17</v>
      </c>
      <c r="M63" s="404" t="s">
        <v>18</v>
      </c>
      <c r="N63" s="404" t="s">
        <v>19</v>
      </c>
      <c r="O63" s="493">
        <v>43101</v>
      </c>
      <c r="P63" s="493">
        <v>43132</v>
      </c>
      <c r="Q63" s="493">
        <v>43160</v>
      </c>
      <c r="R63" s="493">
        <v>43191</v>
      </c>
      <c r="S63" s="493">
        <v>43221</v>
      </c>
      <c r="T63" s="493">
        <v>43252</v>
      </c>
      <c r="U63" s="493">
        <v>43282</v>
      </c>
      <c r="V63" s="493">
        <v>43313</v>
      </c>
      <c r="W63" s="493">
        <v>43344</v>
      </c>
      <c r="X63" s="493">
        <v>43374</v>
      </c>
      <c r="Y63" s="493">
        <v>43405</v>
      </c>
      <c r="Z63" s="493">
        <v>43435</v>
      </c>
    </row>
    <row r="64" spans="1:26" ht="15" customHeight="1" x14ac:dyDescent="0.25">
      <c r="A64" s="573" t="s">
        <v>2166</v>
      </c>
      <c r="B64" s="573" t="s">
        <v>529</v>
      </c>
      <c r="C64" s="603" t="s">
        <v>530</v>
      </c>
      <c r="D64" s="603" t="s">
        <v>531</v>
      </c>
      <c r="E64" s="496" t="s">
        <v>242</v>
      </c>
      <c r="F64" s="496"/>
      <c r="G64" s="496"/>
      <c r="H64" s="511"/>
      <c r="I64" s="496"/>
      <c r="J64" s="496"/>
      <c r="K64" s="496"/>
      <c r="L64" s="496">
        <v>12</v>
      </c>
      <c r="M64" s="496"/>
      <c r="N64" s="512">
        <f>SUM(O64:Z64)</f>
        <v>6000</v>
      </c>
      <c r="O64" s="496">
        <v>500</v>
      </c>
      <c r="P64" s="496">
        <v>500</v>
      </c>
      <c r="Q64" s="496">
        <v>500</v>
      </c>
      <c r="R64" s="496">
        <v>500</v>
      </c>
      <c r="S64" s="496">
        <v>500</v>
      </c>
      <c r="T64" s="496">
        <v>500</v>
      </c>
      <c r="U64" s="496">
        <v>500</v>
      </c>
      <c r="V64" s="496">
        <v>500</v>
      </c>
      <c r="W64" s="496">
        <v>500</v>
      </c>
      <c r="X64" s="496">
        <v>500</v>
      </c>
      <c r="Y64" s="496">
        <v>500</v>
      </c>
      <c r="Z64" s="496">
        <v>500</v>
      </c>
    </row>
    <row r="65" spans="1:26" ht="15.75" x14ac:dyDescent="0.25">
      <c r="A65" s="573" t="s">
        <v>2167</v>
      </c>
      <c r="B65" s="494" t="s">
        <v>532</v>
      </c>
      <c r="C65" s="603" t="s">
        <v>530</v>
      </c>
      <c r="D65" s="603" t="s">
        <v>531</v>
      </c>
      <c r="E65" s="496" t="s">
        <v>242</v>
      </c>
      <c r="F65" s="496"/>
      <c r="G65" s="496"/>
      <c r="H65" s="496"/>
      <c r="I65" s="496"/>
      <c r="J65" s="496"/>
      <c r="K65" s="496" t="s">
        <v>42</v>
      </c>
      <c r="L65" s="496">
        <v>1</v>
      </c>
      <c r="M65" s="496"/>
      <c r="N65" s="512">
        <f t="shared" ref="N65:N70" si="19">SUM(O65:Z65)</f>
        <v>64500</v>
      </c>
      <c r="O65" s="912">
        <v>0</v>
      </c>
      <c r="P65" s="912">
        <v>32250</v>
      </c>
      <c r="Q65" s="912">
        <v>32250</v>
      </c>
      <c r="R65" s="496">
        <v>0</v>
      </c>
      <c r="S65" s="496">
        <v>0</v>
      </c>
      <c r="T65" s="496">
        <v>0</v>
      </c>
      <c r="U65" s="496">
        <v>0</v>
      </c>
      <c r="V65" s="496">
        <v>0</v>
      </c>
      <c r="W65" s="496">
        <v>0</v>
      </c>
      <c r="X65" s="496">
        <v>0</v>
      </c>
      <c r="Y65" s="496">
        <v>0</v>
      </c>
      <c r="Z65" s="496">
        <v>0</v>
      </c>
    </row>
    <row r="66" spans="1:26" ht="15.75" x14ac:dyDescent="0.25">
      <c r="A66" s="573" t="s">
        <v>2168</v>
      </c>
      <c r="B66" s="494" t="s">
        <v>533</v>
      </c>
      <c r="C66" s="603" t="s">
        <v>530</v>
      </c>
      <c r="D66" s="603" t="s">
        <v>531</v>
      </c>
      <c r="E66" s="496" t="s">
        <v>242</v>
      </c>
      <c r="F66" s="496"/>
      <c r="G66" s="496"/>
      <c r="H66" s="496"/>
      <c r="I66" s="496"/>
      <c r="J66" s="496"/>
      <c r="K66" s="496" t="s">
        <v>45</v>
      </c>
      <c r="L66" s="496">
        <v>9</v>
      </c>
      <c r="M66" s="496"/>
      <c r="N66" s="512">
        <f t="shared" si="19"/>
        <v>65250</v>
      </c>
      <c r="O66" s="496">
        <v>0</v>
      </c>
      <c r="P66" s="496">
        <v>0</v>
      </c>
      <c r="Q66" s="496">
        <v>0</v>
      </c>
      <c r="R66" s="496">
        <v>7250</v>
      </c>
      <c r="S66" s="496">
        <v>7250</v>
      </c>
      <c r="T66" s="496">
        <v>7250</v>
      </c>
      <c r="U66" s="496">
        <v>7250</v>
      </c>
      <c r="V66" s="496">
        <v>7250</v>
      </c>
      <c r="W66" s="496">
        <v>7250</v>
      </c>
      <c r="X66" s="496">
        <v>7250</v>
      </c>
      <c r="Y66" s="496">
        <v>7250</v>
      </c>
      <c r="Z66" s="496">
        <v>7250</v>
      </c>
    </row>
    <row r="67" spans="1:26" ht="15.75" x14ac:dyDescent="0.25">
      <c r="A67" s="573" t="s">
        <v>2169</v>
      </c>
      <c r="B67" s="494" t="s">
        <v>534</v>
      </c>
      <c r="C67" s="603" t="s">
        <v>530</v>
      </c>
      <c r="D67" s="603" t="s">
        <v>531</v>
      </c>
      <c r="E67" s="496" t="s">
        <v>242</v>
      </c>
      <c r="F67" s="496"/>
      <c r="G67" s="496"/>
      <c r="H67" s="496"/>
      <c r="I67" s="496"/>
      <c r="J67" s="496"/>
      <c r="K67" s="496" t="s">
        <v>43</v>
      </c>
      <c r="L67" s="496">
        <v>10</v>
      </c>
      <c r="M67" s="496"/>
      <c r="N67" s="512">
        <f t="shared" si="19"/>
        <v>25000</v>
      </c>
      <c r="O67" s="496">
        <v>0</v>
      </c>
      <c r="P67" s="496">
        <v>2500</v>
      </c>
      <c r="Q67" s="496">
        <v>2500</v>
      </c>
      <c r="R67" s="496">
        <v>2500</v>
      </c>
      <c r="S67" s="496">
        <v>2500</v>
      </c>
      <c r="T67" s="496">
        <v>2500</v>
      </c>
      <c r="U67" s="496">
        <v>2500</v>
      </c>
      <c r="V67" s="496">
        <v>2500</v>
      </c>
      <c r="W67" s="496">
        <v>2500</v>
      </c>
      <c r="X67" s="496">
        <v>2500</v>
      </c>
      <c r="Y67" s="496">
        <v>2500</v>
      </c>
      <c r="Z67" s="496">
        <v>0</v>
      </c>
    </row>
    <row r="68" spans="1:26" ht="31.5" x14ac:dyDescent="0.25">
      <c r="A68" s="573" t="s">
        <v>2170</v>
      </c>
      <c r="B68" s="494" t="s">
        <v>535</v>
      </c>
      <c r="C68" s="603" t="s">
        <v>530</v>
      </c>
      <c r="D68" s="603" t="s">
        <v>531</v>
      </c>
      <c r="E68" s="496" t="s">
        <v>242</v>
      </c>
      <c r="F68" s="496"/>
      <c r="G68" s="496"/>
      <c r="H68" s="496"/>
      <c r="I68" s="496"/>
      <c r="J68" s="496"/>
      <c r="K68" s="496" t="s">
        <v>42</v>
      </c>
      <c r="L68" s="496">
        <v>12</v>
      </c>
      <c r="M68" s="496"/>
      <c r="N68" s="496">
        <f t="shared" si="19"/>
        <v>30000</v>
      </c>
      <c r="O68" s="496">
        <v>2500</v>
      </c>
      <c r="P68" s="496">
        <v>2500</v>
      </c>
      <c r="Q68" s="496">
        <v>2500</v>
      </c>
      <c r="R68" s="496">
        <v>2500</v>
      </c>
      <c r="S68" s="496">
        <v>2500</v>
      </c>
      <c r="T68" s="496">
        <v>2500</v>
      </c>
      <c r="U68" s="496">
        <v>2500</v>
      </c>
      <c r="V68" s="496">
        <v>2500</v>
      </c>
      <c r="W68" s="496">
        <v>2500</v>
      </c>
      <c r="X68" s="496">
        <v>2500</v>
      </c>
      <c r="Y68" s="496">
        <v>2500</v>
      </c>
      <c r="Z68" s="496">
        <v>2500</v>
      </c>
    </row>
    <row r="69" spans="1:26" ht="31.5" x14ac:dyDescent="0.25">
      <c r="A69" s="573" t="s">
        <v>2171</v>
      </c>
      <c r="B69" s="494" t="s">
        <v>536</v>
      </c>
      <c r="C69" s="603" t="s">
        <v>530</v>
      </c>
      <c r="D69" s="603" t="s">
        <v>531</v>
      </c>
      <c r="E69" s="496" t="s">
        <v>242</v>
      </c>
      <c r="F69" s="496"/>
      <c r="G69" s="496"/>
      <c r="H69" s="496"/>
      <c r="I69" s="496"/>
      <c r="J69" s="496"/>
      <c r="K69" s="496" t="s">
        <v>42</v>
      </c>
      <c r="L69" s="496">
        <v>12</v>
      </c>
      <c r="M69" s="496"/>
      <c r="N69" s="496">
        <f t="shared" si="19"/>
        <v>5760</v>
      </c>
      <c r="O69" s="496">
        <v>480</v>
      </c>
      <c r="P69" s="496">
        <v>480</v>
      </c>
      <c r="Q69" s="496">
        <v>480</v>
      </c>
      <c r="R69" s="496">
        <v>480</v>
      </c>
      <c r="S69" s="496">
        <v>480</v>
      </c>
      <c r="T69" s="496">
        <v>480</v>
      </c>
      <c r="U69" s="496">
        <v>480</v>
      </c>
      <c r="V69" s="496">
        <v>480</v>
      </c>
      <c r="W69" s="496">
        <v>480</v>
      </c>
      <c r="X69" s="496">
        <v>480</v>
      </c>
      <c r="Y69" s="496">
        <v>480</v>
      </c>
      <c r="Z69" s="496">
        <v>480</v>
      </c>
    </row>
    <row r="70" spans="1:26" ht="31.5" x14ac:dyDescent="0.25">
      <c r="A70" s="573" t="s">
        <v>2172</v>
      </c>
      <c r="B70" s="494" t="s">
        <v>537</v>
      </c>
      <c r="C70" s="603" t="s">
        <v>530</v>
      </c>
      <c r="D70" s="603" t="s">
        <v>531</v>
      </c>
      <c r="E70" s="496" t="s">
        <v>242</v>
      </c>
      <c r="F70" s="496"/>
      <c r="G70" s="496"/>
      <c r="H70" s="496"/>
      <c r="I70" s="496"/>
      <c r="J70" s="496"/>
      <c r="K70" s="496" t="s">
        <v>42</v>
      </c>
      <c r="L70" s="496">
        <v>12</v>
      </c>
      <c r="M70" s="496"/>
      <c r="N70" s="496">
        <f t="shared" si="19"/>
        <v>103683.07692307689</v>
      </c>
      <c r="O70" s="496">
        <v>8640.2564102564102</v>
      </c>
      <c r="P70" s="496">
        <v>8640.2564102564102</v>
      </c>
      <c r="Q70" s="496">
        <v>8640.2564102564102</v>
      </c>
      <c r="R70" s="496">
        <v>8640.2564102564102</v>
      </c>
      <c r="S70" s="496">
        <v>8640.2564102564102</v>
      </c>
      <c r="T70" s="496">
        <v>8640.2564102564102</v>
      </c>
      <c r="U70" s="496">
        <v>8640.2564102564102</v>
      </c>
      <c r="V70" s="496">
        <v>8640.2564102564102</v>
      </c>
      <c r="W70" s="496">
        <v>8640.2564102564102</v>
      </c>
      <c r="X70" s="496">
        <v>8640.2564102564102</v>
      </c>
      <c r="Y70" s="496">
        <v>8640.2564102564102</v>
      </c>
      <c r="Z70" s="496">
        <v>8640.2564102564102</v>
      </c>
    </row>
    <row r="71" spans="1:26" s="517" customFormat="1" ht="22.5" customHeight="1" x14ac:dyDescent="0.25">
      <c r="A71" s="513"/>
      <c r="B71" s="514"/>
      <c r="C71" s="514"/>
      <c r="D71" s="514"/>
      <c r="E71" s="515"/>
      <c r="F71" s="515"/>
      <c r="G71" s="515"/>
      <c r="H71" s="515"/>
      <c r="I71" s="515"/>
      <c r="J71" s="516" t="s">
        <v>20</v>
      </c>
      <c r="K71" s="515"/>
      <c r="L71" s="404">
        <f t="shared" ref="L71:Z71" si="20">SUM(L64:L70)</f>
        <v>68</v>
      </c>
      <c r="M71" s="404">
        <f t="shared" si="20"/>
        <v>0</v>
      </c>
      <c r="N71" s="404">
        <f t="shared" si="20"/>
        <v>300193.07692307688</v>
      </c>
      <c r="O71" s="404">
        <f t="shared" si="20"/>
        <v>12120.25641025641</v>
      </c>
      <c r="P71" s="404">
        <f t="shared" si="20"/>
        <v>46870.256410256407</v>
      </c>
      <c r="Q71" s="404">
        <f t="shared" si="20"/>
        <v>46870.256410256407</v>
      </c>
      <c r="R71" s="404">
        <f t="shared" si="20"/>
        <v>21870.25641025641</v>
      </c>
      <c r="S71" s="404">
        <f t="shared" si="20"/>
        <v>21870.25641025641</v>
      </c>
      <c r="T71" s="404">
        <f t="shared" si="20"/>
        <v>21870.25641025641</v>
      </c>
      <c r="U71" s="404">
        <f t="shared" si="20"/>
        <v>21870.25641025641</v>
      </c>
      <c r="V71" s="404">
        <f t="shared" si="20"/>
        <v>21870.25641025641</v>
      </c>
      <c r="W71" s="404">
        <f t="shared" si="20"/>
        <v>21870.25641025641</v>
      </c>
      <c r="X71" s="404">
        <f t="shared" si="20"/>
        <v>21870.25641025641</v>
      </c>
      <c r="Y71" s="404">
        <f t="shared" si="20"/>
        <v>21870.25641025641</v>
      </c>
      <c r="Z71" s="404">
        <f t="shared" si="20"/>
        <v>19370.25641025641</v>
      </c>
    </row>
    <row r="72" spans="1:26" ht="18.75" x14ac:dyDescent="0.25">
      <c r="A72" s="505" t="str">
        <f>CONCATENATE(B18," ",C18)</f>
        <v xml:space="preserve">Warehouses </v>
      </c>
      <c r="B72" s="505"/>
      <c r="C72" s="506"/>
      <c r="D72" s="506"/>
      <c r="E72" s="507"/>
      <c r="F72" s="507"/>
      <c r="G72" s="507"/>
      <c r="H72" s="507"/>
      <c r="I72" s="507"/>
      <c r="J72" s="507"/>
      <c r="K72" s="507"/>
      <c r="L72" s="507"/>
      <c r="M72" s="507"/>
      <c r="N72" s="507"/>
      <c r="O72" s="507" t="s">
        <v>5</v>
      </c>
      <c r="P72" s="507"/>
      <c r="Q72" s="507"/>
      <c r="R72" s="507"/>
      <c r="S72" s="507"/>
      <c r="T72" s="507"/>
      <c r="U72" s="507"/>
      <c r="V72" s="507"/>
      <c r="W72" s="507"/>
      <c r="X72" s="507"/>
      <c r="Y72" s="507"/>
      <c r="Z72" s="507"/>
    </row>
    <row r="73" spans="1:26" ht="23.45" customHeight="1" x14ac:dyDescent="0.25">
      <c r="A73" s="492" t="s">
        <v>261</v>
      </c>
      <c r="B73" s="492" t="s">
        <v>13</v>
      </c>
      <c r="C73" s="492" t="s">
        <v>14</v>
      </c>
      <c r="D73" s="509" t="s">
        <v>286</v>
      </c>
      <c r="E73" s="404" t="s">
        <v>16</v>
      </c>
      <c r="F73" s="404" t="s">
        <v>295</v>
      </c>
      <c r="G73" s="404" t="s">
        <v>39</v>
      </c>
      <c r="H73" s="404" t="s">
        <v>297</v>
      </c>
      <c r="I73" s="404" t="s">
        <v>298</v>
      </c>
      <c r="J73" s="404" t="s">
        <v>299</v>
      </c>
      <c r="K73" s="404" t="s">
        <v>300</v>
      </c>
      <c r="L73" s="404" t="s">
        <v>17</v>
      </c>
      <c r="M73" s="404" t="s">
        <v>18</v>
      </c>
      <c r="N73" s="404" t="s">
        <v>19</v>
      </c>
      <c r="O73" s="493">
        <v>43101</v>
      </c>
      <c r="P73" s="493">
        <v>43132</v>
      </c>
      <c r="Q73" s="493">
        <v>43160</v>
      </c>
      <c r="R73" s="493">
        <v>43191</v>
      </c>
      <c r="S73" s="493">
        <v>43221</v>
      </c>
      <c r="T73" s="493">
        <v>43252</v>
      </c>
      <c r="U73" s="493">
        <v>43282</v>
      </c>
      <c r="V73" s="493">
        <v>43313</v>
      </c>
      <c r="W73" s="493">
        <v>43344</v>
      </c>
      <c r="X73" s="493">
        <v>43374</v>
      </c>
      <c r="Y73" s="493">
        <v>43405</v>
      </c>
      <c r="Z73" s="493">
        <v>43435</v>
      </c>
    </row>
    <row r="74" spans="1:26" ht="31.5" x14ac:dyDescent="0.25">
      <c r="A74" s="573" t="s">
        <v>2173</v>
      </c>
      <c r="B74" s="494" t="s">
        <v>538</v>
      </c>
      <c r="C74" s="494" t="s">
        <v>539</v>
      </c>
      <c r="D74" s="603" t="s">
        <v>540</v>
      </c>
      <c r="E74" s="496" t="s">
        <v>242</v>
      </c>
      <c r="F74" s="496"/>
      <c r="G74" s="496"/>
      <c r="H74" s="496"/>
      <c r="I74" s="496"/>
      <c r="J74" s="496"/>
      <c r="K74" s="496" t="s">
        <v>42</v>
      </c>
      <c r="L74" s="496">
        <v>4</v>
      </c>
      <c r="M74" s="496"/>
      <c r="N74" s="512">
        <f>SUM(O74:Z74)</f>
        <v>37546.615384615383</v>
      </c>
      <c r="O74" s="912">
        <v>0</v>
      </c>
      <c r="P74" s="496">
        <v>9386.538461538461</v>
      </c>
      <c r="Q74" s="496">
        <v>9386.538461538461</v>
      </c>
      <c r="R74" s="496">
        <v>9386.538461538461</v>
      </c>
      <c r="S74" s="912">
        <v>9387</v>
      </c>
      <c r="T74" s="496"/>
      <c r="U74" s="496"/>
      <c r="V74" s="496"/>
      <c r="W74" s="496"/>
      <c r="X74" s="496"/>
      <c r="Y74" s="496"/>
      <c r="Z74" s="496"/>
    </row>
    <row r="75" spans="1:26" ht="31.5" x14ac:dyDescent="0.25">
      <c r="A75" s="573" t="s">
        <v>2174</v>
      </c>
      <c r="B75" s="494" t="s">
        <v>541</v>
      </c>
      <c r="C75" s="494" t="s">
        <v>539</v>
      </c>
      <c r="D75" s="603" t="s">
        <v>540</v>
      </c>
      <c r="E75" s="496" t="s">
        <v>242</v>
      </c>
      <c r="F75" s="496"/>
      <c r="G75" s="496"/>
      <c r="H75" s="496"/>
      <c r="I75" s="496"/>
      <c r="J75" s="496"/>
      <c r="K75" s="496" t="s">
        <v>47</v>
      </c>
      <c r="L75" s="496">
        <v>5</v>
      </c>
      <c r="M75" s="496"/>
      <c r="N75" s="512">
        <f>SUM(O75:Z75)</f>
        <v>37582.153846153844</v>
      </c>
      <c r="O75" s="496"/>
      <c r="P75" s="496"/>
      <c r="Q75" s="496"/>
      <c r="R75" s="496"/>
      <c r="S75" s="496"/>
      <c r="T75" s="496">
        <v>7516.4307692307684</v>
      </c>
      <c r="U75" s="496">
        <v>7516.4307692307684</v>
      </c>
      <c r="V75" s="496">
        <v>7516.4307692307684</v>
      </c>
      <c r="W75" s="496">
        <v>7516.4307692307684</v>
      </c>
      <c r="X75" s="496">
        <v>7516.4307692307684</v>
      </c>
      <c r="Y75" s="496"/>
      <c r="Z75" s="496"/>
    </row>
    <row r="76" spans="1:26" ht="31.5" x14ac:dyDescent="0.25">
      <c r="A76" s="632" t="s">
        <v>2175</v>
      </c>
      <c r="B76" s="633" t="s">
        <v>1291</v>
      </c>
      <c r="C76" s="633" t="s">
        <v>1292</v>
      </c>
      <c r="D76" s="602" t="s">
        <v>1293</v>
      </c>
      <c r="E76" s="497" t="s">
        <v>242</v>
      </c>
      <c r="F76" s="497"/>
      <c r="G76" s="497"/>
      <c r="H76" s="497"/>
      <c r="I76" s="497"/>
      <c r="J76" s="567"/>
      <c r="K76" s="496" t="s">
        <v>42</v>
      </c>
      <c r="L76" s="496">
        <v>12</v>
      </c>
      <c r="M76" s="496"/>
      <c r="N76" s="512">
        <f>SUM(O76:Z76)</f>
        <v>105000</v>
      </c>
      <c r="O76" s="496">
        <v>8750</v>
      </c>
      <c r="P76" s="496">
        <v>8750</v>
      </c>
      <c r="Q76" s="496">
        <v>8750</v>
      </c>
      <c r="R76" s="496">
        <v>8750</v>
      </c>
      <c r="S76" s="496">
        <v>8750</v>
      </c>
      <c r="T76" s="496">
        <v>8750</v>
      </c>
      <c r="U76" s="496">
        <v>8750</v>
      </c>
      <c r="V76" s="496">
        <v>8750</v>
      </c>
      <c r="W76" s="496">
        <v>8750</v>
      </c>
      <c r="X76" s="496">
        <v>8750</v>
      </c>
      <c r="Y76" s="496">
        <v>8750</v>
      </c>
      <c r="Z76" s="496">
        <v>8750</v>
      </c>
    </row>
    <row r="77" spans="1:26" s="517" customFormat="1" ht="22.5" customHeight="1" x14ac:dyDescent="0.25">
      <c r="A77" s="513"/>
      <c r="B77" s="514"/>
      <c r="C77" s="514"/>
      <c r="D77" s="514"/>
      <c r="E77" s="515"/>
      <c r="F77" s="515"/>
      <c r="G77" s="515"/>
      <c r="H77" s="515"/>
      <c r="I77" s="515"/>
      <c r="J77" s="516" t="s">
        <v>20</v>
      </c>
      <c r="K77" s="515"/>
      <c r="L77" s="404">
        <f t="shared" ref="L77:M77" si="21">SUM(L74:L75)</f>
        <v>9</v>
      </c>
      <c r="M77" s="404">
        <f t="shared" si="21"/>
        <v>0</v>
      </c>
      <c r="N77" s="404">
        <f>SUM(N74:N76)</f>
        <v>180128.76923076922</v>
      </c>
      <c r="O77" s="404">
        <f>SUM(O74:O76)</f>
        <v>8750</v>
      </c>
      <c r="P77" s="404">
        <f t="shared" ref="P77:Z77" si="22">SUM(P74:P76)</f>
        <v>18136.538461538461</v>
      </c>
      <c r="Q77" s="404">
        <f t="shared" si="22"/>
        <v>18136.538461538461</v>
      </c>
      <c r="R77" s="404">
        <f t="shared" si="22"/>
        <v>18136.538461538461</v>
      </c>
      <c r="S77" s="404">
        <f t="shared" si="22"/>
        <v>18137</v>
      </c>
      <c r="T77" s="404">
        <f t="shared" si="22"/>
        <v>16266.430769230768</v>
      </c>
      <c r="U77" s="404">
        <f t="shared" si="22"/>
        <v>16266.430769230768</v>
      </c>
      <c r="V77" s="404">
        <f t="shared" si="22"/>
        <v>16266.430769230768</v>
      </c>
      <c r="W77" s="404">
        <f t="shared" si="22"/>
        <v>16266.430769230768</v>
      </c>
      <c r="X77" s="404">
        <f t="shared" si="22"/>
        <v>16266.430769230768</v>
      </c>
      <c r="Y77" s="404">
        <f t="shared" si="22"/>
        <v>8750</v>
      </c>
      <c r="Z77" s="404">
        <f t="shared" si="22"/>
        <v>8750</v>
      </c>
    </row>
    <row r="78" spans="1:26" ht="18.75" x14ac:dyDescent="0.25">
      <c r="A78" s="505" t="str">
        <f>CONCATENATE(B19," ",C19)</f>
        <v xml:space="preserve">Geoscience </v>
      </c>
      <c r="B78" s="505"/>
      <c r="C78" s="506"/>
      <c r="D78" s="506"/>
      <c r="E78" s="507"/>
      <c r="F78" s="507"/>
      <c r="G78" s="507"/>
      <c r="H78" s="507"/>
      <c r="I78" s="507"/>
      <c r="J78" s="507"/>
      <c r="K78" s="507"/>
      <c r="L78" s="507"/>
      <c r="M78" s="507"/>
      <c r="N78" s="507"/>
      <c r="O78" s="507" t="s">
        <v>5</v>
      </c>
      <c r="P78" s="507"/>
      <c r="Q78" s="507"/>
      <c r="R78" s="507"/>
      <c r="S78" s="507"/>
      <c r="T78" s="507"/>
      <c r="U78" s="507"/>
      <c r="V78" s="507"/>
      <c r="W78" s="507"/>
      <c r="X78" s="507"/>
      <c r="Y78" s="507"/>
      <c r="Z78" s="507"/>
    </row>
    <row r="79" spans="1:26" ht="25.9" customHeight="1" x14ac:dyDescent="0.25">
      <c r="A79" s="492" t="s">
        <v>261</v>
      </c>
      <c r="B79" s="492" t="s">
        <v>13</v>
      </c>
      <c r="C79" s="492" t="s">
        <v>14</v>
      </c>
      <c r="D79" s="509" t="s">
        <v>286</v>
      </c>
      <c r="E79" s="404" t="s">
        <v>16</v>
      </c>
      <c r="F79" s="404" t="s">
        <v>295</v>
      </c>
      <c r="G79" s="404" t="s">
        <v>39</v>
      </c>
      <c r="H79" s="404" t="s">
        <v>297</v>
      </c>
      <c r="I79" s="404" t="s">
        <v>298</v>
      </c>
      <c r="J79" s="404" t="s">
        <v>299</v>
      </c>
      <c r="K79" s="404" t="s">
        <v>300</v>
      </c>
      <c r="L79" s="404" t="s">
        <v>17</v>
      </c>
      <c r="M79" s="404" t="s">
        <v>18</v>
      </c>
      <c r="N79" s="404" t="s">
        <v>19</v>
      </c>
      <c r="O79" s="493">
        <v>43101</v>
      </c>
      <c r="P79" s="493">
        <v>43132</v>
      </c>
      <c r="Q79" s="493">
        <v>43160</v>
      </c>
      <c r="R79" s="493">
        <v>43191</v>
      </c>
      <c r="S79" s="493">
        <v>43221</v>
      </c>
      <c r="T79" s="493">
        <v>43252</v>
      </c>
      <c r="U79" s="493">
        <v>43282</v>
      </c>
      <c r="V79" s="493">
        <v>43313</v>
      </c>
      <c r="W79" s="493">
        <v>43344</v>
      </c>
      <c r="X79" s="493">
        <v>43374</v>
      </c>
      <c r="Y79" s="493">
        <v>43405</v>
      </c>
      <c r="Z79" s="493">
        <v>43435</v>
      </c>
    </row>
    <row r="80" spans="1:26" ht="15.75" x14ac:dyDescent="0.25">
      <c r="A80" s="573" t="s">
        <v>2176</v>
      </c>
      <c r="B80" s="494" t="s">
        <v>542</v>
      </c>
      <c r="C80" s="494" t="s">
        <v>543</v>
      </c>
      <c r="D80" s="603" t="s">
        <v>544</v>
      </c>
      <c r="E80" s="496" t="s">
        <v>242</v>
      </c>
      <c r="F80" s="496"/>
      <c r="G80" s="496"/>
      <c r="H80" s="496"/>
      <c r="I80" s="496"/>
      <c r="J80" s="496"/>
      <c r="K80" s="496" t="s">
        <v>47</v>
      </c>
      <c r="L80" s="496">
        <v>1</v>
      </c>
      <c r="M80" s="496"/>
      <c r="N80" s="512">
        <f t="shared" ref="N80:N83" si="23">SUM(O80:Z80)</f>
        <v>5000</v>
      </c>
      <c r="O80" s="496"/>
      <c r="P80" s="496"/>
      <c r="Q80" s="496"/>
      <c r="R80" s="496"/>
      <c r="S80" s="496"/>
      <c r="T80" s="496">
        <v>5000</v>
      </c>
      <c r="U80" s="496"/>
      <c r="V80" s="496"/>
      <c r="W80" s="496"/>
      <c r="X80" s="496"/>
      <c r="Y80" s="496"/>
      <c r="Z80" s="496"/>
    </row>
    <row r="81" spans="1:27" ht="15.75" x14ac:dyDescent="0.25">
      <c r="A81" s="573" t="s">
        <v>2177</v>
      </c>
      <c r="B81" s="494" t="s">
        <v>545</v>
      </c>
      <c r="C81" s="494" t="s">
        <v>543</v>
      </c>
      <c r="D81" s="603" t="s">
        <v>546</v>
      </c>
      <c r="E81" s="496" t="s">
        <v>242</v>
      </c>
      <c r="F81" s="496"/>
      <c r="G81" s="496"/>
      <c r="H81" s="496"/>
      <c r="I81" s="496"/>
      <c r="J81" s="496"/>
      <c r="K81" s="496" t="s">
        <v>47</v>
      </c>
      <c r="L81" s="496">
        <v>1</v>
      </c>
      <c r="M81" s="496"/>
      <c r="N81" s="512">
        <f t="shared" si="23"/>
        <v>15000</v>
      </c>
      <c r="O81" s="496"/>
      <c r="P81" s="496"/>
      <c r="Q81" s="496"/>
      <c r="R81" s="496"/>
      <c r="S81" s="496"/>
      <c r="T81" s="496">
        <v>15000</v>
      </c>
      <c r="U81" s="496"/>
      <c r="V81" s="496"/>
      <c r="W81" s="496"/>
      <c r="X81" s="496"/>
      <c r="Y81" s="496"/>
      <c r="Z81" s="496"/>
    </row>
    <row r="82" spans="1:27" ht="15.75" x14ac:dyDescent="0.25">
      <c r="A82" s="573" t="s">
        <v>2178</v>
      </c>
      <c r="B82" s="494" t="s">
        <v>547</v>
      </c>
      <c r="C82" s="494" t="s">
        <v>543</v>
      </c>
      <c r="D82" s="603" t="s">
        <v>548</v>
      </c>
      <c r="E82" s="496" t="s">
        <v>242</v>
      </c>
      <c r="F82" s="496"/>
      <c r="G82" s="496"/>
      <c r="H82" s="496"/>
      <c r="I82" s="496"/>
      <c r="J82" s="496"/>
      <c r="K82" s="496" t="s">
        <v>47</v>
      </c>
      <c r="L82" s="496">
        <v>1</v>
      </c>
      <c r="M82" s="496"/>
      <c r="N82" s="512">
        <f t="shared" si="23"/>
        <v>1500</v>
      </c>
      <c r="O82" s="496"/>
      <c r="P82" s="496"/>
      <c r="Q82" s="496"/>
      <c r="R82" s="496"/>
      <c r="S82" s="496"/>
      <c r="T82" s="496">
        <v>1500</v>
      </c>
      <c r="U82" s="496"/>
      <c r="V82" s="496"/>
      <c r="W82" s="496"/>
      <c r="X82" s="496"/>
      <c r="Y82" s="496"/>
      <c r="Z82" s="496"/>
    </row>
    <row r="83" spans="1:27" ht="15.75" x14ac:dyDescent="0.25">
      <c r="A83" s="573" t="s">
        <v>2179</v>
      </c>
      <c r="B83" s="494" t="s">
        <v>549</v>
      </c>
      <c r="C83" s="494" t="s">
        <v>543</v>
      </c>
      <c r="D83" s="603" t="s">
        <v>550</v>
      </c>
      <c r="E83" s="496" t="s">
        <v>242</v>
      </c>
      <c r="F83" s="496"/>
      <c r="G83" s="496"/>
      <c r="H83" s="496"/>
      <c r="I83" s="496"/>
      <c r="J83" s="496"/>
      <c r="K83" s="496" t="s">
        <v>47</v>
      </c>
      <c r="L83" s="496">
        <v>1</v>
      </c>
      <c r="M83" s="496"/>
      <c r="N83" s="512">
        <f t="shared" si="23"/>
        <v>1500</v>
      </c>
      <c r="O83" s="496"/>
      <c r="P83" s="496"/>
      <c r="Q83" s="496"/>
      <c r="R83" s="496"/>
      <c r="S83" s="496"/>
      <c r="T83" s="496">
        <v>1500</v>
      </c>
      <c r="U83" s="496"/>
      <c r="V83" s="496"/>
      <c r="W83" s="496"/>
      <c r="X83" s="496"/>
      <c r="Y83" s="496"/>
      <c r="Z83" s="496"/>
    </row>
    <row r="84" spans="1:27" ht="31.5" x14ac:dyDescent="0.25">
      <c r="A84" s="573" t="s">
        <v>2180</v>
      </c>
      <c r="B84" s="494" t="s">
        <v>551</v>
      </c>
      <c r="C84" s="494" t="s">
        <v>552</v>
      </c>
      <c r="D84" s="603" t="s">
        <v>553</v>
      </c>
      <c r="E84" s="496" t="s">
        <v>242</v>
      </c>
      <c r="F84" s="496"/>
      <c r="G84" s="497"/>
      <c r="H84" s="496"/>
      <c r="I84" s="496"/>
      <c r="J84" s="496"/>
      <c r="K84" s="496" t="s">
        <v>42</v>
      </c>
      <c r="L84" s="496">
        <v>2</v>
      </c>
      <c r="M84" s="496"/>
      <c r="N84" s="512">
        <f>SUM(O84:Z84)</f>
        <v>45000</v>
      </c>
      <c r="O84" s="496"/>
      <c r="P84" s="496"/>
      <c r="Q84" s="496">
        <v>22500</v>
      </c>
      <c r="R84" s="496">
        <v>22500</v>
      </c>
      <c r="S84" s="496"/>
      <c r="T84" s="496"/>
      <c r="U84" s="496"/>
      <c r="V84" s="496"/>
      <c r="W84" s="496"/>
      <c r="X84" s="496"/>
      <c r="Y84" s="496"/>
      <c r="Z84" s="496"/>
    </row>
    <row r="85" spans="1:27" ht="21" x14ac:dyDescent="0.25">
      <c r="A85" s="494"/>
      <c r="B85" s="494"/>
      <c r="C85" s="494"/>
      <c r="D85" s="603"/>
      <c r="E85" s="496"/>
      <c r="F85" s="496"/>
      <c r="G85" s="518"/>
      <c r="H85" s="496"/>
      <c r="I85" s="496"/>
      <c r="J85" s="496"/>
      <c r="K85" s="519" t="s">
        <v>20</v>
      </c>
      <c r="L85" s="404">
        <f>SUM(L79:L84)</f>
        <v>6</v>
      </c>
      <c r="M85" s="404">
        <f>SUM(M79:M83)</f>
        <v>0</v>
      </c>
      <c r="N85" s="404">
        <f t="shared" ref="N85:Z85" si="24">SUM(N80:N84)</f>
        <v>68000</v>
      </c>
      <c r="O85" s="589">
        <f t="shared" si="24"/>
        <v>0</v>
      </c>
      <c r="P85" s="589">
        <f t="shared" si="24"/>
        <v>0</v>
      </c>
      <c r="Q85" s="589">
        <f t="shared" si="24"/>
        <v>22500</v>
      </c>
      <c r="R85" s="589">
        <f t="shared" si="24"/>
        <v>22500</v>
      </c>
      <c r="S85" s="589">
        <f t="shared" si="24"/>
        <v>0</v>
      </c>
      <c r="T85" s="589">
        <f t="shared" si="24"/>
        <v>23000</v>
      </c>
      <c r="U85" s="589">
        <f t="shared" si="24"/>
        <v>0</v>
      </c>
      <c r="V85" s="589">
        <f t="shared" si="24"/>
        <v>0</v>
      </c>
      <c r="W85" s="589">
        <f t="shared" si="24"/>
        <v>0</v>
      </c>
      <c r="X85" s="589">
        <f t="shared" si="24"/>
        <v>0</v>
      </c>
      <c r="Y85" s="589">
        <f t="shared" si="24"/>
        <v>0</v>
      </c>
      <c r="Z85" s="589">
        <f t="shared" si="24"/>
        <v>0</v>
      </c>
      <c r="AA85" s="517"/>
    </row>
    <row r="86" spans="1:27" ht="18.75" outlineLevel="1" x14ac:dyDescent="0.25">
      <c r="A86" s="505" t="str">
        <f>CONCATENATE(B20," ",C20)</f>
        <v xml:space="preserve">Brownfield Exploration </v>
      </c>
      <c r="B86" s="505"/>
      <c r="C86" s="506"/>
      <c r="D86" s="506"/>
      <c r="E86" s="507"/>
      <c r="F86" s="507"/>
      <c r="G86" s="507"/>
      <c r="H86" s="507"/>
      <c r="I86" s="507"/>
      <c r="J86" s="507"/>
      <c r="K86" s="507"/>
      <c r="L86" s="507"/>
      <c r="M86" s="507"/>
      <c r="N86" s="507"/>
      <c r="O86" s="507" t="s">
        <v>5</v>
      </c>
      <c r="P86" s="507"/>
      <c r="Q86" s="507"/>
      <c r="R86" s="507"/>
      <c r="S86" s="507"/>
      <c r="T86" s="507"/>
      <c r="U86" s="507"/>
      <c r="V86" s="507"/>
      <c r="W86" s="507"/>
      <c r="X86" s="507"/>
      <c r="Y86" s="507"/>
      <c r="Z86" s="507"/>
    </row>
    <row r="87" spans="1:27" ht="41.45" customHeight="1" outlineLevel="1" x14ac:dyDescent="0.25">
      <c r="A87" s="492" t="s">
        <v>261</v>
      </c>
      <c r="B87" s="492" t="s">
        <v>13</v>
      </c>
      <c r="C87" s="492" t="s">
        <v>14</v>
      </c>
      <c r="D87" s="509" t="s">
        <v>286</v>
      </c>
      <c r="E87" s="404" t="s">
        <v>16</v>
      </c>
      <c r="F87" s="404" t="s">
        <v>295</v>
      </c>
      <c r="G87" s="404" t="s">
        <v>39</v>
      </c>
      <c r="H87" s="404" t="s">
        <v>297</v>
      </c>
      <c r="I87" s="404" t="s">
        <v>298</v>
      </c>
      <c r="J87" s="404" t="s">
        <v>299</v>
      </c>
      <c r="K87" s="404" t="s">
        <v>300</v>
      </c>
      <c r="L87" s="404" t="s">
        <v>17</v>
      </c>
      <c r="M87" s="404" t="s">
        <v>18</v>
      </c>
      <c r="N87" s="404" t="s">
        <v>19</v>
      </c>
      <c r="O87" s="493">
        <v>43101</v>
      </c>
      <c r="P87" s="493">
        <v>43132</v>
      </c>
      <c r="Q87" s="493">
        <v>43160</v>
      </c>
      <c r="R87" s="493">
        <v>43191</v>
      </c>
      <c r="S87" s="493">
        <v>43221</v>
      </c>
      <c r="T87" s="493">
        <v>43252</v>
      </c>
      <c r="U87" s="493">
        <v>43282</v>
      </c>
      <c r="V87" s="493">
        <v>43313</v>
      </c>
      <c r="W87" s="493">
        <v>43344</v>
      </c>
      <c r="X87" s="493">
        <v>43374</v>
      </c>
      <c r="Y87" s="493">
        <v>43405</v>
      </c>
      <c r="Z87" s="493">
        <v>43435</v>
      </c>
    </row>
    <row r="88" spans="1:27" s="180" customFormat="1" ht="15" customHeight="1" outlineLevel="1" x14ac:dyDescent="0.25">
      <c r="A88" s="573" t="s">
        <v>2181</v>
      </c>
      <c r="B88" s="573" t="s">
        <v>554</v>
      </c>
      <c r="C88" s="573" t="s">
        <v>555</v>
      </c>
      <c r="D88" s="574" t="s">
        <v>556</v>
      </c>
      <c r="E88" s="496" t="s">
        <v>242</v>
      </c>
      <c r="F88" s="511"/>
      <c r="G88" s="511"/>
      <c r="H88" s="511"/>
      <c r="I88" s="511"/>
      <c r="J88" s="511"/>
      <c r="K88" s="511"/>
      <c r="L88" s="511">
        <v>1</v>
      </c>
      <c r="M88" s="511"/>
      <c r="N88" s="511">
        <f t="shared" ref="N88:N103" si="25">SUM(O88:Z88)</f>
        <v>3360</v>
      </c>
      <c r="O88" s="511"/>
      <c r="P88" s="511"/>
      <c r="Q88" s="511"/>
      <c r="R88" s="511"/>
      <c r="S88" s="511"/>
      <c r="T88" s="511">
        <v>3360</v>
      </c>
      <c r="U88" s="511"/>
      <c r="V88" s="511"/>
      <c r="W88" s="511"/>
      <c r="X88" s="511"/>
      <c r="Y88" s="511"/>
      <c r="Z88" s="511"/>
    </row>
    <row r="89" spans="1:27" s="180" customFormat="1" ht="15" customHeight="1" outlineLevel="1" x14ac:dyDescent="0.25">
      <c r="A89" s="573" t="s">
        <v>2182</v>
      </c>
      <c r="B89" s="573" t="s">
        <v>554</v>
      </c>
      <c r="C89" s="573" t="s">
        <v>557</v>
      </c>
      <c r="D89" s="574" t="s">
        <v>556</v>
      </c>
      <c r="E89" s="496" t="s">
        <v>242</v>
      </c>
      <c r="F89" s="511"/>
      <c r="G89" s="511"/>
      <c r="H89" s="511"/>
      <c r="I89" s="511"/>
      <c r="J89" s="511"/>
      <c r="K89" s="496" t="s">
        <v>42</v>
      </c>
      <c r="L89" s="511">
        <v>2</v>
      </c>
      <c r="M89" s="511"/>
      <c r="N89" s="511">
        <f t="shared" si="25"/>
        <v>3360</v>
      </c>
      <c r="O89" s="912">
        <v>0</v>
      </c>
      <c r="P89" s="511">
        <v>1680</v>
      </c>
      <c r="Q89" s="912">
        <v>1680</v>
      </c>
      <c r="R89" s="511"/>
      <c r="S89" s="511"/>
      <c r="T89" s="511"/>
      <c r="U89" s="511"/>
      <c r="V89" s="511"/>
      <c r="W89" s="511"/>
      <c r="X89" s="511"/>
      <c r="Y89" s="511"/>
      <c r="Z89" s="511"/>
    </row>
    <row r="90" spans="1:27" s="180" customFormat="1" ht="15" customHeight="1" outlineLevel="1" x14ac:dyDescent="0.25">
      <c r="A90" s="573" t="s">
        <v>2183</v>
      </c>
      <c r="B90" s="573" t="s">
        <v>554</v>
      </c>
      <c r="C90" s="573" t="s">
        <v>558</v>
      </c>
      <c r="D90" s="574" t="s">
        <v>556</v>
      </c>
      <c r="E90" s="496" t="s">
        <v>242</v>
      </c>
      <c r="F90" s="511"/>
      <c r="G90" s="511"/>
      <c r="H90" s="511"/>
      <c r="I90" s="511"/>
      <c r="J90" s="511"/>
      <c r="K90" s="496" t="s">
        <v>42</v>
      </c>
      <c r="L90" s="511">
        <v>2</v>
      </c>
      <c r="M90" s="511"/>
      <c r="N90" s="511">
        <f t="shared" si="25"/>
        <v>3360</v>
      </c>
      <c r="O90" s="912">
        <v>0</v>
      </c>
      <c r="P90" s="511">
        <v>1680</v>
      </c>
      <c r="Q90" s="912">
        <v>1680</v>
      </c>
      <c r="R90" s="511"/>
      <c r="S90" s="511"/>
      <c r="T90" s="511"/>
      <c r="U90" s="511"/>
      <c r="V90" s="511"/>
      <c r="W90" s="511"/>
      <c r="X90" s="511"/>
      <c r="Y90" s="511"/>
      <c r="Z90" s="511"/>
    </row>
    <row r="91" spans="1:27" s="180" customFormat="1" ht="15" customHeight="1" outlineLevel="1" x14ac:dyDescent="0.25">
      <c r="A91" s="573" t="s">
        <v>2184</v>
      </c>
      <c r="B91" s="573" t="s">
        <v>554</v>
      </c>
      <c r="C91" s="573" t="s">
        <v>559</v>
      </c>
      <c r="D91" s="574" t="s">
        <v>556</v>
      </c>
      <c r="E91" s="496" t="s">
        <v>242</v>
      </c>
      <c r="F91" s="511"/>
      <c r="G91" s="511"/>
      <c r="H91" s="511"/>
      <c r="I91" s="511"/>
      <c r="J91" s="511"/>
      <c r="K91" s="496" t="s">
        <v>43</v>
      </c>
      <c r="L91" s="511">
        <v>1</v>
      </c>
      <c r="M91" s="511"/>
      <c r="N91" s="511">
        <f t="shared" si="25"/>
        <v>1680</v>
      </c>
      <c r="O91" s="511"/>
      <c r="P91" s="912">
        <v>0</v>
      </c>
      <c r="Q91" s="511"/>
      <c r="R91" s="912">
        <v>1680</v>
      </c>
      <c r="S91" s="511"/>
      <c r="T91" s="511"/>
      <c r="U91" s="511"/>
      <c r="V91" s="511"/>
      <c r="W91" s="511"/>
      <c r="X91" s="511"/>
      <c r="Y91" s="511"/>
      <c r="Z91" s="511"/>
    </row>
    <row r="92" spans="1:27" s="180" customFormat="1" ht="15" customHeight="1" outlineLevel="1" x14ac:dyDescent="0.25">
      <c r="A92" s="573" t="s">
        <v>2185</v>
      </c>
      <c r="B92" s="573" t="s">
        <v>560</v>
      </c>
      <c r="C92" s="573" t="s">
        <v>561</v>
      </c>
      <c r="D92" s="574" t="s">
        <v>562</v>
      </c>
      <c r="E92" s="496" t="s">
        <v>242</v>
      </c>
      <c r="F92" s="511"/>
      <c r="G92" s="511"/>
      <c r="H92" s="511"/>
      <c r="I92" s="511"/>
      <c r="J92" s="511"/>
      <c r="K92" s="496" t="s">
        <v>43</v>
      </c>
      <c r="L92" s="511">
        <v>2</v>
      </c>
      <c r="M92" s="511"/>
      <c r="N92" s="511">
        <f t="shared" si="25"/>
        <v>74000</v>
      </c>
      <c r="O92" s="511"/>
      <c r="P92" s="912">
        <v>0</v>
      </c>
      <c r="Q92" s="912">
        <v>74000</v>
      </c>
      <c r="R92" s="511"/>
      <c r="S92" s="511"/>
      <c r="T92" s="511"/>
      <c r="U92" s="511"/>
      <c r="V92" s="511"/>
      <c r="W92" s="511"/>
      <c r="X92" s="511"/>
      <c r="Y92" s="511"/>
      <c r="Z92" s="511"/>
    </row>
    <row r="93" spans="1:27" s="180" customFormat="1" ht="15" customHeight="1" outlineLevel="1" x14ac:dyDescent="0.25">
      <c r="A93" s="573" t="s">
        <v>2186</v>
      </c>
      <c r="B93" s="573" t="s">
        <v>560</v>
      </c>
      <c r="C93" s="573" t="s">
        <v>563</v>
      </c>
      <c r="D93" s="574" t="s">
        <v>562</v>
      </c>
      <c r="E93" s="496" t="s">
        <v>242</v>
      </c>
      <c r="F93" s="511"/>
      <c r="G93" s="511"/>
      <c r="H93" s="511"/>
      <c r="I93" s="511"/>
      <c r="J93" s="511"/>
      <c r="K93" s="511"/>
      <c r="L93" s="511"/>
      <c r="M93" s="511"/>
      <c r="N93" s="511">
        <f t="shared" si="25"/>
        <v>0</v>
      </c>
      <c r="O93" s="511"/>
      <c r="P93" s="511"/>
      <c r="Q93" s="511"/>
      <c r="R93" s="511"/>
      <c r="S93" s="511"/>
      <c r="T93" s="511"/>
      <c r="U93" s="511"/>
      <c r="V93" s="511"/>
      <c r="W93" s="511"/>
      <c r="X93" s="511"/>
      <c r="Y93" s="511"/>
      <c r="Z93" s="511"/>
    </row>
    <row r="94" spans="1:27" s="180" customFormat="1" ht="15" customHeight="1" outlineLevel="1" x14ac:dyDescent="0.25">
      <c r="A94" s="573" t="s">
        <v>2187</v>
      </c>
      <c r="B94" s="573" t="s">
        <v>560</v>
      </c>
      <c r="C94" s="573" t="s">
        <v>564</v>
      </c>
      <c r="D94" s="574" t="s">
        <v>562</v>
      </c>
      <c r="E94" s="496" t="s">
        <v>242</v>
      </c>
      <c r="F94" s="511"/>
      <c r="G94" s="511"/>
      <c r="H94" s="511"/>
      <c r="I94" s="511"/>
      <c r="J94" s="511"/>
      <c r="K94" s="511"/>
      <c r="L94" s="511">
        <v>2</v>
      </c>
      <c r="M94" s="511"/>
      <c r="N94" s="512">
        <f t="shared" si="25"/>
        <v>989309.99999999988</v>
      </c>
      <c r="O94" s="511"/>
      <c r="P94" s="511"/>
      <c r="Q94" s="511"/>
      <c r="R94" s="511"/>
      <c r="S94" s="511"/>
      <c r="T94" s="511"/>
      <c r="U94" s="511"/>
      <c r="V94" s="511"/>
      <c r="W94" s="511"/>
      <c r="X94" s="511"/>
      <c r="Y94" s="511">
        <v>494654.99999999994</v>
      </c>
      <c r="Z94" s="511">
        <v>494654.99999999994</v>
      </c>
    </row>
    <row r="95" spans="1:27" s="180" customFormat="1" ht="15" customHeight="1" outlineLevel="1" x14ac:dyDescent="0.25">
      <c r="A95" s="573" t="s">
        <v>2188</v>
      </c>
      <c r="B95" s="573" t="s">
        <v>560</v>
      </c>
      <c r="C95" s="573" t="s">
        <v>565</v>
      </c>
      <c r="D95" s="574" t="s">
        <v>562</v>
      </c>
      <c r="E95" s="496" t="s">
        <v>242</v>
      </c>
      <c r="F95" s="511"/>
      <c r="G95" s="511"/>
      <c r="H95" s="511"/>
      <c r="I95" s="511"/>
      <c r="J95" s="511"/>
      <c r="K95" s="511"/>
      <c r="L95" s="511"/>
      <c r="M95" s="511"/>
      <c r="N95" s="511">
        <f t="shared" si="25"/>
        <v>0</v>
      </c>
      <c r="O95" s="511"/>
      <c r="P95" s="511"/>
      <c r="Q95" s="511"/>
      <c r="R95" s="511"/>
      <c r="S95" s="511"/>
      <c r="T95" s="511"/>
      <c r="U95" s="511"/>
      <c r="V95" s="511"/>
      <c r="W95" s="511"/>
      <c r="X95" s="511"/>
      <c r="Y95" s="511"/>
      <c r="Z95" s="511"/>
    </row>
    <row r="96" spans="1:27" s="180" customFormat="1" ht="15" customHeight="1" outlineLevel="1" x14ac:dyDescent="0.25">
      <c r="A96" s="573" t="s">
        <v>2189</v>
      </c>
      <c r="B96" s="573" t="s">
        <v>560</v>
      </c>
      <c r="C96" s="573" t="s">
        <v>566</v>
      </c>
      <c r="D96" s="574" t="s">
        <v>567</v>
      </c>
      <c r="E96" s="496" t="s">
        <v>242</v>
      </c>
      <c r="F96" s="511"/>
      <c r="G96" s="511"/>
      <c r="H96" s="511"/>
      <c r="I96" s="511"/>
      <c r="J96" s="511"/>
      <c r="K96" s="496" t="s">
        <v>42</v>
      </c>
      <c r="L96" s="511">
        <v>12</v>
      </c>
      <c r="M96" s="511"/>
      <c r="N96" s="511">
        <f t="shared" si="25"/>
        <v>30200.000000000004</v>
      </c>
      <c r="O96" s="511">
        <v>2516.6666666666665</v>
      </c>
      <c r="P96" s="511">
        <v>2516.6666666666665</v>
      </c>
      <c r="Q96" s="511">
        <v>2516.6666666666665</v>
      </c>
      <c r="R96" s="511">
        <v>2516.6666666666665</v>
      </c>
      <c r="S96" s="511">
        <v>2516.6666666666665</v>
      </c>
      <c r="T96" s="511">
        <v>2516.6666666666665</v>
      </c>
      <c r="U96" s="511">
        <v>2516.6666666666665</v>
      </c>
      <c r="V96" s="511">
        <v>2516.6666666666665</v>
      </c>
      <c r="W96" s="511">
        <v>2516.6666666666665</v>
      </c>
      <c r="X96" s="511">
        <v>2516.6666666666665</v>
      </c>
      <c r="Y96" s="511">
        <v>2516.6666666666665</v>
      </c>
      <c r="Z96" s="511">
        <v>2516.6666666666665</v>
      </c>
    </row>
    <row r="97" spans="1:27" s="180" customFormat="1" ht="15" customHeight="1" outlineLevel="1" x14ac:dyDescent="0.25">
      <c r="A97" s="573" t="s">
        <v>2190</v>
      </c>
      <c r="B97" s="573" t="s">
        <v>568</v>
      </c>
      <c r="C97" s="573" t="s">
        <v>555</v>
      </c>
      <c r="D97" s="574" t="s">
        <v>556</v>
      </c>
      <c r="E97" s="496" t="s">
        <v>242</v>
      </c>
      <c r="F97" s="511"/>
      <c r="G97" s="511"/>
      <c r="H97" s="511"/>
      <c r="I97" s="511"/>
      <c r="J97" s="511"/>
      <c r="K97" s="496" t="s">
        <v>47</v>
      </c>
      <c r="L97" s="511">
        <v>1</v>
      </c>
      <c r="M97" s="511"/>
      <c r="N97" s="511">
        <f t="shared" si="25"/>
        <v>20625</v>
      </c>
      <c r="O97" s="511"/>
      <c r="P97" s="511"/>
      <c r="Q97" s="511"/>
      <c r="R97" s="511"/>
      <c r="S97" s="511"/>
      <c r="T97" s="511">
        <v>20625</v>
      </c>
      <c r="U97" s="511"/>
      <c r="V97" s="511"/>
      <c r="W97" s="511"/>
      <c r="X97" s="511"/>
      <c r="Y97" s="511"/>
      <c r="Z97" s="511"/>
    </row>
    <row r="98" spans="1:27" s="180" customFormat="1" ht="15" customHeight="1" outlineLevel="1" x14ac:dyDescent="0.25">
      <c r="A98" s="573" t="s">
        <v>2191</v>
      </c>
      <c r="B98" s="573" t="s">
        <v>568</v>
      </c>
      <c r="C98" s="573" t="s">
        <v>569</v>
      </c>
      <c r="D98" s="574" t="s">
        <v>556</v>
      </c>
      <c r="E98" s="496" t="s">
        <v>242</v>
      </c>
      <c r="F98" s="511"/>
      <c r="G98" s="511"/>
      <c r="H98" s="511"/>
      <c r="I98" s="511"/>
      <c r="J98" s="511"/>
      <c r="K98" s="496" t="s">
        <v>42</v>
      </c>
      <c r="L98" s="511">
        <v>3</v>
      </c>
      <c r="M98" s="511"/>
      <c r="N98" s="511">
        <f t="shared" si="25"/>
        <v>20624.999999999985</v>
      </c>
      <c r="O98" s="912">
        <v>0</v>
      </c>
      <c r="P98" s="511">
        <v>6874.9999999999927</v>
      </c>
      <c r="Q98" s="511">
        <v>6874.9999999999927</v>
      </c>
      <c r="R98" s="912">
        <v>6875</v>
      </c>
      <c r="S98" s="511"/>
      <c r="T98" s="511"/>
      <c r="U98" s="511"/>
      <c r="V98" s="511"/>
      <c r="W98" s="511"/>
      <c r="X98" s="511"/>
      <c r="Y98" s="511"/>
      <c r="Z98" s="511"/>
    </row>
    <row r="99" spans="1:27" s="180" customFormat="1" ht="15" customHeight="1" outlineLevel="1" x14ac:dyDescent="0.25">
      <c r="A99" s="573" t="s">
        <v>2192</v>
      </c>
      <c r="B99" s="573" t="s">
        <v>568</v>
      </c>
      <c r="C99" s="573" t="s">
        <v>570</v>
      </c>
      <c r="D99" s="574" t="s">
        <v>556</v>
      </c>
      <c r="E99" s="496" t="s">
        <v>242</v>
      </c>
      <c r="F99" s="511"/>
      <c r="G99" s="511"/>
      <c r="H99" s="511"/>
      <c r="I99" s="511"/>
      <c r="J99" s="511"/>
      <c r="K99" s="496" t="s">
        <v>42</v>
      </c>
      <c r="L99" s="511">
        <v>3</v>
      </c>
      <c r="M99" s="511" t="s">
        <v>383</v>
      </c>
      <c r="N99" s="511">
        <f t="shared" si="25"/>
        <v>20624.999999999985</v>
      </c>
      <c r="O99" s="912">
        <v>0</v>
      </c>
      <c r="P99" s="511">
        <v>6874.9999999999927</v>
      </c>
      <c r="Q99" s="511">
        <v>6874.9999999999927</v>
      </c>
      <c r="R99" s="912">
        <v>6875</v>
      </c>
      <c r="S99" s="511"/>
      <c r="T99" s="511"/>
      <c r="U99" s="511"/>
      <c r="V99" s="511"/>
      <c r="W99" s="511"/>
      <c r="X99" s="511"/>
      <c r="Y99" s="511"/>
      <c r="Z99" s="511"/>
    </row>
    <row r="100" spans="1:27" s="180" customFormat="1" ht="15" customHeight="1" outlineLevel="1" x14ac:dyDescent="0.25">
      <c r="A100" s="573" t="s">
        <v>2193</v>
      </c>
      <c r="B100" s="573" t="s">
        <v>568</v>
      </c>
      <c r="C100" s="573" t="s">
        <v>571</v>
      </c>
      <c r="D100" s="574" t="s">
        <v>556</v>
      </c>
      <c r="E100" s="496" t="s">
        <v>242</v>
      </c>
      <c r="F100" s="511"/>
      <c r="G100" s="511"/>
      <c r="H100" s="511"/>
      <c r="I100" s="511"/>
      <c r="J100" s="511"/>
      <c r="K100" s="496" t="s">
        <v>42</v>
      </c>
      <c r="L100" s="511">
        <v>3</v>
      </c>
      <c r="M100" s="511"/>
      <c r="N100" s="511">
        <f>SUM(R100:Z100)</f>
        <v>20624.999999999978</v>
      </c>
      <c r="O100" s="511"/>
      <c r="P100" s="511"/>
      <c r="Q100" s="511"/>
      <c r="R100" s="511"/>
      <c r="S100" s="511"/>
      <c r="T100" s="511">
        <v>6874.9999999999927</v>
      </c>
      <c r="U100" s="511">
        <v>6874.9999999999927</v>
      </c>
      <c r="V100" s="511">
        <v>6874.9999999999927</v>
      </c>
      <c r="W100" s="511"/>
      <c r="X100" s="511"/>
      <c r="Y100" s="511"/>
      <c r="Z100" s="511"/>
    </row>
    <row r="101" spans="1:27" s="180" customFormat="1" ht="15" customHeight="1" outlineLevel="1" x14ac:dyDescent="0.25">
      <c r="A101" s="573" t="s">
        <v>2194</v>
      </c>
      <c r="B101" s="573" t="s">
        <v>568</v>
      </c>
      <c r="C101" s="573" t="s">
        <v>572</v>
      </c>
      <c r="D101" s="574" t="s">
        <v>573</v>
      </c>
      <c r="E101" s="496" t="s">
        <v>242</v>
      </c>
      <c r="F101" s="511"/>
      <c r="G101" s="511"/>
      <c r="H101" s="511"/>
      <c r="I101" s="511"/>
      <c r="J101" s="511"/>
      <c r="K101" s="496" t="s">
        <v>45</v>
      </c>
      <c r="L101" s="511">
        <v>2</v>
      </c>
      <c r="M101" s="511" t="s">
        <v>383</v>
      </c>
      <c r="N101" s="511">
        <f t="shared" si="25"/>
        <v>16800</v>
      </c>
      <c r="O101" s="511"/>
      <c r="P101" s="511"/>
      <c r="Q101" s="511"/>
      <c r="R101" s="511">
        <v>8400</v>
      </c>
      <c r="S101" s="511">
        <v>8400</v>
      </c>
      <c r="T101" s="511"/>
      <c r="U101" s="511"/>
      <c r="V101" s="511"/>
      <c r="W101" s="511"/>
      <c r="X101" s="511"/>
      <c r="Y101" s="511"/>
      <c r="Z101" s="511"/>
    </row>
    <row r="102" spans="1:27" s="180" customFormat="1" ht="15" customHeight="1" outlineLevel="1" x14ac:dyDescent="0.25">
      <c r="A102" s="573" t="s">
        <v>2195</v>
      </c>
      <c r="B102" s="573" t="s">
        <v>574</v>
      </c>
      <c r="C102" s="573" t="s">
        <v>575</v>
      </c>
      <c r="D102" s="574" t="s">
        <v>576</v>
      </c>
      <c r="E102" s="496" t="s">
        <v>242</v>
      </c>
      <c r="F102" s="511"/>
      <c r="G102" s="511"/>
      <c r="H102" s="511"/>
      <c r="I102" s="511"/>
      <c r="J102" s="511"/>
      <c r="K102" s="496" t="s">
        <v>43</v>
      </c>
      <c r="L102" s="511">
        <v>10</v>
      </c>
      <c r="M102" s="511"/>
      <c r="N102" s="511">
        <f t="shared" si="25"/>
        <v>10000</v>
      </c>
      <c r="O102" s="511"/>
      <c r="P102" s="511">
        <v>1000</v>
      </c>
      <c r="Q102" s="511">
        <v>1000</v>
      </c>
      <c r="R102" s="511">
        <v>1000</v>
      </c>
      <c r="S102" s="511">
        <v>1000</v>
      </c>
      <c r="T102" s="511">
        <v>1000</v>
      </c>
      <c r="U102" s="511">
        <v>1000</v>
      </c>
      <c r="V102" s="511">
        <v>1000</v>
      </c>
      <c r="W102" s="511">
        <v>1000</v>
      </c>
      <c r="X102" s="511">
        <v>1000</v>
      </c>
      <c r="Y102" s="511">
        <v>1000</v>
      </c>
      <c r="Z102" s="511"/>
    </row>
    <row r="103" spans="1:27" s="180" customFormat="1" ht="15" customHeight="1" outlineLevel="1" x14ac:dyDescent="0.25">
      <c r="A103" s="573" t="s">
        <v>2196</v>
      </c>
      <c r="B103" s="573" t="s">
        <v>574</v>
      </c>
      <c r="C103" s="573" t="s">
        <v>577</v>
      </c>
      <c r="D103" s="574" t="s">
        <v>576</v>
      </c>
      <c r="E103" s="496" t="s">
        <v>242</v>
      </c>
      <c r="F103" s="511"/>
      <c r="G103" s="511"/>
      <c r="H103" s="511"/>
      <c r="I103" s="511"/>
      <c r="J103" s="511"/>
      <c r="K103" s="496" t="s">
        <v>43</v>
      </c>
      <c r="L103" s="511">
        <v>1</v>
      </c>
      <c r="M103" s="511"/>
      <c r="N103" s="511">
        <f t="shared" si="25"/>
        <v>5000</v>
      </c>
      <c r="O103" s="511"/>
      <c r="P103" s="511">
        <v>5000</v>
      </c>
      <c r="Q103" s="511"/>
      <c r="R103" s="511"/>
      <c r="S103" s="511"/>
      <c r="T103" s="511"/>
      <c r="U103" s="511"/>
      <c r="V103" s="511"/>
      <c r="W103" s="511"/>
      <c r="X103" s="511"/>
      <c r="Y103" s="511"/>
      <c r="Z103" s="511"/>
    </row>
    <row r="104" spans="1:27" ht="21" customHeight="1" outlineLevel="1" x14ac:dyDescent="0.25">
      <c r="A104" s="494"/>
      <c r="B104" s="494"/>
      <c r="C104" s="494"/>
      <c r="D104" s="603"/>
      <c r="E104" s="496"/>
      <c r="F104" s="496"/>
      <c r="G104" s="518"/>
      <c r="H104" s="496"/>
      <c r="I104" s="496"/>
      <c r="J104" s="496"/>
      <c r="K104" s="519" t="s">
        <v>20</v>
      </c>
      <c r="L104" s="404">
        <f>SUM(L87:L103)</f>
        <v>45</v>
      </c>
      <c r="M104" s="404">
        <f>SUM(M87:M103)</f>
        <v>0</v>
      </c>
      <c r="N104" s="404">
        <f t="shared" ref="N104:Z104" si="26">SUM(N88:N103)</f>
        <v>1219570</v>
      </c>
      <c r="O104" s="404">
        <f t="shared" si="26"/>
        <v>2516.6666666666665</v>
      </c>
      <c r="P104" s="404">
        <f t="shared" si="26"/>
        <v>25626.66666666665</v>
      </c>
      <c r="Q104" s="404">
        <f t="shared" si="26"/>
        <v>94626.666666666657</v>
      </c>
      <c r="R104" s="404">
        <f t="shared" si="26"/>
        <v>27346.666666666664</v>
      </c>
      <c r="S104" s="404">
        <f t="shared" si="26"/>
        <v>11916.666666666666</v>
      </c>
      <c r="T104" s="404">
        <f t="shared" si="26"/>
        <v>34376.666666666657</v>
      </c>
      <c r="U104" s="404">
        <f t="shared" si="26"/>
        <v>10391.666666666659</v>
      </c>
      <c r="V104" s="404">
        <f t="shared" si="26"/>
        <v>10391.666666666659</v>
      </c>
      <c r="W104" s="404">
        <f t="shared" si="26"/>
        <v>3516.6666666666665</v>
      </c>
      <c r="X104" s="404">
        <f t="shared" si="26"/>
        <v>3516.6666666666665</v>
      </c>
      <c r="Y104" s="404">
        <f t="shared" si="26"/>
        <v>498171.66666666663</v>
      </c>
      <c r="Z104" s="404">
        <f t="shared" si="26"/>
        <v>497171.66666666663</v>
      </c>
      <c r="AA104" s="517"/>
    </row>
    <row r="105" spans="1:27" ht="18.75" outlineLevel="1" x14ac:dyDescent="0.25">
      <c r="A105" s="505" t="str">
        <f>CONCATENATE(B21," ",C21)</f>
        <v xml:space="preserve">Mine Geology  </v>
      </c>
      <c r="B105" s="505"/>
      <c r="C105" s="506"/>
      <c r="D105" s="506"/>
      <c r="E105" s="507"/>
      <c r="F105" s="507"/>
      <c r="G105" s="507"/>
      <c r="H105" s="507"/>
      <c r="I105" s="507"/>
      <c r="J105" s="507"/>
      <c r="K105" s="507"/>
      <c r="L105" s="507"/>
      <c r="M105" s="507"/>
      <c r="N105" s="507"/>
      <c r="O105" s="507" t="s">
        <v>5</v>
      </c>
      <c r="P105" s="507"/>
      <c r="Q105" s="507"/>
      <c r="R105" s="507"/>
      <c r="S105" s="507"/>
      <c r="T105" s="507"/>
      <c r="U105" s="507"/>
      <c r="V105" s="507"/>
      <c r="W105" s="507"/>
      <c r="X105" s="507"/>
      <c r="Y105" s="507"/>
      <c r="Z105" s="507"/>
    </row>
    <row r="106" spans="1:27" ht="41.45" customHeight="1" outlineLevel="1" x14ac:dyDescent="0.25">
      <c r="A106" s="492" t="s">
        <v>261</v>
      </c>
      <c r="B106" s="492" t="s">
        <v>13</v>
      </c>
      <c r="C106" s="492" t="s">
        <v>14</v>
      </c>
      <c r="D106" s="509" t="s">
        <v>286</v>
      </c>
      <c r="E106" s="404" t="s">
        <v>16</v>
      </c>
      <c r="F106" s="404" t="s">
        <v>295</v>
      </c>
      <c r="G106" s="404" t="s">
        <v>39</v>
      </c>
      <c r="H106" s="404" t="s">
        <v>297</v>
      </c>
      <c r="I106" s="404" t="s">
        <v>298</v>
      </c>
      <c r="J106" s="404" t="s">
        <v>299</v>
      </c>
      <c r="K106" s="404" t="s">
        <v>300</v>
      </c>
      <c r="L106" s="404" t="s">
        <v>17</v>
      </c>
      <c r="M106" s="404" t="s">
        <v>18</v>
      </c>
      <c r="N106" s="404" t="s">
        <v>19</v>
      </c>
      <c r="O106" s="493">
        <v>43101</v>
      </c>
      <c r="P106" s="493">
        <v>43132</v>
      </c>
      <c r="Q106" s="493">
        <v>43160</v>
      </c>
      <c r="R106" s="493">
        <v>43191</v>
      </c>
      <c r="S106" s="493">
        <v>43221</v>
      </c>
      <c r="T106" s="493">
        <v>43252</v>
      </c>
      <c r="U106" s="493">
        <v>43282</v>
      </c>
      <c r="V106" s="493">
        <v>43313</v>
      </c>
      <c r="W106" s="493">
        <v>43344</v>
      </c>
      <c r="X106" s="493">
        <v>43374</v>
      </c>
      <c r="Y106" s="493">
        <v>43405</v>
      </c>
      <c r="Z106" s="493">
        <v>43435</v>
      </c>
    </row>
    <row r="107" spans="1:27" ht="47.25" outlineLevel="1" x14ac:dyDescent="0.25">
      <c r="A107" s="494" t="s">
        <v>2197</v>
      </c>
      <c r="B107" s="494" t="s">
        <v>578</v>
      </c>
      <c r="C107" s="494" t="s">
        <v>579</v>
      </c>
      <c r="D107" s="603" t="s">
        <v>580</v>
      </c>
      <c r="E107" s="496" t="s">
        <v>242</v>
      </c>
      <c r="F107" s="404"/>
      <c r="G107" s="404"/>
      <c r="H107" s="404"/>
      <c r="I107" s="404"/>
      <c r="J107" s="404"/>
      <c r="K107" s="496" t="s">
        <v>42</v>
      </c>
      <c r="L107" s="404">
        <v>4</v>
      </c>
      <c r="M107" s="496" t="s">
        <v>383</v>
      </c>
      <c r="N107" s="511">
        <f>SUM(P107:Z107)</f>
        <v>509376</v>
      </c>
      <c r="P107" s="912">
        <v>0</v>
      </c>
      <c r="Q107" s="912">
        <v>84896</v>
      </c>
      <c r="R107" s="912">
        <v>84896</v>
      </c>
      <c r="S107" s="912">
        <v>84896</v>
      </c>
      <c r="T107" s="912">
        <v>84896</v>
      </c>
      <c r="U107" s="912">
        <v>84896</v>
      </c>
      <c r="V107" s="912">
        <v>84896</v>
      </c>
      <c r="W107" s="511"/>
      <c r="X107" s="511"/>
      <c r="Y107" s="511"/>
      <c r="Z107" s="511"/>
    </row>
    <row r="108" spans="1:27" ht="30.75" customHeight="1" outlineLevel="1" x14ac:dyDescent="0.25">
      <c r="A108" s="494" t="s">
        <v>2199</v>
      </c>
      <c r="B108" s="494" t="s">
        <v>1294</v>
      </c>
      <c r="C108" s="494" t="s">
        <v>1295</v>
      </c>
      <c r="D108" s="603" t="s">
        <v>1296</v>
      </c>
      <c r="E108" s="496" t="s">
        <v>242</v>
      </c>
      <c r="F108" s="404"/>
      <c r="G108" s="404"/>
      <c r="H108" s="404"/>
      <c r="I108" s="404"/>
      <c r="J108" s="404"/>
      <c r="K108" s="496" t="s">
        <v>47</v>
      </c>
      <c r="L108" s="404">
        <v>2</v>
      </c>
      <c r="M108" s="496"/>
      <c r="N108" s="511">
        <f t="shared" ref="N108" si="27">SUM(O108:Z108)</f>
        <v>656001</v>
      </c>
      <c r="O108" s="511"/>
      <c r="P108" s="912">
        <v>0</v>
      </c>
      <c r="Q108" s="912">
        <v>109333.5</v>
      </c>
      <c r="R108" s="912">
        <v>109333.5</v>
      </c>
      <c r="S108" s="912">
        <v>109333.5</v>
      </c>
      <c r="T108" s="912">
        <v>109333.5</v>
      </c>
      <c r="U108" s="912">
        <v>109333.5</v>
      </c>
      <c r="V108" s="912">
        <v>109333.5</v>
      </c>
      <c r="W108" s="511"/>
      <c r="X108" s="511"/>
      <c r="Y108" s="511"/>
      <c r="Z108" s="511"/>
    </row>
    <row r="109" spans="1:27" ht="15.75" outlineLevel="1" x14ac:dyDescent="0.25">
      <c r="A109" s="494" t="s">
        <v>2203</v>
      </c>
      <c r="B109" s="494" t="s">
        <v>581</v>
      </c>
      <c r="C109" s="494" t="s">
        <v>582</v>
      </c>
      <c r="D109" s="603" t="s">
        <v>530</v>
      </c>
      <c r="E109" s="496" t="s">
        <v>242</v>
      </c>
      <c r="F109" s="404"/>
      <c r="G109" s="404"/>
      <c r="H109" s="404"/>
      <c r="I109" s="404"/>
      <c r="J109" s="404"/>
      <c r="K109" s="404"/>
      <c r="L109" s="404"/>
      <c r="M109" s="404"/>
      <c r="N109" s="404"/>
      <c r="O109" s="493"/>
      <c r="P109" s="493"/>
      <c r="Q109" s="493"/>
      <c r="R109" s="493"/>
      <c r="S109" s="493"/>
      <c r="T109" s="493"/>
      <c r="U109" s="493"/>
      <c r="V109" s="493"/>
      <c r="W109" s="493"/>
      <c r="X109" s="493"/>
      <c r="Y109" s="493"/>
      <c r="Z109" s="493"/>
    </row>
    <row r="110" spans="1:27" s="543" customFormat="1" ht="21" customHeight="1" outlineLevel="1" x14ac:dyDescent="0.25">
      <c r="A110" s="492"/>
      <c r="B110" s="492"/>
      <c r="C110" s="492"/>
      <c r="D110" s="537"/>
      <c r="E110" s="404"/>
      <c r="F110" s="404"/>
      <c r="G110" s="518"/>
      <c r="H110" s="404"/>
      <c r="I110" s="404"/>
      <c r="J110" s="404"/>
      <c r="K110" s="519" t="s">
        <v>20</v>
      </c>
      <c r="L110" s="404">
        <f>SUM(L106:L109)</f>
        <v>6</v>
      </c>
      <c r="M110" s="404">
        <f t="shared" ref="M110:Z110" si="28">SUM(M107:M109)</f>
        <v>0</v>
      </c>
      <c r="N110" s="404">
        <f t="shared" si="28"/>
        <v>1165377</v>
      </c>
      <c r="O110" s="404">
        <f t="shared" si="28"/>
        <v>0</v>
      </c>
      <c r="P110" s="404">
        <f t="shared" si="28"/>
        <v>0</v>
      </c>
      <c r="Q110" s="404">
        <f t="shared" si="28"/>
        <v>194229.5</v>
      </c>
      <c r="R110" s="404">
        <f t="shared" si="28"/>
        <v>194229.5</v>
      </c>
      <c r="S110" s="404">
        <f>SUM(S107:S109)</f>
        <v>194229.5</v>
      </c>
      <c r="T110" s="404">
        <f t="shared" si="28"/>
        <v>194229.5</v>
      </c>
      <c r="U110" s="404">
        <f t="shared" si="28"/>
        <v>194229.5</v>
      </c>
      <c r="V110" s="404">
        <f t="shared" si="28"/>
        <v>194229.5</v>
      </c>
      <c r="W110" s="404">
        <f t="shared" si="28"/>
        <v>0</v>
      </c>
      <c r="X110" s="404">
        <f t="shared" si="28"/>
        <v>0</v>
      </c>
      <c r="Y110" s="404">
        <f t="shared" si="28"/>
        <v>0</v>
      </c>
      <c r="Z110" s="404">
        <f t="shared" si="28"/>
        <v>0</v>
      </c>
      <c r="AA110" s="634"/>
    </row>
    <row r="111" spans="1:27" ht="18.75" outlineLevel="1" x14ac:dyDescent="0.25">
      <c r="A111" s="505" t="str">
        <f>CONCATENATE(B22," ",C22)</f>
        <v xml:space="preserve">Drill Campaign </v>
      </c>
      <c r="B111" s="505"/>
      <c r="C111" s="506"/>
      <c r="D111" s="506"/>
      <c r="E111" s="507"/>
      <c r="F111" s="507"/>
      <c r="G111" s="507"/>
      <c r="H111" s="507"/>
      <c r="I111" s="507"/>
      <c r="J111" s="507"/>
      <c r="K111" s="507"/>
      <c r="L111" s="507"/>
      <c r="M111" s="507"/>
      <c r="N111" s="507"/>
      <c r="O111" s="507" t="s">
        <v>5</v>
      </c>
      <c r="P111" s="507"/>
      <c r="Q111" s="507"/>
      <c r="R111" s="507"/>
      <c r="S111" s="507"/>
      <c r="T111" s="507"/>
      <c r="U111" s="507"/>
      <c r="V111" s="507"/>
      <c r="W111" s="507"/>
      <c r="X111" s="507"/>
      <c r="Y111" s="507"/>
      <c r="Z111" s="507"/>
    </row>
    <row r="112" spans="1:27" ht="41.45" customHeight="1" outlineLevel="1" x14ac:dyDescent="0.25">
      <c r="A112" s="492" t="s">
        <v>261</v>
      </c>
      <c r="B112" s="635" t="s">
        <v>13</v>
      </c>
      <c r="C112" s="635" t="s">
        <v>14</v>
      </c>
      <c r="D112" s="509" t="s">
        <v>286</v>
      </c>
      <c r="E112" s="404" t="s">
        <v>16</v>
      </c>
      <c r="F112" s="404" t="s">
        <v>295</v>
      </c>
      <c r="G112" s="404" t="s">
        <v>39</v>
      </c>
      <c r="H112" s="404" t="s">
        <v>297</v>
      </c>
      <c r="I112" s="404" t="s">
        <v>298</v>
      </c>
      <c r="J112" s="404" t="s">
        <v>299</v>
      </c>
      <c r="K112" s="404" t="s">
        <v>300</v>
      </c>
      <c r="L112" s="404" t="s">
        <v>17</v>
      </c>
      <c r="M112" s="404" t="s">
        <v>18</v>
      </c>
      <c r="N112" s="404" t="s">
        <v>19</v>
      </c>
      <c r="O112" s="493">
        <v>43101</v>
      </c>
      <c r="P112" s="493">
        <v>43132</v>
      </c>
      <c r="Q112" s="493">
        <v>43160</v>
      </c>
      <c r="R112" s="493">
        <v>43191</v>
      </c>
      <c r="S112" s="493">
        <v>43221</v>
      </c>
      <c r="T112" s="493">
        <v>43252</v>
      </c>
      <c r="U112" s="493">
        <v>43282</v>
      </c>
      <c r="V112" s="493">
        <v>43313</v>
      </c>
      <c r="W112" s="493">
        <v>43344</v>
      </c>
      <c r="X112" s="493">
        <v>43374</v>
      </c>
      <c r="Y112" s="493">
        <v>43405</v>
      </c>
      <c r="Z112" s="493">
        <v>43435</v>
      </c>
    </row>
    <row r="113" spans="1:26" ht="15.75" outlineLevel="1" x14ac:dyDescent="0.25">
      <c r="A113" s="494" t="s">
        <v>2204</v>
      </c>
      <c r="B113" s="636" t="s">
        <v>583</v>
      </c>
      <c r="C113" s="636" t="s">
        <v>584</v>
      </c>
      <c r="D113" s="603" t="s">
        <v>585</v>
      </c>
      <c r="E113" s="496" t="s">
        <v>242</v>
      </c>
      <c r="F113" s="404"/>
      <c r="G113" s="404"/>
      <c r="H113" s="404"/>
      <c r="I113" s="404"/>
      <c r="J113" s="404"/>
      <c r="K113" s="496" t="s">
        <v>195</v>
      </c>
      <c r="L113" s="496">
        <v>2</v>
      </c>
      <c r="M113" s="404"/>
      <c r="N113" s="496">
        <f t="shared" ref="N113:N142" si="29">SUM(O113:Z113)</f>
        <v>57500</v>
      </c>
      <c r="O113" s="496"/>
      <c r="P113" s="496"/>
      <c r="Q113" s="496"/>
      <c r="R113" s="496"/>
      <c r="S113" s="512">
        <v>38333.333333333336</v>
      </c>
      <c r="T113" s="512">
        <v>19166.666666666668</v>
      </c>
      <c r="U113" s="512"/>
      <c r="V113" s="512"/>
      <c r="W113" s="512"/>
      <c r="X113" s="512"/>
      <c r="Y113" s="496"/>
      <c r="Z113" s="496"/>
    </row>
    <row r="114" spans="1:26" ht="15.75" outlineLevel="1" x14ac:dyDescent="0.25">
      <c r="A114" s="494" t="s">
        <v>2205</v>
      </c>
      <c r="B114" s="636" t="s">
        <v>583</v>
      </c>
      <c r="C114" s="636" t="s">
        <v>586</v>
      </c>
      <c r="D114" s="603" t="s">
        <v>585</v>
      </c>
      <c r="E114" s="496" t="s">
        <v>242</v>
      </c>
      <c r="F114" s="404"/>
      <c r="G114" s="404"/>
      <c r="H114" s="404"/>
      <c r="I114" s="404"/>
      <c r="J114" s="404"/>
      <c r="K114" s="496" t="s">
        <v>195</v>
      </c>
      <c r="L114" s="496">
        <v>2</v>
      </c>
      <c r="M114" s="404"/>
      <c r="N114" s="496">
        <f t="shared" si="29"/>
        <v>18000</v>
      </c>
      <c r="O114" s="496"/>
      <c r="P114" s="496"/>
      <c r="Q114" s="496"/>
      <c r="R114" s="496"/>
      <c r="S114" s="512">
        <v>12000</v>
      </c>
      <c r="T114" s="512">
        <v>6000</v>
      </c>
      <c r="U114" s="512"/>
      <c r="V114" s="512"/>
      <c r="W114" s="512"/>
      <c r="X114" s="512"/>
      <c r="Y114" s="496"/>
      <c r="Z114" s="496"/>
    </row>
    <row r="115" spans="1:26" ht="15.75" outlineLevel="1" x14ac:dyDescent="0.25">
      <c r="A115" s="494" t="s">
        <v>2206</v>
      </c>
      <c r="B115" s="636" t="s">
        <v>583</v>
      </c>
      <c r="C115" s="636" t="s">
        <v>587</v>
      </c>
      <c r="D115" s="603" t="s">
        <v>585</v>
      </c>
      <c r="E115" s="496" t="s">
        <v>242</v>
      </c>
      <c r="F115" s="404"/>
      <c r="G115" s="404"/>
      <c r="H115" s="404"/>
      <c r="I115" s="404"/>
      <c r="J115" s="404"/>
      <c r="K115" s="496" t="s">
        <v>195</v>
      </c>
      <c r="L115" s="496">
        <v>2</v>
      </c>
      <c r="M115" s="404"/>
      <c r="N115" s="496">
        <f t="shared" si="29"/>
        <v>3100</v>
      </c>
      <c r="O115" s="496"/>
      <c r="P115" s="496"/>
      <c r="Q115" s="496"/>
      <c r="R115" s="496"/>
      <c r="S115" s="512">
        <v>3100</v>
      </c>
      <c r="T115" s="512"/>
      <c r="U115" s="512"/>
      <c r="V115" s="512"/>
      <c r="W115" s="512"/>
      <c r="X115" s="512"/>
      <c r="Y115" s="496"/>
      <c r="Z115" s="496"/>
    </row>
    <row r="116" spans="1:26" ht="15.75" outlineLevel="1" x14ac:dyDescent="0.25">
      <c r="A116" s="494" t="s">
        <v>2207</v>
      </c>
      <c r="B116" s="636" t="s">
        <v>588</v>
      </c>
      <c r="C116" s="636" t="s">
        <v>589</v>
      </c>
      <c r="D116" s="603" t="s">
        <v>590</v>
      </c>
      <c r="E116" s="496" t="s">
        <v>242</v>
      </c>
      <c r="F116" s="404"/>
      <c r="G116" s="404"/>
      <c r="H116" s="404"/>
      <c r="I116" s="404"/>
      <c r="J116" s="404"/>
      <c r="K116" s="496"/>
      <c r="L116" s="496"/>
      <c r="M116" s="404"/>
      <c r="N116" s="496">
        <f t="shared" si="29"/>
        <v>0</v>
      </c>
      <c r="O116" s="496"/>
      <c r="P116" s="496"/>
      <c r="Q116" s="496"/>
      <c r="R116" s="496"/>
      <c r="S116" s="512"/>
      <c r="T116" s="512"/>
      <c r="U116" s="512"/>
      <c r="V116" s="512"/>
      <c r="W116" s="512"/>
      <c r="X116" s="512"/>
      <c r="Y116" s="496"/>
      <c r="Z116" s="496"/>
    </row>
    <row r="117" spans="1:26" ht="31.5" outlineLevel="1" x14ac:dyDescent="0.25">
      <c r="A117" s="494" t="s">
        <v>2208</v>
      </c>
      <c r="B117" s="636" t="s">
        <v>588</v>
      </c>
      <c r="C117" s="636" t="s">
        <v>591</v>
      </c>
      <c r="D117" s="603" t="s">
        <v>590</v>
      </c>
      <c r="E117" s="496" t="s">
        <v>242</v>
      </c>
      <c r="F117" s="404"/>
      <c r="G117" s="404"/>
      <c r="H117" s="404"/>
      <c r="I117" s="404"/>
      <c r="J117" s="404"/>
      <c r="K117" s="496" t="s">
        <v>42</v>
      </c>
      <c r="L117" s="496">
        <v>4</v>
      </c>
      <c r="M117" s="404"/>
      <c r="N117" s="496">
        <f t="shared" si="29"/>
        <v>1860000</v>
      </c>
      <c r="O117" s="912">
        <v>0</v>
      </c>
      <c r="P117" s="912">
        <v>310000</v>
      </c>
      <c r="Q117" s="496">
        <v>620000</v>
      </c>
      <c r="R117" s="912">
        <v>930000</v>
      </c>
      <c r="S117" s="512"/>
      <c r="T117" s="512"/>
      <c r="U117" s="512"/>
      <c r="V117" s="512"/>
      <c r="W117" s="512"/>
      <c r="X117" s="512"/>
      <c r="Y117" s="496"/>
      <c r="Z117" s="496"/>
    </row>
    <row r="118" spans="1:26" ht="15.75" outlineLevel="1" x14ac:dyDescent="0.25">
      <c r="A118" s="494" t="s">
        <v>2210</v>
      </c>
      <c r="B118" s="636" t="s">
        <v>588</v>
      </c>
      <c r="C118" s="636" t="s">
        <v>592</v>
      </c>
      <c r="D118" s="603" t="s">
        <v>590</v>
      </c>
      <c r="E118" s="496" t="s">
        <v>242</v>
      </c>
      <c r="F118" s="404"/>
      <c r="G118" s="404"/>
      <c r="H118" s="404"/>
      <c r="I118" s="404"/>
      <c r="J118" s="404"/>
      <c r="K118" s="496" t="s">
        <v>47</v>
      </c>
      <c r="L118" s="496">
        <v>6</v>
      </c>
      <c r="M118" s="404"/>
      <c r="N118" s="496">
        <f t="shared" si="29"/>
        <v>900000</v>
      </c>
      <c r="O118" s="496"/>
      <c r="P118" s="496"/>
      <c r="Q118" s="496"/>
      <c r="R118" s="496"/>
      <c r="S118" s="512"/>
      <c r="T118" s="512">
        <v>450000</v>
      </c>
      <c r="U118" s="512">
        <v>450000</v>
      </c>
      <c r="V118" s="512"/>
      <c r="W118" s="512"/>
      <c r="X118" s="512"/>
      <c r="Y118" s="496"/>
      <c r="Z118" s="496"/>
    </row>
    <row r="119" spans="1:26" ht="31.5" outlineLevel="1" x14ac:dyDescent="0.25">
      <c r="A119" s="494" t="s">
        <v>2212</v>
      </c>
      <c r="B119" s="636" t="s">
        <v>593</v>
      </c>
      <c r="C119" s="636" t="s">
        <v>594</v>
      </c>
      <c r="D119" s="509"/>
      <c r="E119" s="496" t="s">
        <v>242</v>
      </c>
      <c r="F119" s="404"/>
      <c r="G119" s="404"/>
      <c r="H119" s="404"/>
      <c r="I119" s="404"/>
      <c r="J119" s="404"/>
      <c r="K119" s="496" t="s">
        <v>47</v>
      </c>
      <c r="L119" s="496">
        <v>6</v>
      </c>
      <c r="M119" s="404"/>
      <c r="N119" s="496">
        <f t="shared" si="29"/>
        <v>1680</v>
      </c>
      <c r="O119" s="496"/>
      <c r="P119" s="496"/>
      <c r="Q119" s="496"/>
      <c r="R119" s="496"/>
      <c r="S119" s="512"/>
      <c r="T119" s="512">
        <v>840</v>
      </c>
      <c r="U119" s="512">
        <v>840</v>
      </c>
      <c r="V119" s="512"/>
      <c r="W119" s="512"/>
      <c r="X119" s="512"/>
      <c r="Y119" s="496"/>
      <c r="Z119" s="496"/>
    </row>
    <row r="120" spans="1:26" ht="31.5" outlineLevel="1" x14ac:dyDescent="0.25">
      <c r="A120" s="494" t="s">
        <v>2213</v>
      </c>
      <c r="B120" s="636" t="s">
        <v>593</v>
      </c>
      <c r="C120" s="636" t="s">
        <v>595</v>
      </c>
      <c r="D120" s="509"/>
      <c r="E120" s="496" t="s">
        <v>242</v>
      </c>
      <c r="F120" s="404"/>
      <c r="G120" s="404"/>
      <c r="H120" s="404"/>
      <c r="I120" s="404"/>
      <c r="J120" s="404"/>
      <c r="K120" s="496" t="s">
        <v>47</v>
      </c>
      <c r="L120" s="496">
        <v>6</v>
      </c>
      <c r="M120" s="404"/>
      <c r="N120" s="496">
        <f t="shared" si="29"/>
        <v>0</v>
      </c>
      <c r="O120" s="496"/>
      <c r="P120" s="496"/>
      <c r="Q120" s="496"/>
      <c r="R120" s="496"/>
      <c r="S120" s="512"/>
      <c r="T120" s="512"/>
      <c r="U120" s="512"/>
      <c r="V120" s="512"/>
      <c r="W120" s="512"/>
      <c r="X120" s="512"/>
      <c r="Y120" s="496"/>
      <c r="Z120" s="496"/>
    </row>
    <row r="121" spans="1:26" ht="31.5" outlineLevel="1" x14ac:dyDescent="0.25">
      <c r="A121" s="494" t="s">
        <v>2214</v>
      </c>
      <c r="B121" s="636" t="s">
        <v>593</v>
      </c>
      <c r="C121" s="636" t="s">
        <v>596</v>
      </c>
      <c r="D121" s="509"/>
      <c r="E121" s="496" t="s">
        <v>242</v>
      </c>
      <c r="F121" s="404"/>
      <c r="G121" s="404"/>
      <c r="H121" s="404"/>
      <c r="I121" s="404"/>
      <c r="J121" s="404"/>
      <c r="K121" s="496" t="s">
        <v>47</v>
      </c>
      <c r="L121" s="496">
        <v>6</v>
      </c>
      <c r="M121" s="404"/>
      <c r="N121" s="496">
        <f t="shared" si="29"/>
        <v>32400</v>
      </c>
      <c r="O121" s="496"/>
      <c r="P121" s="496"/>
      <c r="Q121" s="496"/>
      <c r="R121" s="496"/>
      <c r="S121" s="512"/>
      <c r="T121" s="512">
        <v>10800</v>
      </c>
      <c r="U121" s="512">
        <v>10800</v>
      </c>
      <c r="V121" s="512">
        <v>10800</v>
      </c>
      <c r="W121" s="512"/>
      <c r="X121" s="512"/>
      <c r="Y121" s="496"/>
      <c r="Z121" s="496"/>
    </row>
    <row r="122" spans="1:26" ht="47.25" outlineLevel="1" x14ac:dyDescent="0.25">
      <c r="A122" s="494" t="s">
        <v>2216</v>
      </c>
      <c r="B122" s="636" t="s">
        <v>593</v>
      </c>
      <c r="C122" s="636" t="s">
        <v>597</v>
      </c>
      <c r="D122" s="509"/>
      <c r="E122" s="496" t="s">
        <v>242</v>
      </c>
      <c r="F122" s="404"/>
      <c r="G122" s="404"/>
      <c r="H122" s="404"/>
      <c r="I122" s="404"/>
      <c r="J122" s="404"/>
      <c r="K122" s="496"/>
      <c r="L122" s="496"/>
      <c r="M122" s="404"/>
      <c r="N122" s="496">
        <f t="shared" si="29"/>
        <v>0</v>
      </c>
      <c r="O122" s="496"/>
      <c r="P122" s="496"/>
      <c r="Q122" s="496"/>
      <c r="R122" s="496"/>
      <c r="S122" s="512"/>
      <c r="T122" s="512"/>
      <c r="U122" s="512"/>
      <c r="V122" s="512"/>
      <c r="W122" s="512"/>
      <c r="X122" s="512"/>
      <c r="Y122" s="496"/>
      <c r="Z122" s="496"/>
    </row>
    <row r="123" spans="1:26" ht="15.75" outlineLevel="1" x14ac:dyDescent="0.25">
      <c r="A123" s="494" t="s">
        <v>2217</v>
      </c>
      <c r="B123" s="636" t="s">
        <v>1462</v>
      </c>
      <c r="C123" s="636" t="s">
        <v>1463</v>
      </c>
      <c r="D123" s="509"/>
      <c r="E123" s="496" t="s">
        <v>242</v>
      </c>
      <c r="F123" s="404"/>
      <c r="G123" s="404"/>
      <c r="H123" s="404"/>
      <c r="I123" s="404"/>
      <c r="J123" s="404"/>
      <c r="K123" s="496"/>
      <c r="L123" s="496"/>
      <c r="M123" s="404"/>
      <c r="N123" s="496">
        <f>SUM(P123:Z123)</f>
        <v>144000</v>
      </c>
      <c r="P123" s="912">
        <v>0</v>
      </c>
      <c r="Q123" s="912">
        <v>0</v>
      </c>
      <c r="R123" s="912">
        <v>144000</v>
      </c>
      <c r="S123" s="512"/>
      <c r="T123" s="512"/>
      <c r="U123" s="512"/>
      <c r="V123" s="512"/>
      <c r="W123" s="512"/>
      <c r="X123" s="512"/>
      <c r="Y123" s="496"/>
      <c r="Z123" s="496"/>
    </row>
    <row r="124" spans="1:26" ht="15.75" outlineLevel="1" x14ac:dyDescent="0.25">
      <c r="A124" s="494" t="s">
        <v>2218</v>
      </c>
      <c r="B124" s="636" t="s">
        <v>1462</v>
      </c>
      <c r="C124" s="636" t="s">
        <v>1464</v>
      </c>
      <c r="D124" s="509"/>
      <c r="E124" s="496" t="s">
        <v>242</v>
      </c>
      <c r="F124" s="404"/>
      <c r="G124" s="404"/>
      <c r="H124" s="404"/>
      <c r="I124" s="404"/>
      <c r="J124" s="404"/>
      <c r="K124" s="496"/>
      <c r="L124" s="496"/>
      <c r="M124" s="404"/>
      <c r="N124" s="496">
        <f t="shared" si="29"/>
        <v>14000</v>
      </c>
      <c r="O124" s="496"/>
      <c r="P124" s="496"/>
      <c r="Q124" s="496">
        <v>14000</v>
      </c>
      <c r="R124" s="496"/>
      <c r="S124" s="512"/>
      <c r="T124" s="512"/>
      <c r="U124" s="512"/>
      <c r="V124" s="512"/>
      <c r="W124" s="512"/>
      <c r="X124" s="512"/>
      <c r="Y124" s="496"/>
      <c r="Z124" s="496"/>
    </row>
    <row r="125" spans="1:26" ht="47.25" outlineLevel="1" x14ac:dyDescent="0.25">
      <c r="A125" s="494" t="s">
        <v>2219</v>
      </c>
      <c r="B125" s="636" t="s">
        <v>1462</v>
      </c>
      <c r="C125" s="636" t="s">
        <v>597</v>
      </c>
      <c r="D125" s="509"/>
      <c r="E125" s="496" t="s">
        <v>242</v>
      </c>
      <c r="F125" s="404"/>
      <c r="G125" s="404"/>
      <c r="H125" s="404"/>
      <c r="I125" s="404"/>
      <c r="J125" s="404"/>
      <c r="K125" s="496"/>
      <c r="L125" s="496"/>
      <c r="M125" s="404"/>
      <c r="N125" s="496">
        <f t="shared" si="29"/>
        <v>110100</v>
      </c>
      <c r="O125" s="912">
        <v>0</v>
      </c>
      <c r="P125" s="496">
        <v>36700</v>
      </c>
      <c r="Q125" s="496">
        <v>36700</v>
      </c>
      <c r="R125" s="912">
        <v>36700</v>
      </c>
      <c r="S125" s="512"/>
      <c r="T125" s="512"/>
      <c r="U125" s="512"/>
      <c r="V125" s="512"/>
      <c r="W125" s="512"/>
      <c r="X125" s="512"/>
      <c r="Y125" s="496"/>
      <c r="Z125" s="496"/>
    </row>
    <row r="126" spans="1:26" ht="47.25" outlineLevel="1" x14ac:dyDescent="0.25">
      <c r="A126" s="494" t="s">
        <v>2221</v>
      </c>
      <c r="B126" s="636" t="s">
        <v>598</v>
      </c>
      <c r="C126" s="636" t="s">
        <v>599</v>
      </c>
      <c r="D126" s="509"/>
      <c r="E126" s="496" t="s">
        <v>242</v>
      </c>
      <c r="F126" s="404"/>
      <c r="G126" s="404"/>
      <c r="H126" s="404"/>
      <c r="I126" s="404"/>
      <c r="J126" s="404"/>
      <c r="K126" s="496" t="s">
        <v>42</v>
      </c>
      <c r="L126" s="496">
        <v>8</v>
      </c>
      <c r="M126" s="404"/>
      <c r="N126" s="496">
        <f t="shared" si="29"/>
        <v>137500.14285714284</v>
      </c>
      <c r="O126" s="912">
        <v>0</v>
      </c>
      <c r="P126" s="496">
        <v>19642.857142857141</v>
      </c>
      <c r="Q126" s="496">
        <v>19642.857142857141</v>
      </c>
      <c r="R126" s="912">
        <v>19643</v>
      </c>
      <c r="S126" s="511">
        <v>19642.857142857141</v>
      </c>
      <c r="T126" s="512">
        <v>19642.857142857141</v>
      </c>
      <c r="U126" s="512">
        <v>19642.857142857141</v>
      </c>
      <c r="V126" s="512">
        <v>19642.857142857141</v>
      </c>
      <c r="W126" s="512"/>
      <c r="X126" s="512"/>
      <c r="Y126" s="496"/>
      <c r="Z126" s="496"/>
    </row>
    <row r="127" spans="1:26" ht="15.75" outlineLevel="1" x14ac:dyDescent="0.25">
      <c r="A127" s="494" t="s">
        <v>2223</v>
      </c>
      <c r="B127" s="636" t="s">
        <v>600</v>
      </c>
      <c r="C127" s="637" t="s">
        <v>601</v>
      </c>
      <c r="D127" s="495" t="s">
        <v>602</v>
      </c>
      <c r="E127" s="496" t="s">
        <v>242</v>
      </c>
      <c r="F127" s="404"/>
      <c r="G127" s="404"/>
      <c r="H127" s="404"/>
      <c r="I127" s="404"/>
      <c r="J127" s="404"/>
      <c r="K127" s="496" t="s">
        <v>195</v>
      </c>
      <c r="L127" s="496">
        <v>6</v>
      </c>
      <c r="M127" s="404"/>
      <c r="N127" s="496">
        <f t="shared" si="29"/>
        <v>111000</v>
      </c>
      <c r="O127" s="496"/>
      <c r="P127" s="496"/>
      <c r="Q127" s="496"/>
      <c r="R127" s="496"/>
      <c r="S127" s="512"/>
      <c r="T127" s="512">
        <v>37000</v>
      </c>
      <c r="U127" s="512">
        <v>37000</v>
      </c>
      <c r="V127" s="512">
        <v>37000</v>
      </c>
      <c r="W127" s="512"/>
      <c r="X127" s="512"/>
      <c r="Y127" s="496"/>
      <c r="Z127" s="496"/>
    </row>
    <row r="128" spans="1:26" ht="15" customHeight="1" outlineLevel="1" x14ac:dyDescent="0.25">
      <c r="A128" s="494" t="s">
        <v>2224</v>
      </c>
      <c r="B128" s="636" t="s">
        <v>600</v>
      </c>
      <c r="C128" s="637" t="s">
        <v>603</v>
      </c>
      <c r="D128" s="495"/>
      <c r="E128" s="496" t="s">
        <v>242</v>
      </c>
      <c r="F128" s="496"/>
      <c r="G128" s="496"/>
      <c r="H128" s="496"/>
      <c r="I128" s="496"/>
      <c r="J128" s="496"/>
      <c r="K128" s="496" t="s">
        <v>42</v>
      </c>
      <c r="L128" s="496">
        <v>7</v>
      </c>
      <c r="M128" s="496"/>
      <c r="N128" s="496">
        <f t="shared" si="29"/>
        <v>162750</v>
      </c>
      <c r="O128" s="912">
        <v>0</v>
      </c>
      <c r="P128" s="912">
        <v>0</v>
      </c>
      <c r="Q128" s="496">
        <v>54250</v>
      </c>
      <c r="R128" s="912">
        <v>54250</v>
      </c>
      <c r="S128" s="912">
        <v>54250</v>
      </c>
      <c r="T128" s="512"/>
      <c r="U128" s="512"/>
      <c r="V128" s="512"/>
      <c r="W128" s="512"/>
      <c r="X128" s="512"/>
      <c r="Y128" s="496"/>
      <c r="Z128" s="496"/>
    </row>
    <row r="129" spans="1:26" ht="15" customHeight="1" outlineLevel="1" x14ac:dyDescent="0.25">
      <c r="A129" s="494" t="s">
        <v>2226</v>
      </c>
      <c r="B129" s="636" t="s">
        <v>604</v>
      </c>
      <c r="C129" s="637" t="s">
        <v>605</v>
      </c>
      <c r="D129" s="495"/>
      <c r="E129" s="496" t="s">
        <v>242</v>
      </c>
      <c r="F129" s="496"/>
      <c r="G129" s="496"/>
      <c r="H129" s="496"/>
      <c r="I129" s="496"/>
      <c r="J129" s="496"/>
      <c r="K129" s="496" t="s">
        <v>195</v>
      </c>
      <c r="L129" s="496">
        <v>7</v>
      </c>
      <c r="M129" s="496" t="s">
        <v>383</v>
      </c>
      <c r="N129" s="496">
        <f t="shared" si="29"/>
        <v>67200</v>
      </c>
      <c r="O129" s="496"/>
      <c r="P129" s="496"/>
      <c r="Q129" s="496"/>
      <c r="R129" s="496"/>
      <c r="S129" s="512">
        <v>16800</v>
      </c>
      <c r="T129" s="512">
        <v>16800</v>
      </c>
      <c r="U129" s="512">
        <v>16800</v>
      </c>
      <c r="V129" s="512">
        <v>16800</v>
      </c>
      <c r="W129" s="512"/>
      <c r="X129" s="512"/>
      <c r="Y129" s="496"/>
      <c r="Z129" s="496"/>
    </row>
    <row r="130" spans="1:26" ht="15" customHeight="1" outlineLevel="1" x14ac:dyDescent="0.25">
      <c r="A130" s="494" t="s">
        <v>2229</v>
      </c>
      <c r="B130" s="636" t="s">
        <v>604</v>
      </c>
      <c r="C130" s="637" t="s">
        <v>1465</v>
      </c>
      <c r="D130" s="495"/>
      <c r="E130" s="496" t="s">
        <v>242</v>
      </c>
      <c r="F130" s="496"/>
      <c r="G130" s="496"/>
      <c r="H130" s="496"/>
      <c r="I130" s="496"/>
      <c r="J130" s="496"/>
      <c r="K130" s="496" t="s">
        <v>42</v>
      </c>
      <c r="L130" s="496">
        <v>7</v>
      </c>
      <c r="M130" s="496" t="s">
        <v>383</v>
      </c>
      <c r="N130" s="496">
        <f t="shared" si="29"/>
        <v>117600</v>
      </c>
      <c r="O130" s="912">
        <v>8400</v>
      </c>
      <c r="P130" s="912">
        <v>8400</v>
      </c>
      <c r="Q130" s="496">
        <v>16800</v>
      </c>
      <c r="R130" s="912">
        <v>16800</v>
      </c>
      <c r="S130" s="512">
        <v>16800</v>
      </c>
      <c r="T130" s="512">
        <v>16800</v>
      </c>
      <c r="U130" s="512">
        <v>16800</v>
      </c>
      <c r="V130" s="512">
        <v>16800</v>
      </c>
      <c r="W130" s="512"/>
      <c r="X130" s="512"/>
      <c r="Y130" s="496"/>
      <c r="Z130" s="496"/>
    </row>
    <row r="131" spans="1:26" ht="15" customHeight="1" outlineLevel="1" x14ac:dyDescent="0.25">
      <c r="A131" s="494" t="s">
        <v>2230</v>
      </c>
      <c r="B131" s="636" t="s">
        <v>604</v>
      </c>
      <c r="C131" s="637" t="s">
        <v>1466</v>
      </c>
      <c r="D131" s="495"/>
      <c r="E131" s="496" t="s">
        <v>242</v>
      </c>
      <c r="F131" s="496"/>
      <c r="G131" s="496"/>
      <c r="H131" s="496"/>
      <c r="I131" s="496"/>
      <c r="J131" s="496"/>
      <c r="K131" s="496" t="s">
        <v>42</v>
      </c>
      <c r="L131" s="496">
        <v>7</v>
      </c>
      <c r="M131" s="496" t="s">
        <v>383</v>
      </c>
      <c r="N131" s="496">
        <f t="shared" si="29"/>
        <v>117600</v>
      </c>
      <c r="O131" s="912">
        <v>8400</v>
      </c>
      <c r="P131" s="912">
        <v>8400</v>
      </c>
      <c r="Q131" s="496">
        <v>16800</v>
      </c>
      <c r="R131" s="912">
        <v>16800</v>
      </c>
      <c r="S131" s="512">
        <v>16800</v>
      </c>
      <c r="T131" s="512">
        <v>16800</v>
      </c>
      <c r="U131" s="512">
        <v>16800</v>
      </c>
      <c r="V131" s="512">
        <v>16800</v>
      </c>
      <c r="W131" s="512"/>
      <c r="X131" s="512"/>
      <c r="Y131" s="496"/>
      <c r="Z131" s="496"/>
    </row>
    <row r="132" spans="1:26" ht="15" customHeight="1" outlineLevel="1" x14ac:dyDescent="0.25">
      <c r="A132" s="494" t="s">
        <v>2231</v>
      </c>
      <c r="B132" s="636" t="s">
        <v>604</v>
      </c>
      <c r="C132" s="637" t="s">
        <v>1467</v>
      </c>
      <c r="D132" s="495"/>
      <c r="E132" s="496" t="s">
        <v>242</v>
      </c>
      <c r="F132" s="496"/>
      <c r="G132" s="496"/>
      <c r="H132" s="496"/>
      <c r="I132" s="496"/>
      <c r="J132" s="496"/>
      <c r="K132" s="496" t="s">
        <v>42</v>
      </c>
      <c r="L132" s="496">
        <v>7</v>
      </c>
      <c r="M132" s="496" t="s">
        <v>383</v>
      </c>
      <c r="N132" s="496">
        <f t="shared" si="29"/>
        <v>117600</v>
      </c>
      <c r="O132" s="912">
        <v>8400</v>
      </c>
      <c r="P132" s="912">
        <v>8400</v>
      </c>
      <c r="Q132" s="496">
        <v>16800</v>
      </c>
      <c r="R132" s="912">
        <v>16800</v>
      </c>
      <c r="S132" s="512">
        <v>16800</v>
      </c>
      <c r="T132" s="512">
        <v>16800</v>
      </c>
      <c r="U132" s="512">
        <v>16800</v>
      </c>
      <c r="V132" s="512">
        <v>16800</v>
      </c>
      <c r="W132" s="512"/>
      <c r="X132" s="512"/>
      <c r="Y132" s="496"/>
      <c r="Z132" s="496"/>
    </row>
    <row r="133" spans="1:26" ht="15" customHeight="1" outlineLevel="1" x14ac:dyDescent="0.25">
      <c r="A133" s="494" t="s">
        <v>2232</v>
      </c>
      <c r="B133" s="636" t="s">
        <v>604</v>
      </c>
      <c r="C133" s="637" t="s">
        <v>1468</v>
      </c>
      <c r="D133" s="495"/>
      <c r="E133" s="496" t="s">
        <v>242</v>
      </c>
      <c r="F133" s="496"/>
      <c r="G133" s="496"/>
      <c r="H133" s="496"/>
      <c r="I133" s="496"/>
      <c r="J133" s="496"/>
      <c r="K133" s="496" t="s">
        <v>42</v>
      </c>
      <c r="L133" s="496">
        <v>7</v>
      </c>
      <c r="M133" s="496" t="s">
        <v>383</v>
      </c>
      <c r="N133" s="496">
        <f t="shared" si="29"/>
        <v>17500</v>
      </c>
      <c r="O133" s="912">
        <v>0</v>
      </c>
      <c r="P133" s="496">
        <v>2500</v>
      </c>
      <c r="Q133" s="496">
        <v>2500</v>
      </c>
      <c r="R133" s="912">
        <v>2500</v>
      </c>
      <c r="S133" s="512">
        <v>2500</v>
      </c>
      <c r="T133" s="512">
        <v>2500</v>
      </c>
      <c r="U133" s="512">
        <v>2500</v>
      </c>
      <c r="V133" s="512">
        <v>2500</v>
      </c>
      <c r="W133" s="512"/>
      <c r="X133" s="512"/>
      <c r="Y133" s="496"/>
      <c r="Z133" s="496"/>
    </row>
    <row r="134" spans="1:26" ht="15" customHeight="1" outlineLevel="1" x14ac:dyDescent="0.25">
      <c r="A134" s="494" t="s">
        <v>2233</v>
      </c>
      <c r="B134" s="636" t="s">
        <v>604</v>
      </c>
      <c r="C134" s="637" t="s">
        <v>1469</v>
      </c>
      <c r="D134" s="495"/>
      <c r="E134" s="496" t="s">
        <v>242</v>
      </c>
      <c r="F134" s="496"/>
      <c r="G134" s="496"/>
      <c r="H134" s="496"/>
      <c r="I134" s="496"/>
      <c r="J134" s="496"/>
      <c r="K134" s="496" t="s">
        <v>42</v>
      </c>
      <c r="L134" s="496">
        <v>7</v>
      </c>
      <c r="M134" s="496" t="s">
        <v>383</v>
      </c>
      <c r="N134" s="496">
        <f t="shared" si="29"/>
        <v>17500</v>
      </c>
      <c r="O134" s="912">
        <v>0</v>
      </c>
      <c r="P134" s="496">
        <v>2500</v>
      </c>
      <c r="Q134" s="496">
        <v>2500</v>
      </c>
      <c r="R134" s="912">
        <v>2500</v>
      </c>
      <c r="S134" s="512">
        <v>2500</v>
      </c>
      <c r="T134" s="512">
        <v>2500</v>
      </c>
      <c r="U134" s="512">
        <v>2500</v>
      </c>
      <c r="V134" s="512">
        <v>2500</v>
      </c>
      <c r="W134" s="512"/>
      <c r="X134" s="512"/>
      <c r="Y134" s="496"/>
      <c r="Z134" s="496"/>
    </row>
    <row r="135" spans="1:26" ht="15" customHeight="1" outlineLevel="1" x14ac:dyDescent="0.25">
      <c r="A135" s="494" t="s">
        <v>2234</v>
      </c>
      <c r="B135" s="636" t="s">
        <v>604</v>
      </c>
      <c r="C135" s="637" t="s">
        <v>1470</v>
      </c>
      <c r="D135" s="495"/>
      <c r="E135" s="496" t="s">
        <v>242</v>
      </c>
      <c r="F135" s="496"/>
      <c r="G135" s="496"/>
      <c r="H135" s="496"/>
      <c r="I135" s="496"/>
      <c r="J135" s="496"/>
      <c r="K135" s="496" t="s">
        <v>42</v>
      </c>
      <c r="L135" s="496">
        <v>7</v>
      </c>
      <c r="M135" s="496" t="s">
        <v>383</v>
      </c>
      <c r="N135" s="496">
        <f t="shared" si="29"/>
        <v>17500</v>
      </c>
      <c r="O135" s="912">
        <v>0</v>
      </c>
      <c r="P135" s="496">
        <v>2500</v>
      </c>
      <c r="Q135" s="496">
        <v>2500</v>
      </c>
      <c r="R135" s="912">
        <v>2500</v>
      </c>
      <c r="S135" s="512">
        <v>2500</v>
      </c>
      <c r="T135" s="512">
        <v>2500</v>
      </c>
      <c r="U135" s="512">
        <v>2500</v>
      </c>
      <c r="V135" s="512">
        <v>2500</v>
      </c>
      <c r="W135" s="512"/>
      <c r="X135" s="512"/>
      <c r="Y135" s="496"/>
      <c r="Z135" s="496"/>
    </row>
    <row r="136" spans="1:26" ht="15" customHeight="1" outlineLevel="1" x14ac:dyDescent="0.25">
      <c r="A136" s="494" t="s">
        <v>2235</v>
      </c>
      <c r="B136" s="636" t="s">
        <v>604</v>
      </c>
      <c r="C136" s="637" t="s">
        <v>1471</v>
      </c>
      <c r="D136" s="495"/>
      <c r="E136" s="496" t="s">
        <v>242</v>
      </c>
      <c r="F136" s="496"/>
      <c r="G136" s="496"/>
      <c r="H136" s="496"/>
      <c r="I136" s="496"/>
      <c r="J136" s="496"/>
      <c r="K136" s="496" t="s">
        <v>42</v>
      </c>
      <c r="L136" s="496">
        <v>7</v>
      </c>
      <c r="M136" s="496" t="s">
        <v>383</v>
      </c>
      <c r="N136" s="496">
        <f t="shared" si="29"/>
        <v>17500</v>
      </c>
      <c r="O136" s="912">
        <v>0</v>
      </c>
      <c r="P136" s="496">
        <v>2500</v>
      </c>
      <c r="Q136" s="496">
        <v>2500</v>
      </c>
      <c r="R136" s="912">
        <v>2500</v>
      </c>
      <c r="S136" s="512">
        <v>2500</v>
      </c>
      <c r="T136" s="512">
        <v>2500</v>
      </c>
      <c r="U136" s="512">
        <v>2500</v>
      </c>
      <c r="V136" s="512">
        <v>2500</v>
      </c>
      <c r="W136" s="512"/>
      <c r="X136" s="512"/>
      <c r="Y136" s="496"/>
      <c r="Z136" s="496"/>
    </row>
    <row r="137" spans="1:26" ht="15" customHeight="1" outlineLevel="1" x14ac:dyDescent="0.25">
      <c r="A137" s="494" t="s">
        <v>2236</v>
      </c>
      <c r="B137" s="636" t="s">
        <v>604</v>
      </c>
      <c r="C137" s="637" t="s">
        <v>1472</v>
      </c>
      <c r="D137" s="495"/>
      <c r="E137" s="496" t="s">
        <v>242</v>
      </c>
      <c r="F137" s="496"/>
      <c r="G137" s="496"/>
      <c r="H137" s="496"/>
      <c r="I137" s="496"/>
      <c r="J137" s="496"/>
      <c r="K137" s="496" t="s">
        <v>42</v>
      </c>
      <c r="L137" s="496">
        <v>7</v>
      </c>
      <c r="M137" s="496" t="s">
        <v>383</v>
      </c>
      <c r="N137" s="496">
        <f t="shared" si="29"/>
        <v>21000</v>
      </c>
      <c r="O137" s="912">
        <v>0</v>
      </c>
      <c r="P137" s="496">
        <v>3000</v>
      </c>
      <c r="Q137" s="496">
        <v>3000</v>
      </c>
      <c r="R137" s="912">
        <v>3000</v>
      </c>
      <c r="S137" s="512">
        <v>3000</v>
      </c>
      <c r="T137" s="512">
        <v>3000</v>
      </c>
      <c r="U137" s="512">
        <v>3000</v>
      </c>
      <c r="V137" s="512">
        <v>3000</v>
      </c>
      <c r="W137" s="512"/>
      <c r="X137" s="512"/>
      <c r="Y137" s="496"/>
      <c r="Z137" s="496"/>
    </row>
    <row r="138" spans="1:26" ht="15" customHeight="1" outlineLevel="1" x14ac:dyDescent="0.25">
      <c r="A138" s="494" t="s">
        <v>2237</v>
      </c>
      <c r="B138" s="636" t="s">
        <v>604</v>
      </c>
      <c r="C138" s="637" t="s">
        <v>1473</v>
      </c>
      <c r="D138" s="495"/>
      <c r="E138" s="496" t="s">
        <v>242</v>
      </c>
      <c r="F138" s="496"/>
      <c r="G138" s="496"/>
      <c r="H138" s="496"/>
      <c r="I138" s="496"/>
      <c r="J138" s="496"/>
      <c r="K138" s="496" t="s">
        <v>42</v>
      </c>
      <c r="L138" s="496">
        <v>7</v>
      </c>
      <c r="M138" s="496" t="s">
        <v>383</v>
      </c>
      <c r="N138" s="496">
        <f t="shared" si="29"/>
        <v>21000</v>
      </c>
      <c r="O138" s="912">
        <v>0</v>
      </c>
      <c r="P138" s="496">
        <v>3000</v>
      </c>
      <c r="Q138" s="496">
        <v>3000</v>
      </c>
      <c r="R138" s="912">
        <v>3000</v>
      </c>
      <c r="S138" s="512">
        <v>3000</v>
      </c>
      <c r="T138" s="512">
        <v>3000</v>
      </c>
      <c r="U138" s="512">
        <v>3000</v>
      </c>
      <c r="V138" s="512">
        <v>3000</v>
      </c>
      <c r="W138" s="512"/>
      <c r="X138" s="512"/>
      <c r="Y138" s="496"/>
      <c r="Z138" s="496"/>
    </row>
    <row r="139" spans="1:26" ht="15" customHeight="1" outlineLevel="1" x14ac:dyDescent="0.25">
      <c r="A139" s="494" t="s">
        <v>2238</v>
      </c>
      <c r="B139" s="636" t="s">
        <v>604</v>
      </c>
      <c r="C139" s="637" t="s">
        <v>1474</v>
      </c>
      <c r="D139" s="495"/>
      <c r="E139" s="496" t="s">
        <v>242</v>
      </c>
      <c r="F139" s="496"/>
      <c r="G139" s="496"/>
      <c r="H139" s="496"/>
      <c r="I139" s="496"/>
      <c r="J139" s="496"/>
      <c r="K139" s="496" t="s">
        <v>195</v>
      </c>
      <c r="L139" s="496">
        <v>7</v>
      </c>
      <c r="M139" s="496" t="s">
        <v>383</v>
      </c>
      <c r="N139" s="496">
        <f t="shared" si="29"/>
        <v>4200</v>
      </c>
      <c r="O139" s="496"/>
      <c r="P139" s="496"/>
      <c r="Q139" s="496"/>
      <c r="R139" s="496"/>
      <c r="S139" s="512">
        <v>4200</v>
      </c>
      <c r="T139" s="512"/>
      <c r="U139" s="512"/>
      <c r="V139" s="512"/>
      <c r="W139" s="512"/>
      <c r="X139" s="512"/>
      <c r="Y139" s="496"/>
      <c r="Z139" s="496"/>
    </row>
    <row r="140" spans="1:26" ht="15" customHeight="1" outlineLevel="1" x14ac:dyDescent="0.25">
      <c r="A140" s="494" t="s">
        <v>2239</v>
      </c>
      <c r="B140" s="636" t="s">
        <v>604</v>
      </c>
      <c r="C140" s="637" t="s">
        <v>1475</v>
      </c>
      <c r="D140" s="495"/>
      <c r="E140" s="496" t="s">
        <v>242</v>
      </c>
      <c r="F140" s="496"/>
      <c r="G140" s="496"/>
      <c r="H140" s="496"/>
      <c r="I140" s="496"/>
      <c r="J140" s="496"/>
      <c r="K140" s="496" t="s">
        <v>195</v>
      </c>
      <c r="L140" s="496">
        <v>7</v>
      </c>
      <c r="M140" s="496" t="s">
        <v>383</v>
      </c>
      <c r="N140" s="496">
        <f t="shared" si="29"/>
        <v>4200</v>
      </c>
      <c r="O140" s="496"/>
      <c r="P140" s="496"/>
      <c r="Q140" s="496"/>
      <c r="R140" s="496"/>
      <c r="S140" s="512">
        <v>4200</v>
      </c>
      <c r="T140" s="512"/>
      <c r="U140" s="512"/>
      <c r="V140" s="512"/>
      <c r="W140" s="512"/>
      <c r="X140" s="512"/>
      <c r="Y140" s="496"/>
      <c r="Z140" s="496"/>
    </row>
    <row r="141" spans="1:26" ht="15" customHeight="1" outlineLevel="1" x14ac:dyDescent="0.25">
      <c r="A141" s="494" t="s">
        <v>2240</v>
      </c>
      <c r="B141" s="636" t="s">
        <v>604</v>
      </c>
      <c r="C141" s="637" t="s">
        <v>1476</v>
      </c>
      <c r="D141" s="495"/>
      <c r="E141" s="496" t="s">
        <v>242</v>
      </c>
      <c r="F141" s="496"/>
      <c r="G141" s="496"/>
      <c r="H141" s="496"/>
      <c r="I141" s="496"/>
      <c r="J141" s="496"/>
      <c r="K141" s="496" t="s">
        <v>195</v>
      </c>
      <c r="L141" s="496">
        <v>7</v>
      </c>
      <c r="M141" s="496" t="s">
        <v>1477</v>
      </c>
      <c r="N141" s="496">
        <f t="shared" si="29"/>
        <v>4200</v>
      </c>
      <c r="O141" s="496"/>
      <c r="P141" s="496"/>
      <c r="Q141" s="496"/>
      <c r="R141" s="496"/>
      <c r="S141" s="512">
        <v>4200</v>
      </c>
      <c r="T141" s="512"/>
      <c r="U141" s="512"/>
      <c r="V141" s="512"/>
      <c r="W141" s="512"/>
      <c r="X141" s="512"/>
      <c r="Y141" s="496"/>
      <c r="Z141" s="496"/>
    </row>
    <row r="142" spans="1:26" ht="15" customHeight="1" outlineLevel="1" x14ac:dyDescent="0.25">
      <c r="A142" s="494" t="s">
        <v>2241</v>
      </c>
      <c r="B142" s="636" t="s">
        <v>604</v>
      </c>
      <c r="C142" s="637" t="s">
        <v>1478</v>
      </c>
      <c r="D142" s="495"/>
      <c r="E142" s="496" t="s">
        <v>242</v>
      </c>
      <c r="F142" s="496"/>
      <c r="G142" s="496"/>
      <c r="H142" s="496"/>
      <c r="I142" s="496"/>
      <c r="J142" s="496"/>
      <c r="K142" s="496" t="s">
        <v>195</v>
      </c>
      <c r="L142" s="496">
        <v>7</v>
      </c>
      <c r="M142" s="496" t="s">
        <v>383</v>
      </c>
      <c r="N142" s="496">
        <f t="shared" si="29"/>
        <v>4200</v>
      </c>
      <c r="O142" s="496"/>
      <c r="P142" s="496"/>
      <c r="Q142" s="496"/>
      <c r="R142" s="496"/>
      <c r="S142" s="512">
        <v>4200</v>
      </c>
      <c r="T142" s="512"/>
      <c r="U142" s="512"/>
      <c r="V142" s="512"/>
      <c r="W142" s="512"/>
      <c r="X142" s="512"/>
      <c r="Y142" s="496"/>
      <c r="Z142" s="496"/>
    </row>
    <row r="143" spans="1:26" ht="15" customHeight="1" outlineLevel="1" x14ac:dyDescent="0.25">
      <c r="A143" s="494" t="s">
        <v>2242</v>
      </c>
      <c r="B143" s="636" t="s">
        <v>140</v>
      </c>
      <c r="C143" s="637" t="s">
        <v>1479</v>
      </c>
      <c r="D143" s="495"/>
      <c r="E143" s="496" t="s">
        <v>242</v>
      </c>
      <c r="F143" s="496"/>
      <c r="G143" s="496"/>
      <c r="H143" s="496"/>
      <c r="I143" s="496"/>
      <c r="J143" s="496"/>
      <c r="K143" s="496" t="s">
        <v>195</v>
      </c>
      <c r="L143" s="496">
        <v>3</v>
      </c>
      <c r="M143" s="496"/>
      <c r="N143" s="496">
        <f>SUM(O143:Z143)</f>
        <v>360000</v>
      </c>
      <c r="O143" s="496"/>
      <c r="P143" s="496"/>
      <c r="Q143" s="496"/>
      <c r="R143" s="496"/>
      <c r="S143" s="512">
        <v>120000</v>
      </c>
      <c r="T143" s="512">
        <v>120000</v>
      </c>
      <c r="U143" s="512">
        <v>120000</v>
      </c>
      <c r="V143" s="512"/>
      <c r="W143" s="512"/>
      <c r="X143" s="512"/>
      <c r="Y143" s="496"/>
      <c r="Z143" s="496"/>
    </row>
    <row r="144" spans="1:26" ht="15" customHeight="1" outlineLevel="1" x14ac:dyDescent="0.25">
      <c r="A144" s="494" t="s">
        <v>2244</v>
      </c>
      <c r="B144" s="636" t="s">
        <v>140</v>
      </c>
      <c r="C144" s="637" t="s">
        <v>1480</v>
      </c>
      <c r="D144" s="495"/>
      <c r="E144" s="496" t="s">
        <v>242</v>
      </c>
      <c r="F144" s="496"/>
      <c r="G144" s="496"/>
      <c r="H144" s="496"/>
      <c r="I144" s="496"/>
      <c r="J144" s="496"/>
      <c r="K144" s="496" t="s">
        <v>42</v>
      </c>
      <c r="L144" s="496">
        <v>3</v>
      </c>
      <c r="M144" s="496"/>
      <c r="N144" s="496">
        <f>SUM(O144:Z144)</f>
        <v>913380</v>
      </c>
      <c r="O144" s="912">
        <v>0</v>
      </c>
      <c r="P144" s="579">
        <v>152230</v>
      </c>
      <c r="Q144" s="496">
        <v>304460</v>
      </c>
      <c r="R144" s="912">
        <v>456690</v>
      </c>
      <c r="S144" s="512"/>
      <c r="T144" s="512"/>
      <c r="U144" s="512"/>
      <c r="V144" s="512"/>
      <c r="W144" s="512"/>
      <c r="X144" s="512"/>
      <c r="Y144" s="496"/>
      <c r="Z144" s="496"/>
    </row>
    <row r="145" spans="1:27" ht="21" customHeight="1" outlineLevel="1" x14ac:dyDescent="0.25">
      <c r="A145" s="494"/>
      <c r="B145" s="494"/>
      <c r="C145" s="494"/>
      <c r="D145" s="603"/>
      <c r="E145" s="496"/>
      <c r="F145" s="496"/>
      <c r="G145" s="518"/>
      <c r="H145" s="496"/>
      <c r="I145" s="496"/>
      <c r="J145" s="496"/>
      <c r="K145" s="519" t="s">
        <v>20</v>
      </c>
      <c r="L145" s="404">
        <f>SUM(L113:L144)</f>
        <v>159</v>
      </c>
      <c r="M145" s="404">
        <f>SUM(M113:M142)</f>
        <v>0</v>
      </c>
      <c r="N145" s="404">
        <f>SUM(N113:N144)</f>
        <v>5374210.1428571427</v>
      </c>
      <c r="O145" s="404">
        <f>SUM(O113:O144)</f>
        <v>25200</v>
      </c>
      <c r="P145" s="404">
        <f t="shared" ref="P145:Z145" si="30">SUM(P113:P144)</f>
        <v>559772.85714285716</v>
      </c>
      <c r="Q145" s="404">
        <f t="shared" si="30"/>
        <v>1115452.8571428573</v>
      </c>
      <c r="R145" s="404">
        <f t="shared" si="30"/>
        <v>1707683</v>
      </c>
      <c r="S145" s="404">
        <f t="shared" si="30"/>
        <v>347326.19047619047</v>
      </c>
      <c r="T145" s="404">
        <f t="shared" si="30"/>
        <v>746649.52380952379</v>
      </c>
      <c r="U145" s="404">
        <f t="shared" si="30"/>
        <v>721482.85714285716</v>
      </c>
      <c r="V145" s="404">
        <f t="shared" si="30"/>
        <v>150642.85714285716</v>
      </c>
      <c r="W145" s="404">
        <f t="shared" si="30"/>
        <v>0</v>
      </c>
      <c r="X145" s="404">
        <f t="shared" si="30"/>
        <v>0</v>
      </c>
      <c r="Y145" s="404">
        <f t="shared" si="30"/>
        <v>0</v>
      </c>
      <c r="Z145" s="404">
        <f t="shared" si="30"/>
        <v>0</v>
      </c>
      <c r="AA145" s="517"/>
    </row>
    <row r="146" spans="1:27" ht="18.75" outlineLevel="1" x14ac:dyDescent="0.25">
      <c r="A146" s="505" t="str">
        <f>CONCATENATE(B23," ",C23)</f>
        <v xml:space="preserve">Mine Resource Modelling </v>
      </c>
      <c r="B146" s="505"/>
      <c r="C146" s="506"/>
      <c r="D146" s="506"/>
      <c r="E146" s="507"/>
      <c r="F146" s="507"/>
      <c r="G146" s="507"/>
      <c r="H146" s="507"/>
      <c r="I146" s="507"/>
      <c r="J146" s="507"/>
      <c r="K146" s="507"/>
      <c r="L146" s="507"/>
      <c r="M146" s="507"/>
      <c r="N146" s="507"/>
      <c r="O146" s="507" t="s">
        <v>5</v>
      </c>
      <c r="P146" s="507"/>
      <c r="Q146" s="507"/>
      <c r="R146" s="507"/>
      <c r="S146" s="507"/>
      <c r="T146" s="507"/>
      <c r="U146" s="507"/>
      <c r="V146" s="507"/>
      <c r="W146" s="507"/>
      <c r="X146" s="507"/>
      <c r="Y146" s="507"/>
      <c r="Z146" s="507"/>
    </row>
    <row r="147" spans="1:27" ht="41.45" customHeight="1" outlineLevel="1" x14ac:dyDescent="0.25">
      <c r="A147" s="492" t="s">
        <v>261</v>
      </c>
      <c r="B147" s="492" t="s">
        <v>13</v>
      </c>
      <c r="C147" s="492" t="s">
        <v>14</v>
      </c>
      <c r="D147" s="509" t="s">
        <v>286</v>
      </c>
      <c r="E147" s="404" t="s">
        <v>16</v>
      </c>
      <c r="F147" s="404" t="s">
        <v>295</v>
      </c>
      <c r="G147" s="404" t="s">
        <v>39</v>
      </c>
      <c r="H147" s="404" t="s">
        <v>297</v>
      </c>
      <c r="I147" s="404" t="s">
        <v>298</v>
      </c>
      <c r="J147" s="404" t="s">
        <v>299</v>
      </c>
      <c r="K147" s="404" t="s">
        <v>300</v>
      </c>
      <c r="L147" s="404" t="s">
        <v>17</v>
      </c>
      <c r="M147" s="404" t="s">
        <v>18</v>
      </c>
      <c r="N147" s="404" t="s">
        <v>19</v>
      </c>
      <c r="O147" s="493">
        <v>43101</v>
      </c>
      <c r="P147" s="493">
        <v>43132</v>
      </c>
      <c r="Q147" s="493">
        <v>43160</v>
      </c>
      <c r="R147" s="493">
        <v>43191</v>
      </c>
      <c r="S147" s="493">
        <v>43221</v>
      </c>
      <c r="T147" s="493">
        <v>43252</v>
      </c>
      <c r="U147" s="493">
        <v>43282</v>
      </c>
      <c r="V147" s="493">
        <v>43313</v>
      </c>
      <c r="W147" s="493">
        <v>43344</v>
      </c>
      <c r="X147" s="493">
        <v>43374</v>
      </c>
      <c r="Y147" s="493">
        <v>43405</v>
      </c>
      <c r="Z147" s="493">
        <v>43435</v>
      </c>
    </row>
    <row r="148" spans="1:27" ht="15" customHeight="1" outlineLevel="1" x14ac:dyDescent="0.25">
      <c r="A148" s="494" t="s">
        <v>2246</v>
      </c>
      <c r="B148" s="494" t="s">
        <v>606</v>
      </c>
      <c r="C148" s="494" t="s">
        <v>607</v>
      </c>
      <c r="D148" s="603"/>
      <c r="E148" s="496" t="s">
        <v>242</v>
      </c>
      <c r="F148" s="496"/>
      <c r="G148" s="496"/>
      <c r="H148" s="496"/>
      <c r="I148" s="496"/>
      <c r="J148" s="496"/>
      <c r="K148" s="496" t="s">
        <v>42</v>
      </c>
      <c r="L148" s="496">
        <v>1</v>
      </c>
      <c r="M148" s="496" t="s">
        <v>383</v>
      </c>
      <c r="N148" s="496">
        <f t="shared" ref="N148:N150" si="31">SUM(O148:Z148)</f>
        <v>60700</v>
      </c>
      <c r="O148" s="912">
        <v>0</v>
      </c>
      <c r="P148" s="496">
        <v>20233.333333333332</v>
      </c>
      <c r="Q148" s="496">
        <v>20233.333333333332</v>
      </c>
      <c r="R148" s="912">
        <v>20233.333333333332</v>
      </c>
      <c r="S148" s="496"/>
      <c r="T148" s="496"/>
      <c r="U148" s="496"/>
      <c r="V148" s="496"/>
      <c r="W148" s="496"/>
      <c r="X148" s="496"/>
      <c r="Y148" s="496"/>
      <c r="Z148" s="496"/>
    </row>
    <row r="149" spans="1:27" ht="15" customHeight="1" outlineLevel="1" x14ac:dyDescent="0.25">
      <c r="A149" s="494" t="s">
        <v>2247</v>
      </c>
      <c r="B149" s="494" t="s">
        <v>608</v>
      </c>
      <c r="C149" s="494" t="s">
        <v>609</v>
      </c>
      <c r="D149" s="603"/>
      <c r="E149" s="496" t="s">
        <v>242</v>
      </c>
      <c r="F149" s="496"/>
      <c r="G149" s="496"/>
      <c r="H149" s="496"/>
      <c r="I149" s="496"/>
      <c r="J149" s="496"/>
      <c r="K149" s="496" t="s">
        <v>42</v>
      </c>
      <c r="L149" s="496">
        <v>1</v>
      </c>
      <c r="M149" s="496" t="s">
        <v>383</v>
      </c>
      <c r="N149" s="496">
        <f t="shared" si="31"/>
        <v>60700</v>
      </c>
      <c r="O149" s="912">
        <v>0</v>
      </c>
      <c r="P149" s="496">
        <v>20233.333333333332</v>
      </c>
      <c r="Q149" s="496">
        <v>20233.333333333332</v>
      </c>
      <c r="R149" s="912">
        <v>20233.333333333332</v>
      </c>
      <c r="S149" s="496"/>
      <c r="T149" s="496"/>
      <c r="U149" s="496"/>
      <c r="V149" s="496"/>
      <c r="W149" s="496"/>
      <c r="X149" s="496"/>
      <c r="Y149" s="496"/>
      <c r="Z149" s="496"/>
    </row>
    <row r="150" spans="1:27" ht="15" customHeight="1" outlineLevel="1" x14ac:dyDescent="0.25">
      <c r="A150" s="494" t="s">
        <v>2254</v>
      </c>
      <c r="B150" s="494" t="s">
        <v>1615</v>
      </c>
      <c r="C150" s="494"/>
      <c r="D150" s="777"/>
      <c r="E150" s="496"/>
      <c r="F150" s="496"/>
      <c r="G150" s="497" t="s">
        <v>2475</v>
      </c>
      <c r="H150" s="496"/>
      <c r="I150" s="496"/>
      <c r="J150" s="496"/>
      <c r="K150" s="497"/>
      <c r="L150" s="496"/>
      <c r="M150" s="496"/>
      <c r="N150" s="496">
        <f t="shared" si="31"/>
        <v>426000</v>
      </c>
      <c r="O150" s="912">
        <v>0</v>
      </c>
      <c r="P150" s="912">
        <v>71000</v>
      </c>
      <c r="Q150" s="496">
        <f t="shared" ref="P150:Z150" si="32">426000/12</f>
        <v>35500</v>
      </c>
      <c r="R150" s="496">
        <f t="shared" si="32"/>
        <v>35500</v>
      </c>
      <c r="S150" s="496">
        <f t="shared" si="32"/>
        <v>35500</v>
      </c>
      <c r="T150" s="496">
        <f t="shared" si="32"/>
        <v>35500</v>
      </c>
      <c r="U150" s="496">
        <f t="shared" si="32"/>
        <v>35500</v>
      </c>
      <c r="V150" s="496">
        <f t="shared" si="32"/>
        <v>35500</v>
      </c>
      <c r="W150" s="496">
        <f t="shared" si="32"/>
        <v>35500</v>
      </c>
      <c r="X150" s="496">
        <f t="shared" si="32"/>
        <v>35500</v>
      </c>
      <c r="Y150" s="496">
        <f t="shared" si="32"/>
        <v>35500</v>
      </c>
      <c r="Z150" s="496">
        <f t="shared" si="32"/>
        <v>35500</v>
      </c>
    </row>
    <row r="151" spans="1:27" ht="21" customHeight="1" outlineLevel="1" x14ac:dyDescent="0.25">
      <c r="A151" s="494"/>
      <c r="B151" s="494"/>
      <c r="C151" s="494"/>
      <c r="D151" s="603"/>
      <c r="E151" s="496"/>
      <c r="F151" s="496"/>
      <c r="G151" s="518"/>
      <c r="H151" s="496"/>
      <c r="I151" s="496"/>
      <c r="J151" s="496"/>
      <c r="K151" s="519" t="s">
        <v>20</v>
      </c>
      <c r="L151" s="404">
        <f>SUM(L148:L149)</f>
        <v>2</v>
      </c>
      <c r="M151" s="404">
        <f t="shared" ref="M151" si="33">SUM(M148:M149)</f>
        <v>0</v>
      </c>
      <c r="N151" s="404">
        <f>SUM(N148:N150)</f>
        <v>547400</v>
      </c>
      <c r="O151" s="404">
        <f t="shared" ref="O151:Z151" si="34">SUM(O148:O150)</f>
        <v>0</v>
      </c>
      <c r="P151" s="404">
        <f t="shared" si="34"/>
        <v>111466.66666666666</v>
      </c>
      <c r="Q151" s="404">
        <f t="shared" si="34"/>
        <v>75966.666666666657</v>
      </c>
      <c r="R151" s="404">
        <f t="shared" si="34"/>
        <v>75966.666666666657</v>
      </c>
      <c r="S151" s="404">
        <f t="shared" si="34"/>
        <v>35500</v>
      </c>
      <c r="T151" s="404">
        <f t="shared" si="34"/>
        <v>35500</v>
      </c>
      <c r="U151" s="404">
        <f t="shared" si="34"/>
        <v>35500</v>
      </c>
      <c r="V151" s="404">
        <f t="shared" si="34"/>
        <v>35500</v>
      </c>
      <c r="W151" s="404">
        <f t="shared" si="34"/>
        <v>35500</v>
      </c>
      <c r="X151" s="404">
        <f t="shared" si="34"/>
        <v>35500</v>
      </c>
      <c r="Y151" s="404">
        <f t="shared" si="34"/>
        <v>35500</v>
      </c>
      <c r="Z151" s="404">
        <f t="shared" si="34"/>
        <v>35500</v>
      </c>
      <c r="AA151" s="517"/>
    </row>
    <row r="152" spans="1:27" ht="18.75" outlineLevel="1" x14ac:dyDescent="0.25">
      <c r="A152" s="505" t="str">
        <f>CONCATENATE(B24," ",C24)</f>
        <v xml:space="preserve">Feasability Resource Updates </v>
      </c>
      <c r="B152" s="505"/>
      <c r="C152" s="506"/>
      <c r="D152" s="506"/>
      <c r="E152" s="507"/>
      <c r="F152" s="507"/>
      <c r="G152" s="507"/>
      <c r="H152" s="507"/>
      <c r="I152" s="507"/>
      <c r="J152" s="507"/>
      <c r="K152" s="507"/>
      <c r="L152" s="507"/>
      <c r="M152" s="507"/>
      <c r="N152" s="507"/>
      <c r="O152" s="507" t="s">
        <v>5</v>
      </c>
      <c r="P152" s="507"/>
      <c r="Q152" s="507"/>
      <c r="R152" s="507"/>
      <c r="S152" s="507"/>
      <c r="T152" s="507"/>
      <c r="U152" s="507"/>
      <c r="V152" s="507"/>
      <c r="W152" s="507"/>
      <c r="X152" s="507"/>
      <c r="Y152" s="507"/>
      <c r="Z152" s="507"/>
    </row>
    <row r="153" spans="1:27" ht="41.45" customHeight="1" outlineLevel="1" x14ac:dyDescent="0.25">
      <c r="A153" s="492" t="s">
        <v>261</v>
      </c>
      <c r="B153" s="492" t="s">
        <v>13</v>
      </c>
      <c r="C153" s="492" t="s">
        <v>14</v>
      </c>
      <c r="D153" s="509" t="s">
        <v>286</v>
      </c>
      <c r="E153" s="404" t="s">
        <v>16</v>
      </c>
      <c r="F153" s="404" t="s">
        <v>295</v>
      </c>
      <c r="G153" s="404" t="s">
        <v>39</v>
      </c>
      <c r="H153" s="404" t="s">
        <v>297</v>
      </c>
      <c r="I153" s="404" t="s">
        <v>298</v>
      </c>
      <c r="J153" s="404" t="s">
        <v>299</v>
      </c>
      <c r="K153" s="404" t="s">
        <v>300</v>
      </c>
      <c r="L153" s="404" t="s">
        <v>17</v>
      </c>
      <c r="M153" s="404" t="s">
        <v>18</v>
      </c>
      <c r="N153" s="404" t="s">
        <v>19</v>
      </c>
      <c r="O153" s="493">
        <v>43101</v>
      </c>
      <c r="P153" s="493">
        <v>43132</v>
      </c>
      <c r="Q153" s="493">
        <v>43160</v>
      </c>
      <c r="R153" s="493">
        <v>43191</v>
      </c>
      <c r="S153" s="493">
        <v>43221</v>
      </c>
      <c r="T153" s="493">
        <v>43252</v>
      </c>
      <c r="U153" s="493">
        <v>43282</v>
      </c>
      <c r="V153" s="493">
        <v>43313</v>
      </c>
      <c r="W153" s="493">
        <v>43344</v>
      </c>
      <c r="X153" s="493">
        <v>43374</v>
      </c>
      <c r="Y153" s="493">
        <v>43405</v>
      </c>
      <c r="Z153" s="493">
        <v>43435</v>
      </c>
    </row>
    <row r="154" spans="1:27" ht="15" customHeight="1" outlineLevel="1" x14ac:dyDescent="0.25">
      <c r="A154" s="494" t="s">
        <v>2248</v>
      </c>
      <c r="B154" s="494" t="s">
        <v>610</v>
      </c>
      <c r="C154" s="494" t="s">
        <v>611</v>
      </c>
      <c r="D154" s="603"/>
      <c r="E154" s="496" t="s">
        <v>242</v>
      </c>
      <c r="F154" s="496"/>
      <c r="G154" s="496"/>
      <c r="H154" s="496"/>
      <c r="I154" s="496"/>
      <c r="J154" s="496"/>
      <c r="K154" s="496" t="s">
        <v>42</v>
      </c>
      <c r="L154" s="496">
        <v>5</v>
      </c>
      <c r="M154" s="496" t="s">
        <v>383</v>
      </c>
      <c r="N154" s="496">
        <f t="shared" ref="N154" si="35">SUM(O154:Z154)</f>
        <v>147500</v>
      </c>
      <c r="O154" s="912">
        <v>0</v>
      </c>
      <c r="P154" s="496">
        <v>29500</v>
      </c>
      <c r="Q154" s="496">
        <v>29500</v>
      </c>
      <c r="R154" s="496">
        <v>29500</v>
      </c>
      <c r="S154" s="496">
        <v>29500</v>
      </c>
      <c r="T154" s="912">
        <v>29500</v>
      </c>
      <c r="U154" s="496"/>
      <c r="V154" s="496"/>
      <c r="W154" s="496"/>
      <c r="X154" s="496"/>
      <c r="Y154" s="496"/>
      <c r="Z154" s="496"/>
    </row>
    <row r="155" spans="1:27" ht="21" customHeight="1" outlineLevel="1" x14ac:dyDescent="0.25">
      <c r="A155" s="494"/>
      <c r="B155" s="494"/>
      <c r="C155" s="494"/>
      <c r="D155" s="603"/>
      <c r="E155" s="496"/>
      <c r="F155" s="496"/>
      <c r="G155" s="518"/>
      <c r="H155" s="496"/>
      <c r="I155" s="496"/>
      <c r="J155" s="496"/>
      <c r="K155" s="519" t="s">
        <v>20</v>
      </c>
      <c r="L155" s="404">
        <f>SUM(L154)</f>
        <v>5</v>
      </c>
      <c r="M155" s="404">
        <f t="shared" ref="M155:Z155" si="36">SUM(M154)</f>
        <v>0</v>
      </c>
      <c r="N155" s="404">
        <f t="shared" si="36"/>
        <v>147500</v>
      </c>
      <c r="O155" s="404">
        <f t="shared" si="36"/>
        <v>0</v>
      </c>
      <c r="P155" s="404">
        <f t="shared" si="36"/>
        <v>29500</v>
      </c>
      <c r="Q155" s="404">
        <f t="shared" si="36"/>
        <v>29500</v>
      </c>
      <c r="R155" s="404">
        <f t="shared" si="36"/>
        <v>29500</v>
      </c>
      <c r="S155" s="404">
        <f t="shared" si="36"/>
        <v>29500</v>
      </c>
      <c r="T155" s="404">
        <f t="shared" si="36"/>
        <v>29500</v>
      </c>
      <c r="U155" s="404">
        <f t="shared" si="36"/>
        <v>0</v>
      </c>
      <c r="V155" s="404">
        <f t="shared" si="36"/>
        <v>0</v>
      </c>
      <c r="W155" s="404">
        <f t="shared" si="36"/>
        <v>0</v>
      </c>
      <c r="X155" s="404">
        <f t="shared" si="36"/>
        <v>0</v>
      </c>
      <c r="Y155" s="404">
        <f t="shared" si="36"/>
        <v>0</v>
      </c>
      <c r="Z155" s="404">
        <f t="shared" si="36"/>
        <v>0</v>
      </c>
      <c r="AA155" s="517"/>
    </row>
    <row r="156" spans="1:27" ht="18.75" outlineLevel="1" x14ac:dyDescent="0.25">
      <c r="A156" s="505" t="str">
        <f>CONCATENATE(B25," ",C25)</f>
        <v xml:space="preserve">Classification Harmonization </v>
      </c>
      <c r="B156" s="505"/>
      <c r="C156" s="506"/>
      <c r="D156" s="506"/>
      <c r="E156" s="507"/>
      <c r="F156" s="507"/>
      <c r="G156" s="507"/>
      <c r="H156" s="507"/>
      <c r="I156" s="507"/>
      <c r="J156" s="507"/>
      <c r="K156" s="507"/>
      <c r="L156" s="507"/>
      <c r="M156" s="507"/>
      <c r="N156" s="507"/>
      <c r="O156" s="507" t="s">
        <v>5</v>
      </c>
      <c r="P156" s="507"/>
      <c r="Q156" s="507"/>
      <c r="R156" s="507"/>
      <c r="S156" s="507"/>
      <c r="T156" s="507"/>
      <c r="U156" s="507"/>
      <c r="V156" s="507"/>
      <c r="W156" s="507"/>
      <c r="X156" s="507"/>
      <c r="Y156" s="507"/>
      <c r="Z156" s="507"/>
    </row>
    <row r="157" spans="1:27" ht="41.45" customHeight="1" outlineLevel="1" x14ac:dyDescent="0.25">
      <c r="A157" s="492" t="s">
        <v>261</v>
      </c>
      <c r="B157" s="492" t="s">
        <v>13</v>
      </c>
      <c r="C157" s="492" t="s">
        <v>14</v>
      </c>
      <c r="D157" s="509" t="s">
        <v>286</v>
      </c>
      <c r="E157" s="404" t="s">
        <v>16</v>
      </c>
      <c r="F157" s="404" t="s">
        <v>295</v>
      </c>
      <c r="G157" s="404" t="s">
        <v>39</v>
      </c>
      <c r="H157" s="404" t="s">
        <v>297</v>
      </c>
      <c r="I157" s="404" t="s">
        <v>298</v>
      </c>
      <c r="J157" s="404" t="s">
        <v>299</v>
      </c>
      <c r="K157" s="404" t="s">
        <v>300</v>
      </c>
      <c r="L157" s="404" t="s">
        <v>17</v>
      </c>
      <c r="M157" s="404" t="s">
        <v>18</v>
      </c>
      <c r="N157" s="404" t="s">
        <v>19</v>
      </c>
      <c r="O157" s="493">
        <v>43101</v>
      </c>
      <c r="P157" s="493">
        <v>43132</v>
      </c>
      <c r="Q157" s="493">
        <v>43160</v>
      </c>
      <c r="R157" s="493">
        <v>43191</v>
      </c>
      <c r="S157" s="493">
        <v>43221</v>
      </c>
      <c r="T157" s="493">
        <v>43252</v>
      </c>
      <c r="U157" s="493">
        <v>43282</v>
      </c>
      <c r="V157" s="493">
        <v>43313</v>
      </c>
      <c r="W157" s="493">
        <v>43344</v>
      </c>
      <c r="X157" s="493">
        <v>43374</v>
      </c>
      <c r="Y157" s="493">
        <v>43405</v>
      </c>
      <c r="Z157" s="493">
        <v>43435</v>
      </c>
    </row>
    <row r="158" spans="1:27" ht="15" customHeight="1" outlineLevel="1" x14ac:dyDescent="0.25">
      <c r="A158" s="494" t="s">
        <v>2249</v>
      </c>
      <c r="B158" s="494" t="s">
        <v>611</v>
      </c>
      <c r="C158" s="494"/>
      <c r="D158" s="603"/>
      <c r="E158" s="496" t="s">
        <v>242</v>
      </c>
      <c r="F158" s="496"/>
      <c r="G158" s="496"/>
      <c r="H158" s="496"/>
      <c r="I158" s="496"/>
      <c r="J158" s="496"/>
      <c r="K158" s="496" t="s">
        <v>45</v>
      </c>
      <c r="L158" s="496">
        <v>3</v>
      </c>
      <c r="M158" s="496" t="s">
        <v>383</v>
      </c>
      <c r="N158" s="496">
        <f t="shared" ref="N158:N159" si="37">SUM(O158:Z158)</f>
        <v>77500</v>
      </c>
      <c r="O158" s="496"/>
      <c r="P158" s="496"/>
      <c r="Q158" s="496"/>
      <c r="R158" s="912">
        <v>25833.333333333332</v>
      </c>
      <c r="S158" s="912">
        <v>25833.333333333332</v>
      </c>
      <c r="T158" s="912">
        <v>25833.333333333332</v>
      </c>
      <c r="U158" s="496"/>
      <c r="V158" s="496"/>
      <c r="W158" s="496"/>
      <c r="X158" s="496"/>
      <c r="Y158" s="496"/>
      <c r="Z158" s="496"/>
    </row>
    <row r="159" spans="1:27" ht="15" customHeight="1" outlineLevel="1" x14ac:dyDescent="0.25">
      <c r="A159" s="494" t="s">
        <v>2250</v>
      </c>
      <c r="B159" s="494" t="s">
        <v>381</v>
      </c>
      <c r="C159" s="494"/>
      <c r="D159" s="603"/>
      <c r="E159" s="496" t="s">
        <v>242</v>
      </c>
      <c r="F159" s="496"/>
      <c r="G159" s="496"/>
      <c r="H159" s="496"/>
      <c r="I159" s="496"/>
      <c r="J159" s="496"/>
      <c r="K159" s="496" t="s">
        <v>45</v>
      </c>
      <c r="L159" s="496">
        <v>3</v>
      </c>
      <c r="M159" s="496" t="s">
        <v>383</v>
      </c>
      <c r="N159" s="496">
        <f t="shared" si="37"/>
        <v>77500</v>
      </c>
      <c r="O159" s="496"/>
      <c r="P159" s="496"/>
      <c r="Q159" s="496"/>
      <c r="R159" s="912">
        <v>25833.333333333332</v>
      </c>
      <c r="S159" s="912">
        <v>25833.333333333332</v>
      </c>
      <c r="T159" s="912">
        <v>25833.333333333332</v>
      </c>
      <c r="U159" s="496"/>
      <c r="V159" s="496"/>
      <c r="W159" s="496"/>
      <c r="X159" s="496"/>
      <c r="Y159" s="496"/>
      <c r="Z159" s="496"/>
    </row>
    <row r="160" spans="1:27" ht="21" customHeight="1" outlineLevel="1" x14ac:dyDescent="0.25">
      <c r="A160" s="494"/>
      <c r="B160" s="494"/>
      <c r="C160" s="494"/>
      <c r="D160" s="603"/>
      <c r="E160" s="496"/>
      <c r="F160" s="496"/>
      <c r="G160" s="518"/>
      <c r="H160" s="496"/>
      <c r="I160" s="496"/>
      <c r="J160" s="496"/>
      <c r="K160" s="519" t="s">
        <v>20</v>
      </c>
      <c r="L160" s="404">
        <f>SUM(L158:L159)</f>
        <v>6</v>
      </c>
      <c r="M160" s="404">
        <f t="shared" ref="M160:Z160" si="38">SUM(M158:M159)</f>
        <v>0</v>
      </c>
      <c r="N160" s="404">
        <f t="shared" si="38"/>
        <v>155000</v>
      </c>
      <c r="O160" s="404">
        <f t="shared" si="38"/>
        <v>0</v>
      </c>
      <c r="P160" s="404">
        <f t="shared" si="38"/>
        <v>0</v>
      </c>
      <c r="Q160" s="404">
        <f t="shared" si="38"/>
        <v>0</v>
      </c>
      <c r="R160" s="404">
        <f t="shared" si="38"/>
        <v>51666.666666666664</v>
      </c>
      <c r="S160" s="404">
        <f t="shared" si="38"/>
        <v>51666.666666666664</v>
      </c>
      <c r="T160" s="404">
        <f t="shared" si="38"/>
        <v>51666.666666666664</v>
      </c>
      <c r="U160" s="404">
        <f t="shared" si="38"/>
        <v>0</v>
      </c>
      <c r="V160" s="404">
        <f t="shared" si="38"/>
        <v>0</v>
      </c>
      <c r="W160" s="404">
        <f t="shared" si="38"/>
        <v>0</v>
      </c>
      <c r="X160" s="404">
        <f t="shared" si="38"/>
        <v>0</v>
      </c>
      <c r="Y160" s="404">
        <f t="shared" si="38"/>
        <v>0</v>
      </c>
      <c r="Z160" s="404">
        <f t="shared" si="38"/>
        <v>0</v>
      </c>
      <c r="AA160" s="517"/>
    </row>
    <row r="161" spans="1:27" ht="18.75" outlineLevel="1" x14ac:dyDescent="0.25">
      <c r="A161" s="505" t="str">
        <f>CONCATENATE(B26," ",C26)</f>
        <v xml:space="preserve">FS Reporting </v>
      </c>
      <c r="B161" s="505"/>
      <c r="C161" s="506"/>
      <c r="D161" s="506"/>
      <c r="E161" s="507"/>
      <c r="F161" s="507"/>
      <c r="G161" s="507"/>
      <c r="H161" s="507"/>
      <c r="I161" s="507"/>
      <c r="J161" s="507"/>
      <c r="K161" s="507"/>
      <c r="L161" s="507"/>
      <c r="M161" s="507"/>
      <c r="N161" s="507"/>
      <c r="O161" s="507" t="s">
        <v>5</v>
      </c>
      <c r="P161" s="507"/>
      <c r="Q161" s="507"/>
      <c r="R161" s="507"/>
      <c r="S161" s="507"/>
      <c r="T161" s="507"/>
      <c r="U161" s="507"/>
      <c r="V161" s="507"/>
      <c r="W161" s="507"/>
      <c r="X161" s="507"/>
      <c r="Y161" s="507"/>
      <c r="Z161" s="507"/>
    </row>
    <row r="162" spans="1:27" ht="15" customHeight="1" outlineLevel="1" x14ac:dyDescent="0.25">
      <c r="A162" s="494" t="s">
        <v>2251</v>
      </c>
      <c r="B162" s="494" t="s">
        <v>612</v>
      </c>
      <c r="C162" s="494"/>
      <c r="D162" s="603"/>
      <c r="E162" s="496" t="s">
        <v>242</v>
      </c>
      <c r="F162" s="496"/>
      <c r="G162" s="496"/>
      <c r="H162" s="496"/>
      <c r="I162" s="496"/>
      <c r="J162" s="496"/>
      <c r="K162" s="496"/>
      <c r="L162" s="496">
        <v>4</v>
      </c>
      <c r="M162" s="496" t="s">
        <v>383</v>
      </c>
      <c r="N162" s="496">
        <f t="shared" ref="N162:N164" si="39">SUM(O162:Z162)</f>
        <v>36400</v>
      </c>
      <c r="O162" s="496"/>
      <c r="P162" s="496"/>
      <c r="Q162" s="496"/>
      <c r="R162" s="496"/>
      <c r="S162" s="496"/>
      <c r="T162" s="496"/>
      <c r="U162" s="496"/>
      <c r="V162" s="496"/>
      <c r="W162" s="496">
        <v>9100</v>
      </c>
      <c r="X162" s="496">
        <v>9100</v>
      </c>
      <c r="Y162" s="496">
        <v>9100</v>
      </c>
      <c r="Z162" s="496">
        <v>9100</v>
      </c>
    </row>
    <row r="163" spans="1:27" ht="15" customHeight="1" outlineLevel="1" x14ac:dyDescent="0.25">
      <c r="A163" s="494" t="s">
        <v>2252</v>
      </c>
      <c r="B163" s="494" t="s">
        <v>613</v>
      </c>
      <c r="C163" s="494"/>
      <c r="D163" s="603"/>
      <c r="E163" s="496" t="s">
        <v>242</v>
      </c>
      <c r="F163" s="496"/>
      <c r="G163" s="496"/>
      <c r="H163" s="496"/>
      <c r="I163" s="496"/>
      <c r="J163" s="496"/>
      <c r="K163" s="496"/>
      <c r="L163" s="496">
        <v>4</v>
      </c>
      <c r="M163" s="496" t="s">
        <v>383</v>
      </c>
      <c r="N163" s="496">
        <f t="shared" si="39"/>
        <v>36400</v>
      </c>
      <c r="O163" s="496"/>
      <c r="P163" s="496"/>
      <c r="Q163" s="496"/>
      <c r="R163" s="496"/>
      <c r="S163" s="496"/>
      <c r="T163" s="496"/>
      <c r="U163" s="496"/>
      <c r="V163" s="496"/>
      <c r="W163" s="496">
        <v>9100</v>
      </c>
      <c r="X163" s="496">
        <v>9100</v>
      </c>
      <c r="Y163" s="496">
        <v>9100</v>
      </c>
      <c r="Z163" s="496">
        <v>9100</v>
      </c>
    </row>
    <row r="164" spans="1:27" ht="15" customHeight="1" outlineLevel="1" x14ac:dyDescent="0.25">
      <c r="A164" s="494" t="s">
        <v>2253</v>
      </c>
      <c r="B164" s="494" t="s">
        <v>614</v>
      </c>
      <c r="C164" s="494"/>
      <c r="D164" s="603"/>
      <c r="E164" s="496" t="s">
        <v>242</v>
      </c>
      <c r="F164" s="496"/>
      <c r="G164" s="497"/>
      <c r="H164" s="496"/>
      <c r="I164" s="496"/>
      <c r="J164" s="496"/>
      <c r="K164" s="497"/>
      <c r="L164" s="496">
        <v>4</v>
      </c>
      <c r="M164" s="496" t="s">
        <v>383</v>
      </c>
      <c r="N164" s="496">
        <f t="shared" si="39"/>
        <v>36400</v>
      </c>
      <c r="O164" s="496"/>
      <c r="P164" s="496"/>
      <c r="Q164" s="496"/>
      <c r="R164" s="496"/>
      <c r="S164" s="496"/>
      <c r="T164" s="496"/>
      <c r="U164" s="496"/>
      <c r="V164" s="496"/>
      <c r="W164" s="496">
        <v>9100</v>
      </c>
      <c r="X164" s="496">
        <v>9100</v>
      </c>
      <c r="Y164" s="496">
        <v>9100</v>
      </c>
      <c r="Z164" s="496">
        <v>9100</v>
      </c>
    </row>
    <row r="165" spans="1:27" ht="21" customHeight="1" outlineLevel="1" x14ac:dyDescent="0.25">
      <c r="A165" s="494"/>
      <c r="B165" s="494"/>
      <c r="C165" s="494"/>
      <c r="D165" s="603"/>
      <c r="E165" s="496"/>
      <c r="F165" s="496"/>
      <c r="G165" s="518"/>
      <c r="H165" s="496"/>
      <c r="I165" s="496"/>
      <c r="J165" s="496"/>
      <c r="K165" s="519" t="s">
        <v>20</v>
      </c>
      <c r="L165" s="404">
        <f t="shared" ref="L165:Z165" si="40">SUM(L162:L164)</f>
        <v>12</v>
      </c>
      <c r="M165" s="404">
        <f t="shared" si="40"/>
        <v>0</v>
      </c>
      <c r="N165" s="404">
        <f t="shared" si="40"/>
        <v>109200</v>
      </c>
      <c r="O165" s="404">
        <f t="shared" si="40"/>
        <v>0</v>
      </c>
      <c r="P165" s="404">
        <f t="shared" si="40"/>
        <v>0</v>
      </c>
      <c r="Q165" s="404">
        <f t="shared" si="40"/>
        <v>0</v>
      </c>
      <c r="R165" s="404">
        <f t="shared" si="40"/>
        <v>0</v>
      </c>
      <c r="S165" s="404">
        <f t="shared" si="40"/>
        <v>0</v>
      </c>
      <c r="T165" s="404">
        <f t="shared" si="40"/>
        <v>0</v>
      </c>
      <c r="U165" s="404">
        <f t="shared" si="40"/>
        <v>0</v>
      </c>
      <c r="V165" s="404">
        <f t="shared" si="40"/>
        <v>0</v>
      </c>
      <c r="W165" s="404">
        <f t="shared" si="40"/>
        <v>27300</v>
      </c>
      <c r="X165" s="404">
        <f t="shared" si="40"/>
        <v>27300</v>
      </c>
      <c r="Y165" s="404">
        <f t="shared" si="40"/>
        <v>27300</v>
      </c>
      <c r="Z165" s="404">
        <f t="shared" si="40"/>
        <v>27300</v>
      </c>
      <c r="AA165" s="517"/>
    </row>
    <row r="166" spans="1:27" ht="20.45" customHeight="1" x14ac:dyDescent="0.25"/>
    <row r="167" spans="1:27" ht="20.45" customHeight="1" x14ac:dyDescent="0.25">
      <c r="A167" s="489" t="s">
        <v>324</v>
      </c>
      <c r="B167" s="489"/>
      <c r="C167" s="490"/>
      <c r="D167" s="490"/>
      <c r="E167" s="402"/>
      <c r="F167" s="402"/>
      <c r="G167" s="402"/>
      <c r="H167" s="491"/>
      <c r="I167" s="491"/>
      <c r="J167" s="402"/>
      <c r="K167" s="402"/>
      <c r="L167" s="402"/>
      <c r="M167" s="402"/>
      <c r="N167" s="402"/>
      <c r="O167" s="402" t="s">
        <v>5</v>
      </c>
      <c r="P167" s="402"/>
      <c r="Q167" s="402"/>
      <c r="R167" s="402"/>
      <c r="S167" s="402"/>
      <c r="T167" s="402"/>
      <c r="U167" s="402"/>
      <c r="V167" s="402"/>
      <c r="W167" s="402"/>
      <c r="X167" s="402"/>
      <c r="Y167" s="402"/>
      <c r="Z167" s="402"/>
    </row>
    <row r="168" spans="1:27" ht="15.75" outlineLevel="1" x14ac:dyDescent="0.25">
      <c r="A168" s="492" t="s">
        <v>261</v>
      </c>
      <c r="B168" s="492" t="s">
        <v>13</v>
      </c>
      <c r="C168" s="492" t="s">
        <v>14</v>
      </c>
      <c r="D168" s="403" t="s">
        <v>15</v>
      </c>
      <c r="E168" s="520"/>
      <c r="F168" s="520"/>
      <c r="G168" s="520"/>
      <c r="H168" s="520"/>
      <c r="I168" s="520"/>
      <c r="J168" s="410"/>
      <c r="K168" s="409"/>
      <c r="L168" s="404" t="s">
        <v>52</v>
      </c>
      <c r="M168" s="404" t="s">
        <v>53</v>
      </c>
      <c r="N168" s="404" t="s">
        <v>54</v>
      </c>
      <c r="O168" s="493">
        <v>43101</v>
      </c>
      <c r="P168" s="493">
        <v>43132</v>
      </c>
      <c r="Q168" s="493">
        <v>43160</v>
      </c>
      <c r="R168" s="493">
        <v>43191</v>
      </c>
      <c r="S168" s="493">
        <v>43221</v>
      </c>
      <c r="T168" s="493">
        <v>43252</v>
      </c>
      <c r="U168" s="493">
        <v>43282</v>
      </c>
      <c r="V168" s="493">
        <v>43313</v>
      </c>
      <c r="W168" s="493">
        <v>43344</v>
      </c>
      <c r="X168" s="493">
        <v>43374</v>
      </c>
      <c r="Y168" s="493">
        <v>43405</v>
      </c>
      <c r="Z168" s="493">
        <v>43435</v>
      </c>
    </row>
    <row r="169" spans="1:27" ht="15.75" outlineLevel="1" x14ac:dyDescent="0.25">
      <c r="A169" s="494" t="str">
        <f t="shared" ref="A169:C178" si="41">+A17</f>
        <v>6.2.1</v>
      </c>
      <c r="B169" s="494" t="str">
        <f t="shared" si="41"/>
        <v>General &amp; Administrative</v>
      </c>
      <c r="C169" s="494">
        <f t="shared" si="41"/>
        <v>0</v>
      </c>
      <c r="D169" s="508">
        <f t="shared" ref="D169:D178" si="42">D17</f>
        <v>0</v>
      </c>
      <c r="E169" s="520"/>
      <c r="F169" s="520"/>
      <c r="G169" s="520"/>
      <c r="H169" s="520"/>
      <c r="I169" s="520"/>
      <c r="J169" s="410"/>
      <c r="K169" s="409" t="s">
        <v>5</v>
      </c>
      <c r="L169" s="496" t="s">
        <v>42</v>
      </c>
      <c r="M169" s="496" t="s">
        <v>55</v>
      </c>
      <c r="N169" s="496">
        <v>12</v>
      </c>
      <c r="O169" s="521">
        <f t="shared" ref="O169:Z169" si="43">+O17/SUM($O17:$Z17)</f>
        <v>4.0374869848721288E-2</v>
      </c>
      <c r="P169" s="521">
        <f t="shared" si="43"/>
        <v>0.15613370198496179</v>
      </c>
      <c r="Q169" s="521">
        <f t="shared" si="43"/>
        <v>0.15613370198496179</v>
      </c>
      <c r="R169" s="521">
        <f t="shared" si="43"/>
        <v>7.2853966635148482E-2</v>
      </c>
      <c r="S169" s="521">
        <f t="shared" si="43"/>
        <v>7.2853966635148482E-2</v>
      </c>
      <c r="T169" s="521">
        <f t="shared" si="43"/>
        <v>7.2853966635148482E-2</v>
      </c>
      <c r="U169" s="521">
        <f t="shared" si="43"/>
        <v>7.2853966635148482E-2</v>
      </c>
      <c r="V169" s="521">
        <f t="shared" si="43"/>
        <v>7.2853966635148482E-2</v>
      </c>
      <c r="W169" s="521">
        <f t="shared" si="43"/>
        <v>7.2853966635148482E-2</v>
      </c>
      <c r="X169" s="521">
        <f t="shared" si="43"/>
        <v>7.2853966635148482E-2</v>
      </c>
      <c r="Y169" s="521">
        <f t="shared" si="43"/>
        <v>7.2853966635148482E-2</v>
      </c>
      <c r="Z169" s="521">
        <f t="shared" si="43"/>
        <v>6.4525993100167156E-2</v>
      </c>
    </row>
    <row r="170" spans="1:27" ht="15.75" outlineLevel="1" x14ac:dyDescent="0.25">
      <c r="A170" s="494" t="str">
        <f t="shared" si="41"/>
        <v>6.2.2</v>
      </c>
      <c r="B170" s="494" t="str">
        <f t="shared" si="41"/>
        <v>Warehouses</v>
      </c>
      <c r="C170" s="494">
        <f t="shared" si="41"/>
        <v>0</v>
      </c>
      <c r="D170" s="508">
        <f t="shared" si="42"/>
        <v>0</v>
      </c>
      <c r="E170" s="520"/>
      <c r="F170" s="520"/>
      <c r="G170" s="520"/>
      <c r="H170" s="520"/>
      <c r="I170" s="520"/>
      <c r="J170" s="410"/>
      <c r="K170" s="409" t="s">
        <v>5</v>
      </c>
      <c r="L170" s="496" t="s">
        <v>42</v>
      </c>
      <c r="M170" s="496"/>
      <c r="N170" s="496">
        <v>9</v>
      </c>
      <c r="O170" s="521">
        <f t="shared" ref="O170:Z170" si="44">+O18/SUM($O18:$Z18)</f>
        <v>4.8576360330259472E-2</v>
      </c>
      <c r="P170" s="521">
        <f t="shared" si="44"/>
        <v>0.10068651742300595</v>
      </c>
      <c r="Q170" s="521">
        <f t="shared" si="44"/>
        <v>0.10068651742300595</v>
      </c>
      <c r="R170" s="521">
        <f t="shared" si="44"/>
        <v>0.10068651742300595</v>
      </c>
      <c r="S170" s="521">
        <f t="shared" si="44"/>
        <v>0.10068907969256184</v>
      </c>
      <c r="T170" s="521">
        <f t="shared" si="44"/>
        <v>9.0304457409528416E-2</v>
      </c>
      <c r="U170" s="521">
        <f t="shared" si="44"/>
        <v>9.0304457409528416E-2</v>
      </c>
      <c r="V170" s="521">
        <f t="shared" si="44"/>
        <v>9.0304457409528416E-2</v>
      </c>
      <c r="W170" s="521">
        <f t="shared" si="44"/>
        <v>9.0304457409528416E-2</v>
      </c>
      <c r="X170" s="521">
        <f t="shared" si="44"/>
        <v>9.0304457409528416E-2</v>
      </c>
      <c r="Y170" s="521">
        <f t="shared" si="44"/>
        <v>4.8576360330259472E-2</v>
      </c>
      <c r="Z170" s="521">
        <f t="shared" si="44"/>
        <v>4.8576360330259472E-2</v>
      </c>
    </row>
    <row r="171" spans="1:27" ht="15.75" outlineLevel="1" x14ac:dyDescent="0.25">
      <c r="A171" s="494" t="str">
        <f t="shared" si="41"/>
        <v>6.2.3</v>
      </c>
      <c r="B171" s="494" t="str">
        <f t="shared" si="41"/>
        <v>Geoscience</v>
      </c>
      <c r="C171" s="494">
        <f t="shared" si="41"/>
        <v>0</v>
      </c>
      <c r="D171" s="508">
        <f t="shared" si="42"/>
        <v>0</v>
      </c>
      <c r="E171" s="520"/>
      <c r="F171" s="520"/>
      <c r="G171" s="520"/>
      <c r="H171" s="520"/>
      <c r="I171" s="520"/>
      <c r="J171" s="410"/>
      <c r="K171" s="409" t="s">
        <v>5</v>
      </c>
      <c r="L171" s="496" t="s">
        <v>42</v>
      </c>
      <c r="M171" s="496"/>
      <c r="N171" s="496">
        <v>3</v>
      </c>
      <c r="O171" s="521">
        <f t="shared" ref="O171:Z179" si="45">+O19/SUM($O19:$Z19)</f>
        <v>0</v>
      </c>
      <c r="P171" s="521">
        <f t="shared" si="45"/>
        <v>0</v>
      </c>
      <c r="Q171" s="521">
        <f t="shared" si="45"/>
        <v>0.33088235294117646</v>
      </c>
      <c r="R171" s="521">
        <f t="shared" si="45"/>
        <v>0.33088235294117646</v>
      </c>
      <c r="S171" s="521">
        <f t="shared" si="45"/>
        <v>0</v>
      </c>
      <c r="T171" s="521">
        <f t="shared" si="45"/>
        <v>0.33823529411764708</v>
      </c>
      <c r="U171" s="521">
        <f t="shared" si="45"/>
        <v>0</v>
      </c>
      <c r="V171" s="521">
        <f t="shared" si="45"/>
        <v>0</v>
      </c>
      <c r="W171" s="521">
        <f t="shared" si="45"/>
        <v>0</v>
      </c>
      <c r="X171" s="521">
        <f t="shared" si="45"/>
        <v>0</v>
      </c>
      <c r="Y171" s="521">
        <f t="shared" si="45"/>
        <v>0</v>
      </c>
      <c r="Z171" s="521">
        <f t="shared" si="45"/>
        <v>0</v>
      </c>
    </row>
    <row r="172" spans="1:27" ht="15.75" outlineLevel="1" x14ac:dyDescent="0.25">
      <c r="A172" s="494" t="str">
        <f t="shared" si="41"/>
        <v>6.2.4</v>
      </c>
      <c r="B172" s="494" t="str">
        <f t="shared" si="41"/>
        <v>Brownfield Exploration</v>
      </c>
      <c r="C172" s="494">
        <f t="shared" si="41"/>
        <v>0</v>
      </c>
      <c r="D172" s="603">
        <f t="shared" si="42"/>
        <v>0</v>
      </c>
      <c r="E172" s="520"/>
      <c r="F172" s="520"/>
      <c r="G172" s="520"/>
      <c r="H172" s="520"/>
      <c r="I172" s="520"/>
      <c r="J172" s="410"/>
      <c r="K172" s="409" t="s">
        <v>5</v>
      </c>
      <c r="L172" s="496" t="s">
        <v>42</v>
      </c>
      <c r="M172" s="496" t="s">
        <v>55</v>
      </c>
      <c r="N172" s="496">
        <v>8</v>
      </c>
      <c r="O172" s="521">
        <f t="shared" si="45"/>
        <v>2.0635688535030105E-3</v>
      </c>
      <c r="P172" s="521">
        <f t="shared" si="45"/>
        <v>2.1012870656597529E-2</v>
      </c>
      <c r="Q172" s="521">
        <f t="shared" si="45"/>
        <v>7.7590188891713194E-2</v>
      </c>
      <c r="R172" s="521">
        <f t="shared" si="45"/>
        <v>2.2423203806806222E-2</v>
      </c>
      <c r="S172" s="521">
        <f t="shared" si="45"/>
        <v>9.7712035116202158E-3</v>
      </c>
      <c r="T172" s="521">
        <f t="shared" si="45"/>
        <v>2.8187530577717276E-2</v>
      </c>
      <c r="U172" s="521">
        <f t="shared" si="45"/>
        <v>8.5207627825107692E-3</v>
      </c>
      <c r="V172" s="521">
        <f t="shared" si="45"/>
        <v>8.5207627825107692E-3</v>
      </c>
      <c r="W172" s="521">
        <f t="shared" si="45"/>
        <v>2.8835299873452664E-3</v>
      </c>
      <c r="X172" s="521">
        <f t="shared" si="45"/>
        <v>2.8835299873452664E-3</v>
      </c>
      <c r="Y172" s="521">
        <f t="shared" si="45"/>
        <v>0.4084814046480863</v>
      </c>
      <c r="Z172" s="521">
        <f t="shared" si="45"/>
        <v>0.40766144351424405</v>
      </c>
    </row>
    <row r="173" spans="1:27" ht="15.75" outlineLevel="1" x14ac:dyDescent="0.25">
      <c r="A173" s="494" t="str">
        <f t="shared" si="41"/>
        <v>6.2.5</v>
      </c>
      <c r="B173" s="494" t="str">
        <f t="shared" si="41"/>
        <v xml:space="preserve">Mine Geology </v>
      </c>
      <c r="C173" s="494">
        <f t="shared" si="41"/>
        <v>0</v>
      </c>
      <c r="D173" s="603">
        <f t="shared" si="42"/>
        <v>0</v>
      </c>
      <c r="E173" s="520"/>
      <c r="F173" s="520"/>
      <c r="G173" s="520"/>
      <c r="H173" s="520"/>
      <c r="I173" s="520"/>
      <c r="J173" s="410"/>
      <c r="K173" s="409"/>
      <c r="L173" s="496" t="s">
        <v>42</v>
      </c>
      <c r="M173" s="496"/>
      <c r="N173" s="496">
        <v>4</v>
      </c>
      <c r="O173" s="521">
        <f t="shared" si="45"/>
        <v>0</v>
      </c>
      <c r="P173" s="521">
        <f t="shared" si="45"/>
        <v>0</v>
      </c>
      <c r="Q173" s="521">
        <f t="shared" si="45"/>
        <v>0.16666666666666666</v>
      </c>
      <c r="R173" s="521">
        <f t="shared" si="45"/>
        <v>0.16666666666666666</v>
      </c>
      <c r="S173" s="521">
        <f t="shared" si="45"/>
        <v>0.16666666666666666</v>
      </c>
      <c r="T173" s="521">
        <f t="shared" si="45"/>
        <v>0.16666666666666666</v>
      </c>
      <c r="U173" s="521">
        <f t="shared" si="45"/>
        <v>0.16666666666666666</v>
      </c>
      <c r="V173" s="521">
        <f t="shared" si="45"/>
        <v>0.16666666666666666</v>
      </c>
      <c r="W173" s="521">
        <f t="shared" si="45"/>
        <v>0</v>
      </c>
      <c r="X173" s="521">
        <f t="shared" si="45"/>
        <v>0</v>
      </c>
      <c r="Y173" s="521">
        <f t="shared" si="45"/>
        <v>0</v>
      </c>
      <c r="Z173" s="521">
        <f t="shared" si="45"/>
        <v>0</v>
      </c>
    </row>
    <row r="174" spans="1:27" ht="15.75" outlineLevel="1" x14ac:dyDescent="0.25">
      <c r="A174" s="494" t="str">
        <f t="shared" si="41"/>
        <v>6.2.6</v>
      </c>
      <c r="B174" s="494" t="str">
        <f t="shared" si="41"/>
        <v>Drill Campaign</v>
      </c>
      <c r="C174" s="494">
        <f t="shared" si="41"/>
        <v>0</v>
      </c>
      <c r="D174" s="603">
        <f t="shared" si="42"/>
        <v>0</v>
      </c>
      <c r="E174" s="520"/>
      <c r="F174" s="520"/>
      <c r="G174" s="520"/>
      <c r="H174" s="520"/>
      <c r="I174" s="520"/>
      <c r="J174" s="410"/>
      <c r="K174" s="409"/>
      <c r="L174" s="496" t="s">
        <v>42</v>
      </c>
      <c r="M174" s="496"/>
      <c r="N174" s="496">
        <v>8</v>
      </c>
      <c r="O174" s="521">
        <f t="shared" si="45"/>
        <v>4.6890611513383581E-3</v>
      </c>
      <c r="P174" s="521">
        <f t="shared" si="45"/>
        <v>0.10415909357151779</v>
      </c>
      <c r="Q174" s="521">
        <f t="shared" si="45"/>
        <v>0.20755661343563284</v>
      </c>
      <c r="R174" s="521">
        <f t="shared" si="45"/>
        <v>0.31775515928971987</v>
      </c>
      <c r="S174" s="521">
        <f t="shared" si="45"/>
        <v>6.4628323277946487E-2</v>
      </c>
      <c r="T174" s="521">
        <f t="shared" si="45"/>
        <v>0.13893195538732231</v>
      </c>
      <c r="U174" s="521">
        <f t="shared" si="45"/>
        <v>0.13424909669782437</v>
      </c>
      <c r="V174" s="521">
        <f t="shared" si="45"/>
        <v>2.8030697188697842E-2</v>
      </c>
      <c r="W174" s="521">
        <f t="shared" si="45"/>
        <v>0</v>
      </c>
      <c r="X174" s="521">
        <f t="shared" si="45"/>
        <v>0</v>
      </c>
      <c r="Y174" s="521">
        <f t="shared" si="45"/>
        <v>0</v>
      </c>
      <c r="Z174" s="521">
        <f t="shared" si="45"/>
        <v>0</v>
      </c>
    </row>
    <row r="175" spans="1:27" ht="15.75" outlineLevel="1" x14ac:dyDescent="0.25">
      <c r="A175" s="494" t="str">
        <f t="shared" si="41"/>
        <v>6.2.7</v>
      </c>
      <c r="B175" s="494" t="str">
        <f t="shared" si="41"/>
        <v>Mine Resource Modelling</v>
      </c>
      <c r="C175" s="494">
        <f t="shared" si="41"/>
        <v>0</v>
      </c>
      <c r="D175" s="603">
        <f t="shared" si="42"/>
        <v>0</v>
      </c>
      <c r="E175" s="520"/>
      <c r="F175" s="520"/>
      <c r="G175" s="520"/>
      <c r="H175" s="520"/>
      <c r="I175" s="520"/>
      <c r="J175" s="410"/>
      <c r="K175" s="409"/>
      <c r="L175" s="496" t="s">
        <v>42</v>
      </c>
      <c r="M175" s="496"/>
      <c r="N175" s="496">
        <v>3</v>
      </c>
      <c r="O175" s="521">
        <f t="shared" si="45"/>
        <v>0</v>
      </c>
      <c r="P175" s="521">
        <f t="shared" si="45"/>
        <v>0.20362927779807574</v>
      </c>
      <c r="Q175" s="521">
        <f t="shared" si="45"/>
        <v>0.13877725003044694</v>
      </c>
      <c r="R175" s="521">
        <f t="shared" si="45"/>
        <v>0.13877725003044694</v>
      </c>
      <c r="S175" s="521">
        <f t="shared" si="45"/>
        <v>6.4852027767628787E-2</v>
      </c>
      <c r="T175" s="521">
        <f t="shared" si="45"/>
        <v>6.4852027767628787E-2</v>
      </c>
      <c r="U175" s="521">
        <f t="shared" si="45"/>
        <v>6.4852027767628787E-2</v>
      </c>
      <c r="V175" s="521">
        <f t="shared" si="45"/>
        <v>6.4852027767628787E-2</v>
      </c>
      <c r="W175" s="521">
        <f t="shared" si="45"/>
        <v>6.4852027767628787E-2</v>
      </c>
      <c r="X175" s="521">
        <f t="shared" si="45"/>
        <v>6.4852027767628787E-2</v>
      </c>
      <c r="Y175" s="521">
        <f t="shared" si="45"/>
        <v>6.4852027767628787E-2</v>
      </c>
      <c r="Z175" s="521">
        <f t="shared" si="45"/>
        <v>6.4852027767628787E-2</v>
      </c>
    </row>
    <row r="176" spans="1:27" ht="15.75" outlineLevel="1" x14ac:dyDescent="0.25">
      <c r="A176" s="494" t="str">
        <f t="shared" si="41"/>
        <v>6.2.8</v>
      </c>
      <c r="B176" s="494" t="str">
        <f t="shared" si="41"/>
        <v>Feasability Resource Updates</v>
      </c>
      <c r="C176" s="494">
        <f t="shared" si="41"/>
        <v>0</v>
      </c>
      <c r="D176" s="603">
        <f t="shared" si="42"/>
        <v>0</v>
      </c>
      <c r="E176" s="520"/>
      <c r="F176" s="520"/>
      <c r="G176" s="520"/>
      <c r="H176" s="520"/>
      <c r="I176" s="520"/>
      <c r="J176" s="410"/>
      <c r="K176" s="409"/>
      <c r="L176" s="496" t="s">
        <v>42</v>
      </c>
      <c r="M176" s="496"/>
      <c r="N176" s="496">
        <v>5</v>
      </c>
      <c r="O176" s="521">
        <f t="shared" si="45"/>
        <v>0</v>
      </c>
      <c r="P176" s="521">
        <f t="shared" si="45"/>
        <v>0.2</v>
      </c>
      <c r="Q176" s="521">
        <f t="shared" si="45"/>
        <v>0.2</v>
      </c>
      <c r="R176" s="521">
        <f t="shared" si="45"/>
        <v>0.2</v>
      </c>
      <c r="S176" s="521">
        <f t="shared" si="45"/>
        <v>0.2</v>
      </c>
      <c r="T176" s="521">
        <f t="shared" si="45"/>
        <v>0.2</v>
      </c>
      <c r="U176" s="521">
        <f t="shared" si="45"/>
        <v>0</v>
      </c>
      <c r="V176" s="521">
        <f t="shared" si="45"/>
        <v>0</v>
      </c>
      <c r="W176" s="521">
        <f t="shared" si="45"/>
        <v>0</v>
      </c>
      <c r="X176" s="521">
        <f t="shared" si="45"/>
        <v>0</v>
      </c>
      <c r="Y176" s="521">
        <f t="shared" si="45"/>
        <v>0</v>
      </c>
      <c r="Z176" s="521">
        <f t="shared" si="45"/>
        <v>0</v>
      </c>
    </row>
    <row r="177" spans="1:26" ht="15.75" outlineLevel="1" x14ac:dyDescent="0.25">
      <c r="A177" s="494" t="str">
        <f t="shared" si="41"/>
        <v>6.2.9</v>
      </c>
      <c r="B177" s="494" t="str">
        <f t="shared" si="41"/>
        <v>Classification Harmonization</v>
      </c>
      <c r="C177" s="494">
        <f t="shared" si="41"/>
        <v>0</v>
      </c>
      <c r="D177" s="603">
        <f t="shared" si="42"/>
        <v>0</v>
      </c>
      <c r="E177" s="520"/>
      <c r="F177" s="520"/>
      <c r="G177" s="520"/>
      <c r="H177" s="520"/>
      <c r="I177" s="520"/>
      <c r="J177" s="410"/>
      <c r="K177" s="409"/>
      <c r="L177" s="496" t="s">
        <v>42</v>
      </c>
      <c r="M177" s="496" t="s">
        <v>55</v>
      </c>
      <c r="N177" s="496">
        <v>3</v>
      </c>
      <c r="O177" s="521">
        <f t="shared" si="45"/>
        <v>0</v>
      </c>
      <c r="P177" s="521">
        <f t="shared" si="45"/>
        <v>0</v>
      </c>
      <c r="Q177" s="521">
        <f t="shared" si="45"/>
        <v>0</v>
      </c>
      <c r="R177" s="521">
        <f t="shared" si="45"/>
        <v>0.33333333333333331</v>
      </c>
      <c r="S177" s="521">
        <f t="shared" si="45"/>
        <v>0.33333333333333331</v>
      </c>
      <c r="T177" s="521">
        <f t="shared" si="45"/>
        <v>0.33333333333333331</v>
      </c>
      <c r="U177" s="521">
        <f t="shared" si="45"/>
        <v>0</v>
      </c>
      <c r="V177" s="521">
        <f t="shared" si="45"/>
        <v>0</v>
      </c>
      <c r="W177" s="521">
        <f t="shared" si="45"/>
        <v>0</v>
      </c>
      <c r="X177" s="521">
        <f t="shared" si="45"/>
        <v>0</v>
      </c>
      <c r="Y177" s="521">
        <f t="shared" si="45"/>
        <v>0</v>
      </c>
      <c r="Z177" s="521">
        <f t="shared" si="45"/>
        <v>0</v>
      </c>
    </row>
    <row r="178" spans="1:26" ht="15.75" outlineLevel="1" x14ac:dyDescent="0.25">
      <c r="A178" s="494" t="str">
        <f t="shared" si="41"/>
        <v>6.2.10</v>
      </c>
      <c r="B178" s="494" t="str">
        <f t="shared" si="41"/>
        <v>FS Reporting</v>
      </c>
      <c r="C178" s="494">
        <f t="shared" si="41"/>
        <v>0</v>
      </c>
      <c r="D178" s="603">
        <f t="shared" si="42"/>
        <v>0</v>
      </c>
      <c r="E178" s="520"/>
      <c r="F178" s="520"/>
      <c r="G178" s="520"/>
      <c r="H178" s="520"/>
      <c r="I178" s="520"/>
      <c r="J178" s="410"/>
      <c r="K178" s="409" t="s">
        <v>5</v>
      </c>
      <c r="L178" s="496" t="s">
        <v>42</v>
      </c>
      <c r="M178" s="496" t="s">
        <v>55</v>
      </c>
      <c r="N178" s="496">
        <v>4</v>
      </c>
      <c r="O178" s="521">
        <f t="shared" si="45"/>
        <v>0</v>
      </c>
      <c r="P178" s="521">
        <f t="shared" si="45"/>
        <v>0</v>
      </c>
      <c r="Q178" s="521">
        <f t="shared" si="45"/>
        <v>0</v>
      </c>
      <c r="R178" s="521">
        <f t="shared" si="45"/>
        <v>0</v>
      </c>
      <c r="S178" s="521">
        <f t="shared" si="45"/>
        <v>0</v>
      </c>
      <c r="T178" s="521">
        <f t="shared" si="45"/>
        <v>0</v>
      </c>
      <c r="U178" s="521">
        <f t="shared" si="45"/>
        <v>0</v>
      </c>
      <c r="V178" s="521">
        <f t="shared" si="45"/>
        <v>0</v>
      </c>
      <c r="W178" s="521">
        <f t="shared" si="45"/>
        <v>0.25</v>
      </c>
      <c r="X178" s="521">
        <f t="shared" si="45"/>
        <v>0.25</v>
      </c>
      <c r="Y178" s="521">
        <f t="shared" si="45"/>
        <v>0.25</v>
      </c>
      <c r="Z178" s="521">
        <f t="shared" si="45"/>
        <v>0.25</v>
      </c>
    </row>
    <row r="179" spans="1:26" s="517" customFormat="1" ht="22.5" customHeight="1" outlineLevel="1" x14ac:dyDescent="0.25">
      <c r="A179" s="513"/>
      <c r="B179" s="514"/>
      <c r="C179" s="514"/>
      <c r="D179" s="514"/>
      <c r="E179" s="515"/>
      <c r="F179" s="515"/>
      <c r="G179" s="515"/>
      <c r="H179" s="515"/>
      <c r="I179" s="515"/>
      <c r="J179" s="516" t="s">
        <v>20</v>
      </c>
      <c r="K179" s="519"/>
      <c r="L179" s="404" t="s">
        <v>48</v>
      </c>
      <c r="M179" s="404" t="s">
        <v>55</v>
      </c>
      <c r="N179" s="522">
        <f>SUM(N169:N178)</f>
        <v>59</v>
      </c>
      <c r="O179" s="521">
        <f t="shared" si="45"/>
        <v>5.2432427473548902E-3</v>
      </c>
      <c r="P179" s="521">
        <f t="shared" si="45"/>
        <v>8.54007704770504E-2</v>
      </c>
      <c r="Q179" s="521">
        <f t="shared" si="45"/>
        <v>0.17237024442808549</v>
      </c>
      <c r="R179" s="521">
        <f t="shared" si="45"/>
        <v>0.23189780148856681</v>
      </c>
      <c r="S179" s="521">
        <f t="shared" si="45"/>
        <v>7.6635215764299353E-2</v>
      </c>
      <c r="T179" s="521">
        <f t="shared" si="45"/>
        <v>0.12443200944919683</v>
      </c>
      <c r="U179" s="521">
        <f t="shared" si="45"/>
        <v>0.10788670901900034</v>
      </c>
      <c r="V179" s="521">
        <f t="shared" si="45"/>
        <v>4.6284687315311712E-2</v>
      </c>
      <c r="W179" s="521">
        <f t="shared" si="45"/>
        <v>1.1272051311495054E-2</v>
      </c>
      <c r="X179" s="521">
        <f t="shared" si="45"/>
        <v>1.1272051311495054E-2</v>
      </c>
      <c r="Y179" s="521">
        <f t="shared" si="45"/>
        <v>6.3841459051768454E-2</v>
      </c>
      <c r="Z179" s="521">
        <f t="shared" si="45"/>
        <v>6.3463757636375503E-2</v>
      </c>
    </row>
    <row r="181" spans="1:26" x14ac:dyDescent="0.25">
      <c r="B181" s="523" t="s">
        <v>21</v>
      </c>
      <c r="C181" s="524">
        <v>43102</v>
      </c>
    </row>
    <row r="182" spans="1:26" x14ac:dyDescent="0.25">
      <c r="B182" s="523" t="s">
        <v>23</v>
      </c>
      <c r="C182" s="524">
        <v>42917</v>
      </c>
    </row>
    <row r="184" spans="1:26" ht="18.75" x14ac:dyDescent="0.25">
      <c r="A184" s="527" t="s">
        <v>262</v>
      </c>
    </row>
    <row r="185" spans="1:26" ht="18.75" x14ac:dyDescent="0.25">
      <c r="A185" s="528" t="s">
        <v>1398</v>
      </c>
      <c r="B185" s="529"/>
    </row>
    <row r="186" spans="1:26" ht="18.75" x14ac:dyDescent="0.25">
      <c r="A186" s="528" t="s">
        <v>323</v>
      </c>
      <c r="B186" s="529"/>
    </row>
    <row r="188" spans="1:26" ht="18.75" x14ac:dyDescent="0.25">
      <c r="A188" s="529" t="s">
        <v>1399</v>
      </c>
      <c r="B188" s="530" t="s">
        <v>288</v>
      </c>
      <c r="C188" s="530" t="s">
        <v>320</v>
      </c>
    </row>
    <row r="189" spans="1:26" ht="37.5" x14ac:dyDescent="0.25">
      <c r="A189" s="531" t="s">
        <v>310</v>
      </c>
      <c r="B189" s="530" t="s">
        <v>289</v>
      </c>
      <c r="C189" s="530" t="s">
        <v>321</v>
      </c>
    </row>
    <row r="190" spans="1:26" ht="56.25" x14ac:dyDescent="0.25">
      <c r="A190" s="531" t="s">
        <v>311</v>
      </c>
      <c r="B190" s="530" t="s">
        <v>290</v>
      </c>
      <c r="C190" s="530" t="s">
        <v>319</v>
      </c>
    </row>
    <row r="191" spans="1:26" ht="37.5" x14ac:dyDescent="0.25">
      <c r="A191" s="531" t="s">
        <v>312</v>
      </c>
      <c r="B191" s="530" t="s">
        <v>291</v>
      </c>
      <c r="C191" s="530" t="s">
        <v>322</v>
      </c>
    </row>
    <row r="192" spans="1:26" ht="56.25" x14ac:dyDescent="0.25">
      <c r="A192" s="531" t="s">
        <v>313</v>
      </c>
      <c r="B192" s="530" t="s">
        <v>292</v>
      </c>
      <c r="C192" s="530" t="s">
        <v>327</v>
      </c>
    </row>
    <row r="193" spans="1:3" ht="37.5" x14ac:dyDescent="0.25">
      <c r="A193" s="531" t="s">
        <v>314</v>
      </c>
      <c r="B193" s="530" t="s">
        <v>293</v>
      </c>
      <c r="C193" s="530" t="s">
        <v>317</v>
      </c>
    </row>
    <row r="194" spans="1:3" ht="56.25" x14ac:dyDescent="0.25">
      <c r="A194" s="531" t="s">
        <v>315</v>
      </c>
      <c r="B194" s="530" t="s">
        <v>296</v>
      </c>
      <c r="C194" s="530" t="s">
        <v>318</v>
      </c>
    </row>
    <row r="196" spans="1:3" ht="56.25" x14ac:dyDescent="0.25">
      <c r="A196" s="532" t="s">
        <v>301</v>
      </c>
      <c r="B196" s="529" t="s">
        <v>1400</v>
      </c>
    </row>
    <row r="198" spans="1:3" ht="37.5" x14ac:dyDescent="0.25">
      <c r="A198" s="532" t="s">
        <v>303</v>
      </c>
      <c r="B198" s="529" t="s">
        <v>1401</v>
      </c>
    </row>
    <row r="199" spans="1:3" ht="18.75" x14ac:dyDescent="0.25">
      <c r="A199" s="529"/>
    </row>
    <row r="200" spans="1:3" ht="56.25" x14ac:dyDescent="0.25">
      <c r="A200" s="532" t="s">
        <v>304</v>
      </c>
      <c r="B200" s="449" t="s">
        <v>1481</v>
      </c>
    </row>
    <row r="201" spans="1:3" ht="18.75" x14ac:dyDescent="0.25">
      <c r="A201" s="529"/>
    </row>
    <row r="202" spans="1:3" ht="37.5" x14ac:dyDescent="0.25">
      <c r="A202" s="529" t="s">
        <v>308</v>
      </c>
      <c r="B202" s="529" t="s">
        <v>1403</v>
      </c>
    </row>
  </sheetData>
  <mergeCells count="20">
    <mergeCell ref="E59:K59"/>
    <mergeCell ref="E60:K60"/>
    <mergeCell ref="E50:K50"/>
    <mergeCell ref="E51:K51"/>
    <mergeCell ref="E53:K53"/>
    <mergeCell ref="E54:K54"/>
    <mergeCell ref="E56:K56"/>
    <mergeCell ref="E57:K57"/>
    <mergeCell ref="E48:K48"/>
    <mergeCell ref="E32:K32"/>
    <mergeCell ref="E33:K33"/>
    <mergeCell ref="E35:K35"/>
    <mergeCell ref="E36:K36"/>
    <mergeCell ref="E38:K38"/>
    <mergeCell ref="E39:K39"/>
    <mergeCell ref="E41:K41"/>
    <mergeCell ref="E42:K42"/>
    <mergeCell ref="E44:K44"/>
    <mergeCell ref="E45:K45"/>
    <mergeCell ref="E47:K47"/>
  </mergeCells>
  <dataValidations count="5">
    <dataValidation type="list" allowBlank="1" showInputMessage="1" showErrorMessage="1" sqref="L35:L36 L38:L39 L41:L42 L44:L45 L47:L48 L50:L51 L53:L54 L56:L57 L59:L60">
      <formula1>$G$2:$G$8</formula1>
    </dataValidation>
    <dataValidation type="list" allowBlank="1" showInputMessage="1" showErrorMessage="1" sqref="J65:J70 J110 L179">
      <formula1>$C$3:$C$14</formula1>
    </dataValidation>
    <dataValidation type="list" allowBlank="1" showInputMessage="1" showErrorMessage="1" sqref="H128:J145 H148:J151 H158:J160 K93:K95 H165:J165 M169:M179 H80:J85 H154:J155 H110:I110 H88:J104 K88">
      <formula1>$C$3:$C$15</formula1>
    </dataValidation>
    <dataValidation type="list" allowBlank="1" showInputMessage="1" showErrorMessage="1" sqref="F88:F104 F110 F165 F158:F160 F80:F85 F148:F151 F154:F155 F128:F145">
      <formula1>$A$3:$A$9</formula1>
    </dataValidation>
    <dataValidation type="list" allowBlank="1" showInputMessage="1" showErrorMessage="1" sqref="L27 L17:L19">
      <formula1>$D$4:$D$15</formula1>
    </dataValidation>
  </dataValidations>
  <pageMargins left="0.7" right="0.7" top="0.75" bottom="0.75" header="0.3" footer="0.3"/>
  <pageSetup paperSize="17" scale="41" fitToHeight="0" orientation="landscape"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'C:\Users\fernando.saavedra\Documents\Fernando GOST\[1002-40303-PS-SOA-0001_REV5-Geotech.xlsx]Lists'!#REF!</xm:f>
          </x14:formula1>
          <xm:sqref>L169:L178 H65:I65 H68:I70 K65:K70 H66:H67 K89:K92 K74:K76 K148:K150 K154 K158:K159 K96:K103 K80:K84 K107:K108 K113:K144</xm:sqref>
        </x14:dataValidation>
        <x14:dataValidation type="list" allowBlank="1" showInputMessage="1" showErrorMessage="1">
          <x14:formula1>
            <xm:f>'C:\Users\gineva.alcota\AppData\Local\Microsoft\Windows\INetCache\Content.Outlook\YCN3EFJG\[1002-40303-PS-SOA-0001_REV7-Geology.xlsx]Lists'!#REF!</xm:f>
          </x14:formula1>
          <xm:sqref>L32:L33 B8 N169:N178 H64:K64 H74:J76 F74:F76 F64:F70 I66:I67 L74:M76 L80:M84 L154:M154 L88:M103 M162:M164 L148:M150 L158:M159 L128:M144</xm:sqref>
        </x14:dataValidation>
        <x14:dataValidation type="list" allowBlank="1" showInputMessage="1" showErrorMessage="1">
          <x14:formula1>
            <xm:f>'C:\Users\gineva.alcota\AppData\Local\Microsoft\Windows\INetCache\Content.Outlook\YCN3EFJG\[1002-40303-PS-SOA-0001_REV7-Geology.xlsx]CCs &amp; Accounts'!#REF!</xm:f>
          </x14:formula1>
          <xm:sqref>E154:E155 E17:E26 E64:E70 E80:E85 E158:E160 E162:E164 E74:E76 E148:E151 E88:E104 E107:E110 E113:E145</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tabColor theme="9" tint="0.39997558519241921"/>
    <pageSetUpPr fitToPage="1"/>
  </sheetPr>
  <dimension ref="A2:AC173"/>
  <sheetViews>
    <sheetView showGridLines="0" topLeftCell="A74" zoomScale="40" zoomScaleNormal="40" workbookViewId="0">
      <selection activeCell="S95" sqref="S95"/>
    </sheetView>
  </sheetViews>
  <sheetFormatPr baseColWidth="10" defaultColWidth="11.42578125" defaultRowHeight="15" outlineLevelRow="1" outlineLevelCol="1" x14ac:dyDescent="0.25"/>
  <cols>
    <col min="1" max="1" width="30.5703125" style="449" customWidth="1"/>
    <col min="2" max="2" width="35.85546875" style="449" customWidth="1"/>
    <col min="3" max="3" width="28.5703125" style="449" customWidth="1"/>
    <col min="4" max="4" width="60.28515625" style="449" customWidth="1"/>
    <col min="5" max="13" width="10.28515625" style="449" customWidth="1"/>
    <col min="14" max="14" width="13.5703125" style="449" customWidth="1"/>
    <col min="15" max="15" width="11.5703125" style="449" customWidth="1" outlineLevel="1"/>
    <col min="16" max="17" width="16.42578125" style="449" customWidth="1" outlineLevel="1"/>
    <col min="18" max="18" width="16.85546875" style="449" customWidth="1" outlineLevel="1"/>
    <col min="19" max="19" width="16.42578125" style="449" customWidth="1" outlineLevel="1"/>
    <col min="20" max="23" width="16.85546875" style="449" customWidth="1" outlineLevel="1"/>
    <col min="24" max="25" width="16.42578125" style="449" customWidth="1" outlineLevel="1"/>
    <col min="26" max="26" width="16.85546875" style="449" customWidth="1" outlineLevel="1"/>
    <col min="27" max="16384" width="11.42578125" style="449"/>
  </cols>
  <sheetData>
    <row r="2" spans="1:26" s="450" customFormat="1" ht="12.75" x14ac:dyDescent="0.2">
      <c r="B2" s="451"/>
    </row>
    <row r="3" spans="1:26" s="450" customFormat="1" ht="18.75" x14ac:dyDescent="0.3">
      <c r="B3" s="452"/>
    </row>
    <row r="4" spans="1:26" s="450" customFormat="1" ht="12.75" x14ac:dyDescent="0.2"/>
    <row r="6" spans="1:26" ht="23.25" x14ac:dyDescent="0.25">
      <c r="A6" s="453" t="s">
        <v>25</v>
      </c>
      <c r="B6" s="454"/>
      <c r="C6" s="455"/>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ht="18.75" x14ac:dyDescent="0.3">
      <c r="A7" s="458"/>
      <c r="B7" s="459" t="s">
        <v>6</v>
      </c>
      <c r="C7" s="459"/>
      <c r="D7" s="459"/>
      <c r="E7" s="459"/>
      <c r="F7" s="459"/>
      <c r="G7" s="459"/>
      <c r="H7" s="459"/>
      <c r="I7" s="459"/>
      <c r="J7" s="459"/>
      <c r="K7" s="459"/>
      <c r="L7" s="459"/>
      <c r="M7" s="459"/>
      <c r="N7" s="460"/>
      <c r="O7" s="461"/>
      <c r="P7" s="461"/>
      <c r="Q7" s="461"/>
      <c r="R7" s="461"/>
      <c r="S7" s="461"/>
      <c r="T7" s="461"/>
      <c r="U7" s="461"/>
      <c r="V7" s="461"/>
      <c r="W7" s="461"/>
      <c r="X7" s="461"/>
      <c r="Y7" s="461"/>
      <c r="Z7" s="462"/>
    </row>
    <row r="8" spans="1:26" ht="18.75" x14ac:dyDescent="0.3">
      <c r="A8" s="463"/>
      <c r="B8" s="464" t="s">
        <v>245</v>
      </c>
      <c r="C8" s="465"/>
      <c r="D8" s="465"/>
      <c r="E8" s="466"/>
      <c r="F8" s="466"/>
      <c r="G8" s="466"/>
      <c r="H8" s="466"/>
      <c r="I8" s="466"/>
      <c r="J8" s="466"/>
      <c r="K8" s="466"/>
      <c r="L8" s="466"/>
      <c r="M8" s="466"/>
      <c r="N8" s="467" t="s">
        <v>7</v>
      </c>
      <c r="O8" s="468"/>
      <c r="P8" s="468"/>
      <c r="Q8" s="468"/>
      <c r="R8" s="468"/>
      <c r="S8" s="468"/>
      <c r="T8" s="468"/>
      <c r="U8" s="468"/>
      <c r="V8" s="468"/>
      <c r="W8" s="468"/>
      <c r="X8" s="468"/>
      <c r="Y8" s="468"/>
      <c r="Z8" s="469"/>
    </row>
    <row r="9" spans="1:26" ht="18.75" x14ac:dyDescent="0.3">
      <c r="A9" s="463"/>
      <c r="B9" s="470" t="s">
        <v>8</v>
      </c>
      <c r="C9" s="466"/>
      <c r="D9" s="470" t="s">
        <v>9</v>
      </c>
      <c r="E9" s="470"/>
      <c r="F9" s="470"/>
      <c r="G9" s="470"/>
      <c r="H9" s="470"/>
      <c r="I9" s="470"/>
      <c r="J9" s="470"/>
      <c r="K9" s="470"/>
      <c r="L9" s="470"/>
      <c r="M9" s="470"/>
      <c r="N9" s="471">
        <v>43102</v>
      </c>
      <c r="O9" s="472"/>
      <c r="P9" s="472"/>
      <c r="Q9" s="472"/>
      <c r="R9" s="472"/>
      <c r="S9" s="472"/>
      <c r="T9" s="472"/>
      <c r="U9" s="472"/>
      <c r="V9" s="472"/>
      <c r="W9" s="472"/>
      <c r="X9" s="472"/>
      <c r="Y9" s="472"/>
      <c r="Z9" s="473"/>
    </row>
    <row r="10" spans="1:26" ht="18.75" x14ac:dyDescent="0.3">
      <c r="A10" s="474"/>
      <c r="B10" s="475" t="str">
        <f>VLOOKUP(B8,[28]Lists!E2:G41,3,)</f>
        <v>687 Operations and Technical Services</v>
      </c>
      <c r="C10" s="476"/>
      <c r="D10" s="464" t="str">
        <f>VLOOKUP(B8,[28]Lists!$E$3:$F$41,2,)</f>
        <v>Fernando Saavedra</v>
      </c>
      <c r="E10" s="466"/>
      <c r="F10" s="466"/>
      <c r="G10" s="466"/>
      <c r="H10" s="466"/>
      <c r="I10" s="466"/>
      <c r="J10" s="466"/>
      <c r="K10" s="466"/>
      <c r="L10" s="466"/>
      <c r="M10" s="466"/>
      <c r="N10" s="477"/>
      <c r="O10" s="468"/>
      <c r="P10" s="468"/>
      <c r="Q10" s="468"/>
      <c r="R10" s="468"/>
      <c r="S10" s="468"/>
      <c r="T10" s="468"/>
      <c r="U10" s="468"/>
      <c r="V10" s="468"/>
      <c r="W10" s="468"/>
      <c r="X10" s="468"/>
      <c r="Y10" s="468"/>
      <c r="Z10" s="469"/>
    </row>
    <row r="11" spans="1:26" ht="18.75" x14ac:dyDescent="0.3">
      <c r="A11" s="474"/>
      <c r="B11" s="478" t="s">
        <v>10</v>
      </c>
      <c r="C11" s="476"/>
      <c r="D11" s="478"/>
      <c r="E11" s="478"/>
      <c r="F11" s="478"/>
      <c r="G11" s="478"/>
      <c r="H11" s="478"/>
      <c r="I11" s="478"/>
      <c r="J11" s="478"/>
      <c r="K11" s="478"/>
      <c r="L11" s="478"/>
      <c r="M11" s="478"/>
      <c r="N11" s="479" t="s">
        <v>11</v>
      </c>
      <c r="O11" s="480"/>
      <c r="P11" s="480"/>
      <c r="Q11" s="480"/>
      <c r="R11" s="480"/>
      <c r="S11" s="480"/>
      <c r="T11" s="480"/>
      <c r="U11" s="480"/>
      <c r="V11" s="480"/>
      <c r="W11" s="480"/>
      <c r="X11" s="480"/>
      <c r="Y11" s="480"/>
      <c r="Z11" s="481"/>
    </row>
    <row r="12" spans="1:26" ht="18.75" x14ac:dyDescent="0.3">
      <c r="A12" s="474"/>
      <c r="B12" s="482">
        <v>43313</v>
      </c>
      <c r="C12" s="476"/>
      <c r="D12" s="478"/>
      <c r="E12" s="466"/>
      <c r="F12" s="466"/>
      <c r="G12" s="466"/>
      <c r="H12" s="466"/>
      <c r="I12" s="466"/>
      <c r="J12" s="466"/>
      <c r="K12" s="466"/>
      <c r="L12" s="466"/>
      <c r="M12" s="466"/>
      <c r="N12" s="471">
        <v>43465</v>
      </c>
      <c r="O12" s="468"/>
      <c r="P12" s="468"/>
      <c r="Q12" s="468"/>
      <c r="R12" s="468"/>
      <c r="S12" s="468"/>
      <c r="T12" s="468"/>
      <c r="U12" s="468"/>
      <c r="V12" s="468"/>
      <c r="W12" s="468"/>
      <c r="X12" s="468"/>
      <c r="Y12" s="468"/>
      <c r="Z12" s="481"/>
    </row>
    <row r="13" spans="1:26" ht="18.75" x14ac:dyDescent="0.3">
      <c r="A13" s="483"/>
      <c r="B13" s="484"/>
      <c r="C13" s="485"/>
      <c r="D13" s="485"/>
      <c r="E13" s="485"/>
      <c r="F13" s="485"/>
      <c r="G13" s="485"/>
      <c r="H13" s="485"/>
      <c r="I13" s="485"/>
      <c r="J13" s="485"/>
      <c r="K13" s="485"/>
      <c r="L13" s="485"/>
      <c r="M13" s="485"/>
      <c r="N13" s="486"/>
      <c r="O13" s="487"/>
      <c r="P13" s="487"/>
      <c r="Q13" s="487"/>
      <c r="R13" s="487"/>
      <c r="S13" s="487"/>
      <c r="T13" s="487"/>
      <c r="U13" s="487"/>
      <c r="V13" s="487"/>
      <c r="W13" s="487"/>
      <c r="X13" s="487"/>
      <c r="Y13" s="487"/>
      <c r="Z13" s="488"/>
    </row>
    <row r="15" spans="1:26" ht="18.75" x14ac:dyDescent="0.25">
      <c r="A15" s="489" t="s">
        <v>12</v>
      </c>
      <c r="B15" s="489"/>
      <c r="C15" s="490"/>
      <c r="D15" s="490"/>
      <c r="E15" s="402"/>
      <c r="F15" s="402"/>
      <c r="G15" s="402"/>
      <c r="H15" s="491"/>
      <c r="I15" s="491"/>
      <c r="J15" s="441"/>
      <c r="K15" s="402"/>
      <c r="L15" s="402"/>
      <c r="M15" s="402"/>
      <c r="N15" s="402"/>
      <c r="O15" s="402" t="s">
        <v>5</v>
      </c>
      <c r="P15" s="402"/>
      <c r="Q15" s="402"/>
      <c r="R15" s="402"/>
      <c r="S15" s="402"/>
      <c r="T15" s="402"/>
      <c r="U15" s="402"/>
      <c r="V15" s="402"/>
      <c r="W15" s="402"/>
      <c r="X15" s="402"/>
      <c r="Y15" s="402"/>
      <c r="Z15" s="402"/>
    </row>
    <row r="16" spans="1:26" ht="30" x14ac:dyDescent="0.25">
      <c r="A16" s="492" t="s">
        <v>261</v>
      </c>
      <c r="B16" s="492" t="s">
        <v>13</v>
      </c>
      <c r="C16" s="492" t="s">
        <v>14</v>
      </c>
      <c r="D16" s="403" t="s">
        <v>15</v>
      </c>
      <c r="E16" s="404" t="s">
        <v>16</v>
      </c>
      <c r="F16" s="410"/>
      <c r="G16" s="410"/>
      <c r="H16" s="410"/>
      <c r="I16" s="410"/>
      <c r="J16" s="410"/>
      <c r="K16" s="410"/>
      <c r="L16" s="404" t="s">
        <v>17</v>
      </c>
      <c r="M16" s="404" t="s">
        <v>18</v>
      </c>
      <c r="N16" s="404" t="s">
        <v>19</v>
      </c>
      <c r="O16" s="493">
        <v>43101</v>
      </c>
      <c r="P16" s="493">
        <v>43132</v>
      </c>
      <c r="Q16" s="493">
        <v>43160</v>
      </c>
      <c r="R16" s="493">
        <v>43191</v>
      </c>
      <c r="S16" s="493">
        <v>43221</v>
      </c>
      <c r="T16" s="493">
        <v>43252</v>
      </c>
      <c r="U16" s="493">
        <v>43282</v>
      </c>
      <c r="V16" s="493">
        <v>43313</v>
      </c>
      <c r="W16" s="493">
        <v>43344</v>
      </c>
      <c r="X16" s="493">
        <v>43374</v>
      </c>
      <c r="Y16" s="493">
        <v>43405</v>
      </c>
      <c r="Z16" s="493">
        <v>43435</v>
      </c>
    </row>
    <row r="17" spans="1:26" ht="31.5" x14ac:dyDescent="0.25">
      <c r="A17" s="494" t="s">
        <v>615</v>
      </c>
      <c r="B17" s="494" t="s">
        <v>616</v>
      </c>
      <c r="C17" s="494" t="s">
        <v>617</v>
      </c>
      <c r="D17" s="495" t="s">
        <v>484</v>
      </c>
      <c r="E17" s="496" t="s">
        <v>244</v>
      </c>
      <c r="F17" s="410"/>
      <c r="G17" s="410"/>
      <c r="H17" s="410"/>
      <c r="I17" s="410"/>
      <c r="J17" s="410"/>
      <c r="K17" s="410"/>
      <c r="L17" s="496">
        <f>+L84</f>
        <v>12</v>
      </c>
      <c r="M17" s="496">
        <f>+M84</f>
        <v>0</v>
      </c>
      <c r="N17" s="496">
        <f>SUM(O17:Z17)</f>
        <v>448679</v>
      </c>
      <c r="O17" s="498">
        <f t="shared" ref="O17:Z17" si="0">+O84</f>
        <v>86457</v>
      </c>
      <c r="P17" s="498">
        <f t="shared" si="0"/>
        <v>86457</v>
      </c>
      <c r="Q17" s="498">
        <f t="shared" si="0"/>
        <v>88232.5</v>
      </c>
      <c r="R17" s="498">
        <f t="shared" si="0"/>
        <v>88232.5</v>
      </c>
      <c r="S17" s="498">
        <f t="shared" si="0"/>
        <v>99300</v>
      </c>
      <c r="T17" s="498">
        <f t="shared" si="0"/>
        <v>0</v>
      </c>
      <c r="U17" s="498">
        <f t="shared" si="0"/>
        <v>0</v>
      </c>
      <c r="V17" s="498">
        <f t="shared" si="0"/>
        <v>0</v>
      </c>
      <c r="W17" s="498">
        <f t="shared" si="0"/>
        <v>0</v>
      </c>
      <c r="X17" s="498">
        <f t="shared" si="0"/>
        <v>0</v>
      </c>
      <c r="Y17" s="498">
        <f t="shared" si="0"/>
        <v>0</v>
      </c>
      <c r="Z17" s="498">
        <f t="shared" si="0"/>
        <v>0</v>
      </c>
    </row>
    <row r="18" spans="1:26" ht="30" x14ac:dyDescent="0.25">
      <c r="A18" s="494" t="s">
        <v>618</v>
      </c>
      <c r="B18" s="494" t="s">
        <v>619</v>
      </c>
      <c r="C18" s="494" t="s">
        <v>620</v>
      </c>
      <c r="D18" s="495" t="s">
        <v>484</v>
      </c>
      <c r="E18" s="496" t="s">
        <v>244</v>
      </c>
      <c r="F18" s="410"/>
      <c r="G18" s="410"/>
      <c r="H18" s="410"/>
      <c r="I18" s="410"/>
      <c r="J18" s="410"/>
      <c r="K18" s="410"/>
      <c r="L18" s="496">
        <f>+L93</f>
        <v>33</v>
      </c>
      <c r="M18" s="496">
        <f>+M93</f>
        <v>0</v>
      </c>
      <c r="N18" s="496">
        <f>SUM(O18:Z18)</f>
        <v>200000</v>
      </c>
      <c r="O18" s="498">
        <f t="shared" ref="O18:Z18" si="1">+O93</f>
        <v>0</v>
      </c>
      <c r="P18" s="498">
        <f t="shared" si="1"/>
        <v>20000</v>
      </c>
      <c r="Q18" s="498">
        <f t="shared" si="1"/>
        <v>20000</v>
      </c>
      <c r="R18" s="498">
        <f t="shared" si="1"/>
        <v>20000</v>
      </c>
      <c r="S18" s="498">
        <f t="shared" si="1"/>
        <v>20000</v>
      </c>
      <c r="T18" s="498">
        <f t="shared" si="1"/>
        <v>20000</v>
      </c>
      <c r="U18" s="498">
        <f t="shared" si="1"/>
        <v>20000</v>
      </c>
      <c r="V18" s="498">
        <f t="shared" si="1"/>
        <v>20000</v>
      </c>
      <c r="W18" s="498">
        <f t="shared" si="1"/>
        <v>20000</v>
      </c>
      <c r="X18" s="498">
        <f t="shared" si="1"/>
        <v>20000</v>
      </c>
      <c r="Y18" s="498">
        <f t="shared" si="1"/>
        <v>20000</v>
      </c>
      <c r="Z18" s="498">
        <f t="shared" si="1"/>
        <v>0</v>
      </c>
    </row>
    <row r="19" spans="1:26" ht="30" x14ac:dyDescent="0.25">
      <c r="A19" s="494" t="s">
        <v>621</v>
      </c>
      <c r="B19" s="494" t="s">
        <v>622</v>
      </c>
      <c r="C19" s="494" t="s">
        <v>483</v>
      </c>
      <c r="D19" s="495" t="s">
        <v>484</v>
      </c>
      <c r="E19" s="496" t="s">
        <v>244</v>
      </c>
      <c r="F19" s="410"/>
      <c r="G19" s="410"/>
      <c r="H19" s="410"/>
      <c r="I19" s="410"/>
      <c r="J19" s="410"/>
      <c r="K19" s="410"/>
      <c r="L19" s="496">
        <f>+L100</f>
        <v>12</v>
      </c>
      <c r="M19" s="496">
        <f>+M100</f>
        <v>0</v>
      </c>
      <c r="N19" s="496">
        <f>SUM(O19:Z19)</f>
        <v>318502.72555916157</v>
      </c>
      <c r="O19" s="498">
        <f>+O100</f>
        <v>0</v>
      </c>
      <c r="P19" s="498">
        <f t="shared" ref="P19:Z19" si="2">+P100</f>
        <v>159775.15037507741</v>
      </c>
      <c r="Q19" s="498">
        <f t="shared" si="2"/>
        <v>0</v>
      </c>
      <c r="R19" s="498">
        <f t="shared" si="2"/>
        <v>18398.735365862984</v>
      </c>
      <c r="S19" s="498">
        <f t="shared" si="2"/>
        <v>0</v>
      </c>
      <c r="T19" s="498">
        <f t="shared" si="2"/>
        <v>18398.735365862984</v>
      </c>
      <c r="U19" s="498">
        <f t="shared" si="2"/>
        <v>0</v>
      </c>
      <c r="V19" s="498">
        <f t="shared" si="2"/>
        <v>18398.735365862984</v>
      </c>
      <c r="W19" s="498">
        <f t="shared" si="2"/>
        <v>77423.434897102794</v>
      </c>
      <c r="X19" s="498">
        <f t="shared" si="2"/>
        <v>2613.8505882352938</v>
      </c>
      <c r="Y19" s="498">
        <f t="shared" si="2"/>
        <v>20880.233012921806</v>
      </c>
      <c r="Z19" s="498">
        <f t="shared" si="2"/>
        <v>2613.8505882352938</v>
      </c>
    </row>
    <row r="20" spans="1:26" ht="31.5" x14ac:dyDescent="0.25">
      <c r="A20" s="494" t="s">
        <v>623</v>
      </c>
      <c r="B20" s="494" t="s">
        <v>624</v>
      </c>
      <c r="C20" s="494" t="s">
        <v>483</v>
      </c>
      <c r="D20" s="495" t="s">
        <v>484</v>
      </c>
      <c r="E20" s="496" t="s">
        <v>244</v>
      </c>
      <c r="F20" s="410"/>
      <c r="G20" s="410"/>
      <c r="H20" s="410"/>
      <c r="I20" s="410"/>
      <c r="J20" s="410"/>
      <c r="K20" s="410"/>
      <c r="L20" s="496">
        <f>+L103</f>
        <v>0</v>
      </c>
      <c r="M20" s="496">
        <f>+M103</f>
        <v>0</v>
      </c>
      <c r="N20" s="496">
        <f>SUM(O20:Z20)</f>
        <v>179000</v>
      </c>
      <c r="O20" s="496">
        <f>+O106</f>
        <v>15666.66666666667</v>
      </c>
      <c r="P20" s="496">
        <f t="shared" ref="P20:Z20" si="3">+P106</f>
        <v>14666.66666666667</v>
      </c>
      <c r="Q20" s="496">
        <f t="shared" si="3"/>
        <v>14666.66666666667</v>
      </c>
      <c r="R20" s="496">
        <f t="shared" si="3"/>
        <v>14666.66666666667</v>
      </c>
      <c r="S20" s="496">
        <f t="shared" si="3"/>
        <v>15666.66666666667</v>
      </c>
      <c r="T20" s="496">
        <f t="shared" si="3"/>
        <v>14666.66666666667</v>
      </c>
      <c r="U20" s="496">
        <f t="shared" si="3"/>
        <v>14666.66666666667</v>
      </c>
      <c r="V20" s="496">
        <f t="shared" si="3"/>
        <v>14666.66666666667</v>
      </c>
      <c r="W20" s="496">
        <f t="shared" si="3"/>
        <v>15666.66666666667</v>
      </c>
      <c r="X20" s="496">
        <f t="shared" si="3"/>
        <v>14666.66666666667</v>
      </c>
      <c r="Y20" s="496">
        <f t="shared" si="3"/>
        <v>14666.66666666667</v>
      </c>
      <c r="Z20" s="496">
        <f t="shared" si="3"/>
        <v>14666.66666666667</v>
      </c>
    </row>
    <row r="21" spans="1:26" ht="15.75" x14ac:dyDescent="0.25">
      <c r="A21" s="494"/>
      <c r="B21" s="494"/>
      <c r="C21" s="494"/>
      <c r="D21" s="495"/>
      <c r="E21" s="496"/>
      <c r="F21" s="410"/>
      <c r="G21" s="410"/>
      <c r="H21" s="410"/>
      <c r="I21" s="410"/>
      <c r="J21" s="410"/>
      <c r="K21" s="410"/>
      <c r="L21" s="496"/>
      <c r="M21" s="410"/>
      <c r="N21" s="409"/>
      <c r="O21" s="409"/>
      <c r="P21" s="409"/>
      <c r="Q21" s="409"/>
      <c r="R21" s="409"/>
      <c r="S21" s="409"/>
      <c r="T21" s="409"/>
      <c r="U21" s="409"/>
      <c r="V21" s="409"/>
      <c r="W21" s="409"/>
      <c r="X21" s="409"/>
      <c r="Y21" s="409"/>
      <c r="Z21" s="409"/>
    </row>
    <row r="22" spans="1:26" ht="15.75" x14ac:dyDescent="0.25">
      <c r="A22" s="494"/>
      <c r="B22" s="494"/>
      <c r="C22" s="494"/>
      <c r="D22" s="495"/>
      <c r="E22" s="496"/>
      <c r="F22" s="410"/>
      <c r="G22" s="410"/>
      <c r="H22" s="410"/>
      <c r="I22" s="410"/>
      <c r="J22" s="410"/>
      <c r="K22" s="410"/>
      <c r="L22" s="496"/>
      <c r="M22" s="410"/>
      <c r="N22" s="409"/>
      <c r="O22" s="409"/>
      <c r="P22" s="409"/>
      <c r="Q22" s="409"/>
      <c r="R22" s="409"/>
      <c r="S22" s="409"/>
      <c r="T22" s="409"/>
      <c r="U22" s="409"/>
      <c r="V22" s="409"/>
      <c r="W22" s="409"/>
      <c r="X22" s="409"/>
      <c r="Y22" s="409"/>
      <c r="Z22" s="409"/>
    </row>
    <row r="23" spans="1:26" ht="15.75" x14ac:dyDescent="0.25">
      <c r="A23" s="494"/>
      <c r="B23" s="494"/>
      <c r="C23" s="494"/>
      <c r="D23" s="495"/>
      <c r="E23" s="496"/>
      <c r="F23" s="410"/>
      <c r="G23" s="410"/>
      <c r="H23" s="410"/>
      <c r="I23" s="410"/>
      <c r="J23" s="410"/>
      <c r="K23" s="410"/>
      <c r="L23" s="496"/>
      <c r="M23" s="410"/>
      <c r="N23" s="409"/>
      <c r="O23" s="409"/>
      <c r="P23" s="409"/>
      <c r="Q23" s="409"/>
      <c r="R23" s="409"/>
      <c r="S23" s="409"/>
      <c r="T23" s="409"/>
      <c r="U23" s="409"/>
      <c r="V23" s="409"/>
      <c r="W23" s="409"/>
      <c r="X23" s="409"/>
      <c r="Y23" s="409"/>
      <c r="Z23" s="409"/>
    </row>
    <row r="24" spans="1:26" ht="15.75" x14ac:dyDescent="0.25">
      <c r="A24" s="494"/>
      <c r="B24" s="494"/>
      <c r="C24" s="494"/>
      <c r="D24" s="495"/>
      <c r="E24" s="496"/>
      <c r="F24" s="410"/>
      <c r="G24" s="410"/>
      <c r="H24" s="410"/>
      <c r="I24" s="410"/>
      <c r="J24" s="410"/>
      <c r="K24" s="410"/>
      <c r="L24" s="496"/>
      <c r="M24" s="410"/>
      <c r="N24" s="409"/>
      <c r="O24" s="409"/>
      <c r="P24" s="409"/>
      <c r="Q24" s="409"/>
      <c r="R24" s="409"/>
      <c r="S24" s="409"/>
      <c r="T24" s="409"/>
      <c r="U24" s="409"/>
      <c r="V24" s="409"/>
      <c r="W24" s="409"/>
      <c r="X24" s="409"/>
      <c r="Y24" s="409"/>
      <c r="Z24" s="409"/>
    </row>
    <row r="25" spans="1:26" ht="15.75" x14ac:dyDescent="0.25">
      <c r="A25" s="494"/>
      <c r="B25" s="494"/>
      <c r="C25" s="494"/>
      <c r="D25" s="495"/>
      <c r="E25" s="496"/>
      <c r="F25" s="410"/>
      <c r="G25" s="410"/>
      <c r="H25" s="410"/>
      <c r="I25" s="410"/>
      <c r="J25" s="410"/>
      <c r="K25" s="410"/>
      <c r="L25" s="496"/>
      <c r="M25" s="410"/>
      <c r="N25" s="409"/>
      <c r="O25" s="409"/>
      <c r="P25" s="409"/>
      <c r="Q25" s="409"/>
      <c r="R25" s="409"/>
      <c r="S25" s="409"/>
      <c r="T25" s="409"/>
      <c r="U25" s="409"/>
      <c r="V25" s="409"/>
      <c r="W25" s="409"/>
      <c r="X25" s="409"/>
      <c r="Y25" s="409"/>
      <c r="Z25" s="409"/>
    </row>
    <row r="26" spans="1:26" ht="15.75" x14ac:dyDescent="0.25">
      <c r="A26" s="494"/>
      <c r="B26" s="494"/>
      <c r="C26" s="494"/>
      <c r="D26" s="495"/>
      <c r="E26" s="496"/>
      <c r="F26" s="410"/>
      <c r="G26" s="410"/>
      <c r="H26" s="410"/>
      <c r="I26" s="410"/>
      <c r="J26" s="410"/>
      <c r="K26" s="410"/>
      <c r="L26" s="496"/>
      <c r="M26" s="410"/>
      <c r="N26" s="409"/>
      <c r="O26" s="409" t="s">
        <v>5</v>
      </c>
      <c r="P26" s="409"/>
      <c r="Q26" s="409"/>
      <c r="R26" s="409"/>
      <c r="S26" s="409"/>
      <c r="T26" s="409"/>
      <c r="U26" s="409"/>
      <c r="V26" s="409"/>
      <c r="W26" s="409"/>
      <c r="X26" s="409"/>
      <c r="Y26" s="409"/>
      <c r="Z26" s="409"/>
    </row>
    <row r="27" spans="1:26" x14ac:dyDescent="0.25">
      <c r="A27" s="499"/>
      <c r="B27" s="500"/>
      <c r="C27" s="500"/>
      <c r="D27" s="501"/>
      <c r="E27" s="415"/>
      <c r="F27" s="415"/>
      <c r="G27" s="415"/>
      <c r="H27" s="415"/>
      <c r="I27" s="415"/>
      <c r="J27" s="502" t="s">
        <v>20</v>
      </c>
      <c r="K27" s="503"/>
      <c r="L27" s="404">
        <v>12</v>
      </c>
      <c r="M27" s="404">
        <f>SUM(M2:M26)</f>
        <v>0</v>
      </c>
      <c r="N27" s="404">
        <f>SUM(N16:N26)</f>
        <v>1146181.7255591615</v>
      </c>
      <c r="O27" s="404">
        <f>SUM(O17:O26)</f>
        <v>102123.66666666667</v>
      </c>
      <c r="P27" s="404">
        <f t="shared" ref="P27:Z27" si="4">SUM(P17:P26)</f>
        <v>280898.81704174407</v>
      </c>
      <c r="Q27" s="404">
        <f t="shared" si="4"/>
        <v>122899.16666666667</v>
      </c>
      <c r="R27" s="404">
        <f t="shared" si="4"/>
        <v>141297.90203252964</v>
      </c>
      <c r="S27" s="404">
        <f t="shared" si="4"/>
        <v>134966.66666666666</v>
      </c>
      <c r="T27" s="404">
        <f t="shared" si="4"/>
        <v>53065.402032529659</v>
      </c>
      <c r="U27" s="404">
        <f t="shared" si="4"/>
        <v>34666.666666666672</v>
      </c>
      <c r="V27" s="404">
        <f t="shared" si="4"/>
        <v>53065.402032529659</v>
      </c>
      <c r="W27" s="404">
        <f t="shared" si="4"/>
        <v>113090.10156376947</v>
      </c>
      <c r="X27" s="404">
        <f t="shared" si="4"/>
        <v>37280.517254901963</v>
      </c>
      <c r="Y27" s="404">
        <f t="shared" si="4"/>
        <v>55546.899679588474</v>
      </c>
      <c r="Z27" s="404">
        <f t="shared" si="4"/>
        <v>17280.517254901963</v>
      </c>
    </row>
    <row r="28" spans="1:26" x14ac:dyDescent="0.25">
      <c r="A28" s="501"/>
      <c r="B28" s="501"/>
      <c r="C28" s="501"/>
      <c r="D28" s="501"/>
      <c r="E28" s="501"/>
      <c r="F28" s="501"/>
      <c r="G28" s="501"/>
      <c r="H28" s="501"/>
      <c r="I28" s="501"/>
      <c r="J28" s="501"/>
      <c r="K28" s="501"/>
    </row>
    <row r="29" spans="1:26" ht="18.75" x14ac:dyDescent="0.25">
      <c r="A29" s="489" t="s">
        <v>33</v>
      </c>
      <c r="B29" s="489"/>
      <c r="C29" s="490"/>
      <c r="D29" s="490"/>
      <c r="E29" s="402"/>
      <c r="F29" s="402"/>
      <c r="G29" s="402"/>
      <c r="H29" s="491"/>
      <c r="I29" s="491"/>
      <c r="J29" s="402"/>
      <c r="K29" s="402"/>
      <c r="L29" s="402"/>
      <c r="M29" s="402"/>
      <c r="N29" s="402"/>
      <c r="O29" s="402" t="s">
        <v>5</v>
      </c>
      <c r="P29" s="402"/>
      <c r="Q29" s="402"/>
      <c r="R29" s="402"/>
      <c r="S29" s="402"/>
      <c r="T29" s="402"/>
      <c r="U29" s="402"/>
      <c r="V29" s="402"/>
      <c r="W29" s="402"/>
      <c r="X29" s="402"/>
      <c r="Y29" s="402"/>
      <c r="Z29" s="402"/>
    </row>
    <row r="30" spans="1:26" ht="15.75" x14ac:dyDescent="0.25">
      <c r="A30" s="492" t="s">
        <v>261</v>
      </c>
      <c r="B30" s="442" t="s">
        <v>13</v>
      </c>
      <c r="C30" s="442" t="s">
        <v>14</v>
      </c>
      <c r="D30" s="403" t="s">
        <v>15</v>
      </c>
      <c r="E30" s="410" t="s">
        <v>5</v>
      </c>
      <c r="F30" s="410" t="s">
        <v>5</v>
      </c>
      <c r="G30" s="410" t="s">
        <v>5</v>
      </c>
      <c r="H30" s="410"/>
      <c r="I30" s="410"/>
      <c r="J30" s="410"/>
      <c r="K30" s="410" t="s">
        <v>5</v>
      </c>
      <c r="L30" s="504" t="s">
        <v>287</v>
      </c>
      <c r="M30" s="410"/>
      <c r="N30" s="409"/>
      <c r="O30" s="409" t="s">
        <v>5</v>
      </c>
      <c r="P30" s="409"/>
      <c r="Q30" s="409"/>
      <c r="R30" s="409"/>
      <c r="S30" s="409"/>
      <c r="T30" s="409"/>
      <c r="U30" s="409"/>
      <c r="V30" s="409"/>
      <c r="W30" s="409"/>
      <c r="X30" s="409"/>
      <c r="Y30" s="409"/>
      <c r="Z30" s="409"/>
    </row>
    <row r="31" spans="1:26" ht="18.75" x14ac:dyDescent="0.25">
      <c r="A31" s="505" t="str">
        <f>CONCATENATE(B17," ",C17)</f>
        <v>Open Pit and Waste Dump Feasibility Study La Fortuna</v>
      </c>
      <c r="B31" s="505"/>
      <c r="C31" s="506"/>
      <c r="D31" s="506"/>
      <c r="E31" s="507"/>
      <c r="F31" s="507"/>
      <c r="G31" s="507"/>
      <c r="H31" s="507"/>
      <c r="I31" s="507"/>
      <c r="J31" s="507"/>
      <c r="K31" s="507"/>
      <c r="L31" s="582" t="s">
        <v>484</v>
      </c>
      <c r="M31" s="507"/>
      <c r="N31" s="507"/>
      <c r="O31" s="507" t="s">
        <v>5</v>
      </c>
      <c r="P31" s="507"/>
      <c r="Q31" s="507"/>
      <c r="R31" s="507"/>
      <c r="S31" s="507"/>
      <c r="T31" s="507"/>
      <c r="U31" s="507"/>
      <c r="V31" s="507"/>
      <c r="W31" s="507"/>
      <c r="X31" s="507"/>
      <c r="Y31" s="507"/>
      <c r="Z31" s="507"/>
    </row>
    <row r="32" spans="1:26" ht="15.75" x14ac:dyDescent="0.25">
      <c r="A32" s="494"/>
      <c r="B32" s="508"/>
      <c r="C32" s="508"/>
      <c r="D32" s="495"/>
      <c r="E32" s="999" t="s">
        <v>5</v>
      </c>
      <c r="F32" s="999" t="s">
        <v>5</v>
      </c>
      <c r="G32" s="999" t="s">
        <v>5</v>
      </c>
      <c r="H32" s="999"/>
      <c r="I32" s="999"/>
      <c r="J32" s="999"/>
      <c r="K32" s="1000" t="s">
        <v>5</v>
      </c>
      <c r="L32" s="496"/>
      <c r="M32" s="410"/>
      <c r="N32" s="409"/>
      <c r="O32" s="409" t="s">
        <v>5</v>
      </c>
      <c r="P32" s="409"/>
      <c r="Q32" s="409"/>
      <c r="R32" s="409"/>
      <c r="S32" s="409"/>
      <c r="T32" s="409"/>
      <c r="U32" s="409"/>
      <c r="V32" s="409"/>
      <c r="W32" s="409"/>
      <c r="X32" s="409"/>
      <c r="Y32" s="409"/>
      <c r="Z32" s="409"/>
    </row>
    <row r="33" spans="1:26" ht="15.75" x14ac:dyDescent="0.25">
      <c r="A33" s="494"/>
      <c r="B33" s="508"/>
      <c r="C33" s="508"/>
      <c r="D33" s="495"/>
      <c r="E33" s="999" t="s">
        <v>5</v>
      </c>
      <c r="F33" s="999" t="s">
        <v>5</v>
      </c>
      <c r="G33" s="999" t="s">
        <v>5</v>
      </c>
      <c r="H33" s="999"/>
      <c r="I33" s="999"/>
      <c r="J33" s="999"/>
      <c r="K33" s="1000" t="s">
        <v>5</v>
      </c>
      <c r="L33" s="496"/>
      <c r="M33" s="410"/>
      <c r="N33" s="409"/>
      <c r="O33" s="409" t="s">
        <v>5</v>
      </c>
      <c r="P33" s="409"/>
      <c r="Q33" s="409"/>
      <c r="R33" s="409"/>
      <c r="S33" s="409"/>
      <c r="T33" s="409"/>
      <c r="U33" s="409"/>
      <c r="V33" s="409"/>
      <c r="W33" s="409"/>
      <c r="X33" s="409"/>
      <c r="Y33" s="409"/>
      <c r="Z33" s="409"/>
    </row>
    <row r="34" spans="1:26" ht="18.75" x14ac:dyDescent="0.25">
      <c r="A34" s="505" t="str">
        <f>CONCATENATE(B18," ",C18)</f>
        <v>Open Pit FS Optimization Relincho</v>
      </c>
      <c r="B34" s="505"/>
      <c r="C34" s="506"/>
      <c r="D34" s="506"/>
      <c r="E34" s="507"/>
      <c r="F34" s="507"/>
      <c r="G34" s="507"/>
      <c r="H34" s="507"/>
      <c r="I34" s="507"/>
      <c r="J34" s="507"/>
      <c r="K34" s="507"/>
      <c r="L34" s="582" t="s">
        <v>484</v>
      </c>
      <c r="M34" s="507"/>
      <c r="N34" s="507"/>
      <c r="O34" s="507" t="s">
        <v>5</v>
      </c>
      <c r="P34" s="507"/>
      <c r="Q34" s="507"/>
      <c r="R34" s="507"/>
      <c r="S34" s="507"/>
      <c r="T34" s="507"/>
      <c r="U34" s="507"/>
      <c r="V34" s="507"/>
      <c r="W34" s="507"/>
      <c r="X34" s="507"/>
      <c r="Y34" s="507"/>
      <c r="Z34" s="507"/>
    </row>
    <row r="35" spans="1:26" ht="15.75" x14ac:dyDescent="0.25">
      <c r="A35" s="494"/>
      <c r="B35" s="508"/>
      <c r="C35" s="508"/>
      <c r="D35" s="495"/>
      <c r="E35" s="999" t="s">
        <v>5</v>
      </c>
      <c r="F35" s="999" t="s">
        <v>5</v>
      </c>
      <c r="G35" s="999" t="s">
        <v>5</v>
      </c>
      <c r="H35" s="999"/>
      <c r="I35" s="999"/>
      <c r="J35" s="999"/>
      <c r="K35" s="1000" t="s">
        <v>5</v>
      </c>
      <c r="L35" s="496"/>
      <c r="M35" s="410"/>
      <c r="N35" s="409"/>
      <c r="O35" s="409" t="s">
        <v>5</v>
      </c>
      <c r="P35" s="409"/>
      <c r="Q35" s="409"/>
      <c r="R35" s="409"/>
      <c r="S35" s="409"/>
      <c r="T35" s="409"/>
      <c r="U35" s="409"/>
      <c r="V35" s="409"/>
      <c r="W35" s="409"/>
      <c r="X35" s="409"/>
      <c r="Y35" s="409"/>
      <c r="Z35" s="409"/>
    </row>
    <row r="36" spans="1:26" ht="15.75" x14ac:dyDescent="0.25">
      <c r="A36" s="494"/>
      <c r="B36" s="508"/>
      <c r="C36" s="508"/>
      <c r="D36" s="495"/>
      <c r="E36" s="999" t="s">
        <v>5</v>
      </c>
      <c r="F36" s="999" t="s">
        <v>5</v>
      </c>
      <c r="G36" s="999" t="s">
        <v>5</v>
      </c>
      <c r="H36" s="999"/>
      <c r="I36" s="999"/>
      <c r="J36" s="999"/>
      <c r="K36" s="1000" t="s">
        <v>5</v>
      </c>
      <c r="L36" s="496"/>
      <c r="M36" s="410"/>
      <c r="N36" s="409"/>
      <c r="O36" s="409" t="s">
        <v>5</v>
      </c>
      <c r="P36" s="409"/>
      <c r="Q36" s="409"/>
      <c r="R36" s="409"/>
      <c r="S36" s="409"/>
      <c r="T36" s="409"/>
      <c r="U36" s="409"/>
      <c r="V36" s="409"/>
      <c r="W36" s="409"/>
      <c r="X36" s="409"/>
      <c r="Y36" s="409"/>
      <c r="Z36" s="409"/>
    </row>
    <row r="37" spans="1:26" ht="18.75" x14ac:dyDescent="0.25">
      <c r="A37" s="505" t="str">
        <f>CONCATENATE(B19," ",C19)</f>
        <v>Geotechnical Review Panel NuevaUnion</v>
      </c>
      <c r="B37" s="505"/>
      <c r="C37" s="506"/>
      <c r="D37" s="506"/>
      <c r="E37" s="507"/>
      <c r="F37" s="507"/>
      <c r="G37" s="507"/>
      <c r="H37" s="507"/>
      <c r="I37" s="507"/>
      <c r="J37" s="507"/>
      <c r="K37" s="507"/>
      <c r="L37" s="582" t="s">
        <v>484</v>
      </c>
      <c r="M37" s="507"/>
      <c r="N37" s="507"/>
      <c r="O37" s="507" t="s">
        <v>5</v>
      </c>
      <c r="P37" s="507"/>
      <c r="Q37" s="507"/>
      <c r="R37" s="507"/>
      <c r="S37" s="507"/>
      <c r="T37" s="507"/>
      <c r="U37" s="507"/>
      <c r="V37" s="507"/>
      <c r="W37" s="507"/>
      <c r="X37" s="507"/>
      <c r="Y37" s="507"/>
      <c r="Z37" s="507"/>
    </row>
    <row r="38" spans="1:26" ht="15.75" x14ac:dyDescent="0.25">
      <c r="A38" s="494"/>
      <c r="B38" s="508"/>
      <c r="C38" s="508"/>
      <c r="D38" s="495"/>
      <c r="E38" s="999"/>
      <c r="F38" s="999"/>
      <c r="G38" s="999"/>
      <c r="H38" s="999"/>
      <c r="I38" s="999"/>
      <c r="J38" s="999"/>
      <c r="K38" s="1000"/>
      <c r="L38" s="496"/>
      <c r="M38" s="410"/>
      <c r="N38" s="409"/>
      <c r="O38" s="409"/>
      <c r="P38" s="409"/>
      <c r="Q38" s="409"/>
      <c r="R38" s="409"/>
      <c r="S38" s="409"/>
      <c r="T38" s="409"/>
      <c r="U38" s="409"/>
      <c r="V38" s="409"/>
      <c r="W38" s="409"/>
      <c r="X38" s="409"/>
      <c r="Y38" s="409"/>
      <c r="Z38" s="409"/>
    </row>
    <row r="39" spans="1:26" ht="15.75" x14ac:dyDescent="0.25">
      <c r="A39" s="494"/>
      <c r="B39" s="508"/>
      <c r="C39" s="508"/>
      <c r="D39" s="495"/>
      <c r="E39" s="999" t="s">
        <v>5</v>
      </c>
      <c r="F39" s="999" t="s">
        <v>5</v>
      </c>
      <c r="G39" s="999" t="s">
        <v>5</v>
      </c>
      <c r="H39" s="999"/>
      <c r="I39" s="999"/>
      <c r="J39" s="999"/>
      <c r="K39" s="1000" t="s">
        <v>5</v>
      </c>
      <c r="L39" s="496"/>
      <c r="M39" s="410"/>
      <c r="N39" s="409"/>
      <c r="O39" s="409" t="s">
        <v>5</v>
      </c>
      <c r="P39" s="409"/>
      <c r="Q39" s="409"/>
      <c r="R39" s="409"/>
      <c r="S39" s="409"/>
      <c r="T39" s="409"/>
      <c r="U39" s="409"/>
      <c r="V39" s="409"/>
      <c r="W39" s="409"/>
      <c r="X39" s="409"/>
      <c r="Y39" s="409"/>
      <c r="Z39" s="409"/>
    </row>
    <row r="40" spans="1:26" ht="18.75" outlineLevel="1" x14ac:dyDescent="0.25">
      <c r="A40" s="505" t="str">
        <f>CONCATENATE(B20," ",C20)</f>
        <v>Miscellaneous Geotechnical Expenses NuevaUnion</v>
      </c>
      <c r="B40" s="505"/>
      <c r="C40" s="506"/>
      <c r="D40" s="506"/>
      <c r="E40" s="507"/>
      <c r="F40" s="507"/>
      <c r="G40" s="507"/>
      <c r="H40" s="507"/>
      <c r="I40" s="507"/>
      <c r="J40" s="507"/>
      <c r="K40" s="507"/>
      <c r="L40" s="582" t="s">
        <v>484</v>
      </c>
      <c r="M40" s="507"/>
      <c r="N40" s="507"/>
      <c r="O40" s="507" t="s">
        <v>5</v>
      </c>
      <c r="P40" s="507"/>
      <c r="Q40" s="507"/>
      <c r="R40" s="507"/>
      <c r="S40" s="507"/>
      <c r="T40" s="507"/>
      <c r="U40" s="507"/>
      <c r="V40" s="507"/>
      <c r="W40" s="507"/>
      <c r="X40" s="507"/>
      <c r="Y40" s="507"/>
      <c r="Z40" s="507"/>
    </row>
    <row r="41" spans="1:26" ht="15.75" outlineLevel="1" x14ac:dyDescent="0.25">
      <c r="A41" s="494"/>
      <c r="B41" s="508"/>
      <c r="C41" s="508"/>
      <c r="D41" s="495"/>
      <c r="E41" s="999" t="s">
        <v>5</v>
      </c>
      <c r="F41" s="999" t="s">
        <v>5</v>
      </c>
      <c r="G41" s="999" t="s">
        <v>5</v>
      </c>
      <c r="H41" s="999"/>
      <c r="I41" s="999"/>
      <c r="J41" s="999"/>
      <c r="K41" s="1000" t="s">
        <v>5</v>
      </c>
      <c r="L41" s="496"/>
      <c r="M41" s="410"/>
      <c r="N41" s="409"/>
      <c r="O41" s="409" t="s">
        <v>5</v>
      </c>
      <c r="P41" s="409"/>
      <c r="Q41" s="409"/>
      <c r="R41" s="409"/>
      <c r="S41" s="409"/>
      <c r="T41" s="409"/>
      <c r="U41" s="409"/>
      <c r="V41" s="409"/>
      <c r="W41" s="409"/>
      <c r="X41" s="409"/>
      <c r="Y41" s="409"/>
      <c r="Z41" s="409"/>
    </row>
    <row r="42" spans="1:26" ht="15.75" outlineLevel="1" x14ac:dyDescent="0.25">
      <c r="A42" s="494"/>
      <c r="B42" s="508"/>
      <c r="C42" s="508"/>
      <c r="D42" s="495"/>
      <c r="E42" s="999" t="s">
        <v>5</v>
      </c>
      <c r="F42" s="999" t="s">
        <v>5</v>
      </c>
      <c r="G42" s="999" t="s">
        <v>5</v>
      </c>
      <c r="H42" s="999"/>
      <c r="I42" s="999"/>
      <c r="J42" s="999"/>
      <c r="K42" s="1000" t="s">
        <v>5</v>
      </c>
      <c r="L42" s="496"/>
      <c r="M42" s="410"/>
      <c r="N42" s="409"/>
      <c r="O42" s="409" t="s">
        <v>5</v>
      </c>
      <c r="P42" s="409"/>
      <c r="Q42" s="409"/>
      <c r="R42" s="409"/>
      <c r="S42" s="409"/>
      <c r="T42" s="409"/>
      <c r="U42" s="409"/>
      <c r="V42" s="409"/>
      <c r="W42" s="409"/>
      <c r="X42" s="409"/>
      <c r="Y42" s="409"/>
      <c r="Z42" s="409"/>
    </row>
    <row r="43" spans="1:26" ht="18.75" outlineLevel="1" x14ac:dyDescent="0.25">
      <c r="A43" s="505" t="str">
        <f>CONCATENATE(B21," ",C21)</f>
        <v xml:space="preserve"> </v>
      </c>
      <c r="B43" s="505"/>
      <c r="C43" s="506"/>
      <c r="D43" s="506"/>
      <c r="E43" s="507"/>
      <c r="F43" s="507"/>
      <c r="G43" s="507"/>
      <c r="H43" s="507"/>
      <c r="I43" s="507"/>
      <c r="J43" s="507"/>
      <c r="K43" s="507"/>
      <c r="L43" s="507"/>
      <c r="M43" s="507"/>
      <c r="N43" s="507"/>
      <c r="O43" s="507" t="s">
        <v>5</v>
      </c>
      <c r="P43" s="507"/>
      <c r="Q43" s="507"/>
      <c r="R43" s="507"/>
      <c r="S43" s="507"/>
      <c r="T43" s="507"/>
      <c r="U43" s="507"/>
      <c r="V43" s="507"/>
      <c r="W43" s="507"/>
      <c r="X43" s="507"/>
      <c r="Y43" s="507"/>
      <c r="Z43" s="507"/>
    </row>
    <row r="44" spans="1:26" ht="15.75" outlineLevel="1" x14ac:dyDescent="0.25">
      <c r="A44" s="494"/>
      <c r="B44" s="508"/>
      <c r="C44" s="508"/>
      <c r="D44" s="495"/>
      <c r="E44" s="999" t="s">
        <v>5</v>
      </c>
      <c r="F44" s="999" t="s">
        <v>5</v>
      </c>
      <c r="G44" s="999" t="s">
        <v>5</v>
      </c>
      <c r="H44" s="999"/>
      <c r="I44" s="999"/>
      <c r="J44" s="999"/>
      <c r="K44" s="1000" t="s">
        <v>5</v>
      </c>
      <c r="L44" s="496"/>
      <c r="M44" s="410"/>
      <c r="N44" s="409"/>
      <c r="O44" s="409" t="s">
        <v>5</v>
      </c>
      <c r="P44" s="409"/>
      <c r="Q44" s="409"/>
      <c r="R44" s="409"/>
      <c r="S44" s="409"/>
      <c r="T44" s="409"/>
      <c r="U44" s="409"/>
      <c r="V44" s="409"/>
      <c r="W44" s="409"/>
      <c r="X44" s="409"/>
      <c r="Y44" s="409"/>
      <c r="Z44" s="409"/>
    </row>
    <row r="45" spans="1:26" ht="15.75" outlineLevel="1" x14ac:dyDescent="0.25">
      <c r="A45" s="494"/>
      <c r="B45" s="508"/>
      <c r="C45" s="508"/>
      <c r="D45" s="495"/>
      <c r="E45" s="999" t="s">
        <v>5</v>
      </c>
      <c r="F45" s="999" t="s">
        <v>5</v>
      </c>
      <c r="G45" s="999" t="s">
        <v>5</v>
      </c>
      <c r="H45" s="999"/>
      <c r="I45" s="999"/>
      <c r="J45" s="999"/>
      <c r="K45" s="1000" t="s">
        <v>5</v>
      </c>
      <c r="L45" s="496"/>
      <c r="M45" s="410"/>
      <c r="N45" s="409"/>
      <c r="O45" s="409" t="s">
        <v>5</v>
      </c>
      <c r="P45" s="409"/>
      <c r="Q45" s="409"/>
      <c r="R45" s="409"/>
      <c r="S45" s="409"/>
      <c r="T45" s="409"/>
      <c r="U45" s="409"/>
      <c r="V45" s="409"/>
      <c r="W45" s="409"/>
      <c r="X45" s="409"/>
      <c r="Y45" s="409"/>
      <c r="Z45" s="409"/>
    </row>
    <row r="46" spans="1:26" ht="15.75" outlineLevel="1" x14ac:dyDescent="0.25">
      <c r="A46" s="494"/>
      <c r="B46" s="508"/>
      <c r="C46" s="508"/>
      <c r="D46" s="495"/>
      <c r="E46" s="999" t="s">
        <v>5</v>
      </c>
      <c r="F46" s="999" t="s">
        <v>5</v>
      </c>
      <c r="G46" s="999" t="s">
        <v>5</v>
      </c>
      <c r="H46" s="999"/>
      <c r="I46" s="999"/>
      <c r="J46" s="999"/>
      <c r="K46" s="1000" t="s">
        <v>5</v>
      </c>
      <c r="L46" s="496"/>
      <c r="M46" s="410"/>
      <c r="N46" s="409"/>
      <c r="O46" s="409" t="s">
        <v>5</v>
      </c>
      <c r="P46" s="409"/>
      <c r="Q46" s="409"/>
      <c r="R46" s="409"/>
      <c r="S46" s="409"/>
      <c r="T46" s="409"/>
      <c r="U46" s="409"/>
      <c r="V46" s="409"/>
      <c r="W46" s="409"/>
      <c r="X46" s="409"/>
      <c r="Y46" s="409"/>
      <c r="Z46" s="409"/>
    </row>
    <row r="47" spans="1:26" ht="15.75" outlineLevel="1" x14ac:dyDescent="0.25">
      <c r="A47" s="494"/>
      <c r="B47" s="508"/>
      <c r="C47" s="508"/>
      <c r="D47" s="495"/>
      <c r="E47" s="999" t="s">
        <v>5</v>
      </c>
      <c r="F47" s="999" t="s">
        <v>5</v>
      </c>
      <c r="G47" s="999" t="s">
        <v>5</v>
      </c>
      <c r="H47" s="999"/>
      <c r="I47" s="999"/>
      <c r="J47" s="999"/>
      <c r="K47" s="1000" t="s">
        <v>5</v>
      </c>
      <c r="L47" s="496"/>
      <c r="M47" s="410"/>
      <c r="N47" s="409"/>
      <c r="O47" s="409" t="s">
        <v>5</v>
      </c>
      <c r="P47" s="409"/>
      <c r="Q47" s="409"/>
      <c r="R47" s="409"/>
      <c r="S47" s="409"/>
      <c r="T47" s="409"/>
      <c r="U47" s="409"/>
      <c r="V47" s="409"/>
      <c r="W47" s="409"/>
      <c r="X47" s="409"/>
      <c r="Y47" s="409"/>
      <c r="Z47" s="409"/>
    </row>
    <row r="48" spans="1:26" ht="15.75" outlineLevel="1" x14ac:dyDescent="0.25">
      <c r="A48" s="494"/>
      <c r="B48" s="508"/>
      <c r="C48" s="508"/>
      <c r="D48" s="495"/>
      <c r="E48" s="999" t="s">
        <v>5</v>
      </c>
      <c r="F48" s="999" t="s">
        <v>5</v>
      </c>
      <c r="G48" s="999" t="s">
        <v>5</v>
      </c>
      <c r="H48" s="999"/>
      <c r="I48" s="999"/>
      <c r="J48" s="999"/>
      <c r="K48" s="1000" t="s">
        <v>5</v>
      </c>
      <c r="L48" s="496"/>
      <c r="M48" s="410"/>
      <c r="N48" s="409"/>
      <c r="O48" s="409" t="s">
        <v>5</v>
      </c>
      <c r="P48" s="409"/>
      <c r="Q48" s="409"/>
      <c r="R48" s="409"/>
      <c r="S48" s="409"/>
      <c r="T48" s="409"/>
      <c r="U48" s="409"/>
      <c r="V48" s="409"/>
      <c r="W48" s="409"/>
      <c r="X48" s="409"/>
      <c r="Y48" s="409"/>
      <c r="Z48" s="409"/>
    </row>
    <row r="49" spans="1:26" ht="18.75" outlineLevel="1" x14ac:dyDescent="0.25">
      <c r="A49" s="505"/>
      <c r="B49" s="505"/>
      <c r="C49" s="506"/>
      <c r="D49" s="506"/>
      <c r="E49" s="507"/>
      <c r="F49" s="507"/>
      <c r="G49" s="507"/>
      <c r="H49" s="507"/>
      <c r="I49" s="507"/>
      <c r="J49" s="507"/>
      <c r="K49" s="507"/>
      <c r="L49" s="507"/>
      <c r="M49" s="507"/>
      <c r="N49" s="507"/>
      <c r="O49" s="507" t="s">
        <v>5</v>
      </c>
      <c r="P49" s="507"/>
      <c r="Q49" s="507"/>
      <c r="R49" s="507"/>
      <c r="S49" s="507"/>
      <c r="T49" s="507"/>
      <c r="U49" s="507"/>
      <c r="V49" s="507"/>
      <c r="W49" s="507"/>
      <c r="X49" s="507"/>
      <c r="Y49" s="507"/>
      <c r="Z49" s="507"/>
    </row>
    <row r="50" spans="1:26" ht="15.75" outlineLevel="1" x14ac:dyDescent="0.25">
      <c r="A50" s="494"/>
      <c r="B50" s="508"/>
      <c r="C50" s="508"/>
      <c r="D50" s="495"/>
      <c r="E50" s="999" t="s">
        <v>5</v>
      </c>
      <c r="F50" s="999" t="s">
        <v>5</v>
      </c>
      <c r="G50" s="999" t="s">
        <v>5</v>
      </c>
      <c r="H50" s="999"/>
      <c r="I50" s="999"/>
      <c r="J50" s="999"/>
      <c r="K50" s="1000" t="s">
        <v>5</v>
      </c>
      <c r="L50" s="496"/>
      <c r="M50" s="410"/>
      <c r="N50" s="409"/>
      <c r="O50" s="409" t="s">
        <v>5</v>
      </c>
      <c r="P50" s="409"/>
      <c r="Q50" s="409"/>
      <c r="R50" s="409"/>
      <c r="S50" s="409"/>
      <c r="T50" s="409"/>
      <c r="U50" s="409"/>
      <c r="V50" s="409"/>
      <c r="W50" s="409"/>
      <c r="X50" s="409"/>
      <c r="Y50" s="409"/>
      <c r="Z50" s="409"/>
    </row>
    <row r="51" spans="1:26" ht="15.75" outlineLevel="1" x14ac:dyDescent="0.25">
      <c r="A51" s="494"/>
      <c r="B51" s="508"/>
      <c r="C51" s="508"/>
      <c r="D51" s="495"/>
      <c r="E51" s="999" t="s">
        <v>5</v>
      </c>
      <c r="F51" s="999" t="s">
        <v>5</v>
      </c>
      <c r="G51" s="999" t="s">
        <v>5</v>
      </c>
      <c r="H51" s="999"/>
      <c r="I51" s="999"/>
      <c r="J51" s="999"/>
      <c r="K51" s="1000" t="s">
        <v>5</v>
      </c>
      <c r="L51" s="496"/>
      <c r="M51" s="410"/>
      <c r="N51" s="409"/>
      <c r="O51" s="409" t="s">
        <v>5</v>
      </c>
      <c r="P51" s="409"/>
      <c r="Q51" s="409"/>
      <c r="R51" s="409"/>
      <c r="S51" s="409"/>
      <c r="T51" s="409"/>
      <c r="U51" s="409"/>
      <c r="V51" s="409"/>
      <c r="W51" s="409"/>
      <c r="X51" s="409"/>
      <c r="Y51" s="409"/>
      <c r="Z51" s="409"/>
    </row>
    <row r="52" spans="1:26" ht="15.75" outlineLevel="1" x14ac:dyDescent="0.25">
      <c r="A52" s="494"/>
      <c r="B52" s="508"/>
      <c r="C52" s="508"/>
      <c r="D52" s="495"/>
      <c r="E52" s="999" t="s">
        <v>5</v>
      </c>
      <c r="F52" s="999" t="s">
        <v>5</v>
      </c>
      <c r="G52" s="999" t="s">
        <v>5</v>
      </c>
      <c r="H52" s="999"/>
      <c r="I52" s="999"/>
      <c r="J52" s="999"/>
      <c r="K52" s="1000" t="s">
        <v>5</v>
      </c>
      <c r="L52" s="496"/>
      <c r="M52" s="410"/>
      <c r="N52" s="409"/>
      <c r="O52" s="409" t="s">
        <v>5</v>
      </c>
      <c r="P52" s="409"/>
      <c r="Q52" s="409"/>
      <c r="R52" s="409"/>
      <c r="S52" s="409"/>
      <c r="T52" s="409"/>
      <c r="U52" s="409"/>
      <c r="V52" s="409"/>
      <c r="W52" s="409"/>
      <c r="X52" s="409"/>
      <c r="Y52" s="409"/>
      <c r="Z52" s="409"/>
    </row>
    <row r="53" spans="1:26" ht="15.75" outlineLevel="1" x14ac:dyDescent="0.25">
      <c r="A53" s="494"/>
      <c r="B53" s="508"/>
      <c r="C53" s="508"/>
      <c r="D53" s="495"/>
      <c r="E53" s="999" t="s">
        <v>5</v>
      </c>
      <c r="F53" s="999" t="s">
        <v>5</v>
      </c>
      <c r="G53" s="999" t="s">
        <v>5</v>
      </c>
      <c r="H53" s="999"/>
      <c r="I53" s="999"/>
      <c r="J53" s="999"/>
      <c r="K53" s="1000" t="s">
        <v>5</v>
      </c>
      <c r="L53" s="496"/>
      <c r="M53" s="410"/>
      <c r="N53" s="409"/>
      <c r="O53" s="409" t="s">
        <v>5</v>
      </c>
      <c r="P53" s="409"/>
      <c r="Q53" s="409"/>
      <c r="R53" s="409"/>
      <c r="S53" s="409"/>
      <c r="T53" s="409"/>
      <c r="U53" s="409"/>
      <c r="V53" s="409"/>
      <c r="W53" s="409"/>
      <c r="X53" s="409"/>
      <c r="Y53" s="409"/>
      <c r="Z53" s="409"/>
    </row>
    <row r="54" spans="1:26" ht="15.75" outlineLevel="1" x14ac:dyDescent="0.25">
      <c r="A54" s="494"/>
      <c r="B54" s="508"/>
      <c r="C54" s="508"/>
      <c r="D54" s="495"/>
      <c r="E54" s="999" t="s">
        <v>5</v>
      </c>
      <c r="F54" s="999" t="s">
        <v>5</v>
      </c>
      <c r="G54" s="999" t="s">
        <v>5</v>
      </c>
      <c r="H54" s="999"/>
      <c r="I54" s="999"/>
      <c r="J54" s="999"/>
      <c r="K54" s="1000" t="s">
        <v>5</v>
      </c>
      <c r="L54" s="496"/>
      <c r="M54" s="410"/>
      <c r="N54" s="409"/>
      <c r="O54" s="409" t="s">
        <v>5</v>
      </c>
      <c r="P54" s="409"/>
      <c r="Q54" s="409"/>
      <c r="R54" s="409"/>
      <c r="S54" s="409"/>
      <c r="T54" s="409"/>
      <c r="U54" s="409"/>
      <c r="V54" s="409"/>
      <c r="W54" s="409"/>
      <c r="X54" s="409"/>
      <c r="Y54" s="409"/>
      <c r="Z54" s="409"/>
    </row>
    <row r="55" spans="1:26" ht="18.75" outlineLevel="1" x14ac:dyDescent="0.25">
      <c r="A55" s="505"/>
      <c r="B55" s="505"/>
      <c r="C55" s="506"/>
      <c r="D55" s="506"/>
      <c r="E55" s="507"/>
      <c r="F55" s="507"/>
      <c r="G55" s="507"/>
      <c r="H55" s="507"/>
      <c r="I55" s="507"/>
      <c r="J55" s="507"/>
      <c r="K55" s="507"/>
      <c r="L55" s="507"/>
      <c r="M55" s="507"/>
      <c r="N55" s="507"/>
      <c r="O55" s="507" t="s">
        <v>5</v>
      </c>
      <c r="P55" s="507"/>
      <c r="Q55" s="507"/>
      <c r="R55" s="507"/>
      <c r="S55" s="507"/>
      <c r="T55" s="507"/>
      <c r="U55" s="507"/>
      <c r="V55" s="507"/>
      <c r="W55" s="507"/>
      <c r="X55" s="507"/>
      <c r="Y55" s="507"/>
      <c r="Z55" s="507"/>
    </row>
    <row r="56" spans="1:26" ht="15.75" outlineLevel="1" x14ac:dyDescent="0.25">
      <c r="A56" s="494"/>
      <c r="B56" s="508"/>
      <c r="C56" s="508"/>
      <c r="D56" s="495"/>
      <c r="E56" s="999" t="s">
        <v>5</v>
      </c>
      <c r="F56" s="999" t="s">
        <v>5</v>
      </c>
      <c r="G56" s="999" t="s">
        <v>5</v>
      </c>
      <c r="H56" s="999"/>
      <c r="I56" s="999"/>
      <c r="J56" s="999"/>
      <c r="K56" s="1000" t="s">
        <v>5</v>
      </c>
      <c r="L56" s="496"/>
      <c r="M56" s="410"/>
      <c r="N56" s="409"/>
      <c r="O56" s="409" t="s">
        <v>5</v>
      </c>
      <c r="P56" s="409"/>
      <c r="Q56" s="409"/>
      <c r="R56" s="409"/>
      <c r="S56" s="409"/>
      <c r="T56" s="409"/>
      <c r="U56" s="409"/>
      <c r="V56" s="409"/>
      <c r="W56" s="409"/>
      <c r="X56" s="409"/>
      <c r="Y56" s="409"/>
      <c r="Z56" s="409"/>
    </row>
    <row r="57" spans="1:26" ht="15.75" outlineLevel="1" x14ac:dyDescent="0.25">
      <c r="A57" s="494"/>
      <c r="B57" s="508"/>
      <c r="C57" s="508"/>
      <c r="D57" s="495"/>
      <c r="E57" s="999" t="s">
        <v>5</v>
      </c>
      <c r="F57" s="999" t="s">
        <v>5</v>
      </c>
      <c r="G57" s="999" t="s">
        <v>5</v>
      </c>
      <c r="H57" s="999"/>
      <c r="I57" s="999"/>
      <c r="J57" s="999"/>
      <c r="K57" s="1000" t="s">
        <v>5</v>
      </c>
      <c r="L57" s="496"/>
      <c r="M57" s="410"/>
      <c r="N57" s="409"/>
      <c r="O57" s="409" t="s">
        <v>5</v>
      </c>
      <c r="P57" s="409"/>
      <c r="Q57" s="409"/>
      <c r="R57" s="409"/>
      <c r="S57" s="409"/>
      <c r="T57" s="409"/>
      <c r="U57" s="409"/>
      <c r="V57" s="409"/>
      <c r="W57" s="409"/>
      <c r="X57" s="409"/>
      <c r="Y57" s="409"/>
      <c r="Z57" s="409"/>
    </row>
    <row r="58" spans="1:26" ht="15.75" outlineLevel="1" x14ac:dyDescent="0.25">
      <c r="A58" s="494"/>
      <c r="B58" s="508"/>
      <c r="C58" s="508"/>
      <c r="D58" s="495"/>
      <c r="E58" s="999" t="s">
        <v>5</v>
      </c>
      <c r="F58" s="999" t="s">
        <v>5</v>
      </c>
      <c r="G58" s="999" t="s">
        <v>5</v>
      </c>
      <c r="H58" s="999"/>
      <c r="I58" s="999"/>
      <c r="J58" s="999"/>
      <c r="K58" s="1000" t="s">
        <v>5</v>
      </c>
      <c r="L58" s="496"/>
      <c r="M58" s="410"/>
      <c r="N58" s="409"/>
      <c r="O58" s="409" t="s">
        <v>5</v>
      </c>
      <c r="P58" s="409"/>
      <c r="Q58" s="409"/>
      <c r="R58" s="409"/>
      <c r="S58" s="409"/>
      <c r="T58" s="409"/>
      <c r="U58" s="409"/>
      <c r="V58" s="409"/>
      <c r="W58" s="409"/>
      <c r="X58" s="409"/>
      <c r="Y58" s="409"/>
      <c r="Z58" s="409"/>
    </row>
    <row r="59" spans="1:26" ht="15.75" outlineLevel="1" x14ac:dyDescent="0.25">
      <c r="A59" s="494"/>
      <c r="B59" s="508"/>
      <c r="C59" s="508"/>
      <c r="D59" s="495"/>
      <c r="E59" s="999" t="s">
        <v>5</v>
      </c>
      <c r="F59" s="999" t="s">
        <v>5</v>
      </c>
      <c r="G59" s="999" t="s">
        <v>5</v>
      </c>
      <c r="H59" s="999"/>
      <c r="I59" s="999"/>
      <c r="J59" s="999"/>
      <c r="K59" s="1000" t="s">
        <v>5</v>
      </c>
      <c r="L59" s="496"/>
      <c r="M59" s="410"/>
      <c r="N59" s="409"/>
      <c r="O59" s="409" t="s">
        <v>5</v>
      </c>
      <c r="P59" s="409"/>
      <c r="Q59" s="409"/>
      <c r="R59" s="409"/>
      <c r="S59" s="409"/>
      <c r="T59" s="409"/>
      <c r="U59" s="409"/>
      <c r="V59" s="409"/>
      <c r="W59" s="409"/>
      <c r="X59" s="409"/>
      <c r="Y59" s="409"/>
      <c r="Z59" s="409"/>
    </row>
    <row r="60" spans="1:26" ht="15.75" outlineLevel="1" x14ac:dyDescent="0.25">
      <c r="A60" s="494"/>
      <c r="B60" s="508"/>
      <c r="C60" s="508"/>
      <c r="D60" s="495"/>
      <c r="E60" s="999" t="s">
        <v>5</v>
      </c>
      <c r="F60" s="999" t="s">
        <v>5</v>
      </c>
      <c r="G60" s="999" t="s">
        <v>5</v>
      </c>
      <c r="H60" s="999"/>
      <c r="I60" s="999"/>
      <c r="J60" s="999"/>
      <c r="K60" s="1000" t="s">
        <v>5</v>
      </c>
      <c r="L60" s="496"/>
      <c r="M60" s="410"/>
      <c r="N60" s="409"/>
      <c r="O60" s="409" t="s">
        <v>5</v>
      </c>
      <c r="P60" s="409"/>
      <c r="Q60" s="409"/>
      <c r="R60" s="409"/>
      <c r="S60" s="409"/>
      <c r="T60" s="409"/>
      <c r="U60" s="409"/>
      <c r="V60" s="409"/>
      <c r="W60" s="409"/>
      <c r="X60" s="409"/>
      <c r="Y60" s="409"/>
      <c r="Z60" s="409"/>
    </row>
    <row r="61" spans="1:26" ht="18.75" outlineLevel="1" x14ac:dyDescent="0.25">
      <c r="A61" s="505"/>
      <c r="B61" s="505"/>
      <c r="C61" s="506"/>
      <c r="D61" s="506"/>
      <c r="E61" s="507"/>
      <c r="F61" s="507"/>
      <c r="G61" s="507"/>
      <c r="H61" s="507"/>
      <c r="I61" s="507"/>
      <c r="J61" s="507"/>
      <c r="K61" s="507"/>
      <c r="L61" s="507"/>
      <c r="M61" s="507"/>
      <c r="N61" s="507"/>
      <c r="O61" s="507" t="s">
        <v>5</v>
      </c>
      <c r="P61" s="507"/>
      <c r="Q61" s="507"/>
      <c r="R61" s="507"/>
      <c r="S61" s="507"/>
      <c r="T61" s="507"/>
      <c r="U61" s="507"/>
      <c r="V61" s="507"/>
      <c r="W61" s="507"/>
      <c r="X61" s="507"/>
      <c r="Y61" s="507"/>
      <c r="Z61" s="507"/>
    </row>
    <row r="62" spans="1:26" ht="15.75" outlineLevel="1" x14ac:dyDescent="0.25">
      <c r="A62" s="494"/>
      <c r="B62" s="508"/>
      <c r="C62" s="508"/>
      <c r="D62" s="495"/>
      <c r="E62" s="999" t="s">
        <v>5</v>
      </c>
      <c r="F62" s="999" t="s">
        <v>5</v>
      </c>
      <c r="G62" s="999" t="s">
        <v>5</v>
      </c>
      <c r="H62" s="999"/>
      <c r="I62" s="999"/>
      <c r="J62" s="999"/>
      <c r="K62" s="1000" t="s">
        <v>5</v>
      </c>
      <c r="L62" s="496"/>
      <c r="M62" s="410"/>
      <c r="N62" s="409"/>
      <c r="O62" s="409" t="s">
        <v>5</v>
      </c>
      <c r="P62" s="409"/>
      <c r="Q62" s="409"/>
      <c r="R62" s="409"/>
      <c r="S62" s="409"/>
      <c r="T62" s="409"/>
      <c r="U62" s="409"/>
      <c r="V62" s="409"/>
      <c r="W62" s="409"/>
      <c r="X62" s="409"/>
      <c r="Y62" s="409"/>
      <c r="Z62" s="409"/>
    </row>
    <row r="63" spans="1:26" ht="15.75" outlineLevel="1" x14ac:dyDescent="0.25">
      <c r="A63" s="494"/>
      <c r="B63" s="508"/>
      <c r="C63" s="508"/>
      <c r="D63" s="495"/>
      <c r="E63" s="999" t="s">
        <v>5</v>
      </c>
      <c r="F63" s="999" t="s">
        <v>5</v>
      </c>
      <c r="G63" s="999" t="s">
        <v>5</v>
      </c>
      <c r="H63" s="999"/>
      <c r="I63" s="999"/>
      <c r="J63" s="999"/>
      <c r="K63" s="1000" t="s">
        <v>5</v>
      </c>
      <c r="L63" s="496"/>
      <c r="M63" s="410"/>
      <c r="N63" s="409"/>
      <c r="O63" s="409" t="s">
        <v>5</v>
      </c>
      <c r="P63" s="409"/>
      <c r="Q63" s="409"/>
      <c r="R63" s="409"/>
      <c r="S63" s="409"/>
      <c r="T63" s="409"/>
      <c r="U63" s="409"/>
      <c r="V63" s="409"/>
      <c r="W63" s="409"/>
      <c r="X63" s="409"/>
      <c r="Y63" s="409"/>
      <c r="Z63" s="409"/>
    </row>
    <row r="64" spans="1:26" ht="15.75" outlineLevel="1" x14ac:dyDescent="0.25">
      <c r="A64" s="494"/>
      <c r="B64" s="508"/>
      <c r="C64" s="508"/>
      <c r="D64" s="495"/>
      <c r="E64" s="999" t="s">
        <v>5</v>
      </c>
      <c r="F64" s="999" t="s">
        <v>5</v>
      </c>
      <c r="G64" s="999" t="s">
        <v>5</v>
      </c>
      <c r="H64" s="999"/>
      <c r="I64" s="999"/>
      <c r="J64" s="999"/>
      <c r="K64" s="1000" t="s">
        <v>5</v>
      </c>
      <c r="L64" s="496"/>
      <c r="M64" s="410"/>
      <c r="N64" s="409"/>
      <c r="O64" s="409" t="s">
        <v>5</v>
      </c>
      <c r="P64" s="409"/>
      <c r="Q64" s="409"/>
      <c r="R64" s="409"/>
      <c r="S64" s="409"/>
      <c r="T64" s="409"/>
      <c r="U64" s="409"/>
      <c r="V64" s="409"/>
      <c r="W64" s="409"/>
      <c r="X64" s="409"/>
      <c r="Y64" s="409"/>
      <c r="Z64" s="409"/>
    </row>
    <row r="65" spans="1:26" ht="15.75" outlineLevel="1" x14ac:dyDescent="0.25">
      <c r="A65" s="494"/>
      <c r="B65" s="508"/>
      <c r="C65" s="508"/>
      <c r="D65" s="495"/>
      <c r="E65" s="999" t="s">
        <v>5</v>
      </c>
      <c r="F65" s="999" t="s">
        <v>5</v>
      </c>
      <c r="G65" s="999" t="s">
        <v>5</v>
      </c>
      <c r="H65" s="999"/>
      <c r="I65" s="999"/>
      <c r="J65" s="999"/>
      <c r="K65" s="1000" t="s">
        <v>5</v>
      </c>
      <c r="L65" s="496"/>
      <c r="M65" s="410"/>
      <c r="N65" s="409"/>
      <c r="O65" s="409" t="s">
        <v>5</v>
      </c>
      <c r="P65" s="409"/>
      <c r="Q65" s="409"/>
      <c r="R65" s="409"/>
      <c r="S65" s="409"/>
      <c r="T65" s="409"/>
      <c r="U65" s="409"/>
      <c r="V65" s="409"/>
      <c r="W65" s="409"/>
      <c r="X65" s="409"/>
      <c r="Y65" s="409"/>
      <c r="Z65" s="409"/>
    </row>
    <row r="66" spans="1:26" ht="15.75" outlineLevel="1" x14ac:dyDescent="0.25">
      <c r="A66" s="494"/>
      <c r="B66" s="508"/>
      <c r="C66" s="508"/>
      <c r="D66" s="495"/>
      <c r="E66" s="999" t="s">
        <v>5</v>
      </c>
      <c r="F66" s="999" t="s">
        <v>5</v>
      </c>
      <c r="G66" s="999" t="s">
        <v>5</v>
      </c>
      <c r="H66" s="999"/>
      <c r="I66" s="999"/>
      <c r="J66" s="999"/>
      <c r="K66" s="1000" t="s">
        <v>5</v>
      </c>
      <c r="L66" s="496"/>
      <c r="M66" s="410"/>
      <c r="N66" s="409"/>
      <c r="O66" s="409" t="s">
        <v>5</v>
      </c>
      <c r="P66" s="409"/>
      <c r="Q66" s="409"/>
      <c r="R66" s="409"/>
      <c r="S66" s="409"/>
      <c r="T66" s="409"/>
      <c r="U66" s="409"/>
      <c r="V66" s="409"/>
      <c r="W66" s="409"/>
      <c r="X66" s="409"/>
      <c r="Y66" s="409"/>
      <c r="Z66" s="409"/>
    </row>
    <row r="67" spans="1:26" ht="18.75" outlineLevel="1" x14ac:dyDescent="0.25">
      <c r="A67" s="505"/>
      <c r="B67" s="505"/>
      <c r="C67" s="506"/>
      <c r="D67" s="506"/>
      <c r="E67" s="507"/>
      <c r="F67" s="507"/>
      <c r="G67" s="507"/>
      <c r="H67" s="507"/>
      <c r="I67" s="507"/>
      <c r="J67" s="507"/>
      <c r="K67" s="507"/>
      <c r="L67" s="507"/>
      <c r="M67" s="507"/>
      <c r="N67" s="507"/>
      <c r="O67" s="507" t="s">
        <v>5</v>
      </c>
      <c r="P67" s="507"/>
      <c r="Q67" s="507"/>
      <c r="R67" s="507"/>
      <c r="S67" s="507"/>
      <c r="T67" s="507"/>
      <c r="U67" s="507"/>
      <c r="V67" s="507"/>
      <c r="W67" s="507"/>
      <c r="X67" s="507"/>
      <c r="Y67" s="507"/>
      <c r="Z67" s="507"/>
    </row>
    <row r="68" spans="1:26" ht="15.75" outlineLevel="1" x14ac:dyDescent="0.25">
      <c r="A68" s="494"/>
      <c r="B68" s="508"/>
      <c r="C68" s="508"/>
      <c r="D68" s="495"/>
      <c r="E68" s="999" t="s">
        <v>5</v>
      </c>
      <c r="F68" s="999" t="s">
        <v>5</v>
      </c>
      <c r="G68" s="999" t="s">
        <v>5</v>
      </c>
      <c r="H68" s="999"/>
      <c r="I68" s="999"/>
      <c r="J68" s="999"/>
      <c r="K68" s="1000" t="s">
        <v>5</v>
      </c>
      <c r="L68" s="496"/>
      <c r="M68" s="410"/>
      <c r="N68" s="409"/>
      <c r="O68" s="409" t="s">
        <v>5</v>
      </c>
      <c r="P68" s="409"/>
      <c r="Q68" s="409"/>
      <c r="R68" s="409"/>
      <c r="S68" s="409"/>
      <c r="T68" s="409"/>
      <c r="U68" s="409"/>
      <c r="V68" s="409"/>
      <c r="W68" s="409"/>
      <c r="X68" s="409"/>
      <c r="Y68" s="409"/>
      <c r="Z68" s="409"/>
    </row>
    <row r="69" spans="1:26" ht="15.75" outlineLevel="1" x14ac:dyDescent="0.25">
      <c r="A69" s="494"/>
      <c r="B69" s="508"/>
      <c r="C69" s="508"/>
      <c r="D69" s="495"/>
      <c r="E69" s="999" t="s">
        <v>5</v>
      </c>
      <c r="F69" s="999" t="s">
        <v>5</v>
      </c>
      <c r="G69" s="999" t="s">
        <v>5</v>
      </c>
      <c r="H69" s="999"/>
      <c r="I69" s="999"/>
      <c r="J69" s="999"/>
      <c r="K69" s="1000" t="s">
        <v>5</v>
      </c>
      <c r="L69" s="496"/>
      <c r="M69" s="410"/>
      <c r="N69" s="409"/>
      <c r="O69" s="409" t="s">
        <v>5</v>
      </c>
      <c r="P69" s="409"/>
      <c r="Q69" s="409"/>
      <c r="R69" s="409"/>
      <c r="S69" s="409"/>
      <c r="T69" s="409"/>
      <c r="U69" s="409"/>
      <c r="V69" s="409"/>
      <c r="W69" s="409"/>
      <c r="X69" s="409"/>
      <c r="Y69" s="409"/>
      <c r="Z69" s="409"/>
    </row>
    <row r="70" spans="1:26" ht="15.75" outlineLevel="1" x14ac:dyDescent="0.25">
      <c r="A70" s="494"/>
      <c r="B70" s="508"/>
      <c r="C70" s="508"/>
      <c r="D70" s="495"/>
      <c r="E70" s="999" t="s">
        <v>5</v>
      </c>
      <c r="F70" s="999" t="s">
        <v>5</v>
      </c>
      <c r="G70" s="999" t="s">
        <v>5</v>
      </c>
      <c r="H70" s="999"/>
      <c r="I70" s="999"/>
      <c r="J70" s="999"/>
      <c r="K70" s="1000" t="s">
        <v>5</v>
      </c>
      <c r="L70" s="496"/>
      <c r="M70" s="410"/>
      <c r="N70" s="409"/>
      <c r="O70" s="409" t="s">
        <v>5</v>
      </c>
      <c r="P70" s="409"/>
      <c r="Q70" s="409"/>
      <c r="R70" s="409"/>
      <c r="S70" s="409"/>
      <c r="T70" s="409"/>
      <c r="U70" s="409"/>
      <c r="V70" s="409"/>
      <c r="W70" s="409"/>
      <c r="X70" s="409"/>
      <c r="Y70" s="409"/>
      <c r="Z70" s="409"/>
    </row>
    <row r="71" spans="1:26" ht="15.75" outlineLevel="1" x14ac:dyDescent="0.25">
      <c r="A71" s="494"/>
      <c r="B71" s="508"/>
      <c r="C71" s="508"/>
      <c r="D71" s="495"/>
      <c r="E71" s="999" t="s">
        <v>5</v>
      </c>
      <c r="F71" s="999" t="s">
        <v>5</v>
      </c>
      <c r="G71" s="999" t="s">
        <v>5</v>
      </c>
      <c r="H71" s="999"/>
      <c r="I71" s="999"/>
      <c r="J71" s="999"/>
      <c r="K71" s="1000" t="s">
        <v>5</v>
      </c>
      <c r="L71" s="496"/>
      <c r="M71" s="410"/>
      <c r="N71" s="409"/>
      <c r="O71" s="409" t="s">
        <v>5</v>
      </c>
      <c r="P71" s="409"/>
      <c r="Q71" s="409"/>
      <c r="R71" s="409"/>
      <c r="S71" s="409"/>
      <c r="T71" s="409"/>
      <c r="U71" s="409"/>
      <c r="V71" s="409"/>
      <c r="W71" s="409"/>
      <c r="X71" s="409"/>
      <c r="Y71" s="409"/>
      <c r="Z71" s="409"/>
    </row>
    <row r="72" spans="1:26" ht="15.75" outlineLevel="1" x14ac:dyDescent="0.25">
      <c r="A72" s="494"/>
      <c r="B72" s="508"/>
      <c r="C72" s="508"/>
      <c r="D72" s="495"/>
      <c r="E72" s="999" t="s">
        <v>5</v>
      </c>
      <c r="F72" s="999" t="s">
        <v>5</v>
      </c>
      <c r="G72" s="999" t="s">
        <v>5</v>
      </c>
      <c r="H72" s="999"/>
      <c r="I72" s="999"/>
      <c r="J72" s="999"/>
      <c r="K72" s="1000" t="s">
        <v>5</v>
      </c>
      <c r="L72" s="496"/>
      <c r="M72" s="410"/>
      <c r="N72" s="409"/>
      <c r="O72" s="409" t="s">
        <v>5</v>
      </c>
      <c r="P72" s="409"/>
      <c r="Q72" s="409"/>
      <c r="R72" s="409"/>
      <c r="S72" s="409"/>
      <c r="T72" s="409"/>
      <c r="U72" s="409"/>
      <c r="V72" s="409"/>
      <c r="W72" s="409"/>
      <c r="X72" s="409"/>
      <c r="Y72" s="409"/>
      <c r="Z72" s="409"/>
    </row>
    <row r="73" spans="1:26" ht="18.75" outlineLevel="1" x14ac:dyDescent="0.25">
      <c r="A73" s="505"/>
      <c r="B73" s="505"/>
      <c r="C73" s="506"/>
      <c r="D73" s="506"/>
      <c r="E73" s="507"/>
      <c r="F73" s="507"/>
      <c r="G73" s="507"/>
      <c r="H73" s="507"/>
      <c r="I73" s="507"/>
      <c r="J73" s="507"/>
      <c r="K73" s="507"/>
      <c r="L73" s="507"/>
      <c r="M73" s="507"/>
      <c r="N73" s="507"/>
      <c r="O73" s="507" t="s">
        <v>5</v>
      </c>
      <c r="P73" s="507"/>
      <c r="Q73" s="507"/>
      <c r="R73" s="507"/>
      <c r="S73" s="507"/>
      <c r="T73" s="507"/>
      <c r="U73" s="507"/>
      <c r="V73" s="507"/>
      <c r="W73" s="507"/>
      <c r="X73" s="507"/>
      <c r="Y73" s="507"/>
      <c r="Z73" s="507"/>
    </row>
    <row r="74" spans="1:26" ht="15.75" outlineLevel="1" x14ac:dyDescent="0.25">
      <c r="A74" s="494"/>
      <c r="B74" s="508"/>
      <c r="C74" s="508"/>
      <c r="D74" s="495"/>
      <c r="E74" s="999" t="s">
        <v>5</v>
      </c>
      <c r="F74" s="999" t="s">
        <v>5</v>
      </c>
      <c r="G74" s="999" t="s">
        <v>5</v>
      </c>
      <c r="H74" s="999"/>
      <c r="I74" s="999"/>
      <c r="J74" s="999"/>
      <c r="K74" s="1000" t="s">
        <v>5</v>
      </c>
      <c r="L74" s="496"/>
      <c r="M74" s="410"/>
      <c r="N74" s="409"/>
      <c r="O74" s="409" t="s">
        <v>5</v>
      </c>
      <c r="P74" s="409"/>
      <c r="Q74" s="409"/>
      <c r="R74" s="409"/>
      <c r="S74" s="409"/>
      <c r="T74" s="409"/>
      <c r="U74" s="409"/>
      <c r="V74" s="409"/>
      <c r="W74" s="409"/>
      <c r="X74" s="409"/>
      <c r="Y74" s="409"/>
      <c r="Z74" s="409"/>
    </row>
    <row r="75" spans="1:26" ht="15.75" outlineLevel="1" x14ac:dyDescent="0.25">
      <c r="A75" s="494"/>
      <c r="B75" s="508"/>
      <c r="C75" s="508"/>
      <c r="D75" s="495"/>
      <c r="E75" s="999" t="s">
        <v>5</v>
      </c>
      <c r="F75" s="999" t="s">
        <v>5</v>
      </c>
      <c r="G75" s="999" t="s">
        <v>5</v>
      </c>
      <c r="H75" s="999"/>
      <c r="I75" s="999"/>
      <c r="J75" s="999"/>
      <c r="K75" s="1000" t="s">
        <v>5</v>
      </c>
      <c r="L75" s="496"/>
      <c r="M75" s="410"/>
      <c r="N75" s="409"/>
      <c r="O75" s="409" t="s">
        <v>5</v>
      </c>
      <c r="P75" s="409"/>
      <c r="Q75" s="409"/>
      <c r="R75" s="409"/>
      <c r="S75" s="409"/>
      <c r="T75" s="409"/>
      <c r="U75" s="409"/>
      <c r="V75" s="409"/>
      <c r="W75" s="409"/>
      <c r="X75" s="409"/>
      <c r="Y75" s="409"/>
      <c r="Z75" s="409"/>
    </row>
    <row r="76" spans="1:26" ht="15.75" outlineLevel="1" x14ac:dyDescent="0.25">
      <c r="A76" s="494"/>
      <c r="B76" s="508"/>
      <c r="C76" s="508"/>
      <c r="D76" s="495"/>
      <c r="E76" s="999" t="s">
        <v>5</v>
      </c>
      <c r="F76" s="999" t="s">
        <v>5</v>
      </c>
      <c r="G76" s="999" t="s">
        <v>5</v>
      </c>
      <c r="H76" s="999"/>
      <c r="I76" s="999"/>
      <c r="J76" s="999"/>
      <c r="K76" s="1000" t="s">
        <v>5</v>
      </c>
      <c r="L76" s="496"/>
      <c r="M76" s="410"/>
      <c r="N76" s="409"/>
      <c r="O76" s="409" t="s">
        <v>5</v>
      </c>
      <c r="P76" s="409"/>
      <c r="Q76" s="409"/>
      <c r="R76" s="409"/>
      <c r="S76" s="409"/>
      <c r="T76" s="409"/>
      <c r="U76" s="409"/>
      <c r="V76" s="409"/>
      <c r="W76" s="409"/>
      <c r="X76" s="409"/>
      <c r="Y76" s="409"/>
      <c r="Z76" s="409"/>
    </row>
    <row r="77" spans="1:26" ht="15.75" outlineLevel="1" x14ac:dyDescent="0.25">
      <c r="A77" s="494"/>
      <c r="B77" s="508"/>
      <c r="C77" s="508"/>
      <c r="D77" s="495"/>
      <c r="E77" s="999" t="s">
        <v>5</v>
      </c>
      <c r="F77" s="999" t="s">
        <v>5</v>
      </c>
      <c r="G77" s="999" t="s">
        <v>5</v>
      </c>
      <c r="H77" s="999"/>
      <c r="I77" s="999"/>
      <c r="J77" s="999"/>
      <c r="K77" s="1000" t="s">
        <v>5</v>
      </c>
      <c r="L77" s="496"/>
      <c r="M77" s="410"/>
      <c r="N77" s="409"/>
      <c r="O77" s="409" t="s">
        <v>5</v>
      </c>
      <c r="P77" s="409"/>
      <c r="Q77" s="409"/>
      <c r="R77" s="409"/>
      <c r="S77" s="409"/>
      <c r="T77" s="409"/>
      <c r="U77" s="409"/>
      <c r="V77" s="409"/>
      <c r="W77" s="409"/>
      <c r="X77" s="409"/>
      <c r="Y77" s="409"/>
      <c r="Z77" s="409"/>
    </row>
    <row r="78" spans="1:26" ht="15.75" outlineLevel="1" x14ac:dyDescent="0.25">
      <c r="A78" s="494"/>
      <c r="B78" s="508"/>
      <c r="C78" s="508"/>
      <c r="D78" s="495"/>
      <c r="E78" s="999" t="s">
        <v>5</v>
      </c>
      <c r="F78" s="999" t="s">
        <v>5</v>
      </c>
      <c r="G78" s="999" t="s">
        <v>5</v>
      </c>
      <c r="H78" s="999"/>
      <c r="I78" s="999"/>
      <c r="J78" s="999"/>
      <c r="K78" s="1000" t="s">
        <v>5</v>
      </c>
      <c r="L78" s="496"/>
      <c r="M78" s="410"/>
      <c r="N78" s="409"/>
      <c r="O78" s="409" t="s">
        <v>5</v>
      </c>
      <c r="P78" s="409"/>
      <c r="Q78" s="409"/>
      <c r="R78" s="409"/>
      <c r="S78" s="409"/>
      <c r="T78" s="409"/>
      <c r="U78" s="409"/>
      <c r="V78" s="409"/>
      <c r="W78" s="409"/>
      <c r="X78" s="409"/>
      <c r="Y78" s="409"/>
      <c r="Z78" s="409"/>
    </row>
    <row r="80" spans="1:26" ht="18.75" x14ac:dyDescent="0.25">
      <c r="A80" s="489" t="s">
        <v>37</v>
      </c>
      <c r="B80" s="489"/>
      <c r="C80" s="490"/>
      <c r="D80" s="490"/>
      <c r="E80" s="402"/>
      <c r="F80" s="402"/>
      <c r="G80" s="402"/>
      <c r="H80" s="491"/>
      <c r="I80" s="491"/>
      <c r="J80" s="402"/>
      <c r="K80" s="402"/>
      <c r="L80" s="402"/>
      <c r="M80" s="402"/>
      <c r="N80" s="402"/>
      <c r="O80" s="402" t="s">
        <v>5</v>
      </c>
      <c r="P80" s="402"/>
      <c r="Q80" s="402"/>
      <c r="R80" s="402"/>
      <c r="S80" s="402"/>
      <c r="T80" s="402"/>
      <c r="U80" s="402"/>
      <c r="V80" s="402"/>
      <c r="W80" s="402"/>
      <c r="X80" s="402"/>
      <c r="Y80" s="402"/>
      <c r="Z80" s="402"/>
    </row>
    <row r="81" spans="1:26" ht="18.75" x14ac:dyDescent="0.25">
      <c r="A81" s="505" t="str">
        <f>CONCATENATE(B17," ",C17)</f>
        <v>Open Pit and Waste Dump Feasibility Study La Fortuna</v>
      </c>
      <c r="B81" s="505"/>
      <c r="C81" s="506"/>
      <c r="D81" s="506"/>
      <c r="E81" s="507"/>
      <c r="F81" s="507"/>
      <c r="G81" s="507"/>
      <c r="H81" s="507"/>
      <c r="I81" s="507"/>
      <c r="J81" s="507"/>
      <c r="K81" s="507"/>
      <c r="L81" s="507"/>
      <c r="M81" s="507"/>
      <c r="N81" s="507"/>
      <c r="O81" s="507" t="s">
        <v>5</v>
      </c>
      <c r="P81" s="507"/>
      <c r="Q81" s="507"/>
      <c r="R81" s="507"/>
      <c r="S81" s="507"/>
      <c r="T81" s="507"/>
      <c r="U81" s="507"/>
      <c r="V81" s="507"/>
      <c r="W81" s="507"/>
      <c r="X81" s="507"/>
      <c r="Y81" s="507"/>
      <c r="Z81" s="507"/>
    </row>
    <row r="82" spans="1:26" ht="75" x14ac:dyDescent="0.25">
      <c r="A82" s="492" t="s">
        <v>261</v>
      </c>
      <c r="B82" s="492" t="s">
        <v>13</v>
      </c>
      <c r="C82" s="492" t="s">
        <v>14</v>
      </c>
      <c r="D82" s="509" t="s">
        <v>286</v>
      </c>
      <c r="E82" s="404" t="s">
        <v>16</v>
      </c>
      <c r="F82" s="404" t="s">
        <v>295</v>
      </c>
      <c r="G82" s="404" t="s">
        <v>39</v>
      </c>
      <c r="H82" s="404" t="s">
        <v>297</v>
      </c>
      <c r="I82" s="404" t="s">
        <v>298</v>
      </c>
      <c r="J82" s="404" t="s">
        <v>299</v>
      </c>
      <c r="K82" s="404" t="s">
        <v>300</v>
      </c>
      <c r="L82" s="404" t="s">
        <v>17</v>
      </c>
      <c r="M82" s="404" t="s">
        <v>18</v>
      </c>
      <c r="N82" s="404" t="s">
        <v>19</v>
      </c>
      <c r="O82" s="493">
        <v>43101</v>
      </c>
      <c r="P82" s="493">
        <v>43132</v>
      </c>
      <c r="Q82" s="493">
        <v>43160</v>
      </c>
      <c r="R82" s="493">
        <v>43191</v>
      </c>
      <c r="S82" s="493">
        <v>43221</v>
      </c>
      <c r="T82" s="493">
        <v>43252</v>
      </c>
      <c r="U82" s="493">
        <v>43282</v>
      </c>
      <c r="V82" s="493">
        <v>43313</v>
      </c>
      <c r="W82" s="493">
        <v>43344</v>
      </c>
      <c r="X82" s="493">
        <v>43374</v>
      </c>
      <c r="Y82" s="493">
        <v>43405</v>
      </c>
      <c r="Z82" s="493">
        <v>43435</v>
      </c>
    </row>
    <row r="83" spans="1:26" ht="45" x14ac:dyDescent="0.25">
      <c r="A83" s="494" t="s">
        <v>2255</v>
      </c>
      <c r="B83" s="508" t="s">
        <v>625</v>
      </c>
      <c r="C83" s="508" t="s">
        <v>625</v>
      </c>
      <c r="D83" s="495" t="s">
        <v>626</v>
      </c>
      <c r="E83" s="496" t="s">
        <v>244</v>
      </c>
      <c r="F83" s="496" t="s">
        <v>437</v>
      </c>
      <c r="G83" s="511" t="s">
        <v>627</v>
      </c>
      <c r="H83" s="496" t="s">
        <v>42</v>
      </c>
      <c r="I83" s="496" t="s">
        <v>42</v>
      </c>
      <c r="J83" s="496" t="s">
        <v>42</v>
      </c>
      <c r="K83" s="496" t="s">
        <v>42</v>
      </c>
      <c r="L83" s="496">
        <v>12</v>
      </c>
      <c r="N83" s="512">
        <f t="shared" ref="N83" si="5">SUM(O83:Z83)</f>
        <v>448679</v>
      </c>
      <c r="O83" s="496">
        <v>86457</v>
      </c>
      <c r="P83" s="496">
        <v>86457</v>
      </c>
      <c r="Q83" s="496">
        <v>88232.5</v>
      </c>
      <c r="R83" s="496">
        <v>88232.5</v>
      </c>
      <c r="S83" s="496">
        <v>99300</v>
      </c>
      <c r="T83" s="496"/>
      <c r="U83" s="496"/>
      <c r="V83" s="496"/>
      <c r="W83" s="496"/>
      <c r="X83" s="496"/>
      <c r="Y83" s="496"/>
      <c r="Z83" s="496"/>
    </row>
    <row r="84" spans="1:26" s="517" customFormat="1" ht="21" x14ac:dyDescent="0.25">
      <c r="A84" s="513"/>
      <c r="B84" s="514"/>
      <c r="C84" s="514"/>
      <c r="D84" s="514"/>
      <c r="E84" s="515"/>
      <c r="F84" s="515"/>
      <c r="G84" s="515"/>
      <c r="H84" s="515"/>
      <c r="I84" s="515"/>
      <c r="J84" s="516" t="s">
        <v>20</v>
      </c>
      <c r="K84" s="515"/>
      <c r="L84" s="404">
        <f t="shared" ref="L84:Z84" si="6">SUM(L83:L83)</f>
        <v>12</v>
      </c>
      <c r="M84" s="404">
        <f t="shared" si="6"/>
        <v>0</v>
      </c>
      <c r="N84" s="404">
        <f t="shared" si="6"/>
        <v>448679</v>
      </c>
      <c r="O84" s="404">
        <f t="shared" si="6"/>
        <v>86457</v>
      </c>
      <c r="P84" s="404">
        <f t="shared" si="6"/>
        <v>86457</v>
      </c>
      <c r="Q84" s="404">
        <f t="shared" si="6"/>
        <v>88232.5</v>
      </c>
      <c r="R84" s="404">
        <f t="shared" si="6"/>
        <v>88232.5</v>
      </c>
      <c r="S84" s="404">
        <f t="shared" si="6"/>
        <v>99300</v>
      </c>
      <c r="T84" s="404">
        <f t="shared" si="6"/>
        <v>0</v>
      </c>
      <c r="U84" s="404">
        <f t="shared" si="6"/>
        <v>0</v>
      </c>
      <c r="V84" s="404">
        <f t="shared" si="6"/>
        <v>0</v>
      </c>
      <c r="W84" s="404">
        <f t="shared" si="6"/>
        <v>0</v>
      </c>
      <c r="X84" s="404">
        <f t="shared" si="6"/>
        <v>0</v>
      </c>
      <c r="Y84" s="404">
        <f t="shared" si="6"/>
        <v>0</v>
      </c>
      <c r="Z84" s="404">
        <f t="shared" si="6"/>
        <v>0</v>
      </c>
    </row>
    <row r="85" spans="1:26" ht="18.75" x14ac:dyDescent="0.25">
      <c r="A85" s="505" t="str">
        <f>CONCATENATE(B18," ",C18)</f>
        <v>Open Pit FS Optimization Relincho</v>
      </c>
      <c r="B85" s="505"/>
      <c r="C85" s="506"/>
      <c r="D85" s="506"/>
      <c r="E85" s="507"/>
      <c r="F85" s="507"/>
      <c r="G85" s="507"/>
      <c r="H85" s="507"/>
      <c r="I85" s="507"/>
      <c r="J85" s="507"/>
      <c r="K85" s="507"/>
      <c r="L85" s="507"/>
      <c r="M85" s="507"/>
      <c r="N85" s="507"/>
      <c r="O85" s="507" t="s">
        <v>5</v>
      </c>
      <c r="P85" s="507"/>
      <c r="Q85" s="507"/>
      <c r="R85" s="507"/>
      <c r="S85" s="507"/>
      <c r="T85" s="507"/>
      <c r="U85" s="507"/>
      <c r="V85" s="507"/>
      <c r="W85" s="507"/>
      <c r="X85" s="507"/>
      <c r="Y85" s="507"/>
      <c r="Z85" s="507"/>
    </row>
    <row r="86" spans="1:26" ht="75" x14ac:dyDescent="0.25">
      <c r="A86" s="492" t="s">
        <v>261</v>
      </c>
      <c r="B86" s="492" t="s">
        <v>13</v>
      </c>
      <c r="C86" s="492" t="s">
        <v>14</v>
      </c>
      <c r="D86" s="509" t="s">
        <v>286</v>
      </c>
      <c r="E86" s="404" t="s">
        <v>16</v>
      </c>
      <c r="F86" s="404" t="s">
        <v>295</v>
      </c>
      <c r="G86" s="404" t="s">
        <v>39</v>
      </c>
      <c r="H86" s="404" t="s">
        <v>297</v>
      </c>
      <c r="I86" s="404" t="s">
        <v>298</v>
      </c>
      <c r="J86" s="404" t="s">
        <v>299</v>
      </c>
      <c r="K86" s="404" t="s">
        <v>300</v>
      </c>
      <c r="L86" s="404" t="s">
        <v>17</v>
      </c>
      <c r="M86" s="404" t="s">
        <v>18</v>
      </c>
      <c r="N86" s="404" t="s">
        <v>19</v>
      </c>
      <c r="O86" s="493">
        <v>43101</v>
      </c>
      <c r="P86" s="493">
        <v>43132</v>
      </c>
      <c r="Q86" s="493">
        <v>43160</v>
      </c>
      <c r="R86" s="493">
        <v>43191</v>
      </c>
      <c r="S86" s="493">
        <v>43221</v>
      </c>
      <c r="T86" s="493">
        <v>43252</v>
      </c>
      <c r="U86" s="493">
        <v>43282</v>
      </c>
      <c r="V86" s="493">
        <v>43313</v>
      </c>
      <c r="W86" s="493">
        <v>43344</v>
      </c>
      <c r="X86" s="493">
        <v>43374</v>
      </c>
      <c r="Y86" s="493">
        <v>43405</v>
      </c>
      <c r="Z86" s="493">
        <v>43435</v>
      </c>
    </row>
    <row r="87" spans="1:26" ht="75" x14ac:dyDescent="0.25">
      <c r="A87" s="636" t="s">
        <v>2258</v>
      </c>
      <c r="B87" s="636" t="s">
        <v>162</v>
      </c>
      <c r="C87" s="636" t="s">
        <v>628</v>
      </c>
      <c r="D87" s="638" t="s">
        <v>629</v>
      </c>
      <c r="E87" s="512" t="s">
        <v>244</v>
      </c>
      <c r="F87" s="512"/>
      <c r="G87" s="512" t="s">
        <v>630</v>
      </c>
      <c r="H87" s="512" t="s">
        <v>43</v>
      </c>
      <c r="I87" s="512" t="s">
        <v>43</v>
      </c>
      <c r="J87" s="512" t="s">
        <v>195</v>
      </c>
      <c r="K87" s="512" t="s">
        <v>48</v>
      </c>
      <c r="L87" s="512">
        <v>5</v>
      </c>
      <c r="M87" s="512"/>
      <c r="N87" s="512">
        <f>SUM(O87:Z87)</f>
        <v>0</v>
      </c>
      <c r="O87" s="512"/>
      <c r="P87" s="512"/>
      <c r="Q87" s="512"/>
      <c r="R87" s="512"/>
      <c r="S87" s="512"/>
      <c r="T87" s="512"/>
      <c r="U87" s="512">
        <v>0</v>
      </c>
      <c r="V87" s="512">
        <v>0</v>
      </c>
      <c r="W87" s="512">
        <v>0</v>
      </c>
      <c r="X87" s="512">
        <v>0</v>
      </c>
      <c r="Y87" s="512">
        <v>0</v>
      </c>
      <c r="Z87" s="512"/>
    </row>
    <row r="88" spans="1:26" ht="58.9" customHeight="1" x14ac:dyDescent="0.25">
      <c r="A88" s="636" t="s">
        <v>2260</v>
      </c>
      <c r="B88" s="636" t="s">
        <v>631</v>
      </c>
      <c r="C88" s="636" t="s">
        <v>632</v>
      </c>
      <c r="D88" s="638" t="s">
        <v>633</v>
      </c>
      <c r="E88" s="512" t="s">
        <v>244</v>
      </c>
      <c r="F88" s="512"/>
      <c r="G88" s="512" t="s">
        <v>493</v>
      </c>
      <c r="H88" s="512" t="s">
        <v>43</v>
      </c>
      <c r="I88" s="512" t="s">
        <v>43</v>
      </c>
      <c r="J88" s="512" t="s">
        <v>195</v>
      </c>
      <c r="K88" s="512" t="s">
        <v>49</v>
      </c>
      <c r="L88" s="512">
        <v>5</v>
      </c>
      <c r="M88" s="512"/>
      <c r="N88" s="512">
        <f>SUM(O88:Z88)</f>
        <v>0</v>
      </c>
      <c r="O88" s="512"/>
      <c r="P88" s="512"/>
      <c r="Q88" s="512"/>
      <c r="R88" s="512"/>
      <c r="S88" s="512"/>
      <c r="T88" s="512"/>
      <c r="U88" s="512"/>
      <c r="V88" s="512"/>
      <c r="W88" s="512"/>
      <c r="X88" s="512"/>
      <c r="Y88" s="512"/>
      <c r="Z88" s="512"/>
    </row>
    <row r="89" spans="1:26" ht="105" x14ac:dyDescent="0.25">
      <c r="A89" s="636" t="s">
        <v>2262</v>
      </c>
      <c r="B89" s="636" t="s">
        <v>625</v>
      </c>
      <c r="C89" s="636" t="s">
        <v>634</v>
      </c>
      <c r="D89" s="638" t="s">
        <v>1482</v>
      </c>
      <c r="E89" s="512" t="s">
        <v>244</v>
      </c>
      <c r="F89" s="512"/>
      <c r="G89" s="512" t="s">
        <v>635</v>
      </c>
      <c r="H89" s="512" t="s">
        <v>42</v>
      </c>
      <c r="I89" s="512" t="s">
        <v>42</v>
      </c>
      <c r="J89" s="512" t="s">
        <v>45</v>
      </c>
      <c r="K89" s="512" t="s">
        <v>47</v>
      </c>
      <c r="L89" s="512">
        <v>7</v>
      </c>
      <c r="M89" s="512"/>
      <c r="N89" s="512">
        <f>SUM(P89:Z89)</f>
        <v>200000</v>
      </c>
      <c r="P89" s="912">
        <v>20000</v>
      </c>
      <c r="Q89" s="912">
        <v>20000</v>
      </c>
      <c r="R89" s="912">
        <v>20000</v>
      </c>
      <c r="S89" s="912">
        <v>20000</v>
      </c>
      <c r="T89" s="912">
        <v>20000</v>
      </c>
      <c r="U89" s="912">
        <v>20000</v>
      </c>
      <c r="V89" s="912">
        <v>20000</v>
      </c>
      <c r="W89" s="912">
        <v>20000</v>
      </c>
      <c r="X89" s="912">
        <v>20000</v>
      </c>
      <c r="Y89" s="912">
        <v>20000</v>
      </c>
      <c r="Z89" s="512"/>
    </row>
    <row r="90" spans="1:26" ht="90" x14ac:dyDescent="0.25">
      <c r="A90" s="636" t="s">
        <v>2263</v>
      </c>
      <c r="B90" s="636" t="s">
        <v>636</v>
      </c>
      <c r="C90" s="636" t="s">
        <v>637</v>
      </c>
      <c r="D90" s="638" t="s">
        <v>638</v>
      </c>
      <c r="E90" s="512" t="s">
        <v>244</v>
      </c>
      <c r="F90" s="638"/>
      <c r="G90" s="512" t="s">
        <v>493</v>
      </c>
      <c r="H90" s="512" t="s">
        <v>43</v>
      </c>
      <c r="I90" s="512" t="s">
        <v>43</v>
      </c>
      <c r="J90" s="512" t="s">
        <v>195</v>
      </c>
      <c r="K90" s="512" t="s">
        <v>48</v>
      </c>
      <c r="L90" s="512">
        <v>6</v>
      </c>
      <c r="M90" s="512"/>
      <c r="N90" s="512">
        <f t="shared" ref="N90:N92" si="7">SUM(O90:Z90)</f>
        <v>0</v>
      </c>
      <c r="O90" s="512"/>
      <c r="P90" s="512"/>
      <c r="Q90" s="512"/>
      <c r="R90" s="512"/>
      <c r="S90" s="512"/>
      <c r="T90" s="512"/>
      <c r="U90" s="512"/>
      <c r="V90" s="512"/>
      <c r="W90" s="512"/>
      <c r="X90" s="512"/>
      <c r="Y90" s="512"/>
      <c r="Z90" s="512"/>
    </row>
    <row r="91" spans="1:26" ht="60" x14ac:dyDescent="0.25">
      <c r="A91" s="636" t="s">
        <v>2264</v>
      </c>
      <c r="B91" s="636" t="s">
        <v>140</v>
      </c>
      <c r="C91" s="636" t="s">
        <v>639</v>
      </c>
      <c r="D91" s="638" t="s">
        <v>640</v>
      </c>
      <c r="E91" s="512" t="s">
        <v>244</v>
      </c>
      <c r="F91" s="638"/>
      <c r="G91" s="512" t="s">
        <v>140</v>
      </c>
      <c r="H91" s="512" t="s">
        <v>43</v>
      </c>
      <c r="I91" s="512" t="s">
        <v>43</v>
      </c>
      <c r="J91" s="512" t="s">
        <v>195</v>
      </c>
      <c r="K91" s="512" t="s">
        <v>48</v>
      </c>
      <c r="L91" s="512">
        <v>5</v>
      </c>
      <c r="M91" s="512"/>
      <c r="N91" s="512">
        <f t="shared" si="7"/>
        <v>0</v>
      </c>
      <c r="O91" s="512"/>
      <c r="P91" s="512"/>
      <c r="Q91" s="512"/>
      <c r="R91" s="512"/>
      <c r="S91" s="512"/>
      <c r="T91" s="512"/>
      <c r="U91" s="512"/>
      <c r="V91" s="512"/>
      <c r="W91" s="512"/>
      <c r="X91" s="512"/>
      <c r="Y91" s="512"/>
      <c r="Z91" s="512"/>
    </row>
    <row r="92" spans="1:26" ht="60" x14ac:dyDescent="0.25">
      <c r="A92" s="494" t="s">
        <v>2265</v>
      </c>
      <c r="B92" s="494" t="s">
        <v>641</v>
      </c>
      <c r="C92" s="494" t="s">
        <v>642</v>
      </c>
      <c r="D92" s="603" t="s">
        <v>643</v>
      </c>
      <c r="E92" s="496" t="s">
        <v>244</v>
      </c>
      <c r="F92" s="496"/>
      <c r="G92" s="496" t="s">
        <v>644</v>
      </c>
      <c r="H92" s="496" t="s">
        <v>43</v>
      </c>
      <c r="I92" s="496" t="s">
        <v>43</v>
      </c>
      <c r="J92" s="496" t="s">
        <v>44</v>
      </c>
      <c r="K92" s="496" t="s">
        <v>48</v>
      </c>
      <c r="L92" s="496">
        <v>5</v>
      </c>
      <c r="M92" s="496"/>
      <c r="N92" s="512">
        <f t="shared" si="7"/>
        <v>0</v>
      </c>
      <c r="O92" s="496"/>
      <c r="P92" s="496"/>
      <c r="Q92" s="496"/>
      <c r="R92" s="496"/>
      <c r="S92" s="496"/>
      <c r="T92" s="496"/>
      <c r="U92" s="496"/>
      <c r="V92" s="496"/>
      <c r="W92" s="496"/>
      <c r="X92" s="496"/>
      <c r="Y92" s="496"/>
      <c r="Z92" s="496"/>
    </row>
    <row r="93" spans="1:26" s="517" customFormat="1" ht="21" x14ac:dyDescent="0.25">
      <c r="A93" s="513"/>
      <c r="B93" s="514"/>
      <c r="C93" s="514"/>
      <c r="D93" s="514"/>
      <c r="E93" s="515"/>
      <c r="F93" s="515"/>
      <c r="G93" s="515"/>
      <c r="H93" s="515"/>
      <c r="I93" s="515"/>
      <c r="J93" s="516" t="s">
        <v>20</v>
      </c>
      <c r="K93" s="515"/>
      <c r="L93" s="404">
        <f>SUM(L87:L92)</f>
        <v>33</v>
      </c>
      <c r="M93" s="404">
        <f>SUM(M87:M92)</f>
        <v>0</v>
      </c>
      <c r="N93" s="404">
        <f t="shared" ref="N93:Z93" si="8">SUM(N87:N92)</f>
        <v>200000</v>
      </c>
      <c r="O93" s="404">
        <f t="shared" si="8"/>
        <v>0</v>
      </c>
      <c r="P93" s="404">
        <f t="shared" si="8"/>
        <v>20000</v>
      </c>
      <c r="Q93" s="404">
        <f t="shared" si="8"/>
        <v>20000</v>
      </c>
      <c r="R93" s="404">
        <f t="shared" si="8"/>
        <v>20000</v>
      </c>
      <c r="S93" s="404">
        <f t="shared" si="8"/>
        <v>20000</v>
      </c>
      <c r="T93" s="404">
        <f t="shared" si="8"/>
        <v>20000</v>
      </c>
      <c r="U93" s="404">
        <f t="shared" si="8"/>
        <v>20000</v>
      </c>
      <c r="V93" s="404">
        <f t="shared" si="8"/>
        <v>20000</v>
      </c>
      <c r="W93" s="404">
        <f t="shared" si="8"/>
        <v>20000</v>
      </c>
      <c r="X93" s="404">
        <f t="shared" si="8"/>
        <v>20000</v>
      </c>
      <c r="Y93" s="404">
        <f t="shared" si="8"/>
        <v>20000</v>
      </c>
      <c r="Z93" s="404">
        <f t="shared" si="8"/>
        <v>0</v>
      </c>
    </row>
    <row r="94" spans="1:26" ht="18.75" x14ac:dyDescent="0.25">
      <c r="A94" s="505" t="str">
        <f>CONCATENATE(B19," ",C19)</f>
        <v>Geotechnical Review Panel NuevaUnion</v>
      </c>
      <c r="B94" s="505"/>
      <c r="C94" s="506"/>
      <c r="D94" s="506"/>
      <c r="E94" s="507"/>
      <c r="F94" s="507"/>
      <c r="G94" s="507"/>
      <c r="H94" s="507"/>
      <c r="I94" s="507"/>
      <c r="J94" s="507"/>
      <c r="K94" s="507"/>
      <c r="L94" s="507"/>
      <c r="M94" s="507"/>
      <c r="N94" s="507"/>
      <c r="O94" s="507" t="s">
        <v>5</v>
      </c>
      <c r="P94" s="507"/>
      <c r="Q94" s="507"/>
      <c r="R94" s="507"/>
      <c r="S94" s="507"/>
      <c r="T94" s="507"/>
      <c r="U94" s="507"/>
      <c r="V94" s="507"/>
      <c r="W94" s="507"/>
      <c r="X94" s="507"/>
      <c r="Y94" s="507"/>
      <c r="Z94" s="507"/>
    </row>
    <row r="95" spans="1:26" ht="75" x14ac:dyDescent="0.25">
      <c r="A95" s="492" t="s">
        <v>261</v>
      </c>
      <c r="B95" s="492" t="s">
        <v>13</v>
      </c>
      <c r="C95" s="492" t="s">
        <v>14</v>
      </c>
      <c r="D95" s="509" t="s">
        <v>286</v>
      </c>
      <c r="E95" s="404" t="s">
        <v>16</v>
      </c>
      <c r="F95" s="404" t="s">
        <v>295</v>
      </c>
      <c r="G95" s="404" t="s">
        <v>39</v>
      </c>
      <c r="H95" s="404" t="s">
        <v>297</v>
      </c>
      <c r="I95" s="404" t="s">
        <v>298</v>
      </c>
      <c r="J95" s="404" t="s">
        <v>299</v>
      </c>
      <c r="K95" s="404" t="s">
        <v>300</v>
      </c>
      <c r="L95" s="404" t="s">
        <v>17</v>
      </c>
      <c r="M95" s="404" t="s">
        <v>18</v>
      </c>
      <c r="N95" s="404" t="s">
        <v>19</v>
      </c>
      <c r="O95" s="493">
        <v>43101</v>
      </c>
      <c r="P95" s="493">
        <v>43132</v>
      </c>
      <c r="Q95" s="493">
        <v>43160</v>
      </c>
      <c r="R95" s="493">
        <v>43191</v>
      </c>
      <c r="S95" s="493">
        <v>43221</v>
      </c>
      <c r="T95" s="493">
        <v>43252</v>
      </c>
      <c r="U95" s="493">
        <v>43282</v>
      </c>
      <c r="V95" s="493">
        <v>43313</v>
      </c>
      <c r="W95" s="493">
        <v>43344</v>
      </c>
      <c r="X95" s="493">
        <v>43374</v>
      </c>
      <c r="Y95" s="493">
        <v>43405</v>
      </c>
      <c r="Z95" s="493">
        <v>43435</v>
      </c>
    </row>
    <row r="96" spans="1:26" ht="45" x14ac:dyDescent="0.25">
      <c r="A96" s="494" t="s">
        <v>2267</v>
      </c>
      <c r="B96" s="494" t="s">
        <v>645</v>
      </c>
      <c r="C96" s="494" t="s">
        <v>625</v>
      </c>
      <c r="D96" s="603" t="s">
        <v>646</v>
      </c>
      <c r="E96" s="496" t="s">
        <v>244</v>
      </c>
      <c r="F96" s="496" t="s">
        <v>437</v>
      </c>
      <c r="G96" s="496" t="s">
        <v>647</v>
      </c>
      <c r="H96" s="496" t="s">
        <v>42</v>
      </c>
      <c r="I96" s="496" t="s">
        <v>42</v>
      </c>
      <c r="J96" s="496"/>
      <c r="K96" s="496" t="s">
        <v>43</v>
      </c>
      <c r="L96" s="496">
        <v>12</v>
      </c>
      <c r="M96" s="496"/>
      <c r="N96" s="512">
        <f>SUM(O96:Z96)</f>
        <v>297512.0290885733</v>
      </c>
      <c r="O96" s="496">
        <v>0</v>
      </c>
      <c r="P96" s="496">
        <v>148975.15037507741</v>
      </c>
      <c r="Q96" s="496">
        <v>0</v>
      </c>
      <c r="R96" s="496">
        <v>18398.735365862984</v>
      </c>
      <c r="S96" s="496">
        <v>0</v>
      </c>
      <c r="T96" s="496">
        <v>18398.735365862984</v>
      </c>
      <c r="U96" s="496">
        <v>0</v>
      </c>
      <c r="V96" s="496">
        <v>18398.735365862984</v>
      </c>
      <c r="W96" s="496">
        <v>74941.937250043964</v>
      </c>
      <c r="X96" s="496">
        <v>0</v>
      </c>
      <c r="Y96" s="496">
        <v>18398.735365862984</v>
      </c>
      <c r="Z96" s="496">
        <v>0</v>
      </c>
    </row>
    <row r="97" spans="1:29" ht="45" x14ac:dyDescent="0.25">
      <c r="A97" s="494" t="s">
        <v>2269</v>
      </c>
      <c r="B97" s="494" t="s">
        <v>648</v>
      </c>
      <c r="C97" s="494" t="s">
        <v>649</v>
      </c>
      <c r="D97" s="603" t="s">
        <v>650</v>
      </c>
      <c r="E97" s="496" t="s">
        <v>244</v>
      </c>
      <c r="F97" s="496" t="s">
        <v>437</v>
      </c>
      <c r="G97" s="496" t="s">
        <v>651</v>
      </c>
      <c r="H97" s="496" t="s">
        <v>42</v>
      </c>
      <c r="I97" s="496" t="s">
        <v>42</v>
      </c>
      <c r="J97" s="496"/>
      <c r="K97" s="496" t="s">
        <v>43</v>
      </c>
      <c r="L97" s="496"/>
      <c r="M97" s="512"/>
      <c r="N97" s="512">
        <f t="shared" ref="N97:N99" si="9">SUM(O97:Z97)</f>
        <v>3882.3529411764703</v>
      </c>
      <c r="O97" s="512"/>
      <c r="P97" s="512">
        <v>2000</v>
      </c>
      <c r="Q97" s="512"/>
      <c r="R97" s="512"/>
      <c r="S97" s="512"/>
      <c r="T97" s="512"/>
      <c r="U97" s="512"/>
      <c r="V97" s="512"/>
      <c r="W97" s="512">
        <v>941.17647058823525</v>
      </c>
      <c r="X97" s="512">
        <v>0</v>
      </c>
      <c r="Y97" s="512">
        <v>941.17647058823525</v>
      </c>
      <c r="Z97" s="512">
        <v>0</v>
      </c>
    </row>
    <row r="98" spans="1:29" ht="60" x14ac:dyDescent="0.25">
      <c r="A98" s="494" t="s">
        <v>2270</v>
      </c>
      <c r="B98" s="494" t="s">
        <v>652</v>
      </c>
      <c r="C98" s="494" t="s">
        <v>653</v>
      </c>
      <c r="D98" s="603" t="s">
        <v>654</v>
      </c>
      <c r="E98" s="496" t="s">
        <v>244</v>
      </c>
      <c r="F98" s="496" t="s">
        <v>437</v>
      </c>
      <c r="G98" s="496" t="s">
        <v>653</v>
      </c>
      <c r="H98" s="496" t="s">
        <v>42</v>
      </c>
      <c r="I98" s="496" t="s">
        <v>42</v>
      </c>
      <c r="J98" s="496"/>
      <c r="K98" s="496" t="s">
        <v>43</v>
      </c>
      <c r="L98" s="496"/>
      <c r="M98" s="512"/>
      <c r="N98" s="512">
        <f t="shared" si="9"/>
        <v>12961.284705882354</v>
      </c>
      <c r="O98" s="512"/>
      <c r="P98" s="512">
        <v>6800</v>
      </c>
      <c r="Q98" s="512"/>
      <c r="R98" s="512"/>
      <c r="S98" s="512"/>
      <c r="T98" s="512"/>
      <c r="U98" s="512"/>
      <c r="V98" s="512"/>
      <c r="W98" s="512">
        <v>1540.3211764705882</v>
      </c>
      <c r="X98" s="512">
        <v>1540.3211764705882</v>
      </c>
      <c r="Y98" s="512">
        <v>1540.3211764705882</v>
      </c>
      <c r="Z98" s="512">
        <v>1540.3211764705882</v>
      </c>
    </row>
    <row r="99" spans="1:29" ht="45" x14ac:dyDescent="0.25">
      <c r="A99" s="494" t="s">
        <v>2271</v>
      </c>
      <c r="B99" s="494" t="s">
        <v>655</v>
      </c>
      <c r="C99" s="494" t="s">
        <v>649</v>
      </c>
      <c r="D99" s="603" t="s">
        <v>656</v>
      </c>
      <c r="E99" s="496" t="s">
        <v>244</v>
      </c>
      <c r="F99" s="496" t="s">
        <v>437</v>
      </c>
      <c r="G99" s="496" t="s">
        <v>657</v>
      </c>
      <c r="H99" s="496" t="s">
        <v>42</v>
      </c>
      <c r="I99" s="496" t="s">
        <v>42</v>
      </c>
      <c r="J99" s="496"/>
      <c r="K99" s="496" t="s">
        <v>43</v>
      </c>
      <c r="L99" s="496"/>
      <c r="M99" s="512"/>
      <c r="N99" s="512">
        <f t="shared" si="9"/>
        <v>4147.0588235294117</v>
      </c>
      <c r="O99" s="512"/>
      <c r="P99" s="512">
        <v>2000</v>
      </c>
      <c r="Q99" s="512"/>
      <c r="R99" s="512"/>
      <c r="S99" s="512"/>
      <c r="T99" s="512"/>
      <c r="U99" s="512"/>
      <c r="V99" s="512"/>
      <c r="W99" s="512"/>
      <c r="X99" s="512">
        <v>1073.5294117647059</v>
      </c>
      <c r="Y99" s="512"/>
      <c r="Z99" s="512">
        <v>1073.5294117647059</v>
      </c>
    </row>
    <row r="100" spans="1:29" ht="21" x14ac:dyDescent="0.25">
      <c r="A100" s="494"/>
      <c r="B100" s="494"/>
      <c r="C100" s="494"/>
      <c r="D100" s="603"/>
      <c r="E100" s="496"/>
      <c r="F100" s="496"/>
      <c r="G100" s="518"/>
      <c r="H100" s="496"/>
      <c r="I100" s="496"/>
      <c r="J100" s="496"/>
      <c r="K100" s="519" t="s">
        <v>20</v>
      </c>
      <c r="L100" s="404">
        <f>SUM(L95:L99)</f>
        <v>12</v>
      </c>
      <c r="M100" s="404">
        <f t="shared" ref="M100:Z100" si="10">SUM(M96:M99)</f>
        <v>0</v>
      </c>
      <c r="N100" s="404">
        <f t="shared" si="10"/>
        <v>318502.72555916151</v>
      </c>
      <c r="O100" s="511">
        <f t="shared" si="10"/>
        <v>0</v>
      </c>
      <c r="P100" s="511">
        <f t="shared" si="10"/>
        <v>159775.15037507741</v>
      </c>
      <c r="Q100" s="511">
        <f t="shared" si="10"/>
        <v>0</v>
      </c>
      <c r="R100" s="511">
        <f t="shared" si="10"/>
        <v>18398.735365862984</v>
      </c>
      <c r="S100" s="511">
        <f t="shared" si="10"/>
        <v>0</v>
      </c>
      <c r="T100" s="511">
        <f t="shared" si="10"/>
        <v>18398.735365862984</v>
      </c>
      <c r="U100" s="511">
        <f t="shared" si="10"/>
        <v>0</v>
      </c>
      <c r="V100" s="511">
        <f t="shared" si="10"/>
        <v>18398.735365862984</v>
      </c>
      <c r="W100" s="511">
        <f t="shared" si="10"/>
        <v>77423.434897102794</v>
      </c>
      <c r="X100" s="511">
        <f t="shared" si="10"/>
        <v>2613.8505882352938</v>
      </c>
      <c r="Y100" s="511">
        <f t="shared" si="10"/>
        <v>20880.233012921806</v>
      </c>
      <c r="Z100" s="511">
        <f t="shared" si="10"/>
        <v>2613.8505882352938</v>
      </c>
      <c r="AA100" s="517"/>
    </row>
    <row r="101" spans="1:29" ht="18.75" outlineLevel="1" x14ac:dyDescent="0.25">
      <c r="A101" s="505" t="str">
        <f>CONCATENATE(B20," ",C20)</f>
        <v>Miscellaneous Geotechnical Expenses NuevaUnion</v>
      </c>
      <c r="B101" s="505"/>
      <c r="C101" s="506"/>
      <c r="D101" s="506"/>
      <c r="E101" s="507"/>
      <c r="F101" s="507"/>
      <c r="G101" s="507"/>
      <c r="H101" s="507"/>
      <c r="I101" s="507"/>
      <c r="J101" s="507"/>
      <c r="K101" s="507"/>
      <c r="L101" s="507"/>
      <c r="M101" s="507"/>
      <c r="N101" s="507"/>
      <c r="O101" s="507" t="s">
        <v>5</v>
      </c>
      <c r="P101" s="507"/>
      <c r="Q101" s="507"/>
      <c r="R101" s="507"/>
      <c r="S101" s="507"/>
      <c r="T101" s="507"/>
      <c r="U101" s="507"/>
      <c r="V101" s="507"/>
      <c r="W101" s="507"/>
      <c r="X101" s="507"/>
      <c r="Y101" s="507"/>
      <c r="Z101" s="507"/>
    </row>
    <row r="102" spans="1:29" ht="75" outlineLevel="1" x14ac:dyDescent="0.25">
      <c r="A102" s="492" t="s">
        <v>261</v>
      </c>
      <c r="B102" s="492" t="s">
        <v>13</v>
      </c>
      <c r="C102" s="492" t="s">
        <v>14</v>
      </c>
      <c r="D102" s="509" t="s">
        <v>286</v>
      </c>
      <c r="E102" s="404" t="s">
        <v>16</v>
      </c>
      <c r="F102" s="404" t="s">
        <v>295</v>
      </c>
      <c r="G102" s="404" t="s">
        <v>39</v>
      </c>
      <c r="H102" s="404" t="s">
        <v>297</v>
      </c>
      <c r="I102" s="404" t="s">
        <v>298</v>
      </c>
      <c r="J102" s="404" t="s">
        <v>299</v>
      </c>
      <c r="K102" s="404" t="s">
        <v>300</v>
      </c>
      <c r="L102" s="404" t="s">
        <v>17</v>
      </c>
      <c r="M102" s="404" t="s">
        <v>18</v>
      </c>
      <c r="N102" s="404" t="s">
        <v>19</v>
      </c>
      <c r="O102" s="493">
        <v>43101</v>
      </c>
      <c r="P102" s="493">
        <v>43132</v>
      </c>
      <c r="Q102" s="493">
        <v>43160</v>
      </c>
      <c r="R102" s="493">
        <v>43191</v>
      </c>
      <c r="S102" s="493">
        <v>43221</v>
      </c>
      <c r="T102" s="493">
        <v>43252</v>
      </c>
      <c r="U102" s="493">
        <v>43282</v>
      </c>
      <c r="V102" s="493">
        <v>43313</v>
      </c>
      <c r="W102" s="493">
        <v>43344</v>
      </c>
      <c r="X102" s="493">
        <v>43374</v>
      </c>
      <c r="Y102" s="493">
        <v>43405</v>
      </c>
      <c r="Z102" s="493">
        <v>43435</v>
      </c>
    </row>
    <row r="103" spans="1:29" ht="31.5" outlineLevel="1" x14ac:dyDescent="0.25">
      <c r="A103" s="494" t="s">
        <v>2272</v>
      </c>
      <c r="B103" s="494" t="s">
        <v>624</v>
      </c>
      <c r="C103" s="494" t="s">
        <v>483</v>
      </c>
      <c r="D103" s="603" t="s">
        <v>484</v>
      </c>
      <c r="E103" s="496" t="s">
        <v>244</v>
      </c>
      <c r="F103" s="496"/>
      <c r="G103" s="496" t="s">
        <v>493</v>
      </c>
      <c r="H103" s="496" t="s">
        <v>42</v>
      </c>
      <c r="I103" s="496" t="s">
        <v>42</v>
      </c>
      <c r="J103" s="496"/>
      <c r="K103" s="496" t="s">
        <v>42</v>
      </c>
      <c r="L103" s="496"/>
      <c r="M103" s="496"/>
      <c r="N103" s="496">
        <f t="shared" ref="N103:N105" si="11">SUM(O103:Z103)</f>
        <v>3000</v>
      </c>
      <c r="O103" s="496">
        <v>1000</v>
      </c>
      <c r="P103" s="496"/>
      <c r="Q103" s="496"/>
      <c r="R103" s="496"/>
      <c r="S103" s="496">
        <v>1000</v>
      </c>
      <c r="T103" s="496"/>
      <c r="U103" s="496"/>
      <c r="V103" s="496"/>
      <c r="W103" s="496">
        <v>1000</v>
      </c>
      <c r="X103" s="496"/>
      <c r="Y103" s="496"/>
      <c r="Z103" s="496"/>
    </row>
    <row r="104" spans="1:29" ht="30" outlineLevel="1" x14ac:dyDescent="0.25">
      <c r="A104" s="494" t="s">
        <v>2273</v>
      </c>
      <c r="B104" s="494" t="s">
        <v>658</v>
      </c>
      <c r="C104" s="494" t="s">
        <v>659</v>
      </c>
      <c r="D104" s="603" t="s">
        <v>484</v>
      </c>
      <c r="E104" s="496" t="s">
        <v>244</v>
      </c>
      <c r="F104" s="496"/>
      <c r="G104" s="496"/>
      <c r="H104" s="496"/>
      <c r="I104" s="496"/>
      <c r="J104" s="496"/>
      <c r="K104" s="496" t="s">
        <v>42</v>
      </c>
      <c r="L104" s="496">
        <v>12</v>
      </c>
      <c r="M104" s="496"/>
      <c r="N104" s="496">
        <f t="shared" si="11"/>
        <v>80000.000000000044</v>
      </c>
      <c r="O104" s="496">
        <f>125*8*6.66666666666667</f>
        <v>6666.6666666666697</v>
      </c>
      <c r="P104" s="496">
        <f>125*8*6.66666666666667</f>
        <v>6666.6666666666697</v>
      </c>
      <c r="Q104" s="496">
        <f t="shared" ref="Q104:Z104" si="12">125*8*6.66666666666667</f>
        <v>6666.6666666666697</v>
      </c>
      <c r="R104" s="496">
        <f t="shared" si="12"/>
        <v>6666.6666666666697</v>
      </c>
      <c r="S104" s="496">
        <f t="shared" si="12"/>
        <v>6666.6666666666697</v>
      </c>
      <c r="T104" s="496">
        <f t="shared" si="12"/>
        <v>6666.6666666666697</v>
      </c>
      <c r="U104" s="496">
        <f t="shared" si="12"/>
        <v>6666.6666666666697</v>
      </c>
      <c r="V104" s="496">
        <f t="shared" si="12"/>
        <v>6666.6666666666697</v>
      </c>
      <c r="W104" s="496">
        <f t="shared" si="12"/>
        <v>6666.6666666666697</v>
      </c>
      <c r="X104" s="496">
        <f t="shared" si="12"/>
        <v>6666.6666666666697</v>
      </c>
      <c r="Y104" s="496">
        <f t="shared" si="12"/>
        <v>6666.6666666666697</v>
      </c>
      <c r="Z104" s="496">
        <f t="shared" si="12"/>
        <v>6666.6666666666697</v>
      </c>
      <c r="AC104" s="526"/>
    </row>
    <row r="105" spans="1:29" ht="30" outlineLevel="1" x14ac:dyDescent="0.25">
      <c r="A105" s="494" t="s">
        <v>2274</v>
      </c>
      <c r="B105" s="494" t="s">
        <v>660</v>
      </c>
      <c r="C105" s="494" t="s">
        <v>659</v>
      </c>
      <c r="D105" s="603" t="s">
        <v>484</v>
      </c>
      <c r="E105" s="496" t="s">
        <v>244</v>
      </c>
      <c r="F105" s="496"/>
      <c r="G105" s="496"/>
      <c r="H105" s="496"/>
      <c r="I105" s="496"/>
      <c r="J105" s="496"/>
      <c r="K105" s="496" t="s">
        <v>42</v>
      </c>
      <c r="L105" s="496">
        <v>12</v>
      </c>
      <c r="M105" s="496"/>
      <c r="N105" s="496">
        <f t="shared" si="11"/>
        <v>96000</v>
      </c>
      <c r="O105" s="496">
        <f>100*8*10</f>
        <v>8000</v>
      </c>
      <c r="P105" s="496">
        <f>100*8*10</f>
        <v>8000</v>
      </c>
      <c r="Q105" s="496">
        <f t="shared" ref="Q105:Z105" si="13">100*8*10</f>
        <v>8000</v>
      </c>
      <c r="R105" s="496">
        <f t="shared" si="13"/>
        <v>8000</v>
      </c>
      <c r="S105" s="496">
        <f t="shared" si="13"/>
        <v>8000</v>
      </c>
      <c r="T105" s="496">
        <f t="shared" si="13"/>
        <v>8000</v>
      </c>
      <c r="U105" s="496">
        <f t="shared" si="13"/>
        <v>8000</v>
      </c>
      <c r="V105" s="496">
        <f t="shared" si="13"/>
        <v>8000</v>
      </c>
      <c r="W105" s="496">
        <f t="shared" si="13"/>
        <v>8000</v>
      </c>
      <c r="X105" s="496">
        <f t="shared" si="13"/>
        <v>8000</v>
      </c>
      <c r="Y105" s="496">
        <f t="shared" si="13"/>
        <v>8000</v>
      </c>
      <c r="Z105" s="496">
        <f t="shared" si="13"/>
        <v>8000</v>
      </c>
    </row>
    <row r="106" spans="1:29" ht="21" outlineLevel="1" x14ac:dyDescent="0.25">
      <c r="A106" s="494"/>
      <c r="B106" s="494"/>
      <c r="C106" s="494"/>
      <c r="D106" s="603"/>
      <c r="E106" s="496"/>
      <c r="F106" s="496"/>
      <c r="G106" s="518"/>
      <c r="H106" s="496"/>
      <c r="I106" s="496"/>
      <c r="J106" s="496"/>
      <c r="K106" s="519" t="s">
        <v>20</v>
      </c>
      <c r="L106" s="404">
        <f>SUM(L103:L105)</f>
        <v>24</v>
      </c>
      <c r="M106" s="404">
        <f>SUM(M103:M105)</f>
        <v>0</v>
      </c>
      <c r="N106" s="404">
        <f t="shared" ref="N106:Z106" si="14">SUM(N103:N105)</f>
        <v>179000.00000000006</v>
      </c>
      <c r="O106" s="404">
        <f t="shared" si="14"/>
        <v>15666.66666666667</v>
      </c>
      <c r="P106" s="404">
        <f t="shared" si="14"/>
        <v>14666.66666666667</v>
      </c>
      <c r="Q106" s="404">
        <f t="shared" si="14"/>
        <v>14666.66666666667</v>
      </c>
      <c r="R106" s="404">
        <f t="shared" si="14"/>
        <v>14666.66666666667</v>
      </c>
      <c r="S106" s="404">
        <f t="shared" si="14"/>
        <v>15666.66666666667</v>
      </c>
      <c r="T106" s="404">
        <f t="shared" si="14"/>
        <v>14666.66666666667</v>
      </c>
      <c r="U106" s="404">
        <f t="shared" si="14"/>
        <v>14666.66666666667</v>
      </c>
      <c r="V106" s="404">
        <f t="shared" si="14"/>
        <v>14666.66666666667</v>
      </c>
      <c r="W106" s="404">
        <f t="shared" si="14"/>
        <v>15666.66666666667</v>
      </c>
      <c r="X106" s="404">
        <f t="shared" si="14"/>
        <v>14666.66666666667</v>
      </c>
      <c r="Y106" s="404">
        <f t="shared" si="14"/>
        <v>14666.66666666667</v>
      </c>
      <c r="Z106" s="404">
        <f t="shared" si="14"/>
        <v>14666.66666666667</v>
      </c>
      <c r="AA106" s="517"/>
    </row>
    <row r="107" spans="1:29" ht="18.75" outlineLevel="1" x14ac:dyDescent="0.25">
      <c r="A107" s="505" t="str">
        <f>CONCATENATE(B21," ",C21)</f>
        <v xml:space="preserve"> </v>
      </c>
      <c r="B107" s="505"/>
      <c r="C107" s="506"/>
      <c r="D107" s="506"/>
      <c r="E107" s="507"/>
      <c r="F107" s="507"/>
      <c r="G107" s="507"/>
      <c r="H107" s="507"/>
      <c r="I107" s="507"/>
      <c r="J107" s="507"/>
      <c r="K107" s="507"/>
      <c r="L107" s="507"/>
      <c r="M107" s="507"/>
      <c r="N107" s="507"/>
      <c r="O107" s="507" t="s">
        <v>5</v>
      </c>
      <c r="P107" s="507"/>
      <c r="Q107" s="507"/>
      <c r="R107" s="507"/>
      <c r="S107" s="507"/>
      <c r="T107" s="507"/>
      <c r="U107" s="507"/>
      <c r="V107" s="507"/>
      <c r="W107" s="507"/>
      <c r="X107" s="507"/>
      <c r="Y107" s="507"/>
      <c r="Z107" s="507"/>
    </row>
    <row r="108" spans="1:29" ht="75" outlineLevel="1" x14ac:dyDescent="0.25">
      <c r="A108" s="492" t="s">
        <v>261</v>
      </c>
      <c r="B108" s="492" t="s">
        <v>13</v>
      </c>
      <c r="C108" s="492" t="s">
        <v>14</v>
      </c>
      <c r="D108" s="509" t="s">
        <v>286</v>
      </c>
      <c r="E108" s="404" t="s">
        <v>16</v>
      </c>
      <c r="F108" s="404" t="s">
        <v>295</v>
      </c>
      <c r="G108" s="404" t="s">
        <v>39</v>
      </c>
      <c r="H108" s="404" t="s">
        <v>297</v>
      </c>
      <c r="I108" s="404" t="s">
        <v>298</v>
      </c>
      <c r="J108" s="404" t="s">
        <v>299</v>
      </c>
      <c r="K108" s="404" t="s">
        <v>300</v>
      </c>
      <c r="L108" s="404" t="s">
        <v>17</v>
      </c>
      <c r="M108" s="404" t="s">
        <v>18</v>
      </c>
      <c r="N108" s="404" t="s">
        <v>19</v>
      </c>
      <c r="O108" s="493">
        <v>43101</v>
      </c>
      <c r="P108" s="493">
        <v>43132</v>
      </c>
      <c r="Q108" s="493">
        <v>43160</v>
      </c>
      <c r="R108" s="493">
        <v>43191</v>
      </c>
      <c r="S108" s="493">
        <v>43221</v>
      </c>
      <c r="T108" s="493">
        <v>43252</v>
      </c>
      <c r="U108" s="493">
        <v>43282</v>
      </c>
      <c r="V108" s="493">
        <v>43313</v>
      </c>
      <c r="W108" s="493">
        <v>43344</v>
      </c>
      <c r="X108" s="493">
        <v>43374</v>
      </c>
      <c r="Y108" s="493">
        <v>43405</v>
      </c>
      <c r="Z108" s="493">
        <v>43435</v>
      </c>
    </row>
    <row r="109" spans="1:29" ht="15.75" outlineLevel="1" x14ac:dyDescent="0.25">
      <c r="A109" s="494"/>
      <c r="B109" s="494"/>
      <c r="C109" s="494"/>
      <c r="D109" s="603"/>
      <c r="E109" s="496"/>
      <c r="F109" s="496"/>
      <c r="G109" s="496"/>
      <c r="H109" s="496"/>
      <c r="I109" s="496"/>
      <c r="J109" s="496"/>
      <c r="K109" s="496"/>
      <c r="L109" s="496"/>
      <c r="M109" s="496"/>
      <c r="N109" s="496">
        <f t="shared" ref="N109:N112" si="15">SUM(O109:Z109)</f>
        <v>0</v>
      </c>
      <c r="O109" s="496"/>
      <c r="P109" s="496"/>
      <c r="Q109" s="496"/>
      <c r="R109" s="496"/>
      <c r="S109" s="496"/>
      <c r="T109" s="496"/>
      <c r="U109" s="496"/>
      <c r="V109" s="496"/>
      <c r="W109" s="496"/>
      <c r="X109" s="496"/>
      <c r="Y109" s="496"/>
      <c r="Z109" s="496"/>
    </row>
    <row r="110" spans="1:29" ht="15.75" outlineLevel="1" x14ac:dyDescent="0.25">
      <c r="A110" s="494"/>
      <c r="B110" s="494"/>
      <c r="C110" s="494"/>
      <c r="D110" s="603"/>
      <c r="E110" s="496"/>
      <c r="F110" s="496"/>
      <c r="G110" s="496"/>
      <c r="H110" s="496"/>
      <c r="I110" s="496"/>
      <c r="J110" s="496"/>
      <c r="K110" s="496"/>
      <c r="L110" s="496"/>
      <c r="M110" s="496"/>
      <c r="N110" s="496">
        <f t="shared" si="15"/>
        <v>0</v>
      </c>
      <c r="O110" s="496"/>
      <c r="P110" s="496"/>
      <c r="Q110" s="496"/>
      <c r="R110" s="496"/>
      <c r="S110" s="496"/>
      <c r="T110" s="496"/>
      <c r="U110" s="496"/>
      <c r="V110" s="496"/>
      <c r="W110" s="496"/>
      <c r="X110" s="496"/>
      <c r="Y110" s="496"/>
      <c r="Z110" s="496"/>
    </row>
    <row r="111" spans="1:29" ht="15.75" outlineLevel="1" x14ac:dyDescent="0.25">
      <c r="A111" s="494"/>
      <c r="B111" s="494"/>
      <c r="C111" s="494"/>
      <c r="D111" s="603"/>
      <c r="E111" s="496"/>
      <c r="F111" s="496"/>
      <c r="G111" s="496"/>
      <c r="H111" s="496"/>
      <c r="I111" s="496"/>
      <c r="J111" s="496"/>
      <c r="K111" s="496"/>
      <c r="L111" s="496"/>
      <c r="M111" s="496"/>
      <c r="N111" s="496">
        <f t="shared" si="15"/>
        <v>0</v>
      </c>
      <c r="O111" s="496"/>
      <c r="P111" s="496"/>
      <c r="Q111" s="496"/>
      <c r="R111" s="496"/>
      <c r="S111" s="496"/>
      <c r="T111" s="496"/>
      <c r="U111" s="496"/>
      <c r="V111" s="496"/>
      <c r="W111" s="496"/>
      <c r="X111" s="496"/>
      <c r="Y111" s="496"/>
      <c r="Z111" s="496"/>
    </row>
    <row r="112" spans="1:29" ht="15.75" outlineLevel="1" x14ac:dyDescent="0.25">
      <c r="A112" s="494"/>
      <c r="B112" s="494"/>
      <c r="C112" s="494"/>
      <c r="D112" s="603"/>
      <c r="E112" s="496"/>
      <c r="F112" s="496"/>
      <c r="G112" s="496"/>
      <c r="H112" s="496"/>
      <c r="I112" s="496"/>
      <c r="J112" s="496"/>
      <c r="K112" s="496"/>
      <c r="L112" s="496"/>
      <c r="M112" s="496"/>
      <c r="N112" s="496">
        <f t="shared" si="15"/>
        <v>0</v>
      </c>
      <c r="O112" s="496"/>
      <c r="P112" s="496"/>
      <c r="Q112" s="496"/>
      <c r="R112" s="496"/>
      <c r="S112" s="496"/>
      <c r="T112" s="496"/>
      <c r="U112" s="496"/>
      <c r="V112" s="496"/>
      <c r="W112" s="496"/>
      <c r="X112" s="496"/>
      <c r="Y112" s="496"/>
      <c r="Z112" s="496"/>
    </row>
    <row r="113" spans="1:27" ht="21" outlineLevel="1" x14ac:dyDescent="0.25">
      <c r="A113" s="494"/>
      <c r="B113" s="494"/>
      <c r="C113" s="494"/>
      <c r="D113" s="603"/>
      <c r="E113" s="496"/>
      <c r="F113" s="496"/>
      <c r="G113" s="518"/>
      <c r="H113" s="496"/>
      <c r="I113" s="496"/>
      <c r="J113" s="496"/>
      <c r="K113" s="519" t="s">
        <v>20</v>
      </c>
      <c r="L113" s="404">
        <f>SUM(L108:L112)</f>
        <v>0</v>
      </c>
      <c r="M113" s="404">
        <f>SUM(M108:M112)</f>
        <v>0</v>
      </c>
      <c r="N113" s="496">
        <f>SUM(N109:N112)</f>
        <v>0</v>
      </c>
      <c r="O113" s="496">
        <f t="shared" ref="O113:Z113" si="16">SUM(O109:O112)</f>
        <v>0</v>
      </c>
      <c r="P113" s="496">
        <f t="shared" si="16"/>
        <v>0</v>
      </c>
      <c r="Q113" s="496">
        <f t="shared" si="16"/>
        <v>0</v>
      </c>
      <c r="R113" s="496">
        <f t="shared" si="16"/>
        <v>0</v>
      </c>
      <c r="S113" s="496">
        <f t="shared" si="16"/>
        <v>0</v>
      </c>
      <c r="T113" s="496">
        <f t="shared" si="16"/>
        <v>0</v>
      </c>
      <c r="U113" s="496">
        <f t="shared" si="16"/>
        <v>0</v>
      </c>
      <c r="V113" s="496">
        <f t="shared" si="16"/>
        <v>0</v>
      </c>
      <c r="W113" s="496">
        <f t="shared" si="16"/>
        <v>0</v>
      </c>
      <c r="X113" s="496">
        <f t="shared" si="16"/>
        <v>0</v>
      </c>
      <c r="Y113" s="496">
        <f t="shared" si="16"/>
        <v>0</v>
      </c>
      <c r="Z113" s="496">
        <f t="shared" si="16"/>
        <v>0</v>
      </c>
      <c r="AA113" s="517"/>
    </row>
    <row r="114" spans="1:27" ht="18.75" outlineLevel="1" x14ac:dyDescent="0.25">
      <c r="A114" s="505" t="str">
        <f>CONCATENATE(B22," ",C22)</f>
        <v xml:space="preserve"> </v>
      </c>
      <c r="B114" s="505"/>
      <c r="C114" s="506"/>
      <c r="D114" s="506"/>
      <c r="E114" s="507"/>
      <c r="F114" s="507"/>
      <c r="G114" s="507"/>
      <c r="H114" s="507"/>
      <c r="I114" s="507"/>
      <c r="J114" s="507"/>
      <c r="K114" s="507"/>
      <c r="L114" s="507"/>
      <c r="M114" s="507"/>
      <c r="N114" s="507"/>
      <c r="O114" s="507" t="s">
        <v>5</v>
      </c>
      <c r="P114" s="507"/>
      <c r="Q114" s="507"/>
      <c r="R114" s="507"/>
      <c r="S114" s="507"/>
      <c r="T114" s="507"/>
      <c r="U114" s="507"/>
      <c r="V114" s="507"/>
      <c r="W114" s="507"/>
      <c r="X114" s="507"/>
      <c r="Y114" s="507"/>
      <c r="Z114" s="507"/>
    </row>
    <row r="115" spans="1:27" ht="75" outlineLevel="1" x14ac:dyDescent="0.25">
      <c r="A115" s="492" t="s">
        <v>261</v>
      </c>
      <c r="B115" s="492" t="s">
        <v>13</v>
      </c>
      <c r="C115" s="492" t="s">
        <v>14</v>
      </c>
      <c r="D115" s="509" t="s">
        <v>286</v>
      </c>
      <c r="E115" s="404" t="s">
        <v>16</v>
      </c>
      <c r="F115" s="404" t="s">
        <v>295</v>
      </c>
      <c r="G115" s="404" t="s">
        <v>39</v>
      </c>
      <c r="H115" s="404" t="s">
        <v>297</v>
      </c>
      <c r="I115" s="404" t="s">
        <v>298</v>
      </c>
      <c r="J115" s="404" t="s">
        <v>299</v>
      </c>
      <c r="K115" s="404" t="s">
        <v>300</v>
      </c>
      <c r="L115" s="404" t="s">
        <v>17</v>
      </c>
      <c r="M115" s="404" t="s">
        <v>18</v>
      </c>
      <c r="N115" s="404" t="s">
        <v>19</v>
      </c>
      <c r="O115" s="493">
        <v>43101</v>
      </c>
      <c r="P115" s="493">
        <v>43132</v>
      </c>
      <c r="Q115" s="493">
        <v>43160</v>
      </c>
      <c r="R115" s="493">
        <v>43191</v>
      </c>
      <c r="S115" s="493">
        <v>43221</v>
      </c>
      <c r="T115" s="493">
        <v>43252</v>
      </c>
      <c r="U115" s="493">
        <v>43282</v>
      </c>
      <c r="V115" s="493">
        <v>43313</v>
      </c>
      <c r="W115" s="493">
        <v>43344</v>
      </c>
      <c r="X115" s="493">
        <v>43374</v>
      </c>
      <c r="Y115" s="493">
        <v>43405</v>
      </c>
      <c r="Z115" s="493">
        <v>43435</v>
      </c>
    </row>
    <row r="116" spans="1:27" ht="15.75" outlineLevel="1" x14ac:dyDescent="0.25">
      <c r="A116" s="494"/>
      <c r="B116" s="494"/>
      <c r="C116" s="494"/>
      <c r="D116" s="603"/>
      <c r="E116" s="496"/>
      <c r="F116" s="496"/>
      <c r="G116" s="496"/>
      <c r="H116" s="496"/>
      <c r="I116" s="496"/>
      <c r="J116" s="496"/>
      <c r="K116" s="496"/>
      <c r="L116" s="496"/>
      <c r="M116" s="496"/>
      <c r="N116" s="496">
        <f t="shared" ref="N116:N119" si="17">SUM(O116:Z116)</f>
        <v>0</v>
      </c>
      <c r="O116" s="496"/>
      <c r="P116" s="496"/>
      <c r="Q116" s="496"/>
      <c r="R116" s="496"/>
      <c r="S116" s="496"/>
      <c r="T116" s="496"/>
      <c r="U116" s="496"/>
      <c r="V116" s="496"/>
      <c r="W116" s="496"/>
      <c r="X116" s="496"/>
      <c r="Y116" s="496"/>
      <c r="Z116" s="496"/>
    </row>
    <row r="117" spans="1:27" ht="15.75" outlineLevel="1" x14ac:dyDescent="0.25">
      <c r="A117" s="494"/>
      <c r="B117" s="494"/>
      <c r="C117" s="494"/>
      <c r="D117" s="603"/>
      <c r="E117" s="496"/>
      <c r="F117" s="496"/>
      <c r="G117" s="496"/>
      <c r="H117" s="496"/>
      <c r="I117" s="496"/>
      <c r="J117" s="496"/>
      <c r="K117" s="496"/>
      <c r="L117" s="496"/>
      <c r="M117" s="496"/>
      <c r="N117" s="496">
        <f t="shared" si="17"/>
        <v>0</v>
      </c>
      <c r="O117" s="496"/>
      <c r="P117" s="496"/>
      <c r="Q117" s="496"/>
      <c r="R117" s="496"/>
      <c r="S117" s="496"/>
      <c r="T117" s="496"/>
      <c r="U117" s="496"/>
      <c r="V117" s="496"/>
      <c r="W117" s="496"/>
      <c r="X117" s="496"/>
      <c r="Y117" s="496"/>
      <c r="Z117" s="496"/>
    </row>
    <row r="118" spans="1:27" ht="15.75" outlineLevel="1" x14ac:dyDescent="0.25">
      <c r="A118" s="494"/>
      <c r="B118" s="494"/>
      <c r="C118" s="494"/>
      <c r="D118" s="603"/>
      <c r="E118" s="496"/>
      <c r="F118" s="496"/>
      <c r="G118" s="496"/>
      <c r="H118" s="496"/>
      <c r="I118" s="496"/>
      <c r="J118" s="496"/>
      <c r="K118" s="496"/>
      <c r="L118" s="496"/>
      <c r="M118" s="496"/>
      <c r="N118" s="496">
        <f t="shared" si="17"/>
        <v>0</v>
      </c>
      <c r="O118" s="496"/>
      <c r="P118" s="496"/>
      <c r="Q118" s="496"/>
      <c r="R118" s="496"/>
      <c r="S118" s="496"/>
      <c r="T118" s="496"/>
      <c r="U118" s="496"/>
      <c r="V118" s="496"/>
      <c r="W118" s="496"/>
      <c r="X118" s="496"/>
      <c r="Y118" s="496"/>
      <c r="Z118" s="496"/>
    </row>
    <row r="119" spans="1:27" ht="15.75" outlineLevel="1" x14ac:dyDescent="0.25">
      <c r="A119" s="494"/>
      <c r="B119" s="494"/>
      <c r="C119" s="494"/>
      <c r="D119" s="603"/>
      <c r="E119" s="496"/>
      <c r="F119" s="496"/>
      <c r="G119" s="496"/>
      <c r="H119" s="496"/>
      <c r="I119" s="496"/>
      <c r="J119" s="496"/>
      <c r="K119" s="496"/>
      <c r="L119" s="496"/>
      <c r="M119" s="496"/>
      <c r="N119" s="496">
        <f t="shared" si="17"/>
        <v>0</v>
      </c>
      <c r="O119" s="496"/>
      <c r="P119" s="496"/>
      <c r="Q119" s="496"/>
      <c r="R119" s="496"/>
      <c r="S119" s="496"/>
      <c r="T119" s="496"/>
      <c r="U119" s="496"/>
      <c r="V119" s="496"/>
      <c r="W119" s="496"/>
      <c r="X119" s="496"/>
      <c r="Y119" s="496"/>
      <c r="Z119" s="496"/>
    </row>
    <row r="120" spans="1:27" ht="21" outlineLevel="1" x14ac:dyDescent="0.25">
      <c r="A120" s="494"/>
      <c r="B120" s="494"/>
      <c r="C120" s="494"/>
      <c r="D120" s="603"/>
      <c r="E120" s="496"/>
      <c r="F120" s="496"/>
      <c r="G120" s="518"/>
      <c r="H120" s="496"/>
      <c r="I120" s="496"/>
      <c r="J120" s="496"/>
      <c r="K120" s="519" t="s">
        <v>20</v>
      </c>
      <c r="L120" s="404">
        <f>SUM(L115:L119)</f>
        <v>0</v>
      </c>
      <c r="M120" s="404">
        <f>SUM(M115:M119)</f>
        <v>0</v>
      </c>
      <c r="N120" s="496">
        <f>SUM(N116:N119)</f>
        <v>0</v>
      </c>
      <c r="O120" s="496">
        <f t="shared" ref="O120:Z120" si="18">SUM(O116:O119)</f>
        <v>0</v>
      </c>
      <c r="P120" s="496">
        <f t="shared" si="18"/>
        <v>0</v>
      </c>
      <c r="Q120" s="496">
        <f t="shared" si="18"/>
        <v>0</v>
      </c>
      <c r="R120" s="496">
        <f t="shared" si="18"/>
        <v>0</v>
      </c>
      <c r="S120" s="496">
        <f t="shared" si="18"/>
        <v>0</v>
      </c>
      <c r="T120" s="496">
        <f t="shared" si="18"/>
        <v>0</v>
      </c>
      <c r="U120" s="496">
        <f t="shared" si="18"/>
        <v>0</v>
      </c>
      <c r="V120" s="496">
        <f t="shared" si="18"/>
        <v>0</v>
      </c>
      <c r="W120" s="496">
        <f t="shared" si="18"/>
        <v>0</v>
      </c>
      <c r="X120" s="496">
        <f t="shared" si="18"/>
        <v>0</v>
      </c>
      <c r="Y120" s="496">
        <f t="shared" si="18"/>
        <v>0</v>
      </c>
      <c r="Z120" s="496">
        <f t="shared" si="18"/>
        <v>0</v>
      </c>
      <c r="AA120" s="517"/>
    </row>
    <row r="121" spans="1:27" ht="18.75" outlineLevel="1" x14ac:dyDescent="0.25">
      <c r="A121" s="505" t="str">
        <f>CONCATENATE(B23," ",C23)</f>
        <v xml:space="preserve"> </v>
      </c>
      <c r="B121" s="505"/>
      <c r="C121" s="506"/>
      <c r="D121" s="506"/>
      <c r="E121" s="507"/>
      <c r="F121" s="507"/>
      <c r="G121" s="507"/>
      <c r="H121" s="507"/>
      <c r="I121" s="507"/>
      <c r="J121" s="507"/>
      <c r="K121" s="507"/>
      <c r="L121" s="507"/>
      <c r="M121" s="507"/>
      <c r="N121" s="507"/>
      <c r="O121" s="507" t="s">
        <v>5</v>
      </c>
      <c r="P121" s="507"/>
      <c r="Q121" s="507"/>
      <c r="R121" s="507"/>
      <c r="S121" s="507"/>
      <c r="T121" s="507"/>
      <c r="U121" s="507"/>
      <c r="V121" s="507"/>
      <c r="W121" s="507"/>
      <c r="X121" s="507"/>
      <c r="Y121" s="507"/>
      <c r="Z121" s="507"/>
    </row>
    <row r="122" spans="1:27" ht="75" outlineLevel="1" x14ac:dyDescent="0.25">
      <c r="A122" s="492" t="s">
        <v>261</v>
      </c>
      <c r="B122" s="492" t="s">
        <v>13</v>
      </c>
      <c r="C122" s="492" t="s">
        <v>14</v>
      </c>
      <c r="D122" s="509" t="s">
        <v>286</v>
      </c>
      <c r="E122" s="404" t="s">
        <v>16</v>
      </c>
      <c r="F122" s="404" t="s">
        <v>295</v>
      </c>
      <c r="G122" s="404" t="s">
        <v>39</v>
      </c>
      <c r="H122" s="404" t="s">
        <v>297</v>
      </c>
      <c r="I122" s="404" t="s">
        <v>298</v>
      </c>
      <c r="J122" s="404" t="s">
        <v>299</v>
      </c>
      <c r="K122" s="404" t="s">
        <v>300</v>
      </c>
      <c r="L122" s="404" t="s">
        <v>17</v>
      </c>
      <c r="M122" s="404" t="s">
        <v>18</v>
      </c>
      <c r="N122" s="404" t="s">
        <v>19</v>
      </c>
      <c r="O122" s="493">
        <v>43101</v>
      </c>
      <c r="P122" s="493">
        <v>43132</v>
      </c>
      <c r="Q122" s="493">
        <v>43160</v>
      </c>
      <c r="R122" s="493">
        <v>43191</v>
      </c>
      <c r="S122" s="493">
        <v>43221</v>
      </c>
      <c r="T122" s="493">
        <v>43252</v>
      </c>
      <c r="U122" s="493">
        <v>43282</v>
      </c>
      <c r="V122" s="493">
        <v>43313</v>
      </c>
      <c r="W122" s="493">
        <v>43344</v>
      </c>
      <c r="X122" s="493">
        <v>43374</v>
      </c>
      <c r="Y122" s="493">
        <v>43405</v>
      </c>
      <c r="Z122" s="493">
        <v>43435</v>
      </c>
    </row>
    <row r="123" spans="1:27" ht="15.75" outlineLevel="1" x14ac:dyDescent="0.25">
      <c r="A123" s="494"/>
      <c r="B123" s="494"/>
      <c r="C123" s="494"/>
      <c r="D123" s="603"/>
      <c r="E123" s="496"/>
      <c r="F123" s="496"/>
      <c r="G123" s="496"/>
      <c r="H123" s="496"/>
      <c r="I123" s="496"/>
      <c r="J123" s="496"/>
      <c r="K123" s="496"/>
      <c r="L123" s="496"/>
      <c r="M123" s="496"/>
      <c r="N123" s="496">
        <f t="shared" ref="N123:N126" si="19">SUM(O123:Z123)</f>
        <v>0</v>
      </c>
      <c r="O123" s="496"/>
      <c r="P123" s="496"/>
      <c r="Q123" s="496"/>
      <c r="R123" s="496"/>
      <c r="S123" s="496"/>
      <c r="T123" s="496"/>
      <c r="U123" s="496"/>
      <c r="V123" s="496"/>
      <c r="W123" s="496"/>
      <c r="X123" s="496"/>
      <c r="Y123" s="496"/>
      <c r="Z123" s="496"/>
    </row>
    <row r="124" spans="1:27" ht="15.75" outlineLevel="1" x14ac:dyDescent="0.25">
      <c r="A124" s="494"/>
      <c r="B124" s="494"/>
      <c r="C124" s="494"/>
      <c r="D124" s="603"/>
      <c r="E124" s="496"/>
      <c r="F124" s="496"/>
      <c r="G124" s="496"/>
      <c r="H124" s="496"/>
      <c r="I124" s="496"/>
      <c r="J124" s="496"/>
      <c r="K124" s="496"/>
      <c r="L124" s="496"/>
      <c r="M124" s="496"/>
      <c r="N124" s="496">
        <f t="shared" si="19"/>
        <v>0</v>
      </c>
      <c r="O124" s="496"/>
      <c r="P124" s="496"/>
      <c r="Q124" s="496"/>
      <c r="R124" s="496"/>
      <c r="S124" s="496"/>
      <c r="T124" s="496"/>
      <c r="U124" s="496"/>
      <c r="V124" s="496"/>
      <c r="W124" s="496"/>
      <c r="X124" s="496"/>
      <c r="Y124" s="496"/>
      <c r="Z124" s="496"/>
    </row>
    <row r="125" spans="1:27" ht="15.75" outlineLevel="1" x14ac:dyDescent="0.25">
      <c r="A125" s="494"/>
      <c r="B125" s="494"/>
      <c r="C125" s="494"/>
      <c r="D125" s="603"/>
      <c r="E125" s="496"/>
      <c r="F125" s="496"/>
      <c r="G125" s="496"/>
      <c r="H125" s="496"/>
      <c r="I125" s="496"/>
      <c r="J125" s="496"/>
      <c r="K125" s="496"/>
      <c r="L125" s="496"/>
      <c r="M125" s="496"/>
      <c r="N125" s="496">
        <f t="shared" si="19"/>
        <v>0</v>
      </c>
      <c r="O125" s="496"/>
      <c r="P125" s="496"/>
      <c r="Q125" s="496"/>
      <c r="R125" s="496"/>
      <c r="S125" s="496"/>
      <c r="T125" s="496"/>
      <c r="U125" s="496"/>
      <c r="V125" s="496"/>
      <c r="W125" s="496"/>
      <c r="X125" s="496"/>
      <c r="Y125" s="496"/>
      <c r="Z125" s="496"/>
    </row>
    <row r="126" spans="1:27" ht="15.75" outlineLevel="1" x14ac:dyDescent="0.25">
      <c r="A126" s="494"/>
      <c r="B126" s="494"/>
      <c r="C126" s="494"/>
      <c r="D126" s="603"/>
      <c r="E126" s="496"/>
      <c r="F126" s="496"/>
      <c r="G126" s="496"/>
      <c r="H126" s="496"/>
      <c r="I126" s="496"/>
      <c r="J126" s="496"/>
      <c r="K126" s="496"/>
      <c r="L126" s="496"/>
      <c r="M126" s="496"/>
      <c r="N126" s="496">
        <f t="shared" si="19"/>
        <v>0</v>
      </c>
      <c r="O126" s="496"/>
      <c r="P126" s="496"/>
      <c r="Q126" s="496"/>
      <c r="R126" s="496"/>
      <c r="S126" s="496"/>
      <c r="T126" s="496"/>
      <c r="U126" s="496"/>
      <c r="V126" s="496"/>
      <c r="W126" s="496"/>
      <c r="X126" s="496"/>
      <c r="Y126" s="496"/>
      <c r="Z126" s="496"/>
    </row>
    <row r="127" spans="1:27" ht="21" outlineLevel="1" x14ac:dyDescent="0.25">
      <c r="A127" s="494"/>
      <c r="B127" s="494"/>
      <c r="C127" s="494"/>
      <c r="D127" s="603"/>
      <c r="E127" s="496"/>
      <c r="F127" s="496"/>
      <c r="G127" s="518"/>
      <c r="H127" s="496"/>
      <c r="I127" s="496"/>
      <c r="J127" s="496"/>
      <c r="K127" s="519" t="s">
        <v>20</v>
      </c>
      <c r="L127" s="404">
        <f>SUM(L122:L126)</f>
        <v>0</v>
      </c>
      <c r="M127" s="404">
        <f>SUM(M122:M126)</f>
        <v>0</v>
      </c>
      <c r="N127" s="496">
        <f>SUM(N123:N126)</f>
        <v>0</v>
      </c>
      <c r="O127" s="496">
        <f t="shared" ref="O127:Z127" si="20">SUM(O123:O126)</f>
        <v>0</v>
      </c>
      <c r="P127" s="496">
        <f t="shared" si="20"/>
        <v>0</v>
      </c>
      <c r="Q127" s="496">
        <f t="shared" si="20"/>
        <v>0</v>
      </c>
      <c r="R127" s="496">
        <f t="shared" si="20"/>
        <v>0</v>
      </c>
      <c r="S127" s="496">
        <f t="shared" si="20"/>
        <v>0</v>
      </c>
      <c r="T127" s="496">
        <f t="shared" si="20"/>
        <v>0</v>
      </c>
      <c r="U127" s="496">
        <f t="shared" si="20"/>
        <v>0</v>
      </c>
      <c r="V127" s="496">
        <f t="shared" si="20"/>
        <v>0</v>
      </c>
      <c r="W127" s="496">
        <f t="shared" si="20"/>
        <v>0</v>
      </c>
      <c r="X127" s="496">
        <f t="shared" si="20"/>
        <v>0</v>
      </c>
      <c r="Y127" s="496">
        <f t="shared" si="20"/>
        <v>0</v>
      </c>
      <c r="Z127" s="496">
        <f t="shared" si="20"/>
        <v>0</v>
      </c>
      <c r="AA127" s="517"/>
    </row>
    <row r="128" spans="1:27" ht="18.75" outlineLevel="1" x14ac:dyDescent="0.25">
      <c r="A128" s="505" t="str">
        <f>CONCATENATE(B24," ",C24)</f>
        <v xml:space="preserve"> </v>
      </c>
      <c r="B128" s="505"/>
      <c r="C128" s="506"/>
      <c r="D128" s="506"/>
      <c r="E128" s="507"/>
      <c r="F128" s="507"/>
      <c r="G128" s="507"/>
      <c r="H128" s="507"/>
      <c r="I128" s="507"/>
      <c r="J128" s="507"/>
      <c r="K128" s="507"/>
      <c r="L128" s="507"/>
      <c r="M128" s="507"/>
      <c r="N128" s="507"/>
      <c r="O128" s="507" t="s">
        <v>5</v>
      </c>
      <c r="P128" s="507"/>
      <c r="Q128" s="507"/>
      <c r="R128" s="507"/>
      <c r="S128" s="507"/>
      <c r="T128" s="507"/>
      <c r="U128" s="507"/>
      <c r="V128" s="507"/>
      <c r="W128" s="507"/>
      <c r="X128" s="507"/>
      <c r="Y128" s="507"/>
      <c r="Z128" s="507"/>
    </row>
    <row r="129" spans="1:27" ht="75" outlineLevel="1" x14ac:dyDescent="0.25">
      <c r="A129" s="492" t="s">
        <v>261</v>
      </c>
      <c r="B129" s="492" t="s">
        <v>13</v>
      </c>
      <c r="C129" s="492" t="s">
        <v>14</v>
      </c>
      <c r="D129" s="509" t="s">
        <v>286</v>
      </c>
      <c r="E129" s="404" t="s">
        <v>16</v>
      </c>
      <c r="F129" s="404" t="s">
        <v>295</v>
      </c>
      <c r="G129" s="404" t="s">
        <v>39</v>
      </c>
      <c r="H129" s="404" t="s">
        <v>297</v>
      </c>
      <c r="I129" s="404" t="s">
        <v>298</v>
      </c>
      <c r="J129" s="404" t="s">
        <v>299</v>
      </c>
      <c r="K129" s="404" t="s">
        <v>300</v>
      </c>
      <c r="L129" s="404" t="s">
        <v>17</v>
      </c>
      <c r="M129" s="404" t="s">
        <v>18</v>
      </c>
      <c r="N129" s="404" t="s">
        <v>19</v>
      </c>
      <c r="O129" s="493">
        <v>43101</v>
      </c>
      <c r="P129" s="493">
        <v>43132</v>
      </c>
      <c r="Q129" s="493">
        <v>43160</v>
      </c>
      <c r="R129" s="493">
        <v>43191</v>
      </c>
      <c r="S129" s="493">
        <v>43221</v>
      </c>
      <c r="T129" s="493">
        <v>43252</v>
      </c>
      <c r="U129" s="493">
        <v>43282</v>
      </c>
      <c r="V129" s="493">
        <v>43313</v>
      </c>
      <c r="W129" s="493">
        <v>43344</v>
      </c>
      <c r="X129" s="493">
        <v>43374</v>
      </c>
      <c r="Y129" s="493">
        <v>43405</v>
      </c>
      <c r="Z129" s="493">
        <v>43435</v>
      </c>
    </row>
    <row r="130" spans="1:27" ht="15.75" outlineLevel="1" x14ac:dyDescent="0.25">
      <c r="A130" s="494"/>
      <c r="B130" s="494"/>
      <c r="C130" s="494"/>
      <c r="D130" s="603"/>
      <c r="E130" s="496"/>
      <c r="F130" s="496"/>
      <c r="G130" s="496"/>
      <c r="H130" s="496"/>
      <c r="I130" s="496"/>
      <c r="J130" s="496"/>
      <c r="K130" s="496"/>
      <c r="L130" s="496"/>
      <c r="M130" s="496"/>
      <c r="N130" s="496">
        <f t="shared" ref="N130:N133" si="21">SUM(O130:Z130)</f>
        <v>0</v>
      </c>
      <c r="O130" s="496"/>
      <c r="P130" s="496"/>
      <c r="Q130" s="496"/>
      <c r="R130" s="496"/>
      <c r="S130" s="496"/>
      <c r="T130" s="496"/>
      <c r="U130" s="496"/>
      <c r="V130" s="496"/>
      <c r="W130" s="496"/>
      <c r="X130" s="496"/>
      <c r="Y130" s="496"/>
      <c r="Z130" s="496"/>
    </row>
    <row r="131" spans="1:27" ht="15.75" outlineLevel="1" x14ac:dyDescent="0.25">
      <c r="A131" s="494"/>
      <c r="B131" s="494"/>
      <c r="C131" s="494"/>
      <c r="D131" s="603"/>
      <c r="E131" s="496"/>
      <c r="F131" s="496"/>
      <c r="G131" s="496"/>
      <c r="H131" s="496"/>
      <c r="I131" s="496"/>
      <c r="J131" s="496"/>
      <c r="K131" s="496"/>
      <c r="L131" s="496"/>
      <c r="M131" s="496"/>
      <c r="N131" s="496">
        <f t="shared" si="21"/>
        <v>0</v>
      </c>
      <c r="O131" s="496"/>
      <c r="P131" s="496"/>
      <c r="Q131" s="496"/>
      <c r="R131" s="496"/>
      <c r="S131" s="496"/>
      <c r="T131" s="496"/>
      <c r="U131" s="496"/>
      <c r="V131" s="496"/>
      <c r="W131" s="496"/>
      <c r="X131" s="496"/>
      <c r="Y131" s="496"/>
      <c r="Z131" s="496"/>
    </row>
    <row r="132" spans="1:27" ht="15.75" outlineLevel="1" x14ac:dyDescent="0.25">
      <c r="A132" s="494"/>
      <c r="B132" s="494"/>
      <c r="C132" s="494"/>
      <c r="D132" s="603"/>
      <c r="E132" s="496"/>
      <c r="F132" s="496"/>
      <c r="G132" s="496"/>
      <c r="H132" s="496"/>
      <c r="I132" s="496"/>
      <c r="J132" s="496"/>
      <c r="K132" s="496"/>
      <c r="L132" s="496"/>
      <c r="M132" s="496"/>
      <c r="N132" s="496">
        <f t="shared" si="21"/>
        <v>0</v>
      </c>
      <c r="O132" s="496"/>
      <c r="P132" s="496"/>
      <c r="Q132" s="496"/>
      <c r="R132" s="496"/>
      <c r="S132" s="496"/>
      <c r="T132" s="496"/>
      <c r="U132" s="496"/>
      <c r="V132" s="496"/>
      <c r="W132" s="496"/>
      <c r="X132" s="496"/>
      <c r="Y132" s="496"/>
      <c r="Z132" s="496"/>
    </row>
    <row r="133" spans="1:27" ht="15.75" outlineLevel="1" x14ac:dyDescent="0.25">
      <c r="A133" s="494"/>
      <c r="B133" s="494"/>
      <c r="C133" s="494"/>
      <c r="D133" s="603"/>
      <c r="E133" s="496"/>
      <c r="F133" s="496"/>
      <c r="G133" s="496"/>
      <c r="H133" s="496"/>
      <c r="I133" s="496"/>
      <c r="J133" s="496"/>
      <c r="K133" s="496"/>
      <c r="L133" s="496"/>
      <c r="M133" s="496"/>
      <c r="N133" s="496">
        <f t="shared" si="21"/>
        <v>0</v>
      </c>
      <c r="O133" s="496"/>
      <c r="P133" s="496"/>
      <c r="Q133" s="496"/>
      <c r="R133" s="496"/>
      <c r="S133" s="496"/>
      <c r="T133" s="496"/>
      <c r="U133" s="496"/>
      <c r="V133" s="496"/>
      <c r="W133" s="496"/>
      <c r="X133" s="496"/>
      <c r="Y133" s="496"/>
      <c r="Z133" s="496"/>
    </row>
    <row r="134" spans="1:27" ht="21" outlineLevel="1" x14ac:dyDescent="0.25">
      <c r="A134" s="494"/>
      <c r="B134" s="494"/>
      <c r="C134" s="494"/>
      <c r="D134" s="603"/>
      <c r="E134" s="496"/>
      <c r="F134" s="496"/>
      <c r="G134" s="518"/>
      <c r="H134" s="496"/>
      <c r="I134" s="496"/>
      <c r="J134" s="496"/>
      <c r="K134" s="519" t="s">
        <v>20</v>
      </c>
      <c r="L134" s="404">
        <f>SUM(L129:L133)</f>
        <v>0</v>
      </c>
      <c r="M134" s="404">
        <f>SUM(M129:M133)</f>
        <v>0</v>
      </c>
      <c r="N134" s="496">
        <f>SUM(N130:N133)</f>
        <v>0</v>
      </c>
      <c r="O134" s="496">
        <f t="shared" ref="O134:Z134" si="22">SUM(O130:O133)</f>
        <v>0</v>
      </c>
      <c r="P134" s="496">
        <f t="shared" si="22"/>
        <v>0</v>
      </c>
      <c r="Q134" s="496">
        <f t="shared" si="22"/>
        <v>0</v>
      </c>
      <c r="R134" s="496">
        <f t="shared" si="22"/>
        <v>0</v>
      </c>
      <c r="S134" s="496">
        <f t="shared" si="22"/>
        <v>0</v>
      </c>
      <c r="T134" s="496">
        <f t="shared" si="22"/>
        <v>0</v>
      </c>
      <c r="U134" s="496">
        <f t="shared" si="22"/>
        <v>0</v>
      </c>
      <c r="V134" s="496">
        <f t="shared" si="22"/>
        <v>0</v>
      </c>
      <c r="W134" s="496">
        <f t="shared" si="22"/>
        <v>0</v>
      </c>
      <c r="X134" s="496">
        <f t="shared" si="22"/>
        <v>0</v>
      </c>
      <c r="Y134" s="496">
        <f t="shared" si="22"/>
        <v>0</v>
      </c>
      <c r="Z134" s="496">
        <f t="shared" si="22"/>
        <v>0</v>
      </c>
      <c r="AA134" s="517"/>
    </row>
    <row r="135" spans="1:27" ht="18.75" outlineLevel="1" x14ac:dyDescent="0.25">
      <c r="A135" s="505" t="str">
        <f>CONCATENATE(B25," ",C25)</f>
        <v xml:space="preserve"> </v>
      </c>
      <c r="B135" s="505"/>
      <c r="C135" s="506"/>
      <c r="D135" s="506"/>
      <c r="E135" s="507"/>
      <c r="F135" s="507"/>
      <c r="G135" s="507"/>
      <c r="H135" s="507"/>
      <c r="I135" s="507"/>
      <c r="J135" s="507"/>
      <c r="K135" s="507"/>
      <c r="L135" s="507"/>
      <c r="M135" s="507"/>
      <c r="N135" s="507"/>
      <c r="O135" s="507" t="s">
        <v>5</v>
      </c>
      <c r="P135" s="507"/>
      <c r="Q135" s="507"/>
      <c r="R135" s="507"/>
      <c r="S135" s="507"/>
      <c r="T135" s="507"/>
      <c r="U135" s="507"/>
      <c r="V135" s="507"/>
      <c r="W135" s="507"/>
      <c r="X135" s="507"/>
      <c r="Y135" s="507"/>
      <c r="Z135" s="507"/>
    </row>
    <row r="136" spans="1:27" ht="75" outlineLevel="1" x14ac:dyDescent="0.25">
      <c r="A136" s="492" t="s">
        <v>261</v>
      </c>
      <c r="B136" s="492" t="s">
        <v>13</v>
      </c>
      <c r="C136" s="492" t="s">
        <v>14</v>
      </c>
      <c r="D136" s="509" t="s">
        <v>286</v>
      </c>
      <c r="E136" s="404" t="s">
        <v>16</v>
      </c>
      <c r="F136" s="404" t="s">
        <v>295</v>
      </c>
      <c r="G136" s="404" t="s">
        <v>39</v>
      </c>
      <c r="H136" s="404" t="s">
        <v>297</v>
      </c>
      <c r="I136" s="404" t="s">
        <v>298</v>
      </c>
      <c r="J136" s="404" t="s">
        <v>299</v>
      </c>
      <c r="K136" s="404" t="s">
        <v>300</v>
      </c>
      <c r="L136" s="404" t="s">
        <v>17</v>
      </c>
      <c r="M136" s="404" t="s">
        <v>18</v>
      </c>
      <c r="N136" s="404" t="s">
        <v>19</v>
      </c>
      <c r="O136" s="493">
        <v>43101</v>
      </c>
      <c r="P136" s="493">
        <v>43132</v>
      </c>
      <c r="Q136" s="493">
        <v>43160</v>
      </c>
      <c r="R136" s="493">
        <v>43191</v>
      </c>
      <c r="S136" s="493">
        <v>43221</v>
      </c>
      <c r="T136" s="493">
        <v>43252</v>
      </c>
      <c r="U136" s="493">
        <v>43282</v>
      </c>
      <c r="V136" s="493">
        <v>43313</v>
      </c>
      <c r="W136" s="493">
        <v>43344</v>
      </c>
      <c r="X136" s="493">
        <v>43374</v>
      </c>
      <c r="Y136" s="493">
        <v>43405</v>
      </c>
      <c r="Z136" s="493">
        <v>43435</v>
      </c>
    </row>
    <row r="137" spans="1:27" ht="15.75" outlineLevel="1" x14ac:dyDescent="0.25">
      <c r="A137" s="494"/>
      <c r="B137" s="494"/>
      <c r="C137" s="494"/>
      <c r="D137" s="603"/>
      <c r="E137" s="496"/>
      <c r="F137" s="496"/>
      <c r="G137" s="496"/>
      <c r="H137" s="496"/>
      <c r="I137" s="496"/>
      <c r="J137" s="496"/>
      <c r="K137" s="496"/>
      <c r="L137" s="496"/>
      <c r="M137" s="496"/>
      <c r="N137" s="496">
        <f t="shared" ref="N137:N140" si="23">SUM(O137:Z137)</f>
        <v>0</v>
      </c>
      <c r="O137" s="496"/>
      <c r="P137" s="496"/>
      <c r="Q137" s="496"/>
      <c r="R137" s="496"/>
      <c r="S137" s="496"/>
      <c r="T137" s="496"/>
      <c r="U137" s="496"/>
      <c r="V137" s="496"/>
      <c r="W137" s="496"/>
      <c r="X137" s="496"/>
      <c r="Y137" s="496"/>
      <c r="Z137" s="496"/>
    </row>
    <row r="138" spans="1:27" ht="15.75" outlineLevel="1" x14ac:dyDescent="0.25">
      <c r="A138" s="494"/>
      <c r="B138" s="494"/>
      <c r="C138" s="494"/>
      <c r="D138" s="603"/>
      <c r="E138" s="496"/>
      <c r="F138" s="496"/>
      <c r="G138" s="496"/>
      <c r="H138" s="496"/>
      <c r="I138" s="496"/>
      <c r="J138" s="496"/>
      <c r="K138" s="496"/>
      <c r="L138" s="496"/>
      <c r="M138" s="496"/>
      <c r="N138" s="496">
        <f t="shared" si="23"/>
        <v>0</v>
      </c>
      <c r="O138" s="496"/>
      <c r="P138" s="496"/>
      <c r="Q138" s="496"/>
      <c r="R138" s="496"/>
      <c r="S138" s="496"/>
      <c r="T138" s="496"/>
      <c r="U138" s="496"/>
      <c r="V138" s="496"/>
      <c r="W138" s="496"/>
      <c r="X138" s="496"/>
      <c r="Y138" s="496"/>
      <c r="Z138" s="496"/>
    </row>
    <row r="139" spans="1:27" ht="15.75" outlineLevel="1" x14ac:dyDescent="0.25">
      <c r="A139" s="494"/>
      <c r="B139" s="494"/>
      <c r="C139" s="494"/>
      <c r="D139" s="603"/>
      <c r="E139" s="496"/>
      <c r="F139" s="496"/>
      <c r="G139" s="496"/>
      <c r="H139" s="496"/>
      <c r="I139" s="496"/>
      <c r="J139" s="496"/>
      <c r="K139" s="496"/>
      <c r="L139" s="496"/>
      <c r="M139" s="496"/>
      <c r="N139" s="496">
        <f t="shared" si="23"/>
        <v>0</v>
      </c>
      <c r="O139" s="496"/>
      <c r="P139" s="496"/>
      <c r="Q139" s="496"/>
      <c r="R139" s="496"/>
      <c r="S139" s="496"/>
      <c r="T139" s="496"/>
      <c r="U139" s="496"/>
      <c r="V139" s="496"/>
      <c r="W139" s="496"/>
      <c r="X139" s="496"/>
      <c r="Y139" s="496"/>
      <c r="Z139" s="496"/>
    </row>
    <row r="140" spans="1:27" ht="15.75" outlineLevel="1" x14ac:dyDescent="0.25">
      <c r="A140" s="494"/>
      <c r="B140" s="494"/>
      <c r="C140" s="494"/>
      <c r="D140" s="603"/>
      <c r="E140" s="496"/>
      <c r="F140" s="496"/>
      <c r="G140" s="496"/>
      <c r="H140" s="496"/>
      <c r="I140" s="496"/>
      <c r="J140" s="496"/>
      <c r="K140" s="496"/>
      <c r="L140" s="496"/>
      <c r="M140" s="496"/>
      <c r="N140" s="496">
        <f t="shared" si="23"/>
        <v>0</v>
      </c>
      <c r="O140" s="496"/>
      <c r="P140" s="496"/>
      <c r="Q140" s="496"/>
      <c r="R140" s="496"/>
      <c r="S140" s="496"/>
      <c r="T140" s="496"/>
      <c r="U140" s="496"/>
      <c r="V140" s="496"/>
      <c r="W140" s="496"/>
      <c r="X140" s="496"/>
      <c r="Y140" s="496"/>
      <c r="Z140" s="496"/>
    </row>
    <row r="141" spans="1:27" ht="21" outlineLevel="1" x14ac:dyDescent="0.25">
      <c r="A141" s="494"/>
      <c r="B141" s="494"/>
      <c r="C141" s="494"/>
      <c r="D141" s="603"/>
      <c r="E141" s="496"/>
      <c r="F141" s="496"/>
      <c r="G141" s="518"/>
      <c r="H141" s="496"/>
      <c r="I141" s="496"/>
      <c r="J141" s="496"/>
      <c r="K141" s="519" t="s">
        <v>20</v>
      </c>
      <c r="L141" s="404">
        <f>SUM(L136:L140)</f>
        <v>0</v>
      </c>
      <c r="M141" s="404">
        <f>SUM(M136:M140)</f>
        <v>0</v>
      </c>
      <c r="N141" s="496">
        <f>SUM(N137:N140)</f>
        <v>0</v>
      </c>
      <c r="O141" s="496">
        <f t="shared" ref="O141:Z141" si="24">SUM(O137:O140)</f>
        <v>0</v>
      </c>
      <c r="P141" s="496">
        <f t="shared" si="24"/>
        <v>0</v>
      </c>
      <c r="Q141" s="496">
        <f t="shared" si="24"/>
        <v>0</v>
      </c>
      <c r="R141" s="496">
        <f t="shared" si="24"/>
        <v>0</v>
      </c>
      <c r="S141" s="496">
        <f t="shared" si="24"/>
        <v>0</v>
      </c>
      <c r="T141" s="496">
        <f t="shared" si="24"/>
        <v>0</v>
      </c>
      <c r="U141" s="496">
        <f t="shared" si="24"/>
        <v>0</v>
      </c>
      <c r="V141" s="496">
        <f t="shared" si="24"/>
        <v>0</v>
      </c>
      <c r="W141" s="496">
        <f t="shared" si="24"/>
        <v>0</v>
      </c>
      <c r="X141" s="496">
        <f t="shared" si="24"/>
        <v>0</v>
      </c>
      <c r="Y141" s="496">
        <f t="shared" si="24"/>
        <v>0</v>
      </c>
      <c r="Z141" s="496">
        <f t="shared" si="24"/>
        <v>0</v>
      </c>
      <c r="AA141" s="517"/>
    </row>
    <row r="142" spans="1:27" ht="18.75" outlineLevel="1" x14ac:dyDescent="0.25">
      <c r="A142" s="505" t="str">
        <f>CONCATENATE(B26," ",C26)</f>
        <v xml:space="preserve"> </v>
      </c>
      <c r="B142" s="505"/>
      <c r="C142" s="506"/>
      <c r="D142" s="506"/>
      <c r="E142" s="507"/>
      <c r="F142" s="507"/>
      <c r="G142" s="507"/>
      <c r="H142" s="507"/>
      <c r="I142" s="507"/>
      <c r="J142" s="507"/>
      <c r="K142" s="507"/>
      <c r="L142" s="507"/>
      <c r="M142" s="507"/>
      <c r="N142" s="507"/>
      <c r="O142" s="507" t="s">
        <v>5</v>
      </c>
      <c r="P142" s="507"/>
      <c r="Q142" s="507"/>
      <c r="R142" s="507"/>
      <c r="S142" s="507"/>
      <c r="T142" s="507"/>
      <c r="U142" s="507"/>
      <c r="V142" s="507"/>
      <c r="W142" s="507"/>
      <c r="X142" s="507"/>
      <c r="Y142" s="507"/>
      <c r="Z142" s="507"/>
    </row>
    <row r="144" spans="1:27" ht="18.75" x14ac:dyDescent="0.25">
      <c r="A144" s="489" t="s">
        <v>324</v>
      </c>
      <c r="B144" s="489"/>
      <c r="C144" s="490"/>
      <c r="D144" s="490"/>
      <c r="E144" s="402"/>
      <c r="F144" s="402"/>
      <c r="G144" s="402"/>
      <c r="H144" s="491"/>
      <c r="I144" s="491"/>
      <c r="J144" s="402"/>
      <c r="K144" s="402"/>
      <c r="L144" s="402"/>
      <c r="M144" s="402"/>
      <c r="N144" s="402"/>
      <c r="O144" s="402" t="s">
        <v>5</v>
      </c>
      <c r="P144" s="402"/>
      <c r="Q144" s="402"/>
      <c r="R144" s="402"/>
      <c r="S144" s="402"/>
      <c r="T144" s="402"/>
      <c r="U144" s="402"/>
      <c r="V144" s="402"/>
      <c r="W144" s="402"/>
      <c r="X144" s="402"/>
      <c r="Y144" s="402"/>
      <c r="Z144" s="402"/>
    </row>
    <row r="145" spans="1:26" ht="15.75" outlineLevel="1" x14ac:dyDescent="0.25">
      <c r="A145" s="492" t="s">
        <v>261</v>
      </c>
      <c r="B145" s="492" t="s">
        <v>13</v>
      </c>
      <c r="C145" s="492" t="s">
        <v>14</v>
      </c>
      <c r="D145" s="403" t="s">
        <v>15</v>
      </c>
      <c r="E145" s="520"/>
      <c r="F145" s="520"/>
      <c r="G145" s="520"/>
      <c r="H145" s="520"/>
      <c r="I145" s="520"/>
      <c r="J145" s="410"/>
      <c r="K145" s="409"/>
      <c r="L145" s="404" t="s">
        <v>52</v>
      </c>
      <c r="M145" s="404" t="s">
        <v>53</v>
      </c>
      <c r="N145" s="404" t="s">
        <v>54</v>
      </c>
      <c r="O145" s="493">
        <v>43101</v>
      </c>
      <c r="P145" s="493">
        <v>43132</v>
      </c>
      <c r="Q145" s="493">
        <v>43160</v>
      </c>
      <c r="R145" s="493">
        <v>43191</v>
      </c>
      <c r="S145" s="493">
        <v>43221</v>
      </c>
      <c r="T145" s="493">
        <v>43252</v>
      </c>
      <c r="U145" s="493">
        <v>43282</v>
      </c>
      <c r="V145" s="493">
        <v>43313</v>
      </c>
      <c r="W145" s="493">
        <v>43344</v>
      </c>
      <c r="X145" s="493">
        <v>43374</v>
      </c>
      <c r="Y145" s="493">
        <v>43405</v>
      </c>
      <c r="Z145" s="493">
        <v>43435</v>
      </c>
    </row>
    <row r="146" spans="1:26" ht="31.5" outlineLevel="1" x14ac:dyDescent="0.25">
      <c r="A146" s="494"/>
      <c r="B146" s="494" t="str">
        <f>+B17</f>
        <v>Open Pit and Waste Dump Feasibility Study</v>
      </c>
      <c r="C146" s="494" t="str">
        <f>+C17</f>
        <v>La Fortuna</v>
      </c>
      <c r="D146" s="494" t="str">
        <f>+D17</f>
        <v>Operations and Technical Services</v>
      </c>
      <c r="E146" s="520"/>
      <c r="F146" s="520"/>
      <c r="G146" s="520"/>
      <c r="H146" s="520"/>
      <c r="I146" s="520"/>
      <c r="J146" s="410"/>
      <c r="K146" s="409" t="s">
        <v>5</v>
      </c>
      <c r="L146" s="496" t="s">
        <v>42</v>
      </c>
      <c r="M146" s="496" t="s">
        <v>195</v>
      </c>
      <c r="N146" s="496">
        <v>4</v>
      </c>
      <c r="O146" s="521">
        <f t="shared" ref="O146:Z146" si="25">+O17/SUM($O17:$Z17)</f>
        <v>0.19269232569387024</v>
      </c>
      <c r="P146" s="521">
        <f t="shared" si="25"/>
        <v>0.19269232569387024</v>
      </c>
      <c r="Q146" s="521">
        <f t="shared" si="25"/>
        <v>0.19664949774783308</v>
      </c>
      <c r="R146" s="521">
        <f t="shared" si="25"/>
        <v>0.19664949774783308</v>
      </c>
      <c r="S146" s="521">
        <f t="shared" si="25"/>
        <v>0.22131635311659337</v>
      </c>
      <c r="T146" s="521">
        <f t="shared" si="25"/>
        <v>0</v>
      </c>
      <c r="U146" s="521">
        <f t="shared" si="25"/>
        <v>0</v>
      </c>
      <c r="V146" s="521">
        <f t="shared" si="25"/>
        <v>0</v>
      </c>
      <c r="W146" s="521">
        <f t="shared" si="25"/>
        <v>0</v>
      </c>
      <c r="X146" s="521">
        <f t="shared" si="25"/>
        <v>0</v>
      </c>
      <c r="Y146" s="521">
        <f t="shared" si="25"/>
        <v>0</v>
      </c>
      <c r="Z146" s="521">
        <f t="shared" si="25"/>
        <v>0</v>
      </c>
    </row>
    <row r="147" spans="1:26" ht="15.75" outlineLevel="1" x14ac:dyDescent="0.25">
      <c r="A147" s="494"/>
      <c r="B147" s="494" t="str">
        <f t="shared" ref="B147:D149" si="26">+B18</f>
        <v>Open Pit FS Optimization</v>
      </c>
      <c r="C147" s="494" t="str">
        <f t="shared" si="26"/>
        <v>Relincho</v>
      </c>
      <c r="D147" s="494" t="str">
        <f t="shared" si="26"/>
        <v>Operations and Technical Services</v>
      </c>
      <c r="E147" s="520"/>
      <c r="F147" s="520"/>
      <c r="G147" s="520"/>
      <c r="H147" s="520"/>
      <c r="I147" s="520"/>
      <c r="J147" s="410"/>
      <c r="K147" s="409" t="s">
        <v>5</v>
      </c>
      <c r="L147" s="496" t="s">
        <v>47</v>
      </c>
      <c r="M147" s="496" t="s">
        <v>55</v>
      </c>
      <c r="N147" s="496">
        <v>7</v>
      </c>
      <c r="O147" s="521">
        <f t="shared" ref="O147:Z147" si="27">+O18/SUM($O18:$Z18)</f>
        <v>0</v>
      </c>
      <c r="P147" s="521">
        <f t="shared" si="27"/>
        <v>0.1</v>
      </c>
      <c r="Q147" s="521">
        <f t="shared" si="27"/>
        <v>0.1</v>
      </c>
      <c r="R147" s="521">
        <f t="shared" si="27"/>
        <v>0.1</v>
      </c>
      <c r="S147" s="521">
        <f t="shared" si="27"/>
        <v>0.1</v>
      </c>
      <c r="T147" s="521">
        <f t="shared" si="27"/>
        <v>0.1</v>
      </c>
      <c r="U147" s="521">
        <f t="shared" si="27"/>
        <v>0.1</v>
      </c>
      <c r="V147" s="521">
        <f t="shared" si="27"/>
        <v>0.1</v>
      </c>
      <c r="W147" s="521">
        <f t="shared" si="27"/>
        <v>0.1</v>
      </c>
      <c r="X147" s="521">
        <f t="shared" si="27"/>
        <v>0.1</v>
      </c>
      <c r="Y147" s="521">
        <f t="shared" si="27"/>
        <v>0.1</v>
      </c>
      <c r="Z147" s="521">
        <f t="shared" si="27"/>
        <v>0</v>
      </c>
    </row>
    <row r="148" spans="1:26" ht="15.75" outlineLevel="1" x14ac:dyDescent="0.25">
      <c r="A148" s="494"/>
      <c r="B148" s="494" t="str">
        <f t="shared" si="26"/>
        <v>Geotechnical Review Panel</v>
      </c>
      <c r="C148" s="494" t="str">
        <f t="shared" si="26"/>
        <v>NuevaUnion</v>
      </c>
      <c r="D148" s="494" t="str">
        <f t="shared" si="26"/>
        <v>Operations and Technical Services</v>
      </c>
      <c r="E148" s="520"/>
      <c r="F148" s="520"/>
      <c r="G148" s="520"/>
      <c r="H148" s="520"/>
      <c r="I148" s="520"/>
      <c r="J148" s="410"/>
      <c r="K148" s="409" t="s">
        <v>5</v>
      </c>
      <c r="L148" s="496" t="s">
        <v>43</v>
      </c>
      <c r="M148" s="496" t="s">
        <v>55</v>
      </c>
      <c r="N148" s="496">
        <v>12</v>
      </c>
      <c r="O148" s="521">
        <f t="shared" ref="O148:Z149" si="28">+O19/SUM($O19:$Z19)</f>
        <v>0</v>
      </c>
      <c r="P148" s="521">
        <f t="shared" si="28"/>
        <v>0.50164453096775563</v>
      </c>
      <c r="Q148" s="521">
        <f t="shared" si="28"/>
        <v>0</v>
      </c>
      <c r="R148" s="521">
        <f t="shared" si="28"/>
        <v>5.7766335699521151E-2</v>
      </c>
      <c r="S148" s="521">
        <f t="shared" si="28"/>
        <v>0</v>
      </c>
      <c r="T148" s="521">
        <f t="shared" si="28"/>
        <v>5.7766335699521151E-2</v>
      </c>
      <c r="U148" s="521">
        <f t="shared" si="28"/>
        <v>0</v>
      </c>
      <c r="V148" s="521">
        <f t="shared" si="28"/>
        <v>5.7766335699521151E-2</v>
      </c>
      <c r="W148" s="521">
        <f t="shared" si="28"/>
        <v>0.2430856274814561</v>
      </c>
      <c r="X148" s="521">
        <f t="shared" si="28"/>
        <v>8.2066820107942022E-3</v>
      </c>
      <c r="Y148" s="521">
        <f t="shared" si="28"/>
        <v>6.5557470430636311E-2</v>
      </c>
      <c r="Z148" s="521">
        <f t="shared" si="28"/>
        <v>8.2066820107942022E-3</v>
      </c>
    </row>
    <row r="149" spans="1:26" ht="31.5" outlineLevel="1" x14ac:dyDescent="0.25">
      <c r="A149" s="494"/>
      <c r="B149" s="494" t="str">
        <f t="shared" si="26"/>
        <v>Miscellaneous Geotechnical Expenses</v>
      </c>
      <c r="C149" s="494" t="str">
        <f t="shared" si="26"/>
        <v>NuevaUnion</v>
      </c>
      <c r="D149" s="494" t="str">
        <f t="shared" si="26"/>
        <v>Operations and Technical Services</v>
      </c>
      <c r="E149" s="520"/>
      <c r="F149" s="520"/>
      <c r="G149" s="520"/>
      <c r="H149" s="520"/>
      <c r="I149" s="520"/>
      <c r="J149" s="410"/>
      <c r="K149" s="409" t="s">
        <v>5</v>
      </c>
      <c r="L149" s="496" t="s">
        <v>42</v>
      </c>
      <c r="M149" s="496"/>
      <c r="N149" s="496">
        <v>3</v>
      </c>
      <c r="O149" s="521">
        <f t="shared" si="28"/>
        <v>8.7523277467411564E-2</v>
      </c>
      <c r="P149" s="521">
        <f t="shared" si="28"/>
        <v>8.1936685288640607E-2</v>
      </c>
      <c r="Q149" s="521">
        <f t="shared" si="28"/>
        <v>8.1936685288640607E-2</v>
      </c>
      <c r="R149" s="521">
        <f t="shared" si="28"/>
        <v>8.1936685288640607E-2</v>
      </c>
      <c r="S149" s="521">
        <f t="shared" si="28"/>
        <v>8.7523277467411564E-2</v>
      </c>
      <c r="T149" s="521">
        <f t="shared" si="28"/>
        <v>8.1936685288640607E-2</v>
      </c>
      <c r="U149" s="521">
        <f t="shared" si="28"/>
        <v>8.1936685288640607E-2</v>
      </c>
      <c r="V149" s="521">
        <f t="shared" si="28"/>
        <v>8.1936685288640607E-2</v>
      </c>
      <c r="W149" s="521">
        <f t="shared" si="28"/>
        <v>8.7523277467411564E-2</v>
      </c>
      <c r="X149" s="521">
        <f t="shared" si="28"/>
        <v>8.1936685288640607E-2</v>
      </c>
      <c r="Y149" s="521">
        <f t="shared" si="28"/>
        <v>8.1936685288640607E-2</v>
      </c>
      <c r="Z149" s="521">
        <f t="shared" si="28"/>
        <v>8.1936685288640607E-2</v>
      </c>
    </row>
    <row r="150" spans="1:26" s="517" customFormat="1" ht="21" outlineLevel="1" x14ac:dyDescent="0.25">
      <c r="A150" s="513"/>
      <c r="B150" s="514"/>
      <c r="C150" s="514"/>
      <c r="D150" s="514"/>
      <c r="E150" s="515"/>
      <c r="F150" s="515"/>
      <c r="G150" s="515"/>
      <c r="H150" s="515"/>
      <c r="I150" s="515"/>
      <c r="J150" s="516" t="s">
        <v>20</v>
      </c>
      <c r="K150" s="519"/>
      <c r="L150" s="404" t="s">
        <v>48</v>
      </c>
      <c r="M150" s="404" t="s">
        <v>55</v>
      </c>
      <c r="N150" s="522">
        <f>SUM(N146:N149)</f>
        <v>26</v>
      </c>
      <c r="O150" s="521">
        <f t="shared" ref="O150:Z150" si="29">+O27/SUM($O27:$Z27)</f>
        <v>8.9099018409882519E-2</v>
      </c>
      <c r="P150" s="521">
        <f t="shared" si="29"/>
        <v>0.24507354355585134</v>
      </c>
      <c r="Q150" s="521">
        <f t="shared" si="29"/>
        <v>0.10722485267919503</v>
      </c>
      <c r="R150" s="521">
        <f t="shared" si="29"/>
        <v>0.12327705012361616</v>
      </c>
      <c r="S150" s="521">
        <f t="shared" si="29"/>
        <v>0.11775328785740631</v>
      </c>
      <c r="T150" s="521">
        <f t="shared" si="29"/>
        <v>4.6297546758252352E-2</v>
      </c>
      <c r="U150" s="521">
        <f t="shared" si="29"/>
        <v>3.0245349313831216E-2</v>
      </c>
      <c r="V150" s="521">
        <f t="shared" si="29"/>
        <v>4.6297546758252352E-2</v>
      </c>
      <c r="W150" s="521">
        <f t="shared" si="29"/>
        <v>9.8666816126909335E-2</v>
      </c>
      <c r="X150" s="521">
        <f t="shared" si="29"/>
        <v>3.2525834624273706E-2</v>
      </c>
      <c r="Y150" s="521">
        <f t="shared" si="29"/>
        <v>4.8462559157004585E-2</v>
      </c>
      <c r="Z150" s="521">
        <f t="shared" si="29"/>
        <v>1.5076594635524928E-2</v>
      </c>
    </row>
    <row r="152" spans="1:26" x14ac:dyDescent="0.25">
      <c r="B152" s="523" t="s">
        <v>21</v>
      </c>
      <c r="C152" s="524">
        <v>43102</v>
      </c>
    </row>
    <row r="153" spans="1:26" x14ac:dyDescent="0.25">
      <c r="B153" s="523" t="s">
        <v>23</v>
      </c>
      <c r="C153" s="524">
        <v>42917</v>
      </c>
    </row>
    <row r="155" spans="1:26" ht="18.75" x14ac:dyDescent="0.25">
      <c r="A155" s="527" t="s">
        <v>262</v>
      </c>
    </row>
    <row r="156" spans="1:26" ht="18.75" x14ac:dyDescent="0.25">
      <c r="A156" s="528" t="s">
        <v>1398</v>
      </c>
      <c r="B156" s="529"/>
    </row>
    <row r="157" spans="1:26" ht="18.75" x14ac:dyDescent="0.25">
      <c r="A157" s="528" t="s">
        <v>323</v>
      </c>
      <c r="B157" s="529"/>
    </row>
    <row r="159" spans="1:26" ht="18.75" x14ac:dyDescent="0.25">
      <c r="A159" s="529" t="s">
        <v>1399</v>
      </c>
      <c r="B159" s="530" t="s">
        <v>288</v>
      </c>
      <c r="C159" s="530" t="s">
        <v>320</v>
      </c>
    </row>
    <row r="160" spans="1:26" ht="37.5" x14ac:dyDescent="0.25">
      <c r="A160" s="531" t="s">
        <v>310</v>
      </c>
      <c r="B160" s="530" t="s">
        <v>289</v>
      </c>
      <c r="C160" s="530" t="s">
        <v>321</v>
      </c>
    </row>
    <row r="161" spans="1:3" ht="75" x14ac:dyDescent="0.25">
      <c r="A161" s="531" t="s">
        <v>311</v>
      </c>
      <c r="B161" s="530" t="s">
        <v>290</v>
      </c>
      <c r="C161" s="530" t="s">
        <v>319</v>
      </c>
    </row>
    <row r="162" spans="1:3" ht="56.25" x14ac:dyDescent="0.25">
      <c r="A162" s="531" t="s">
        <v>312</v>
      </c>
      <c r="B162" s="530" t="s">
        <v>291</v>
      </c>
      <c r="C162" s="530" t="s">
        <v>322</v>
      </c>
    </row>
    <row r="163" spans="1:3" ht="93.75" x14ac:dyDescent="0.25">
      <c r="A163" s="531" t="s">
        <v>313</v>
      </c>
      <c r="B163" s="530" t="s">
        <v>292</v>
      </c>
      <c r="C163" s="530" t="s">
        <v>327</v>
      </c>
    </row>
    <row r="164" spans="1:3" ht="56.25" x14ac:dyDescent="0.25">
      <c r="A164" s="531" t="s">
        <v>314</v>
      </c>
      <c r="B164" s="530" t="s">
        <v>293</v>
      </c>
      <c r="C164" s="530" t="s">
        <v>317</v>
      </c>
    </row>
    <row r="165" spans="1:3" ht="75" x14ac:dyDescent="0.25">
      <c r="A165" s="531" t="s">
        <v>315</v>
      </c>
      <c r="B165" s="530" t="s">
        <v>296</v>
      </c>
      <c r="C165" s="530" t="s">
        <v>318</v>
      </c>
    </row>
    <row r="167" spans="1:3" ht="56.25" x14ac:dyDescent="0.25">
      <c r="A167" s="532" t="s">
        <v>301</v>
      </c>
      <c r="B167" s="529" t="s">
        <v>1400</v>
      </c>
    </row>
    <row r="169" spans="1:3" ht="37.5" x14ac:dyDescent="0.25">
      <c r="A169" s="532" t="s">
        <v>303</v>
      </c>
      <c r="B169" s="529" t="s">
        <v>1401</v>
      </c>
    </row>
    <row r="170" spans="1:3" ht="18.75" x14ac:dyDescent="0.25">
      <c r="A170" s="529"/>
    </row>
    <row r="171" spans="1:3" ht="56.25" x14ac:dyDescent="0.25">
      <c r="A171" s="532" t="s">
        <v>304</v>
      </c>
      <c r="B171" s="449" t="s">
        <v>1481</v>
      </c>
    </row>
    <row r="172" spans="1:3" ht="18.75" x14ac:dyDescent="0.25">
      <c r="A172" s="529"/>
    </row>
    <row r="173" spans="1:3" ht="37.5" x14ac:dyDescent="0.25">
      <c r="A173" s="529" t="s">
        <v>308</v>
      </c>
      <c r="B173" s="529" t="s">
        <v>1403</v>
      </c>
    </row>
  </sheetData>
  <mergeCells count="38">
    <mergeCell ref="E77:K77"/>
    <mergeCell ref="E78:K78"/>
    <mergeCell ref="E70:K70"/>
    <mergeCell ref="E71:K71"/>
    <mergeCell ref="E72:K72"/>
    <mergeCell ref="E74:K74"/>
    <mergeCell ref="E75:K75"/>
    <mergeCell ref="E76:K76"/>
    <mergeCell ref="E69:K69"/>
    <mergeCell ref="E56:K56"/>
    <mergeCell ref="E57:K57"/>
    <mergeCell ref="E58:K58"/>
    <mergeCell ref="E59:K59"/>
    <mergeCell ref="E60:K60"/>
    <mergeCell ref="E62:K62"/>
    <mergeCell ref="E63:K63"/>
    <mergeCell ref="E64:K64"/>
    <mergeCell ref="E65:K65"/>
    <mergeCell ref="E66:K66"/>
    <mergeCell ref="E68:K68"/>
    <mergeCell ref="E54:K54"/>
    <mergeCell ref="E41:K41"/>
    <mergeCell ref="E42:K42"/>
    <mergeCell ref="E44:K44"/>
    <mergeCell ref="E45:K45"/>
    <mergeCell ref="E46:K46"/>
    <mergeCell ref="E47:K47"/>
    <mergeCell ref="E48:K48"/>
    <mergeCell ref="E50:K50"/>
    <mergeCell ref="E51:K51"/>
    <mergeCell ref="E52:K52"/>
    <mergeCell ref="E53:K53"/>
    <mergeCell ref="E39:K39"/>
    <mergeCell ref="E32:K32"/>
    <mergeCell ref="E33:K33"/>
    <mergeCell ref="E35:K35"/>
    <mergeCell ref="E36:K36"/>
    <mergeCell ref="E38:K38"/>
  </mergeCells>
  <dataValidations count="5">
    <dataValidation type="list" allowBlank="1" showInputMessage="1" showErrorMessage="1" sqref="L44:L48 L50:L54 L56:L60 L62:L66 L68:L72 L74:L78 L35:L36 L39 L41:L42">
      <formula1>$G$2:$G$8</formula1>
    </dataValidation>
    <dataValidation type="list" allowBlank="1" showInputMessage="1" showErrorMessage="1" sqref="J113 L150">
      <formula1>$C$3:$C$14</formula1>
    </dataValidation>
    <dataValidation type="list" allowBlank="1" showInputMessage="1" showErrorMessage="1" sqref="H100:J100 H130:K133 H123:K126 H116:K119 H109:K112 H120:J120 H127:J127 H134:J134 H141:J141 H137:K140 H113:I113 M147:M150 L149 J96:J99 L146 J103 H106:J106">
      <formula1>$C$3:$C$15</formula1>
    </dataValidation>
    <dataValidation type="list" allowBlank="1" showInputMessage="1" showErrorMessage="1" sqref="F137:F141 F130:F134 F123:F127 F116:F120 F109:F113 F96:F100 F103 F106">
      <formula1>$A$3:$A$9</formula1>
    </dataValidation>
    <dataValidation type="list" allowBlank="1" showInputMessage="1" showErrorMessage="1" sqref="L27">
      <formula1>$D$4:$D$15</formula1>
    </dataValidation>
  </dataValidations>
  <pageMargins left="0.70866141732283472" right="0.70866141732283472" top="0.74803149606299213" bottom="0.74803149606299213" header="0.31496062992125984" footer="0.31496062992125984"/>
  <pageSetup paperSize="17" scale="24"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'https://nuevaunionspa-my.sharepoint.com/personal/gineva_alcota_nuevaunion_cl/Documents/40300 Cost Control/40303 Presupuestos/2018/Operations/[1002-40303-PS-SOA-0001_REV5-Geology.xlsx]Lists'!#REF!</xm:f>
          </x14:formula1>
          <xm:sqref>M104:M105</xm:sqref>
        </x14:dataValidation>
        <x14:dataValidation type="list" allowBlank="1" showInputMessage="1" showErrorMessage="1">
          <x14:formula1>
            <xm:f>'C:\Users\gineva.alcota\AppData\Local\Microsoft\Windows\INetCache\Content.Outlook\YCN3EFJG\[1002-40303-PS-SOA-0001_REV7-Geotech.xlsx]Lists'!#REF!</xm:f>
          </x14:formula1>
          <xm:sqref>L32:L33 B8 N146:N149 G83:K83 H96:I99 M146 H103:I103 E83 E87:E92 L147:L148 L109:M112 L116:M119 L123:M126 L130:M133 L137:M140 K96:M99 G87:L92 K103:M103</xm:sqref>
        </x14:dataValidation>
        <x14:dataValidation type="list" allowBlank="1" showInputMessage="1" showErrorMessage="1">
          <x14:formula1>
            <xm:f>'C:\Users\gineva.alcota\AppData\Local\Microsoft\Windows\INetCache\Content.Outlook\YCN3EFJG\[1002-40303-PS-SOA-0001_REV7-Geotech.xlsx]CCs &amp; Accounts'!#REF!</xm:f>
          </x14:formula1>
          <xm:sqref>E17:E26 E109:E113 E116:E120 E123:E127 E130:E134 E137:E141 E96:E100 E103:E106</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pageSetUpPr fitToPage="1"/>
  </sheetPr>
  <dimension ref="A1:AA30"/>
  <sheetViews>
    <sheetView showGridLines="0" view="pageLayout" zoomScale="60" zoomScaleNormal="70" zoomScalePageLayoutView="60" workbookViewId="0">
      <selection activeCell="M37" sqref="M37"/>
    </sheetView>
  </sheetViews>
  <sheetFormatPr baseColWidth="10" defaultColWidth="11.42578125" defaultRowHeight="15" outlineLevelRow="1" outlineLevelCol="1" x14ac:dyDescent="0.25"/>
  <cols>
    <col min="1" max="1" width="10.85546875" style="400" customWidth="1"/>
    <col min="2" max="2" width="32" style="400" customWidth="1"/>
    <col min="3" max="3" width="43.7109375" style="400" customWidth="1"/>
    <col min="4" max="4" width="47.28515625" style="400" customWidth="1"/>
    <col min="5" max="5" width="17.5703125" style="400" customWidth="1"/>
    <col min="6" max="8" width="17.5703125" style="400" hidden="1" customWidth="1"/>
    <col min="9" max="10" width="11.5703125" style="400" hidden="1" customWidth="1"/>
    <col min="11" max="11" width="17.5703125" style="400" hidden="1" customWidth="1"/>
    <col min="12" max="13" width="17.7109375" style="400" customWidth="1"/>
    <col min="14" max="14" width="15.7109375" style="400" customWidth="1"/>
    <col min="15" max="15" width="11.5703125" style="400" hidden="1" customWidth="1" outlineLevel="1"/>
    <col min="16" max="17" width="16.42578125" style="400" hidden="1" customWidth="1" outlineLevel="1"/>
    <col min="18" max="18" width="16.85546875" style="400" hidden="1" customWidth="1" outlineLevel="1"/>
    <col min="19" max="19" width="16.42578125" style="400" hidden="1" customWidth="1" outlineLevel="1"/>
    <col min="20" max="23" width="16.85546875" style="400" hidden="1" customWidth="1" outlineLevel="1"/>
    <col min="24" max="25" width="16.42578125" style="400" hidden="1" customWidth="1" outlineLevel="1"/>
    <col min="26" max="26" width="16.85546875" style="400" hidden="1" customWidth="1" outlineLevel="1"/>
    <col min="27" max="27" width="11.42578125" style="400" collapsed="1"/>
    <col min="28" max="16384" width="11.42578125" style="400"/>
  </cols>
  <sheetData>
    <row r="1" spans="1:26" s="416" customFormat="1" ht="36.6" customHeight="1" x14ac:dyDescent="0.25"/>
    <row r="2" spans="1:26" ht="24.75" customHeight="1" x14ac:dyDescent="0.25"/>
    <row r="3" spans="1:26" ht="36.6" customHeight="1" x14ac:dyDescent="0.25">
      <c r="A3" s="417" t="s">
        <v>1446</v>
      </c>
      <c r="B3" s="418"/>
      <c r="C3" s="401"/>
      <c r="D3" s="401"/>
      <c r="E3" s="401"/>
      <c r="F3" s="401"/>
      <c r="G3" s="401"/>
      <c r="H3" s="575"/>
      <c r="I3" s="575"/>
      <c r="J3" s="441"/>
      <c r="K3" s="401"/>
      <c r="L3" s="402"/>
      <c r="M3" s="402"/>
      <c r="N3" s="402"/>
      <c r="O3" s="402" t="s">
        <v>5</v>
      </c>
      <c r="P3" s="402"/>
      <c r="Q3" s="402"/>
      <c r="R3" s="402"/>
      <c r="S3" s="402"/>
      <c r="T3" s="402"/>
      <c r="U3" s="402"/>
      <c r="V3" s="402"/>
      <c r="W3" s="402"/>
      <c r="X3" s="402"/>
      <c r="Y3" s="402"/>
      <c r="Z3" s="402"/>
    </row>
    <row r="4" spans="1:26" ht="15.6" customHeight="1" x14ac:dyDescent="0.25">
      <c r="A4" s="419"/>
      <c r="B4" s="420" t="s">
        <v>6</v>
      </c>
      <c r="C4" s="420"/>
      <c r="D4" s="420"/>
      <c r="E4" s="420"/>
      <c r="F4" s="420"/>
      <c r="G4" s="420"/>
      <c r="H4" s="420"/>
      <c r="I4" s="420"/>
      <c r="J4" s="420"/>
      <c r="K4" s="420"/>
      <c r="L4" s="420"/>
      <c r="M4" s="420"/>
      <c r="N4" s="421"/>
      <c r="O4" s="420"/>
      <c r="P4" s="420"/>
      <c r="Q4" s="420"/>
      <c r="R4" s="420"/>
      <c r="S4" s="420"/>
      <c r="T4" s="420"/>
      <c r="U4" s="420"/>
      <c r="V4" s="420"/>
      <c r="W4" s="420"/>
      <c r="X4" s="420"/>
      <c r="Y4" s="420"/>
      <c r="Z4" s="421"/>
    </row>
    <row r="5" spans="1:26" ht="22.15" customHeight="1" x14ac:dyDescent="0.25">
      <c r="A5" s="422"/>
      <c r="B5" s="423" t="str">
        <f>+General_Management!B8</f>
        <v>7.1 General Management</v>
      </c>
      <c r="C5" s="424"/>
      <c r="D5" s="424"/>
      <c r="E5" s="425"/>
      <c r="F5" s="425"/>
      <c r="G5" s="425"/>
      <c r="H5" s="425"/>
      <c r="I5" s="425"/>
      <c r="J5" s="425"/>
      <c r="K5" s="425"/>
      <c r="L5" s="425"/>
      <c r="M5" s="425"/>
      <c r="N5" s="426" t="s">
        <v>7</v>
      </c>
      <c r="O5" s="425"/>
      <c r="P5" s="425"/>
      <c r="Q5" s="425"/>
      <c r="R5" s="425"/>
      <c r="S5" s="425"/>
      <c r="T5" s="425"/>
      <c r="U5" s="425"/>
      <c r="V5" s="425"/>
      <c r="W5" s="425"/>
      <c r="X5" s="425"/>
      <c r="Y5" s="425"/>
      <c r="Z5" s="427"/>
    </row>
    <row r="6" spans="1:26" x14ac:dyDescent="0.25">
      <c r="A6" s="422"/>
      <c r="B6" s="428" t="s">
        <v>1431</v>
      </c>
      <c r="C6" s="425"/>
      <c r="D6" s="428" t="s">
        <v>8</v>
      </c>
      <c r="E6" s="428"/>
      <c r="F6" s="428"/>
      <c r="G6" s="428"/>
      <c r="H6" s="428"/>
      <c r="I6" s="428"/>
      <c r="J6" s="428"/>
      <c r="K6" s="428"/>
      <c r="L6" s="428"/>
      <c r="M6" s="428"/>
      <c r="N6" s="429">
        <v>43102</v>
      </c>
      <c r="O6" s="428"/>
      <c r="P6" s="428"/>
      <c r="Q6" s="428"/>
      <c r="R6" s="428"/>
      <c r="S6" s="428"/>
      <c r="T6" s="428"/>
      <c r="U6" s="428"/>
      <c r="V6" s="428"/>
      <c r="W6" s="428"/>
      <c r="X6" s="428"/>
      <c r="Y6" s="428"/>
      <c r="Z6" s="430"/>
    </row>
    <row r="7" spans="1:26" ht="17.45" customHeight="1" x14ac:dyDescent="0.25">
      <c r="A7" s="431"/>
      <c r="B7" s="432" t="str">
        <f>+Service_Management!B10</f>
        <v>688 Management</v>
      </c>
      <c r="C7" s="433"/>
      <c r="D7" s="423" t="str">
        <f>+General_Management!D10</f>
        <v>Mike Hubbard</v>
      </c>
      <c r="E7" s="425"/>
      <c r="F7" s="425"/>
      <c r="G7" s="425"/>
      <c r="H7" s="425"/>
      <c r="I7" s="425"/>
      <c r="J7" s="425"/>
      <c r="K7" s="425"/>
      <c r="L7" s="425"/>
      <c r="M7" s="425"/>
      <c r="N7" s="427"/>
      <c r="O7" s="425"/>
      <c r="P7" s="425"/>
      <c r="Q7" s="425"/>
      <c r="R7" s="425"/>
      <c r="S7" s="425"/>
      <c r="T7" s="425"/>
      <c r="U7" s="425"/>
      <c r="V7" s="425"/>
      <c r="W7" s="425"/>
      <c r="X7" s="425"/>
      <c r="Y7" s="425"/>
      <c r="Z7" s="427"/>
    </row>
    <row r="8" spans="1:26" ht="20.45" customHeight="1" x14ac:dyDescent="0.25">
      <c r="A8" s="431"/>
      <c r="B8" s="434" t="s">
        <v>10</v>
      </c>
      <c r="C8" s="433"/>
      <c r="D8" s="434"/>
      <c r="E8" s="434"/>
      <c r="F8" s="434"/>
      <c r="G8" s="434"/>
      <c r="H8" s="434"/>
      <c r="I8" s="434"/>
      <c r="J8" s="434"/>
      <c r="K8" s="434"/>
      <c r="L8" s="434"/>
      <c r="M8" s="434"/>
      <c r="N8" s="435" t="s">
        <v>11</v>
      </c>
      <c r="O8" s="434"/>
      <c r="P8" s="434"/>
      <c r="Q8" s="434"/>
      <c r="R8" s="434"/>
      <c r="S8" s="434"/>
      <c r="T8" s="434"/>
      <c r="U8" s="434"/>
      <c r="V8" s="434"/>
      <c r="W8" s="434"/>
      <c r="X8" s="434"/>
      <c r="Y8" s="434"/>
      <c r="Z8" s="435"/>
    </row>
    <row r="9" spans="1:26" x14ac:dyDescent="0.25">
      <c r="A9" s="431"/>
      <c r="B9" s="436">
        <f>+Engineering!B12</f>
        <v>43313</v>
      </c>
      <c r="C9" s="433"/>
      <c r="D9" s="434"/>
      <c r="E9" s="425"/>
      <c r="F9" s="425"/>
      <c r="G9" s="425"/>
      <c r="H9" s="425"/>
      <c r="I9" s="425"/>
      <c r="J9" s="425"/>
      <c r="K9" s="425"/>
      <c r="L9" s="425"/>
      <c r="M9" s="425"/>
      <c r="N9" s="429">
        <v>43465</v>
      </c>
      <c r="O9" s="425"/>
      <c r="P9" s="425"/>
      <c r="Q9" s="425"/>
      <c r="R9" s="425"/>
      <c r="S9" s="425"/>
      <c r="T9" s="425"/>
      <c r="U9" s="425"/>
      <c r="V9" s="425"/>
      <c r="W9" s="425"/>
      <c r="X9" s="425"/>
      <c r="Y9" s="425"/>
      <c r="Z9" s="435"/>
    </row>
    <row r="10" spans="1:26" x14ac:dyDescent="0.25">
      <c r="A10" s="437"/>
      <c r="B10" s="438"/>
      <c r="C10" s="439"/>
      <c r="D10" s="439"/>
      <c r="E10" s="439"/>
      <c r="F10" s="439"/>
      <c r="G10" s="439"/>
      <c r="H10" s="439"/>
      <c r="I10" s="439"/>
      <c r="J10" s="439"/>
      <c r="K10" s="439"/>
      <c r="L10" s="439"/>
      <c r="M10" s="439"/>
      <c r="N10" s="440"/>
      <c r="O10" s="439"/>
      <c r="P10" s="439"/>
      <c r="Q10" s="439"/>
      <c r="R10" s="439"/>
      <c r="S10" s="439"/>
      <c r="T10" s="439"/>
      <c r="U10" s="439"/>
      <c r="V10" s="439"/>
      <c r="W10" s="439"/>
      <c r="X10" s="439"/>
      <c r="Y10" s="439"/>
      <c r="Z10" s="440"/>
    </row>
    <row r="11" spans="1:26" ht="6.75" customHeight="1" x14ac:dyDescent="0.25"/>
    <row r="12" spans="1:26" x14ac:dyDescent="0.25">
      <c r="A12" s="441" t="s">
        <v>12</v>
      </c>
      <c r="B12" s="441"/>
      <c r="C12" s="402"/>
      <c r="D12" s="402"/>
      <c r="E12" s="402"/>
      <c r="F12" s="402"/>
      <c r="G12" s="402"/>
      <c r="H12" s="491"/>
      <c r="I12" s="491"/>
      <c r="J12" s="441"/>
      <c r="K12" s="402"/>
      <c r="L12" s="402"/>
      <c r="M12" s="402"/>
      <c r="N12" s="402"/>
      <c r="O12" s="402" t="s">
        <v>5</v>
      </c>
      <c r="P12" s="402"/>
      <c r="Q12" s="402"/>
      <c r="R12" s="402"/>
      <c r="S12" s="402"/>
      <c r="T12" s="402"/>
      <c r="U12" s="402"/>
      <c r="V12" s="402"/>
      <c r="W12" s="402"/>
      <c r="X12" s="402"/>
      <c r="Y12" s="402"/>
      <c r="Z12" s="402"/>
    </row>
    <row r="13" spans="1:26" outlineLevel="1" x14ac:dyDescent="0.25">
      <c r="A13" s="442"/>
      <c r="B13" s="442" t="s">
        <v>13</v>
      </c>
      <c r="C13" s="442" t="s">
        <v>14</v>
      </c>
      <c r="D13" s="403" t="s">
        <v>15</v>
      </c>
      <c r="E13" s="404" t="s">
        <v>16</v>
      </c>
      <c r="F13" s="410"/>
      <c r="G13" s="410"/>
      <c r="H13" s="410"/>
      <c r="I13" s="410"/>
      <c r="J13" s="410"/>
      <c r="K13" s="410"/>
      <c r="L13" s="404" t="s">
        <v>17</v>
      </c>
      <c r="M13" s="404" t="s">
        <v>18</v>
      </c>
      <c r="N13" s="404" t="s">
        <v>825</v>
      </c>
      <c r="O13" s="443">
        <v>43101</v>
      </c>
      <c r="P13" s="443">
        <v>43132</v>
      </c>
      <c r="Q13" s="443">
        <v>43160</v>
      </c>
      <c r="R13" s="443">
        <v>43191</v>
      </c>
      <c r="S13" s="443">
        <v>43221</v>
      </c>
      <c r="T13" s="443">
        <v>43252</v>
      </c>
      <c r="U13" s="443">
        <v>43282</v>
      </c>
      <c r="V13" s="443">
        <v>43313</v>
      </c>
      <c r="W13" s="443">
        <v>43344</v>
      </c>
      <c r="X13" s="443">
        <v>43374</v>
      </c>
      <c r="Y13" s="443">
        <v>43405</v>
      </c>
      <c r="Z13" s="443">
        <v>43435</v>
      </c>
    </row>
    <row r="14" spans="1:26" ht="17.45" customHeight="1" outlineLevel="1" x14ac:dyDescent="0.25">
      <c r="A14" s="444" t="str">
        <f>+Engineering!A17</f>
        <v>5.1</v>
      </c>
      <c r="B14" s="444" t="str">
        <f>+Service_Management!B17</f>
        <v>Objective 1</v>
      </c>
      <c r="C14" s="444" t="str">
        <f>+General_Management!C17</f>
        <v>Lunch meetings</v>
      </c>
      <c r="D14" s="405">
        <f>+Service_Management!D17</f>
        <v>0</v>
      </c>
      <c r="E14" s="406" t="str">
        <f>+Service_Management!E17</f>
        <v>688 / 51-11-3353</v>
      </c>
      <c r="F14" s="410"/>
      <c r="G14" s="410"/>
      <c r="H14" s="410"/>
      <c r="I14" s="410"/>
      <c r="J14" s="410"/>
      <c r="K14" s="410"/>
      <c r="L14" s="406">
        <f>+Service_Management!L17</f>
        <v>6</v>
      </c>
      <c r="M14" s="407">
        <f>+Service_Management!M17</f>
        <v>12</v>
      </c>
      <c r="N14" s="576">
        <f>+General_Management!N27</f>
        <v>18000</v>
      </c>
      <c r="O14" s="408" t="e">
        <f>+#REF!</f>
        <v>#REF!</v>
      </c>
      <c r="P14" s="408" t="e">
        <f>+#REF!</f>
        <v>#REF!</v>
      </c>
      <c r="Q14" s="408" t="e">
        <f>+#REF!</f>
        <v>#REF!</v>
      </c>
      <c r="R14" s="408" t="e">
        <f>+#REF!</f>
        <v>#REF!</v>
      </c>
      <c r="S14" s="408" t="e">
        <f>+#REF!</f>
        <v>#REF!</v>
      </c>
      <c r="T14" s="408" t="e">
        <f>+#REF!</f>
        <v>#REF!</v>
      </c>
      <c r="U14" s="408" t="e">
        <f>+#REF!</f>
        <v>#REF!</v>
      </c>
      <c r="V14" s="408" t="e">
        <f>+#REF!</f>
        <v>#REF!</v>
      </c>
      <c r="W14" s="408" t="e">
        <f>+#REF!</f>
        <v>#REF!</v>
      </c>
      <c r="X14" s="408" t="e">
        <f>+#REF!</f>
        <v>#REF!</v>
      </c>
      <c r="Y14" s="408" t="e">
        <f>+#REF!</f>
        <v>#REF!</v>
      </c>
      <c r="Z14" s="408" t="e">
        <f>+#REF!</f>
        <v>#REF!</v>
      </c>
    </row>
    <row r="15" spans="1:26" outlineLevel="1" x14ac:dyDescent="0.25">
      <c r="A15" s="444"/>
      <c r="B15" s="444"/>
      <c r="C15" s="444"/>
      <c r="D15" s="405"/>
      <c r="E15" s="406"/>
      <c r="F15" s="410"/>
      <c r="G15" s="410"/>
      <c r="H15" s="410"/>
      <c r="I15" s="410"/>
      <c r="J15" s="410"/>
      <c r="K15" s="410"/>
      <c r="L15" s="406"/>
      <c r="M15" s="407"/>
      <c r="N15" s="576"/>
      <c r="O15" s="408" t="e">
        <f>+#REF!</f>
        <v>#REF!</v>
      </c>
      <c r="P15" s="408" t="e">
        <f>+#REF!</f>
        <v>#REF!</v>
      </c>
      <c r="Q15" s="408" t="e">
        <f>+#REF!</f>
        <v>#REF!</v>
      </c>
      <c r="R15" s="408" t="e">
        <f>+#REF!</f>
        <v>#REF!</v>
      </c>
      <c r="S15" s="408" t="e">
        <f>+#REF!</f>
        <v>#REF!</v>
      </c>
      <c r="T15" s="408" t="e">
        <f>+#REF!</f>
        <v>#REF!</v>
      </c>
      <c r="U15" s="408" t="e">
        <f>+#REF!</f>
        <v>#REF!</v>
      </c>
      <c r="V15" s="408" t="e">
        <f>+#REF!</f>
        <v>#REF!</v>
      </c>
      <c r="W15" s="408" t="e">
        <f>+#REF!</f>
        <v>#REF!</v>
      </c>
      <c r="X15" s="408" t="e">
        <f>+#REF!</f>
        <v>#REF!</v>
      </c>
      <c r="Y15" s="408" t="e">
        <f>+#REF!</f>
        <v>#REF!</v>
      </c>
      <c r="Z15" s="408" t="e">
        <f>+#REF!</f>
        <v>#REF!</v>
      </c>
    </row>
    <row r="16" spans="1:26" hidden="1" outlineLevel="1" x14ac:dyDescent="0.25">
      <c r="A16" s="444"/>
      <c r="B16" s="444"/>
      <c r="C16" s="444"/>
      <c r="D16" s="405"/>
      <c r="E16" s="406"/>
      <c r="F16" s="410"/>
      <c r="G16" s="410"/>
      <c r="H16" s="410"/>
      <c r="I16" s="410"/>
      <c r="J16" s="410"/>
      <c r="K16" s="410"/>
      <c r="L16" s="406"/>
      <c r="M16" s="407"/>
      <c r="N16" s="576"/>
      <c r="O16" s="408" t="e">
        <f>+#REF!</f>
        <v>#REF!</v>
      </c>
      <c r="P16" s="408" t="e">
        <f>+#REF!</f>
        <v>#REF!</v>
      </c>
      <c r="Q16" s="408" t="e">
        <f>+#REF!</f>
        <v>#REF!</v>
      </c>
      <c r="R16" s="408" t="e">
        <f>+#REF!</f>
        <v>#REF!</v>
      </c>
      <c r="S16" s="408" t="e">
        <f>+#REF!</f>
        <v>#REF!</v>
      </c>
      <c r="T16" s="408" t="e">
        <f>+#REF!</f>
        <v>#REF!</v>
      </c>
      <c r="U16" s="408" t="e">
        <f>+#REF!</f>
        <v>#REF!</v>
      </c>
      <c r="V16" s="408" t="e">
        <f>+#REF!</f>
        <v>#REF!</v>
      </c>
      <c r="W16" s="408" t="e">
        <f>+#REF!</f>
        <v>#REF!</v>
      </c>
      <c r="X16" s="408" t="e">
        <f>+#REF!</f>
        <v>#REF!</v>
      </c>
      <c r="Y16" s="408" t="e">
        <f>+#REF!</f>
        <v>#REF!</v>
      </c>
      <c r="Z16" s="408" t="e">
        <f>+#REF!</f>
        <v>#REF!</v>
      </c>
    </row>
    <row r="17" spans="1:26" ht="19.149999999999999" hidden="1" customHeight="1" outlineLevel="1" x14ac:dyDescent="0.25">
      <c r="A17" s="444"/>
      <c r="B17" s="444"/>
      <c r="C17" s="444"/>
      <c r="D17" s="405"/>
      <c r="E17" s="406"/>
      <c r="F17" s="410"/>
      <c r="G17" s="410"/>
      <c r="H17" s="410"/>
      <c r="I17" s="410"/>
      <c r="J17" s="410"/>
      <c r="K17" s="410"/>
      <c r="L17" s="406"/>
      <c r="M17" s="407"/>
      <c r="N17" s="576"/>
      <c r="O17" s="409" t="s">
        <v>5</v>
      </c>
      <c r="P17" s="409"/>
      <c r="Q17" s="409"/>
      <c r="R17" s="409"/>
      <c r="S17" s="409"/>
      <c r="T17" s="409"/>
      <c r="U17" s="409"/>
      <c r="V17" s="409"/>
      <c r="W17" s="409"/>
      <c r="X17" s="409"/>
      <c r="Y17" s="409"/>
      <c r="Z17" s="409"/>
    </row>
    <row r="18" spans="1:26" ht="19.149999999999999" hidden="1" customHeight="1" outlineLevel="1" x14ac:dyDescent="0.25">
      <c r="A18" s="444"/>
      <c r="B18" s="444"/>
      <c r="C18" s="444"/>
      <c r="D18" s="405"/>
      <c r="E18" s="406"/>
      <c r="F18" s="410"/>
      <c r="G18" s="410"/>
      <c r="H18" s="410"/>
      <c r="I18" s="410"/>
      <c r="J18" s="410"/>
      <c r="K18" s="410"/>
      <c r="L18" s="406"/>
      <c r="M18" s="410"/>
      <c r="N18" s="576"/>
      <c r="O18" s="409"/>
      <c r="P18" s="409"/>
      <c r="Q18" s="409"/>
      <c r="R18" s="409"/>
      <c r="S18" s="409"/>
      <c r="T18" s="409"/>
      <c r="U18" s="409"/>
      <c r="V18" s="409"/>
      <c r="W18" s="409"/>
      <c r="X18" s="409"/>
      <c r="Y18" s="409"/>
      <c r="Z18" s="409"/>
    </row>
    <row r="19" spans="1:26" ht="19.149999999999999" hidden="1" customHeight="1" outlineLevel="1" x14ac:dyDescent="0.25">
      <c r="A19" s="444"/>
      <c r="B19" s="444"/>
      <c r="C19" s="444"/>
      <c r="D19" s="405"/>
      <c r="E19" s="406"/>
      <c r="F19" s="410"/>
      <c r="G19" s="410"/>
      <c r="H19" s="410"/>
      <c r="I19" s="410"/>
      <c r="J19" s="410"/>
      <c r="K19" s="410"/>
      <c r="L19" s="406"/>
      <c r="M19" s="410"/>
      <c r="N19" s="576"/>
      <c r="O19" s="409"/>
      <c r="P19" s="409"/>
      <c r="Q19" s="409"/>
      <c r="R19" s="409"/>
      <c r="S19" s="409"/>
      <c r="T19" s="409"/>
      <c r="U19" s="409"/>
      <c r="V19" s="409"/>
      <c r="W19" s="409"/>
      <c r="X19" s="409"/>
      <c r="Y19" s="409"/>
      <c r="Z19" s="409"/>
    </row>
    <row r="20" spans="1:26" ht="19.149999999999999" hidden="1" customHeight="1" outlineLevel="1" x14ac:dyDescent="0.25">
      <c r="A20" s="444"/>
      <c r="B20" s="444"/>
      <c r="C20" s="444"/>
      <c r="D20" s="405"/>
      <c r="E20" s="406"/>
      <c r="F20" s="410"/>
      <c r="G20" s="410"/>
      <c r="H20" s="410"/>
      <c r="I20" s="410"/>
      <c r="J20" s="410"/>
      <c r="K20" s="410"/>
      <c r="L20" s="406"/>
      <c r="M20" s="410"/>
      <c r="N20" s="576"/>
      <c r="O20" s="409"/>
      <c r="P20" s="409"/>
      <c r="Q20" s="409"/>
      <c r="R20" s="409"/>
      <c r="S20" s="409"/>
      <c r="T20" s="409"/>
      <c r="U20" s="409"/>
      <c r="V20" s="409"/>
      <c r="W20" s="409"/>
      <c r="X20" s="409"/>
      <c r="Y20" s="409"/>
      <c r="Z20" s="409"/>
    </row>
    <row r="21" spans="1:26" ht="19.149999999999999" hidden="1" customHeight="1" outlineLevel="1" x14ac:dyDescent="0.25">
      <c r="A21" s="444"/>
      <c r="B21" s="444"/>
      <c r="C21" s="444"/>
      <c r="D21" s="405"/>
      <c r="E21" s="406"/>
      <c r="F21" s="410"/>
      <c r="G21" s="410"/>
      <c r="H21" s="410"/>
      <c r="I21" s="410"/>
      <c r="J21" s="410"/>
      <c r="K21" s="410"/>
      <c r="L21" s="406"/>
      <c r="M21" s="410"/>
      <c r="N21" s="576"/>
      <c r="O21" s="409"/>
      <c r="P21" s="409"/>
      <c r="Q21" s="409"/>
      <c r="R21" s="409"/>
      <c r="S21" s="409"/>
      <c r="T21" s="409"/>
      <c r="U21" s="409"/>
      <c r="V21" s="409"/>
      <c r="W21" s="409"/>
      <c r="X21" s="409"/>
      <c r="Y21" s="409"/>
      <c r="Z21" s="409"/>
    </row>
    <row r="22" spans="1:26" ht="19.149999999999999" hidden="1" customHeight="1" outlineLevel="1" x14ac:dyDescent="0.25">
      <c r="A22" s="444"/>
      <c r="B22" s="444"/>
      <c r="C22" s="444"/>
      <c r="D22" s="405"/>
      <c r="E22" s="406"/>
      <c r="F22" s="410"/>
      <c r="G22" s="410"/>
      <c r="H22" s="410"/>
      <c r="I22" s="410"/>
      <c r="J22" s="410"/>
      <c r="K22" s="410"/>
      <c r="L22" s="406"/>
      <c r="M22" s="410"/>
      <c r="N22" s="411"/>
      <c r="O22" s="409"/>
      <c r="P22" s="409"/>
      <c r="Q22" s="409"/>
      <c r="R22" s="409"/>
      <c r="S22" s="409"/>
      <c r="T22" s="409"/>
      <c r="U22" s="409"/>
      <c r="V22" s="409"/>
      <c r="W22" s="409"/>
      <c r="X22" s="409"/>
      <c r="Y22" s="409"/>
      <c r="Z22" s="409"/>
    </row>
    <row r="23" spans="1:26" ht="19.149999999999999" hidden="1" customHeight="1" outlineLevel="1" x14ac:dyDescent="0.25">
      <c r="A23" s="444"/>
      <c r="B23" s="444"/>
      <c r="C23" s="444"/>
      <c r="D23" s="405"/>
      <c r="E23" s="406"/>
      <c r="F23" s="410"/>
      <c r="G23" s="410"/>
      <c r="H23" s="410"/>
      <c r="I23" s="410"/>
      <c r="J23" s="410"/>
      <c r="K23" s="410"/>
      <c r="L23" s="406"/>
      <c r="M23" s="410"/>
      <c r="N23" s="411"/>
      <c r="O23" s="409"/>
      <c r="P23" s="409"/>
      <c r="Q23" s="409"/>
      <c r="R23" s="409"/>
      <c r="S23" s="409"/>
      <c r="T23" s="409"/>
      <c r="U23" s="409"/>
      <c r="V23" s="409"/>
      <c r="W23" s="409"/>
      <c r="X23" s="409"/>
      <c r="Y23" s="409"/>
      <c r="Z23" s="409"/>
    </row>
    <row r="24" spans="1:26" ht="4.1500000000000004" customHeight="1" outlineLevel="1" x14ac:dyDescent="0.25">
      <c r="A24" s="444"/>
      <c r="B24" s="444"/>
      <c r="C24" s="444"/>
      <c r="D24" s="405"/>
      <c r="E24" s="406"/>
      <c r="F24" s="410"/>
      <c r="G24" s="410"/>
      <c r="H24" s="410"/>
      <c r="I24" s="410"/>
      <c r="J24" s="410"/>
      <c r="K24" s="410"/>
      <c r="L24" s="406"/>
      <c r="M24" s="410"/>
      <c r="N24" s="411"/>
      <c r="O24" s="409"/>
      <c r="P24" s="409"/>
      <c r="Q24" s="409"/>
      <c r="R24" s="409"/>
      <c r="S24" s="409"/>
      <c r="T24" s="409"/>
      <c r="U24" s="409"/>
      <c r="V24" s="409"/>
      <c r="W24" s="409"/>
      <c r="X24" s="409"/>
      <c r="Y24" s="409"/>
      <c r="Z24" s="409"/>
    </row>
    <row r="25" spans="1:26" ht="19.149999999999999" customHeight="1" outlineLevel="1" x14ac:dyDescent="0.25">
      <c r="A25" s="444"/>
      <c r="B25" s="444"/>
      <c r="C25" s="444"/>
      <c r="D25" s="405"/>
      <c r="E25" s="406"/>
      <c r="F25" s="410"/>
      <c r="G25" s="410"/>
      <c r="H25" s="410"/>
      <c r="I25" s="410"/>
      <c r="J25" s="410"/>
      <c r="K25" s="410"/>
      <c r="L25" s="406"/>
      <c r="M25" s="410"/>
      <c r="N25" s="411"/>
      <c r="O25" s="409"/>
      <c r="P25" s="409"/>
      <c r="Q25" s="409"/>
      <c r="R25" s="409"/>
      <c r="S25" s="409"/>
      <c r="T25" s="409"/>
      <c r="U25" s="409"/>
      <c r="V25" s="409"/>
      <c r="W25" s="409"/>
      <c r="X25" s="409"/>
      <c r="Y25" s="409"/>
      <c r="Z25" s="409"/>
    </row>
    <row r="26" spans="1:26" outlineLevel="1" x14ac:dyDescent="0.25">
      <c r="A26" s="412"/>
      <c r="B26" s="413"/>
      <c r="C26" s="413"/>
      <c r="D26" s="414"/>
      <c r="E26" s="415"/>
      <c r="F26" s="415"/>
      <c r="G26" s="415"/>
      <c r="H26" s="415"/>
      <c r="I26" s="415"/>
      <c r="J26" s="502" t="s">
        <v>20</v>
      </c>
      <c r="K26" s="503"/>
      <c r="L26" s="404">
        <f>+Engineering!L27</f>
        <v>12</v>
      </c>
      <c r="M26" s="404">
        <f>SUM(M1:M25)</f>
        <v>12</v>
      </c>
      <c r="N26" s="404">
        <f t="shared" ref="N26:Z26" si="0">SUM(N13:N25)</f>
        <v>18000</v>
      </c>
      <c r="O26" s="404" t="e">
        <f t="shared" si="0"/>
        <v>#REF!</v>
      </c>
      <c r="P26" s="404" t="e">
        <f t="shared" si="0"/>
        <v>#REF!</v>
      </c>
      <c r="Q26" s="404" t="e">
        <f t="shared" si="0"/>
        <v>#REF!</v>
      </c>
      <c r="R26" s="404" t="e">
        <f t="shared" si="0"/>
        <v>#REF!</v>
      </c>
      <c r="S26" s="404" t="e">
        <f t="shared" si="0"/>
        <v>#REF!</v>
      </c>
      <c r="T26" s="404" t="e">
        <f t="shared" si="0"/>
        <v>#REF!</v>
      </c>
      <c r="U26" s="404" t="e">
        <f t="shared" si="0"/>
        <v>#REF!</v>
      </c>
      <c r="V26" s="404" t="e">
        <f t="shared" si="0"/>
        <v>#REF!</v>
      </c>
      <c r="W26" s="404" t="e">
        <f t="shared" si="0"/>
        <v>#REF!</v>
      </c>
      <c r="X26" s="404" t="e">
        <f t="shared" si="0"/>
        <v>#REF!</v>
      </c>
      <c r="Y26" s="404" t="e">
        <f t="shared" si="0"/>
        <v>#REF!</v>
      </c>
      <c r="Z26" s="404" t="e">
        <f t="shared" si="0"/>
        <v>#REF!</v>
      </c>
    </row>
    <row r="27" spans="1:26" ht="6.75" customHeight="1" x14ac:dyDescent="0.25">
      <c r="A27" s="414"/>
      <c r="B27" s="414"/>
      <c r="C27" s="414"/>
      <c r="D27" s="414"/>
      <c r="E27" s="414"/>
      <c r="F27" s="414"/>
      <c r="G27" s="414"/>
      <c r="H27" s="414"/>
      <c r="I27" s="414"/>
      <c r="J27" s="414"/>
      <c r="K27" s="414"/>
    </row>
    <row r="29" spans="1:26" ht="24.75" customHeight="1" x14ac:dyDescent="0.25">
      <c r="B29" s="445" t="s">
        <v>21</v>
      </c>
      <c r="C29" s="446">
        <v>43102</v>
      </c>
      <c r="L29" s="445" t="s">
        <v>22</v>
      </c>
      <c r="M29" s="447"/>
      <c r="N29" s="448"/>
    </row>
    <row r="30" spans="1:26" ht="24.75" customHeight="1" x14ac:dyDescent="0.25">
      <c r="B30" s="445" t="s">
        <v>23</v>
      </c>
      <c r="C30" s="446">
        <v>42917</v>
      </c>
      <c r="L30" s="445" t="s">
        <v>24</v>
      </c>
      <c r="M30" s="447"/>
      <c r="N30" s="448"/>
    </row>
  </sheetData>
  <printOptions horizontalCentered="1"/>
  <pageMargins left="0.31496062992125984" right="0.31496062992125984" top="1.1811023622047245" bottom="1.1811023622047245" header="0.31496062992125984" footer="0.31496062992125984"/>
  <pageSetup paperSize="17" orientation="landscape" r:id="rId1"/>
  <headerFooter>
    <oddHeader>&amp;R&amp;10&amp;G</oddHeader>
    <oddFooter>&amp;L&amp;"Arial,Normal"&amp;8NuevaUnión - Scope of Approval
&amp;F&amp;C&amp;8&amp;P / &amp;N
&amp;RRev B</oddFooter>
  </headerFooter>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Lists!$E$3:$E$41</xm:f>
          </x14:formula1>
          <xm:sqref>B5</xm:sqref>
        </x14:dataValidation>
        <x14:dataValidation type="list" allowBlank="1" showInputMessage="1" showErrorMessage="1">
          <x14:formula1>
            <xm:f>Lists!$D$2:$D$13</xm:f>
          </x14:formula1>
          <xm:sqref>L26</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AA214"/>
  <sheetViews>
    <sheetView topLeftCell="A5" zoomScale="60" zoomScaleNormal="60" workbookViewId="0">
      <selection activeCell="D95" sqref="D95"/>
    </sheetView>
  </sheetViews>
  <sheetFormatPr baseColWidth="10" defaultColWidth="11.42578125" defaultRowHeight="14.25" outlineLevelRow="1" outlineLevelCol="1" x14ac:dyDescent="0.25"/>
  <cols>
    <col min="1" max="1" width="25.140625" style="9" customWidth="1"/>
    <col min="2" max="2" width="32" style="9" customWidth="1"/>
    <col min="3" max="3" width="36.7109375" style="9" customWidth="1"/>
    <col min="4" max="4" width="70.7109375" style="9" customWidth="1"/>
    <col min="5" max="5" width="17.5703125" style="9" hidden="1" customWidth="1"/>
    <col min="6" max="6" width="23" style="9" hidden="1" customWidth="1"/>
    <col min="7" max="8" width="17.5703125" style="9" hidden="1" customWidth="1"/>
    <col min="9" max="10" width="11.5703125" style="9" hidden="1" customWidth="1"/>
    <col min="11" max="11" width="17.5703125" style="9" hidden="1" customWidth="1"/>
    <col min="12" max="13" width="17.7109375" style="9" hidden="1"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hidden="1" customHeight="1" x14ac:dyDescent="0.25"/>
    <row r="2" spans="1:26" s="1" customFormat="1" ht="24.75" hidden="1" customHeight="1" x14ac:dyDescent="0.2">
      <c r="B2" s="2"/>
    </row>
    <row r="3" spans="1:26" s="1" customFormat="1" ht="24.75" hidden="1" customHeight="1" x14ac:dyDescent="0.25">
      <c r="B3" s="3"/>
    </row>
    <row r="4" spans="1:26" s="1" customFormat="1" ht="36.6" hidden="1"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247</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VLOOKUP(B8,Lists!E1:I41,3,FALSE)</f>
        <v>688 Management</v>
      </c>
      <c r="C10" s="84"/>
      <c r="D10" s="77" t="str">
        <f>VLOOKUP(B8,Lists!E1:I41,2,FALSE)</f>
        <v>Mike Hubbard</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c r="B17" s="93" t="s">
        <v>27</v>
      </c>
      <c r="C17" s="93" t="s">
        <v>1037</v>
      </c>
      <c r="D17" s="10"/>
      <c r="E17" s="11" t="s">
        <v>248</v>
      </c>
      <c r="F17" s="48"/>
      <c r="G17" s="48"/>
      <c r="H17" s="48"/>
      <c r="I17" s="48"/>
      <c r="J17" s="48"/>
      <c r="K17" s="48"/>
      <c r="L17" s="11">
        <v>6</v>
      </c>
      <c r="M17" s="53">
        <f>+M103</f>
        <v>12</v>
      </c>
      <c r="N17" s="11">
        <f>SUM(O17:Z17)</f>
        <v>18000</v>
      </c>
      <c r="O17" s="52">
        <f t="shared" ref="O17:Z17" si="0">+O103</f>
        <v>1500</v>
      </c>
      <c r="P17" s="52">
        <f t="shared" si="0"/>
        <v>1500</v>
      </c>
      <c r="Q17" s="52">
        <f t="shared" si="0"/>
        <v>1500</v>
      </c>
      <c r="R17" s="52">
        <f t="shared" si="0"/>
        <v>1500</v>
      </c>
      <c r="S17" s="52">
        <f t="shared" si="0"/>
        <v>1500</v>
      </c>
      <c r="T17" s="52">
        <f t="shared" si="0"/>
        <v>1500</v>
      </c>
      <c r="U17" s="52">
        <f t="shared" si="0"/>
        <v>1500</v>
      </c>
      <c r="V17" s="52">
        <f t="shared" si="0"/>
        <v>1500</v>
      </c>
      <c r="W17" s="52">
        <f t="shared" si="0"/>
        <v>1500</v>
      </c>
      <c r="X17" s="52">
        <f t="shared" si="0"/>
        <v>1500</v>
      </c>
      <c r="Y17" s="52">
        <f t="shared" si="0"/>
        <v>1500</v>
      </c>
      <c r="Z17" s="52">
        <f t="shared" si="0"/>
        <v>1500</v>
      </c>
    </row>
    <row r="18" spans="1:26" ht="15" x14ac:dyDescent="0.25">
      <c r="A18" s="93"/>
      <c r="B18" s="93"/>
      <c r="C18" s="93"/>
      <c r="D18" s="10"/>
      <c r="E18" s="11"/>
      <c r="F18" s="48"/>
      <c r="G18" s="48"/>
      <c r="H18" s="48"/>
      <c r="I18" s="48"/>
      <c r="J18" s="48"/>
      <c r="K18" s="48"/>
      <c r="L18" s="11"/>
      <c r="M18" s="53">
        <f>+M118</f>
        <v>0</v>
      </c>
      <c r="N18" s="11">
        <f t="shared" ref="N18" si="1">SUM(O18:Z18)</f>
        <v>0</v>
      </c>
      <c r="O18" s="52">
        <f t="shared" ref="O18:Z18" si="2">+O118</f>
        <v>0</v>
      </c>
      <c r="P18" s="52">
        <f t="shared" si="2"/>
        <v>0</v>
      </c>
      <c r="Q18" s="52">
        <f t="shared" si="2"/>
        <v>0</v>
      </c>
      <c r="R18" s="52">
        <f t="shared" si="2"/>
        <v>0</v>
      </c>
      <c r="S18" s="52">
        <f t="shared" si="2"/>
        <v>0</v>
      </c>
      <c r="T18" s="52">
        <f t="shared" si="2"/>
        <v>0</v>
      </c>
      <c r="U18" s="52">
        <f t="shared" si="2"/>
        <v>0</v>
      </c>
      <c r="V18" s="52">
        <f t="shared" si="2"/>
        <v>0</v>
      </c>
      <c r="W18" s="52">
        <f t="shared" si="2"/>
        <v>0</v>
      </c>
      <c r="X18" s="52">
        <f t="shared" si="2"/>
        <v>0</v>
      </c>
      <c r="Y18" s="52">
        <f t="shared" si="2"/>
        <v>0</v>
      </c>
      <c r="Z18" s="52">
        <f t="shared" si="2"/>
        <v>0</v>
      </c>
    </row>
    <row r="19" spans="1:26" ht="15" x14ac:dyDescent="0.25">
      <c r="A19" s="93"/>
      <c r="B19" s="93"/>
      <c r="C19" s="93"/>
      <c r="D19" s="10"/>
      <c r="E19" s="11"/>
      <c r="F19" s="48"/>
      <c r="G19" s="48"/>
      <c r="H19" s="48"/>
      <c r="I19" s="48"/>
      <c r="J19" s="48"/>
      <c r="K19" s="48"/>
      <c r="L19" s="11"/>
      <c r="M19" s="53">
        <f>+M134</f>
        <v>0</v>
      </c>
      <c r="N19" s="11">
        <f t="shared" ref="N19:Z19" si="3">+N134</f>
        <v>0</v>
      </c>
      <c r="O19" s="52">
        <f t="shared" si="3"/>
        <v>0</v>
      </c>
      <c r="P19" s="52">
        <f t="shared" si="3"/>
        <v>0</v>
      </c>
      <c r="Q19" s="52">
        <f t="shared" si="3"/>
        <v>0</v>
      </c>
      <c r="R19" s="52">
        <f t="shared" si="3"/>
        <v>0</v>
      </c>
      <c r="S19" s="52">
        <f t="shared" si="3"/>
        <v>0</v>
      </c>
      <c r="T19" s="52">
        <f t="shared" si="3"/>
        <v>0</v>
      </c>
      <c r="U19" s="52">
        <f t="shared" si="3"/>
        <v>0</v>
      </c>
      <c r="V19" s="52">
        <f t="shared" si="3"/>
        <v>0</v>
      </c>
      <c r="W19" s="52">
        <f t="shared" si="3"/>
        <v>0</v>
      </c>
      <c r="X19" s="52">
        <f t="shared" si="3"/>
        <v>0</v>
      </c>
      <c r="Y19" s="52">
        <f t="shared" si="3"/>
        <v>0</v>
      </c>
      <c r="Z19" s="52">
        <f t="shared" si="3"/>
        <v>0</v>
      </c>
    </row>
    <row r="20" spans="1:26" ht="15" hidden="1" x14ac:dyDescent="0.25">
      <c r="A20" s="93"/>
      <c r="B20" s="93"/>
      <c r="C20" s="93"/>
      <c r="D20" s="10"/>
      <c r="E20" s="11"/>
      <c r="F20" s="48"/>
      <c r="G20" s="48"/>
      <c r="H20" s="48"/>
      <c r="I20" s="48"/>
      <c r="J20" s="48"/>
      <c r="K20" s="48"/>
      <c r="L20" s="11"/>
      <c r="M20" s="48"/>
      <c r="N20" s="12"/>
      <c r="O20" s="12" t="s">
        <v>5</v>
      </c>
      <c r="P20" s="12"/>
      <c r="Q20" s="12"/>
      <c r="R20" s="12"/>
      <c r="S20" s="12"/>
      <c r="T20" s="12"/>
      <c r="U20" s="12"/>
      <c r="V20" s="12"/>
      <c r="W20" s="12"/>
      <c r="X20" s="12"/>
      <c r="Y20" s="12"/>
      <c r="Z20" s="12"/>
    </row>
    <row r="21" spans="1:26" ht="15" hidden="1"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hidden="1"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hidden="1"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hidden="1"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hidden="1"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hidden="1"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25.9" customHeight="1" x14ac:dyDescent="0.25">
      <c r="A27" s="69"/>
      <c r="B27" s="70"/>
      <c r="C27" s="70"/>
      <c r="D27" s="71"/>
      <c r="E27" s="11"/>
      <c r="F27" s="72"/>
      <c r="G27" s="72"/>
      <c r="H27" s="72"/>
      <c r="I27" s="72"/>
      <c r="J27" s="74" t="s">
        <v>20</v>
      </c>
      <c r="K27" s="73"/>
      <c r="L27" s="32">
        <f>SUM(L17:L26)</f>
        <v>6</v>
      </c>
      <c r="M27" s="32">
        <f>SUM(M2:M26)</f>
        <v>12</v>
      </c>
      <c r="N27" s="32">
        <f>SUM(N16:N26)</f>
        <v>18000</v>
      </c>
      <c r="O27" s="32">
        <f>SUM(O17:O26)</f>
        <v>1500</v>
      </c>
      <c r="P27" s="32">
        <f t="shared" ref="P27:Z27" si="4">SUM(P17:P26)</f>
        <v>1500</v>
      </c>
      <c r="Q27" s="32">
        <f t="shared" si="4"/>
        <v>1500</v>
      </c>
      <c r="R27" s="32">
        <f t="shared" si="4"/>
        <v>1500</v>
      </c>
      <c r="S27" s="32">
        <f t="shared" si="4"/>
        <v>1500</v>
      </c>
      <c r="T27" s="32">
        <f t="shared" si="4"/>
        <v>1500</v>
      </c>
      <c r="U27" s="32">
        <f t="shared" si="4"/>
        <v>1500</v>
      </c>
      <c r="V27" s="32">
        <f t="shared" si="4"/>
        <v>1500</v>
      </c>
      <c r="W27" s="32">
        <f t="shared" si="4"/>
        <v>1500</v>
      </c>
      <c r="X27" s="32">
        <f t="shared" si="4"/>
        <v>1500</v>
      </c>
      <c r="Y27" s="32">
        <f t="shared" si="4"/>
        <v>1500</v>
      </c>
      <c r="Z27" s="32">
        <f t="shared" si="4"/>
        <v>1500</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hidden="1"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hidden="1" x14ac:dyDescent="0.25">
      <c r="A31" s="30" t="str">
        <f>CONCATENATE(B17," ",C17)</f>
        <v>Objective 1 Lunch meetings</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hidden="1" x14ac:dyDescent="0.25">
      <c r="A32" s="93" t="s">
        <v>250</v>
      </c>
      <c r="B32" s="7" t="s">
        <v>34</v>
      </c>
      <c r="C32" s="7"/>
      <c r="D32" s="10"/>
      <c r="E32" s="1001"/>
      <c r="F32" s="1001"/>
      <c r="G32" s="1001"/>
      <c r="H32" s="1001"/>
      <c r="I32" s="1001"/>
      <c r="J32" s="1001"/>
      <c r="K32" s="1002"/>
      <c r="L32" s="11" t="s">
        <v>60</v>
      </c>
      <c r="M32" s="48"/>
      <c r="N32" s="12"/>
      <c r="O32" s="12" t="s">
        <v>5</v>
      </c>
      <c r="P32" s="12"/>
      <c r="Q32" s="12"/>
      <c r="R32" s="12"/>
      <c r="S32" s="12"/>
      <c r="T32" s="12"/>
      <c r="U32" s="12"/>
      <c r="V32" s="12"/>
      <c r="W32" s="12"/>
      <c r="X32" s="12"/>
      <c r="Y32" s="12"/>
      <c r="Z32" s="12"/>
    </row>
    <row r="33" spans="1:26" ht="15" hidden="1" x14ac:dyDescent="0.25">
      <c r="A33" s="93" t="s">
        <v>263</v>
      </c>
      <c r="B33" s="7"/>
      <c r="C33" s="7"/>
      <c r="D33" s="10"/>
      <c r="E33" s="1001"/>
      <c r="F33" s="1001"/>
      <c r="G33" s="1001"/>
      <c r="H33" s="1001"/>
      <c r="I33" s="1001"/>
      <c r="J33" s="1001"/>
      <c r="K33" s="1002"/>
      <c r="L33" s="11"/>
      <c r="M33" s="48"/>
      <c r="N33" s="12"/>
      <c r="O33" s="12" t="s">
        <v>5</v>
      </c>
      <c r="P33" s="12"/>
      <c r="Q33" s="12"/>
      <c r="R33" s="12"/>
      <c r="S33" s="12"/>
      <c r="T33" s="12"/>
      <c r="U33" s="12"/>
      <c r="V33" s="12"/>
      <c r="W33" s="12"/>
      <c r="X33" s="12"/>
      <c r="Y33" s="12"/>
      <c r="Z33" s="12"/>
    </row>
    <row r="34" spans="1:26" ht="15" hidden="1" x14ac:dyDescent="0.25">
      <c r="A34" s="93"/>
      <c r="B34" s="7"/>
      <c r="C34" s="7"/>
      <c r="D34" s="10"/>
      <c r="E34" s="1001" t="s">
        <v>5</v>
      </c>
      <c r="F34" s="1001" t="s">
        <v>5</v>
      </c>
      <c r="G34" s="1001" t="s">
        <v>5</v>
      </c>
      <c r="H34" s="1001"/>
      <c r="I34" s="1001"/>
      <c r="J34" s="1001"/>
      <c r="K34" s="1002" t="s">
        <v>5</v>
      </c>
      <c r="L34" s="11"/>
      <c r="M34" s="48"/>
      <c r="N34" s="12"/>
      <c r="O34" s="12" t="s">
        <v>5</v>
      </c>
      <c r="P34" s="12"/>
      <c r="Q34" s="12"/>
      <c r="R34" s="12"/>
      <c r="S34" s="12"/>
      <c r="T34" s="12"/>
      <c r="U34" s="12"/>
      <c r="V34" s="12"/>
      <c r="W34" s="12"/>
      <c r="X34" s="12"/>
      <c r="Y34" s="12"/>
      <c r="Z34" s="12"/>
    </row>
    <row r="35" spans="1:26" ht="15" hidden="1"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5" hidden="1" x14ac:dyDescent="0.25">
      <c r="A36" s="93"/>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8" hidden="1" x14ac:dyDescent="0.25">
      <c r="A37" s="30" t="str">
        <f>CONCATENATE(B18," ",C18)</f>
        <v xml:space="preserve"> </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hidden="1" x14ac:dyDescent="0.25">
      <c r="A38" s="93" t="s">
        <v>264</v>
      </c>
      <c r="B38" s="7" t="s">
        <v>36</v>
      </c>
      <c r="C38" s="7"/>
      <c r="D38" s="10"/>
      <c r="E38" s="1001"/>
      <c r="F38" s="1001"/>
      <c r="G38" s="1001"/>
      <c r="H38" s="1001"/>
      <c r="I38" s="1001"/>
      <c r="J38" s="1001"/>
      <c r="K38" s="1002"/>
      <c r="L38" s="11" t="s">
        <v>60</v>
      </c>
      <c r="M38" s="48"/>
      <c r="N38" s="12"/>
      <c r="O38" s="12" t="s">
        <v>5</v>
      </c>
      <c r="P38" s="12"/>
      <c r="Q38" s="12"/>
      <c r="R38" s="12"/>
      <c r="S38" s="12"/>
      <c r="T38" s="12"/>
      <c r="U38" s="12"/>
      <c r="V38" s="12"/>
      <c r="W38" s="12"/>
      <c r="X38" s="12"/>
      <c r="Y38" s="12"/>
      <c r="Z38" s="12"/>
    </row>
    <row r="39" spans="1:26" ht="15" hidden="1" x14ac:dyDescent="0.25">
      <c r="A39" s="93" t="s">
        <v>253</v>
      </c>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5" hidden="1" x14ac:dyDescent="0.25">
      <c r="A40" s="93"/>
      <c r="B40" s="7"/>
      <c r="C40" s="7"/>
      <c r="D40" s="10"/>
      <c r="E40" s="1001" t="s">
        <v>5</v>
      </c>
      <c r="F40" s="1001" t="s">
        <v>5</v>
      </c>
      <c r="G40" s="1001" t="s">
        <v>5</v>
      </c>
      <c r="H40" s="1001"/>
      <c r="I40" s="1001"/>
      <c r="J40" s="1001"/>
      <c r="K40" s="1002" t="s">
        <v>5</v>
      </c>
      <c r="L40" s="11"/>
      <c r="M40" s="48"/>
      <c r="N40" s="12"/>
      <c r="O40" s="12" t="s">
        <v>5</v>
      </c>
      <c r="P40" s="12"/>
      <c r="Q40" s="12"/>
      <c r="R40" s="12"/>
      <c r="S40" s="12"/>
      <c r="T40" s="12"/>
      <c r="U40" s="12"/>
      <c r="V40" s="12"/>
      <c r="W40" s="12"/>
      <c r="X40" s="12"/>
      <c r="Y40" s="12"/>
      <c r="Z40" s="12"/>
    </row>
    <row r="41" spans="1:26" ht="15" hidden="1" x14ac:dyDescent="0.25">
      <c r="A41" s="93"/>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x14ac:dyDescent="0.25">
      <c r="A42" s="93"/>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hidden="1" x14ac:dyDescent="0.25">
      <c r="A43" s="30" t="str">
        <f>CONCATENATE(B19," ",C19)</f>
        <v xml:space="preserve"> </v>
      </c>
      <c r="B43" s="30"/>
      <c r="C43" s="31"/>
      <c r="D43" s="31"/>
      <c r="E43" s="29"/>
      <c r="F43" s="29"/>
      <c r="G43" s="29"/>
      <c r="H43" s="29"/>
      <c r="I43" s="29"/>
      <c r="J43" s="29"/>
      <c r="K43" s="29"/>
      <c r="L43" s="29"/>
      <c r="M43" s="29"/>
      <c r="N43" s="29"/>
      <c r="O43" s="29" t="s">
        <v>5</v>
      </c>
      <c r="P43" s="29"/>
      <c r="Q43" s="29"/>
      <c r="R43" s="29"/>
      <c r="S43" s="29"/>
      <c r="T43" s="29"/>
      <c r="U43" s="29"/>
      <c r="V43" s="29"/>
      <c r="W43" s="29"/>
      <c r="X43" s="29"/>
      <c r="Y43" s="29"/>
      <c r="Z43" s="29"/>
    </row>
    <row r="44" spans="1:26" ht="15" hidden="1" x14ac:dyDescent="0.25">
      <c r="A44" s="93" t="s">
        <v>265</v>
      </c>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x14ac:dyDescent="0.25">
      <c r="A45" s="93" t="s">
        <v>266</v>
      </c>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5" hidden="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5" hidden="1" x14ac:dyDescent="0.25">
      <c r="A47" s="93"/>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hidden="1" outlineLevel="1" x14ac:dyDescent="0.25">
      <c r="A49" s="30" t="str">
        <f>CONCATENATE(B20," ",C20)</f>
        <v xml:space="preserve"> </v>
      </c>
      <c r="B49" s="30"/>
      <c r="C49" s="31"/>
      <c r="D49" s="31"/>
      <c r="E49" s="29"/>
      <c r="F49" s="29"/>
      <c r="G49" s="29"/>
      <c r="H49" s="29"/>
      <c r="I49" s="29"/>
      <c r="J49" s="29"/>
      <c r="K49" s="29"/>
      <c r="L49" s="29"/>
      <c r="M49" s="29"/>
      <c r="N49" s="29"/>
      <c r="O49" s="29" t="s">
        <v>5</v>
      </c>
      <c r="P49" s="29"/>
      <c r="Q49" s="29"/>
      <c r="R49" s="29"/>
      <c r="S49" s="29"/>
      <c r="T49" s="29"/>
      <c r="U49" s="29"/>
      <c r="V49" s="29"/>
      <c r="W49" s="29"/>
      <c r="X49" s="29"/>
      <c r="Y49" s="29"/>
      <c r="Z49" s="29"/>
    </row>
    <row r="50" spans="1:26" ht="15" hidden="1" outlineLevel="1" x14ac:dyDescent="0.25">
      <c r="A50" s="93" t="s">
        <v>267</v>
      </c>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t="s">
        <v>268</v>
      </c>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hidden="1"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t="str">
        <f>CONCATENATE(B21," ",C21)</f>
        <v xml:space="preserve"> </v>
      </c>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t="s">
        <v>269</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t="s">
        <v>270</v>
      </c>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t="str">
        <f>CONCATENATE(B22," ",C22)</f>
        <v xml:space="preserve"> </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t="s">
        <v>271</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t="s">
        <v>272</v>
      </c>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t="str">
        <f>CONCATENATE(B23," ",C23)</f>
        <v xml:space="preserve"> </v>
      </c>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t="s">
        <v>273</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t="s">
        <v>274</v>
      </c>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t="str">
        <f>CONCATENATE(B24," ",C24)</f>
        <v xml:space="preserve"> </v>
      </c>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t="s">
        <v>275</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t="s">
        <v>276</v>
      </c>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t="str">
        <f>CONCATENATE(B25," ",C25)</f>
        <v xml:space="preserve"> </v>
      </c>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t="s">
        <v>277</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t="s">
        <v>278</v>
      </c>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t="str">
        <f>CONCATENATE(B26," ",C26)</f>
        <v xml:space="preserve"> </v>
      </c>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t="s">
        <v>279</v>
      </c>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t="s">
        <v>280</v>
      </c>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collapsed="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Objective 1 Lunch meetings</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60"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25.9" customHeight="1" x14ac:dyDescent="0.25">
      <c r="A95" s="93" t="s">
        <v>2275</v>
      </c>
      <c r="B95" s="93" t="s">
        <v>27</v>
      </c>
      <c r="C95" s="93" t="s">
        <v>1037</v>
      </c>
      <c r="D95" s="140" t="s">
        <v>1038</v>
      </c>
      <c r="E95" s="11" t="s">
        <v>246</v>
      </c>
      <c r="F95" s="11" t="s">
        <v>290</v>
      </c>
      <c r="G95" s="11" t="s">
        <v>1036</v>
      </c>
      <c r="H95" s="11" t="s">
        <v>41</v>
      </c>
      <c r="I95" s="11" t="s">
        <v>41</v>
      </c>
      <c r="J95" s="11" t="s">
        <v>41</v>
      </c>
      <c r="K95" s="11" t="s">
        <v>42</v>
      </c>
      <c r="L95" s="11">
        <v>12</v>
      </c>
      <c r="M95" s="11">
        <v>12</v>
      </c>
      <c r="N95" s="137">
        <f t="shared" ref="N95:N102" si="5">SUM(O95:Z95)</f>
        <v>18000</v>
      </c>
      <c r="O95" s="11">
        <v>1500</v>
      </c>
      <c r="P95" s="11">
        <v>1500</v>
      </c>
      <c r="Q95" s="11">
        <v>1500</v>
      </c>
      <c r="R95" s="11">
        <v>1500</v>
      </c>
      <c r="S95" s="11">
        <v>1500</v>
      </c>
      <c r="T95" s="11">
        <v>1500</v>
      </c>
      <c r="U95" s="11">
        <v>1500</v>
      </c>
      <c r="V95" s="11">
        <v>1500</v>
      </c>
      <c r="W95" s="11">
        <v>1500</v>
      </c>
      <c r="X95" s="11">
        <v>1500</v>
      </c>
      <c r="Y95" s="11">
        <v>1500</v>
      </c>
      <c r="Z95" s="11">
        <v>1500</v>
      </c>
    </row>
    <row r="96" spans="1:26" ht="15" x14ac:dyDescent="0.25">
      <c r="A96" s="93"/>
      <c r="B96" s="93"/>
      <c r="C96" s="93"/>
      <c r="D96" s="140"/>
      <c r="E96" s="11"/>
      <c r="F96" s="11"/>
      <c r="G96" s="11"/>
      <c r="H96" s="11"/>
      <c r="I96" s="11"/>
      <c r="J96" s="11"/>
      <c r="K96" s="11"/>
      <c r="L96" s="11"/>
      <c r="M96" s="11"/>
      <c r="N96" s="137">
        <f t="shared" si="5"/>
        <v>0</v>
      </c>
      <c r="O96" s="11"/>
      <c r="P96" s="11"/>
      <c r="Q96" s="11"/>
      <c r="R96" s="11"/>
      <c r="S96" s="11"/>
      <c r="T96" s="11"/>
      <c r="U96" s="11"/>
      <c r="V96" s="11"/>
      <c r="W96" s="11"/>
      <c r="X96" s="11"/>
      <c r="Y96" s="11"/>
      <c r="Z96" s="11"/>
    </row>
    <row r="97" spans="1:26" ht="15" hidden="1" x14ac:dyDescent="0.25">
      <c r="A97" s="93"/>
      <c r="B97" s="93"/>
      <c r="C97" s="93"/>
      <c r="D97" s="10"/>
      <c r="E97" s="11"/>
      <c r="F97" s="11"/>
      <c r="G97" s="11"/>
      <c r="H97" s="11"/>
      <c r="I97" s="11"/>
      <c r="J97" s="11"/>
      <c r="K97" s="11"/>
      <c r="L97" s="11"/>
      <c r="M97" s="11"/>
      <c r="N97" s="137">
        <f t="shared" si="5"/>
        <v>0</v>
      </c>
      <c r="O97" s="11"/>
      <c r="P97" s="11"/>
      <c r="Q97" s="11"/>
      <c r="R97" s="11"/>
      <c r="S97" s="11"/>
      <c r="T97" s="11"/>
      <c r="U97" s="11"/>
      <c r="V97" s="11"/>
      <c r="W97" s="11"/>
      <c r="X97" s="11"/>
      <c r="Y97" s="11"/>
      <c r="Z97" s="11"/>
    </row>
    <row r="98" spans="1:26" ht="15" hidden="1" x14ac:dyDescent="0.25">
      <c r="A98" s="93"/>
      <c r="B98" s="93"/>
      <c r="C98" s="93"/>
      <c r="D98" s="140"/>
      <c r="E98" s="11"/>
      <c r="F98" s="11"/>
      <c r="G98" s="11"/>
      <c r="H98" s="11"/>
      <c r="I98" s="11"/>
      <c r="J98" s="11"/>
      <c r="K98" s="11"/>
      <c r="L98" s="11"/>
      <c r="M98" s="11"/>
      <c r="N98" s="137">
        <f t="shared" si="5"/>
        <v>0</v>
      </c>
      <c r="O98" s="11"/>
      <c r="P98" s="11"/>
      <c r="Q98" s="11"/>
      <c r="R98" s="11"/>
      <c r="S98" s="11"/>
      <c r="T98" s="11"/>
      <c r="U98" s="11"/>
      <c r="V98" s="11"/>
      <c r="W98" s="11"/>
      <c r="X98" s="11"/>
      <c r="Y98" s="11"/>
      <c r="Z98" s="11"/>
    </row>
    <row r="99" spans="1:26" ht="15" hidden="1" x14ac:dyDescent="0.25">
      <c r="A99" s="93"/>
      <c r="B99" s="93"/>
      <c r="C99" s="93"/>
      <c r="D99" s="140"/>
      <c r="E99" s="11"/>
      <c r="F99" s="11"/>
      <c r="G99" s="11"/>
      <c r="H99" s="11"/>
      <c r="I99" s="11"/>
      <c r="J99" s="11"/>
      <c r="K99" s="11"/>
      <c r="L99" s="11"/>
      <c r="M99" s="11"/>
      <c r="N99" s="11">
        <f t="shared" si="5"/>
        <v>0</v>
      </c>
      <c r="O99" s="11"/>
      <c r="P99" s="11"/>
      <c r="Q99" s="11"/>
      <c r="R99" s="11"/>
      <c r="S99" s="11"/>
      <c r="T99" s="11"/>
      <c r="U99" s="11"/>
      <c r="V99" s="11"/>
      <c r="W99" s="11"/>
      <c r="X99" s="11"/>
      <c r="Y99" s="11"/>
      <c r="Z99" s="11"/>
    </row>
    <row r="100" spans="1:26" ht="15" hidden="1" x14ac:dyDescent="0.25">
      <c r="A100" s="93"/>
      <c r="B100" s="93"/>
      <c r="C100" s="93"/>
      <c r="D100" s="140"/>
      <c r="E100" s="11"/>
      <c r="F100" s="11"/>
      <c r="G100" s="11"/>
      <c r="H100" s="11"/>
      <c r="I100" s="11"/>
      <c r="J100" s="11"/>
      <c r="K100" s="11"/>
      <c r="L100" s="11"/>
      <c r="M100" s="11"/>
      <c r="N100" s="11">
        <f t="shared" si="5"/>
        <v>0</v>
      </c>
      <c r="O100" s="11"/>
      <c r="P100" s="11"/>
      <c r="Q100" s="11"/>
      <c r="R100" s="11"/>
      <c r="S100" s="11"/>
      <c r="T100" s="11"/>
      <c r="U100" s="11"/>
      <c r="V100" s="11"/>
      <c r="W100" s="11"/>
      <c r="X100" s="11"/>
      <c r="Y100" s="11"/>
      <c r="Z100" s="11"/>
    </row>
    <row r="101" spans="1:26" ht="15" hidden="1" x14ac:dyDescent="0.25">
      <c r="A101" s="93"/>
      <c r="B101" s="93"/>
      <c r="C101" s="93"/>
      <c r="D101" s="140"/>
      <c r="E101" s="11"/>
      <c r="F101" s="11"/>
      <c r="G101" s="11"/>
      <c r="H101" s="11"/>
      <c r="I101" s="11"/>
      <c r="J101" s="11"/>
      <c r="K101" s="11"/>
      <c r="L101" s="11"/>
      <c r="M101" s="11"/>
      <c r="N101" s="11">
        <f t="shared" si="5"/>
        <v>0</v>
      </c>
      <c r="O101" s="11"/>
      <c r="P101" s="11"/>
      <c r="Q101" s="11"/>
      <c r="R101" s="11"/>
      <c r="S101" s="11"/>
      <c r="T101" s="11"/>
      <c r="U101" s="11"/>
      <c r="V101" s="11"/>
      <c r="W101" s="11"/>
      <c r="X101" s="11"/>
      <c r="Y101" s="11"/>
      <c r="Z101" s="11"/>
    </row>
    <row r="102" spans="1:26" ht="15" x14ac:dyDescent="0.25">
      <c r="A102" s="93"/>
      <c r="B102" s="93"/>
      <c r="C102" s="93"/>
      <c r="D102" s="140"/>
      <c r="E102" s="11"/>
      <c r="F102" s="11"/>
      <c r="G102" s="11"/>
      <c r="H102" s="11"/>
      <c r="I102" s="11"/>
      <c r="J102" s="11"/>
      <c r="K102" s="11"/>
      <c r="L102" s="11"/>
      <c r="M102" s="11"/>
      <c r="N102" s="11">
        <f t="shared" si="5"/>
        <v>0</v>
      </c>
      <c r="O102" s="11"/>
      <c r="P102" s="11"/>
      <c r="Q102" s="11"/>
      <c r="R102" s="11"/>
      <c r="S102" s="11"/>
      <c r="T102" s="11"/>
      <c r="U102" s="11"/>
      <c r="V102" s="11"/>
      <c r="W102" s="11"/>
      <c r="X102" s="11"/>
      <c r="Y102" s="11"/>
      <c r="Z102" s="11"/>
    </row>
    <row r="103" spans="1:26" s="35" customFormat="1" ht="22.5" customHeight="1" x14ac:dyDescent="0.25">
      <c r="A103" s="33"/>
      <c r="B103" s="34"/>
      <c r="C103" s="34"/>
      <c r="D103" s="34"/>
      <c r="E103" s="50"/>
      <c r="F103" s="50"/>
      <c r="G103" s="50"/>
      <c r="H103" s="50"/>
      <c r="I103" s="50"/>
      <c r="J103" s="51" t="s">
        <v>20</v>
      </c>
      <c r="K103" s="50"/>
      <c r="L103" s="32">
        <f t="shared" ref="L103:Z103" si="6">SUM(L95:L102)</f>
        <v>12</v>
      </c>
      <c r="M103" s="32">
        <f t="shared" si="6"/>
        <v>12</v>
      </c>
      <c r="N103" s="32">
        <f t="shared" si="6"/>
        <v>18000</v>
      </c>
      <c r="O103" s="32">
        <f t="shared" si="6"/>
        <v>1500</v>
      </c>
      <c r="P103" s="32">
        <f t="shared" si="6"/>
        <v>1500</v>
      </c>
      <c r="Q103" s="32">
        <f t="shared" si="6"/>
        <v>1500</v>
      </c>
      <c r="R103" s="32">
        <f t="shared" si="6"/>
        <v>1500</v>
      </c>
      <c r="S103" s="32">
        <f t="shared" si="6"/>
        <v>1500</v>
      </c>
      <c r="T103" s="32">
        <f t="shared" si="6"/>
        <v>1500</v>
      </c>
      <c r="U103" s="32">
        <f t="shared" si="6"/>
        <v>1500</v>
      </c>
      <c r="V103" s="32">
        <f t="shared" si="6"/>
        <v>1500</v>
      </c>
      <c r="W103" s="32">
        <f t="shared" si="6"/>
        <v>1500</v>
      </c>
      <c r="X103" s="32">
        <f t="shared" si="6"/>
        <v>1500</v>
      </c>
      <c r="Y103" s="32">
        <f t="shared" si="6"/>
        <v>1500</v>
      </c>
      <c r="Z103" s="32">
        <f t="shared" si="6"/>
        <v>1500</v>
      </c>
    </row>
    <row r="104" spans="1:26" ht="18" hidden="1" x14ac:dyDescent="0.25">
      <c r="A104" s="30" t="str">
        <f>CONCATENATE(B18," ",C18)</f>
        <v xml:space="preserve"> </v>
      </c>
      <c r="B104" s="30"/>
      <c r="C104" s="31"/>
      <c r="D104" s="31"/>
      <c r="E104" s="29"/>
      <c r="F104" s="29"/>
      <c r="G104" s="29"/>
      <c r="H104" s="29"/>
      <c r="I104" s="29"/>
      <c r="J104" s="29"/>
      <c r="K104" s="29"/>
      <c r="L104" s="29"/>
      <c r="M104" s="29"/>
      <c r="N104" s="29"/>
      <c r="O104" s="29" t="s">
        <v>5</v>
      </c>
      <c r="P104" s="29"/>
      <c r="Q104" s="29"/>
      <c r="R104" s="29"/>
      <c r="S104" s="29"/>
      <c r="T104" s="29"/>
      <c r="U104" s="29"/>
      <c r="V104" s="29"/>
      <c r="W104" s="29"/>
      <c r="X104" s="29"/>
      <c r="Y104" s="29"/>
      <c r="Z104" s="29"/>
    </row>
    <row r="105" spans="1:26" ht="60" hidden="1" x14ac:dyDescent="0.25">
      <c r="A105" s="92" t="s">
        <v>261</v>
      </c>
      <c r="B105" s="92" t="s">
        <v>13</v>
      </c>
      <c r="C105" s="92" t="s">
        <v>14</v>
      </c>
      <c r="D105" s="133" t="s">
        <v>286</v>
      </c>
      <c r="E105" s="32" t="s">
        <v>16</v>
      </c>
      <c r="F105" s="32" t="s">
        <v>295</v>
      </c>
      <c r="G105" s="32" t="s">
        <v>39</v>
      </c>
      <c r="H105" s="32" t="s">
        <v>297</v>
      </c>
      <c r="I105" s="32" t="s">
        <v>298</v>
      </c>
      <c r="J105" s="32" t="s">
        <v>299</v>
      </c>
      <c r="K105" s="32" t="s">
        <v>300</v>
      </c>
      <c r="L105" s="32" t="s">
        <v>17</v>
      </c>
      <c r="M105" s="32" t="s">
        <v>18</v>
      </c>
      <c r="N105" s="32" t="s">
        <v>19</v>
      </c>
      <c r="O105" s="66">
        <v>43101</v>
      </c>
      <c r="P105" s="66">
        <v>43132</v>
      </c>
      <c r="Q105" s="66">
        <v>43160</v>
      </c>
      <c r="R105" s="66">
        <v>43191</v>
      </c>
      <c r="S105" s="66">
        <v>43221</v>
      </c>
      <c r="T105" s="66">
        <v>43252</v>
      </c>
      <c r="U105" s="66">
        <v>43282</v>
      </c>
      <c r="V105" s="66">
        <v>43313</v>
      </c>
      <c r="W105" s="66">
        <v>43344</v>
      </c>
      <c r="X105" s="66">
        <v>43374</v>
      </c>
      <c r="Y105" s="66">
        <v>43405</v>
      </c>
      <c r="Z105" s="66">
        <v>43435</v>
      </c>
    </row>
    <row r="106" spans="1:26" ht="15" hidden="1" x14ac:dyDescent="0.25">
      <c r="A106" s="93" t="s">
        <v>263</v>
      </c>
      <c r="B106" s="93"/>
      <c r="C106" s="93"/>
      <c r="D106" s="140"/>
      <c r="E106" s="11"/>
      <c r="F106" s="11"/>
      <c r="G106" s="11"/>
      <c r="H106" s="11"/>
      <c r="I106" s="11"/>
      <c r="J106" s="11"/>
      <c r="K106" s="11"/>
      <c r="L106" s="11"/>
      <c r="M106" s="11"/>
      <c r="N106" s="137">
        <f>SUM(O106:Z106)</f>
        <v>0</v>
      </c>
      <c r="O106" s="11"/>
      <c r="P106" s="11"/>
      <c r="Q106" s="11"/>
      <c r="R106" s="11"/>
      <c r="S106" s="11"/>
      <c r="T106" s="11"/>
      <c r="U106" s="11"/>
      <c r="V106" s="11"/>
      <c r="W106" s="11"/>
      <c r="X106" s="11"/>
      <c r="Y106" s="11"/>
      <c r="Z106" s="11"/>
    </row>
    <row r="107" spans="1:26" ht="15" hidden="1" x14ac:dyDescent="0.25">
      <c r="A107" s="93" t="s">
        <v>281</v>
      </c>
      <c r="B107" s="93"/>
      <c r="C107" s="93"/>
      <c r="D107" s="140"/>
      <c r="E107" s="11"/>
      <c r="F107" s="11"/>
      <c r="G107" s="11"/>
      <c r="H107" s="11"/>
      <c r="I107" s="11"/>
      <c r="J107" s="11"/>
      <c r="K107" s="11"/>
      <c r="L107" s="11"/>
      <c r="M107" s="11"/>
      <c r="N107" s="137">
        <f>SUM(O107:Z107)</f>
        <v>0</v>
      </c>
      <c r="O107" s="11"/>
      <c r="P107" s="11"/>
      <c r="Q107" s="11"/>
      <c r="R107" s="11"/>
      <c r="S107" s="11"/>
      <c r="T107" s="11"/>
      <c r="U107" s="11"/>
      <c r="V107" s="11"/>
      <c r="W107" s="11"/>
      <c r="X107" s="11"/>
      <c r="Y107" s="11"/>
      <c r="Z107" s="11"/>
    </row>
    <row r="108" spans="1:26" ht="15" hidden="1" x14ac:dyDescent="0.25">
      <c r="A108" s="93"/>
      <c r="B108" s="93"/>
      <c r="C108" s="93"/>
      <c r="D108" s="140"/>
      <c r="E108" s="11"/>
      <c r="F108" s="11"/>
      <c r="G108" s="11"/>
      <c r="H108" s="11"/>
      <c r="I108" s="11"/>
      <c r="J108" s="11"/>
      <c r="K108" s="11"/>
      <c r="L108" s="11"/>
      <c r="M108" s="11"/>
      <c r="N108" s="137">
        <f>SUM(O108:Z108)</f>
        <v>0</v>
      </c>
      <c r="O108" s="11"/>
      <c r="P108" s="11"/>
      <c r="Q108" s="11"/>
      <c r="R108" s="11"/>
      <c r="S108" s="11"/>
      <c r="T108" s="11"/>
      <c r="U108" s="11"/>
      <c r="V108" s="11"/>
      <c r="W108" s="11"/>
      <c r="X108" s="11"/>
      <c r="Y108" s="11"/>
      <c r="Z108" s="11"/>
    </row>
    <row r="109" spans="1:26" ht="15" hidden="1" x14ac:dyDescent="0.25">
      <c r="A109" s="93"/>
      <c r="B109" s="93"/>
      <c r="C109" s="93"/>
      <c r="D109" s="140"/>
      <c r="E109" s="11"/>
      <c r="F109" s="11"/>
      <c r="G109" s="140"/>
      <c r="H109" s="11"/>
      <c r="I109" s="11"/>
      <c r="J109" s="11"/>
      <c r="K109" s="11"/>
      <c r="L109" s="11"/>
      <c r="M109" s="11"/>
      <c r="N109" s="137">
        <f t="shared" ref="N109:N116" si="7">SUM(O109:Z109)</f>
        <v>0</v>
      </c>
      <c r="O109" s="11"/>
      <c r="P109" s="11"/>
      <c r="Q109" s="11"/>
      <c r="R109" s="11"/>
      <c r="S109" s="11"/>
      <c r="T109" s="11"/>
      <c r="U109" s="11"/>
      <c r="V109" s="11"/>
      <c r="W109" s="11"/>
      <c r="X109" s="11"/>
      <c r="Y109" s="11"/>
      <c r="Z109" s="11"/>
    </row>
    <row r="110" spans="1:26" ht="15" hidden="1" x14ac:dyDescent="0.25">
      <c r="A110" s="93"/>
      <c r="B110" s="93"/>
      <c r="C110" s="93"/>
      <c r="D110" s="140"/>
      <c r="E110" s="11"/>
      <c r="F110" s="11"/>
      <c r="G110" s="140"/>
      <c r="H110" s="11"/>
      <c r="I110" s="11"/>
      <c r="J110" s="11"/>
      <c r="K110" s="11"/>
      <c r="L110" s="11"/>
      <c r="M110" s="11"/>
      <c r="N110" s="137">
        <f t="shared" si="7"/>
        <v>0</v>
      </c>
      <c r="O110" s="11"/>
      <c r="P110" s="11"/>
      <c r="Q110" s="11"/>
      <c r="R110" s="11"/>
      <c r="S110" s="11"/>
      <c r="T110" s="11"/>
      <c r="U110" s="11"/>
      <c r="V110" s="11"/>
      <c r="W110" s="11"/>
      <c r="X110" s="11"/>
      <c r="Y110" s="11"/>
      <c r="Z110" s="11"/>
    </row>
    <row r="111" spans="1:26" ht="15" hidden="1" x14ac:dyDescent="0.25">
      <c r="A111" s="93"/>
      <c r="B111" s="93"/>
      <c r="C111" s="93"/>
      <c r="D111" s="140"/>
      <c r="E111" s="11"/>
      <c r="F111" s="11"/>
      <c r="G111" s="11"/>
      <c r="H111" s="11"/>
      <c r="I111" s="11"/>
      <c r="J111" s="11"/>
      <c r="K111" s="11"/>
      <c r="L111" s="11"/>
      <c r="M111" s="11"/>
      <c r="N111" s="137">
        <f t="shared" si="7"/>
        <v>0</v>
      </c>
      <c r="O111" s="11"/>
      <c r="P111" s="11"/>
      <c r="Q111" s="11"/>
      <c r="R111" s="11"/>
      <c r="S111" s="11"/>
      <c r="T111" s="11"/>
      <c r="U111" s="11"/>
      <c r="V111" s="11"/>
      <c r="W111" s="11"/>
      <c r="X111" s="11"/>
      <c r="Y111" s="11"/>
      <c r="Z111" s="11"/>
    </row>
    <row r="112" spans="1:26" ht="15" hidden="1" x14ac:dyDescent="0.25">
      <c r="A112" s="93"/>
      <c r="B112" s="93"/>
      <c r="C112" s="93"/>
      <c r="D112" s="140"/>
      <c r="E112" s="11"/>
      <c r="F112" s="11"/>
      <c r="G112" s="11"/>
      <c r="H112" s="11"/>
      <c r="I112" s="11"/>
      <c r="J112" s="11"/>
      <c r="K112" s="11"/>
      <c r="L112" s="11"/>
      <c r="M112" s="11"/>
      <c r="N112" s="137">
        <f>SUM(O112:Z112)</f>
        <v>0</v>
      </c>
      <c r="O112" s="11"/>
      <c r="P112" s="11"/>
      <c r="Q112" s="11"/>
      <c r="R112" s="11"/>
      <c r="S112" s="11"/>
      <c r="T112" s="11"/>
      <c r="U112" s="11"/>
      <c r="V112" s="11"/>
      <c r="W112" s="11"/>
      <c r="X112" s="11"/>
      <c r="Y112" s="11"/>
      <c r="Z112" s="11"/>
    </row>
    <row r="113" spans="1:26" ht="15" hidden="1" x14ac:dyDescent="0.25">
      <c r="A113" s="93"/>
      <c r="B113" s="93"/>
      <c r="C113" s="93"/>
      <c r="D113" s="140"/>
      <c r="E113" s="11"/>
      <c r="F113" s="11"/>
      <c r="G113" s="11"/>
      <c r="H113" s="11"/>
      <c r="I113" s="11"/>
      <c r="J113" s="11"/>
      <c r="K113" s="11"/>
      <c r="L113" s="11"/>
      <c r="M113" s="11"/>
      <c r="N113" s="137">
        <f t="shared" si="7"/>
        <v>0</v>
      </c>
      <c r="O113" s="11"/>
      <c r="P113" s="11"/>
      <c r="Q113" s="11"/>
      <c r="R113" s="11"/>
      <c r="S113" s="11"/>
      <c r="T113" s="11"/>
      <c r="U113" s="11"/>
      <c r="V113" s="11"/>
      <c r="W113" s="11"/>
      <c r="X113" s="11"/>
      <c r="Y113" s="11"/>
      <c r="Z113" s="11"/>
    </row>
    <row r="114" spans="1:26" ht="15" hidden="1" x14ac:dyDescent="0.25">
      <c r="A114" s="93"/>
      <c r="B114" s="93"/>
      <c r="C114" s="93"/>
      <c r="D114" s="140"/>
      <c r="E114" s="11"/>
      <c r="F114" s="11"/>
      <c r="G114" s="11"/>
      <c r="H114" s="11"/>
      <c r="I114" s="11"/>
      <c r="J114" s="11"/>
      <c r="K114" s="11"/>
      <c r="L114" s="11"/>
      <c r="M114" s="11"/>
      <c r="N114" s="137">
        <f t="shared" si="7"/>
        <v>0</v>
      </c>
      <c r="O114" s="11"/>
      <c r="P114" s="11"/>
      <c r="Q114" s="11"/>
      <c r="R114" s="11"/>
      <c r="S114" s="11"/>
      <c r="T114" s="11"/>
      <c r="U114" s="11"/>
      <c r="V114" s="11"/>
      <c r="W114" s="11"/>
      <c r="X114" s="11"/>
      <c r="Y114" s="11"/>
      <c r="Z114" s="11"/>
    </row>
    <row r="115" spans="1:26" ht="15" hidden="1" x14ac:dyDescent="0.25">
      <c r="A115" s="93"/>
      <c r="B115" s="93"/>
      <c r="C115" s="93"/>
      <c r="D115" s="140"/>
      <c r="E115" s="11"/>
      <c r="F115" s="11"/>
      <c r="G115" s="11"/>
      <c r="H115" s="11"/>
      <c r="I115" s="11"/>
      <c r="J115" s="11"/>
      <c r="K115" s="11"/>
      <c r="L115" s="11"/>
      <c r="M115" s="11"/>
      <c r="N115" s="137">
        <f t="shared" si="7"/>
        <v>0</v>
      </c>
      <c r="O115" s="11"/>
      <c r="P115" s="11"/>
      <c r="Q115" s="11"/>
      <c r="R115" s="11"/>
      <c r="S115" s="11"/>
      <c r="T115" s="11"/>
      <c r="U115" s="11"/>
      <c r="V115" s="11"/>
      <c r="W115" s="11"/>
      <c r="X115" s="11"/>
      <c r="Y115" s="11"/>
      <c r="Z115" s="11"/>
    </row>
    <row r="116" spans="1:26" ht="15" hidden="1" x14ac:dyDescent="0.25">
      <c r="A116" s="93"/>
      <c r="B116" s="93"/>
      <c r="C116" s="93"/>
      <c r="D116" s="140"/>
      <c r="E116" s="11"/>
      <c r="F116" s="11"/>
      <c r="G116" s="11"/>
      <c r="H116" s="11"/>
      <c r="I116" s="11"/>
      <c r="J116" s="11"/>
      <c r="K116" s="11"/>
      <c r="L116" s="11"/>
      <c r="M116" s="11"/>
      <c r="N116" s="137">
        <f t="shared" si="7"/>
        <v>0</v>
      </c>
      <c r="O116" s="11"/>
      <c r="P116" s="11"/>
      <c r="Q116" s="11"/>
      <c r="R116" s="11"/>
      <c r="S116" s="11"/>
      <c r="T116" s="11"/>
      <c r="U116" s="11"/>
      <c r="V116" s="11"/>
      <c r="W116" s="11"/>
      <c r="X116" s="11"/>
      <c r="Y116" s="11"/>
      <c r="Z116" s="11"/>
    </row>
    <row r="117" spans="1:26" ht="27.6" hidden="1" customHeight="1" x14ac:dyDescent="0.25">
      <c r="A117" s="93"/>
      <c r="B117" s="93"/>
      <c r="C117" s="93"/>
      <c r="D117" s="140"/>
      <c r="E117" s="11"/>
      <c r="F117" s="11"/>
      <c r="G117" s="11"/>
      <c r="H117" s="11"/>
      <c r="I117" s="11"/>
      <c r="J117" s="11"/>
      <c r="K117" s="11"/>
      <c r="L117" s="11"/>
      <c r="M117" s="11"/>
      <c r="N117" s="139"/>
      <c r="O117" s="11"/>
      <c r="P117" s="11"/>
      <c r="Q117" s="11"/>
      <c r="R117" s="11"/>
      <c r="S117" s="11"/>
      <c r="T117" s="11"/>
      <c r="U117" s="11"/>
      <c r="V117" s="11"/>
      <c r="W117" s="11"/>
      <c r="X117" s="11"/>
      <c r="Y117" s="11"/>
      <c r="Z117" s="11"/>
    </row>
    <row r="118" spans="1:26" s="35" customFormat="1" ht="22.5" hidden="1" customHeight="1" x14ac:dyDescent="0.25">
      <c r="A118" s="33"/>
      <c r="B118" s="34"/>
      <c r="C118" s="34"/>
      <c r="D118" s="34"/>
      <c r="E118" s="50"/>
      <c r="F118" s="50"/>
      <c r="G118" s="50"/>
      <c r="H118" s="50"/>
      <c r="I118" s="50"/>
      <c r="J118" s="51" t="s">
        <v>20</v>
      </c>
      <c r="K118" s="50"/>
      <c r="L118" s="32">
        <f>SUM(L117:L117)</f>
        <v>0</v>
      </c>
      <c r="M118" s="32">
        <f>SUM(M117:M117)</f>
        <v>0</v>
      </c>
      <c r="N118" s="32">
        <f>SUM(N106:N117)</f>
        <v>0</v>
      </c>
      <c r="O118" s="32">
        <f>SUM(O106:O117)</f>
        <v>0</v>
      </c>
      <c r="P118" s="32">
        <f t="shared" ref="P118:Z118" si="8">SUM(P106:P117)</f>
        <v>0</v>
      </c>
      <c r="Q118" s="32">
        <f t="shared" si="8"/>
        <v>0</v>
      </c>
      <c r="R118" s="32">
        <f t="shared" si="8"/>
        <v>0</v>
      </c>
      <c r="S118" s="32">
        <f t="shared" si="8"/>
        <v>0</v>
      </c>
      <c r="T118" s="32">
        <f t="shared" si="8"/>
        <v>0</v>
      </c>
      <c r="U118" s="32">
        <f t="shared" si="8"/>
        <v>0</v>
      </c>
      <c r="V118" s="32">
        <f t="shared" si="8"/>
        <v>0</v>
      </c>
      <c r="W118" s="32">
        <f t="shared" si="8"/>
        <v>0</v>
      </c>
      <c r="X118" s="32">
        <f t="shared" si="8"/>
        <v>0</v>
      </c>
      <c r="Y118" s="32">
        <f t="shared" si="8"/>
        <v>0</v>
      </c>
      <c r="Z118" s="32">
        <f t="shared" si="8"/>
        <v>0</v>
      </c>
    </row>
    <row r="119" spans="1:26" ht="18" hidden="1" x14ac:dyDescent="0.25">
      <c r="A119" s="30" t="str">
        <f>CONCATENATE(B19," ",C19)</f>
        <v xml:space="preserve"> </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6" ht="60" hidden="1" x14ac:dyDescent="0.25">
      <c r="A120" s="92"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6" ht="15" hidden="1" x14ac:dyDescent="0.25">
      <c r="A121" s="93" t="s">
        <v>265</v>
      </c>
      <c r="B121" s="93"/>
      <c r="C121" s="93"/>
      <c r="D121" s="140"/>
      <c r="E121" s="11"/>
      <c r="F121" s="11"/>
      <c r="G121" s="11"/>
      <c r="H121" s="11"/>
      <c r="I121" s="11"/>
      <c r="J121" s="11"/>
      <c r="K121" s="11"/>
      <c r="L121" s="11"/>
      <c r="M121" s="11"/>
      <c r="N121" s="137">
        <f t="shared" ref="N121:N131" si="9">SUM(O121:Z121)</f>
        <v>0</v>
      </c>
      <c r="O121" s="11"/>
      <c r="P121" s="11"/>
      <c r="Q121" s="11"/>
      <c r="R121" s="11"/>
      <c r="S121" s="11"/>
      <c r="T121" s="11"/>
      <c r="U121" s="11"/>
      <c r="V121" s="11"/>
      <c r="W121" s="11"/>
      <c r="X121" s="11"/>
      <c r="Y121" s="11"/>
      <c r="Z121" s="11"/>
    </row>
    <row r="122" spans="1:26" ht="15" hidden="1" x14ac:dyDescent="0.25">
      <c r="A122" s="93" t="s">
        <v>266</v>
      </c>
      <c r="B122" s="93"/>
      <c r="C122" s="93"/>
      <c r="D122" s="140"/>
      <c r="E122" s="11"/>
      <c r="F122" s="11"/>
      <c r="G122" s="11"/>
      <c r="H122" s="11"/>
      <c r="I122" s="11"/>
      <c r="J122" s="11"/>
      <c r="K122" s="11"/>
      <c r="L122" s="11"/>
      <c r="M122" s="11"/>
      <c r="N122" s="137">
        <f t="shared" si="9"/>
        <v>0</v>
      </c>
      <c r="O122" s="11"/>
      <c r="P122" s="11"/>
      <c r="Q122" s="11"/>
      <c r="R122" s="11"/>
      <c r="S122" s="11"/>
      <c r="T122" s="11"/>
      <c r="U122" s="11"/>
      <c r="V122" s="11"/>
      <c r="W122" s="11"/>
      <c r="X122" s="11"/>
      <c r="Y122" s="11"/>
      <c r="Z122" s="11"/>
    </row>
    <row r="123" spans="1:26" ht="15" hidden="1" x14ac:dyDescent="0.25">
      <c r="A123" s="93" t="s">
        <v>283</v>
      </c>
      <c r="B123" s="93"/>
      <c r="C123" s="93"/>
      <c r="D123" s="140"/>
      <c r="E123" s="11"/>
      <c r="F123" s="11"/>
      <c r="G123" s="11"/>
      <c r="H123" s="11"/>
      <c r="I123" s="11"/>
      <c r="J123" s="11"/>
      <c r="K123" s="11"/>
      <c r="L123" s="11"/>
      <c r="M123" s="11"/>
      <c r="N123" s="137">
        <f t="shared" si="9"/>
        <v>0</v>
      </c>
      <c r="O123" s="11"/>
      <c r="P123" s="11"/>
      <c r="Q123" s="11"/>
      <c r="R123" s="11"/>
      <c r="S123" s="11"/>
      <c r="T123" s="11"/>
      <c r="U123" s="11"/>
      <c r="V123" s="11"/>
      <c r="W123" s="11"/>
      <c r="X123" s="11"/>
      <c r="Y123" s="11"/>
      <c r="Z123" s="11"/>
    </row>
    <row r="124" spans="1:26" ht="15" hidden="1" x14ac:dyDescent="0.25">
      <c r="A124" s="93" t="s">
        <v>284</v>
      </c>
      <c r="B124" s="93"/>
      <c r="C124" s="93"/>
      <c r="D124" s="140"/>
      <c r="E124" s="11"/>
      <c r="F124" s="11"/>
      <c r="G124" s="11"/>
      <c r="H124" s="11"/>
      <c r="I124" s="11"/>
      <c r="J124" s="11"/>
      <c r="K124" s="11"/>
      <c r="L124" s="11"/>
      <c r="M124" s="11"/>
      <c r="N124" s="137">
        <f t="shared" si="9"/>
        <v>0</v>
      </c>
      <c r="O124" s="11"/>
      <c r="P124" s="11"/>
      <c r="Q124" s="11"/>
      <c r="R124" s="11"/>
      <c r="S124" s="11"/>
      <c r="T124" s="11"/>
      <c r="U124" s="11"/>
      <c r="V124" s="11"/>
      <c r="W124" s="11"/>
      <c r="X124" s="11"/>
      <c r="Y124" s="11"/>
      <c r="Z124" s="11"/>
    </row>
    <row r="125" spans="1:26" ht="15" hidden="1" x14ac:dyDescent="0.25">
      <c r="A125" s="93"/>
      <c r="B125" s="93"/>
      <c r="C125" s="93"/>
      <c r="D125" s="140"/>
      <c r="E125" s="11"/>
      <c r="F125" s="11"/>
      <c r="G125" s="53"/>
      <c r="H125" s="11"/>
      <c r="I125" s="11"/>
      <c r="J125" s="11"/>
      <c r="K125" s="11"/>
      <c r="L125" s="11"/>
      <c r="M125" s="11"/>
      <c r="N125" s="137">
        <f t="shared" si="9"/>
        <v>0</v>
      </c>
      <c r="O125" s="11"/>
      <c r="P125" s="11"/>
      <c r="Q125" s="11"/>
      <c r="R125" s="11"/>
      <c r="S125" s="11"/>
      <c r="T125" s="11"/>
      <c r="U125" s="11"/>
      <c r="V125" s="11"/>
      <c r="W125" s="11"/>
      <c r="X125" s="11"/>
      <c r="Y125" s="11"/>
      <c r="Z125" s="11"/>
    </row>
    <row r="126" spans="1:26" ht="15" hidden="1" x14ac:dyDescent="0.25">
      <c r="A126" s="93"/>
      <c r="B126" s="93"/>
      <c r="C126" s="93"/>
      <c r="D126" s="140"/>
      <c r="E126" s="11"/>
      <c r="F126" s="11"/>
      <c r="G126" s="53"/>
      <c r="H126" s="11"/>
      <c r="I126" s="11"/>
      <c r="J126" s="11"/>
      <c r="K126" s="11"/>
      <c r="L126" s="11"/>
      <c r="M126" s="11"/>
      <c r="N126" s="137">
        <f t="shared" si="9"/>
        <v>0</v>
      </c>
      <c r="O126" s="11"/>
      <c r="P126" s="11"/>
      <c r="Q126" s="11"/>
      <c r="R126" s="11"/>
      <c r="S126" s="11"/>
      <c r="T126" s="11"/>
      <c r="U126" s="11"/>
      <c r="V126" s="11"/>
      <c r="W126" s="11"/>
      <c r="X126" s="11"/>
      <c r="Y126" s="11"/>
      <c r="Z126" s="11"/>
    </row>
    <row r="127" spans="1:26" ht="15" hidden="1" x14ac:dyDescent="0.25">
      <c r="A127" s="93"/>
      <c r="B127" s="93"/>
      <c r="C127" s="93"/>
      <c r="D127" s="140"/>
      <c r="E127" s="11"/>
      <c r="F127" s="11"/>
      <c r="G127" s="53"/>
      <c r="H127" s="11"/>
      <c r="I127" s="11"/>
      <c r="J127" s="11"/>
      <c r="K127" s="11"/>
      <c r="L127" s="11"/>
      <c r="M127" s="11"/>
      <c r="N127" s="137">
        <f t="shared" si="9"/>
        <v>0</v>
      </c>
      <c r="O127" s="11"/>
      <c r="P127" s="11"/>
      <c r="Q127" s="11"/>
      <c r="R127" s="11"/>
      <c r="S127" s="11"/>
      <c r="T127" s="11"/>
      <c r="U127" s="11"/>
      <c r="V127" s="11"/>
      <c r="W127" s="11"/>
      <c r="X127" s="11"/>
      <c r="Y127" s="11"/>
      <c r="Z127" s="11"/>
    </row>
    <row r="128" spans="1:26" ht="19.149999999999999" hidden="1" customHeight="1" x14ac:dyDescent="0.25">
      <c r="A128" s="93"/>
      <c r="B128" s="93"/>
      <c r="C128" s="93"/>
      <c r="D128" s="140"/>
      <c r="E128" s="11"/>
      <c r="F128" s="11"/>
      <c r="G128" s="53"/>
      <c r="H128" s="11"/>
      <c r="I128" s="11"/>
      <c r="J128" s="11"/>
      <c r="K128" s="11"/>
      <c r="L128" s="11"/>
      <c r="M128" s="11"/>
      <c r="N128" s="137">
        <f t="shared" si="9"/>
        <v>0</v>
      </c>
      <c r="O128" s="11"/>
      <c r="P128" s="11"/>
      <c r="Q128" s="11"/>
      <c r="R128" s="11"/>
      <c r="S128" s="11"/>
      <c r="T128" s="11"/>
      <c r="U128" s="11"/>
      <c r="V128" s="11"/>
      <c r="W128" s="11"/>
      <c r="X128" s="11"/>
      <c r="Y128" s="11"/>
      <c r="Z128" s="11"/>
    </row>
    <row r="129" spans="1:27" ht="15" hidden="1" x14ac:dyDescent="0.25">
      <c r="A129" s="93"/>
      <c r="B129" s="93"/>
      <c r="C129" s="93"/>
      <c r="D129" s="140"/>
      <c r="E129" s="11"/>
      <c r="F129" s="11"/>
      <c r="G129" s="53"/>
      <c r="H129" s="11"/>
      <c r="I129" s="11"/>
      <c r="J129" s="11"/>
      <c r="K129" s="11"/>
      <c r="L129" s="11"/>
      <c r="M129" s="11"/>
      <c r="N129" s="137">
        <f t="shared" si="9"/>
        <v>0</v>
      </c>
      <c r="O129" s="11"/>
      <c r="P129" s="11"/>
      <c r="Q129" s="11"/>
      <c r="R129" s="11"/>
      <c r="S129" s="11"/>
      <c r="T129" s="11"/>
      <c r="U129" s="11"/>
      <c r="V129" s="11"/>
      <c r="W129" s="11"/>
      <c r="X129" s="11"/>
      <c r="Y129" s="11"/>
      <c r="Z129" s="11"/>
    </row>
    <row r="130" spans="1:27" ht="15" hidden="1" x14ac:dyDescent="0.25">
      <c r="A130" s="93"/>
      <c r="B130" s="93"/>
      <c r="C130" s="93"/>
      <c r="D130" s="140"/>
      <c r="E130" s="11"/>
      <c r="F130" s="11"/>
      <c r="G130" s="53"/>
      <c r="H130" s="11"/>
      <c r="I130" s="11"/>
      <c r="J130" s="11"/>
      <c r="K130" s="11"/>
      <c r="L130" s="11"/>
      <c r="M130" s="11"/>
      <c r="N130" s="137">
        <f t="shared" si="9"/>
        <v>0</v>
      </c>
      <c r="O130" s="11"/>
      <c r="P130" s="11"/>
      <c r="Q130" s="11"/>
      <c r="R130" s="11"/>
      <c r="S130" s="11"/>
      <c r="T130" s="11"/>
      <c r="U130" s="11"/>
      <c r="V130" s="11"/>
      <c r="W130" s="11"/>
      <c r="X130" s="11"/>
      <c r="Y130" s="11"/>
      <c r="Z130" s="11"/>
    </row>
    <row r="131" spans="1:27" ht="15" hidden="1" x14ac:dyDescent="0.25">
      <c r="A131" s="93"/>
      <c r="B131" s="93"/>
      <c r="C131" s="93"/>
      <c r="D131" s="140"/>
      <c r="E131" s="11"/>
      <c r="F131" s="11"/>
      <c r="G131" s="53"/>
      <c r="H131" s="11"/>
      <c r="I131" s="11"/>
      <c r="J131" s="11"/>
      <c r="K131" s="11"/>
      <c r="L131" s="11"/>
      <c r="M131" s="11"/>
      <c r="N131" s="137">
        <f t="shared" si="9"/>
        <v>0</v>
      </c>
      <c r="O131" s="11"/>
      <c r="P131" s="11"/>
      <c r="Q131" s="11"/>
      <c r="R131" s="11"/>
      <c r="S131" s="11"/>
      <c r="T131" s="11"/>
      <c r="U131" s="11"/>
      <c r="V131" s="11"/>
      <c r="W131" s="11"/>
      <c r="X131" s="11"/>
      <c r="Y131" s="11"/>
      <c r="Z131" s="11"/>
    </row>
    <row r="132" spans="1:27" ht="15" hidden="1" x14ac:dyDescent="0.25">
      <c r="A132" s="93"/>
      <c r="B132" s="93"/>
      <c r="C132" s="93"/>
      <c r="D132" s="140"/>
      <c r="E132" s="11"/>
      <c r="F132" s="11"/>
      <c r="G132" s="53"/>
      <c r="H132" s="11"/>
      <c r="I132" s="11"/>
      <c r="J132" s="11"/>
      <c r="K132" s="11"/>
      <c r="L132" s="11"/>
      <c r="M132" s="11"/>
      <c r="N132" s="11"/>
      <c r="O132" s="11"/>
      <c r="P132" s="11"/>
      <c r="Q132" s="11"/>
      <c r="R132" s="11"/>
      <c r="S132" s="11"/>
      <c r="T132" s="11"/>
      <c r="U132" s="11"/>
      <c r="V132" s="11"/>
      <c r="W132" s="11"/>
      <c r="X132" s="11"/>
      <c r="Y132" s="11"/>
      <c r="Z132" s="11"/>
    </row>
    <row r="133" spans="1:27" ht="15" hidden="1" x14ac:dyDescent="0.25">
      <c r="A133" s="93"/>
      <c r="B133" s="93"/>
      <c r="C133" s="93"/>
      <c r="D133" s="140"/>
      <c r="E133" s="11"/>
      <c r="F133" s="11"/>
      <c r="G133" s="53"/>
      <c r="H133" s="11"/>
      <c r="I133" s="11"/>
      <c r="J133" s="11"/>
      <c r="K133" s="11"/>
      <c r="L133" s="11"/>
      <c r="M133" s="11"/>
      <c r="N133" s="11"/>
      <c r="O133" s="11"/>
      <c r="P133" s="11"/>
      <c r="Q133" s="11"/>
      <c r="R133" s="11"/>
      <c r="S133" s="11"/>
      <c r="T133" s="11"/>
      <c r="U133" s="11"/>
      <c r="V133" s="11"/>
      <c r="W133" s="11"/>
      <c r="X133" s="11"/>
      <c r="Y133" s="11"/>
      <c r="Z133" s="11"/>
    </row>
    <row r="134" spans="1:27" ht="20.25" hidden="1" x14ac:dyDescent="0.25">
      <c r="A134" s="93" t="s">
        <v>285</v>
      </c>
      <c r="B134" s="93"/>
      <c r="C134" s="93"/>
      <c r="D134" s="140"/>
      <c r="E134" s="11"/>
      <c r="F134" s="11"/>
      <c r="G134" s="45"/>
      <c r="H134" s="11"/>
      <c r="I134" s="11"/>
      <c r="J134" s="11"/>
      <c r="K134" s="68" t="s">
        <v>20</v>
      </c>
      <c r="L134" s="32">
        <f>SUM(L120:L124)</f>
        <v>0</v>
      </c>
      <c r="M134" s="32">
        <f>SUM(M120:M124)</f>
        <v>0</v>
      </c>
      <c r="N134" s="11">
        <f>SUM(N121:N133)</f>
        <v>0</v>
      </c>
      <c r="O134" s="139">
        <f>SUM(O121:O133)</f>
        <v>0</v>
      </c>
      <c r="P134" s="139">
        <f>SUM(P121:P133)</f>
        <v>0</v>
      </c>
      <c r="Q134" s="139">
        <f t="shared" ref="Q134:Z134" si="10">SUM(Q121:Q133)</f>
        <v>0</v>
      </c>
      <c r="R134" s="139">
        <f t="shared" si="10"/>
        <v>0</v>
      </c>
      <c r="S134" s="139">
        <f t="shared" si="10"/>
        <v>0</v>
      </c>
      <c r="T134" s="139">
        <f t="shared" si="10"/>
        <v>0</v>
      </c>
      <c r="U134" s="139">
        <f t="shared" si="10"/>
        <v>0</v>
      </c>
      <c r="V134" s="139">
        <f t="shared" si="10"/>
        <v>0</v>
      </c>
      <c r="W134" s="139">
        <f t="shared" si="10"/>
        <v>0</v>
      </c>
      <c r="X134" s="139">
        <f t="shared" si="10"/>
        <v>0</v>
      </c>
      <c r="Y134" s="139">
        <f t="shared" si="10"/>
        <v>0</v>
      </c>
      <c r="Z134" s="139">
        <f t="shared" si="10"/>
        <v>0</v>
      </c>
      <c r="AA134" s="35"/>
    </row>
    <row r="135" spans="1:27" ht="18" hidden="1" outlineLevel="1" x14ac:dyDescent="0.25">
      <c r="A135" s="30" t="str">
        <f>CONCATENATE(B20," ",C20)</f>
        <v xml:space="preserve"> </v>
      </c>
      <c r="B135" s="30"/>
      <c r="C135" s="31"/>
      <c r="D135" s="31"/>
      <c r="E135" s="29"/>
      <c r="F135" s="29"/>
      <c r="G135" s="29"/>
      <c r="H135" s="29"/>
      <c r="I135" s="29"/>
      <c r="J135" s="29"/>
      <c r="K135" s="29"/>
      <c r="L135" s="29"/>
      <c r="M135" s="29"/>
      <c r="N135" s="29"/>
      <c r="O135" s="29" t="s">
        <v>5</v>
      </c>
      <c r="P135" s="29"/>
      <c r="Q135" s="29"/>
      <c r="R135" s="29"/>
      <c r="S135" s="29"/>
      <c r="T135" s="29"/>
      <c r="U135" s="29"/>
      <c r="V135" s="29"/>
      <c r="W135" s="29"/>
      <c r="X135" s="29"/>
      <c r="Y135" s="29"/>
      <c r="Z135" s="29"/>
    </row>
    <row r="136" spans="1:27" ht="41.45" hidden="1" customHeight="1" outlineLevel="1" x14ac:dyDescent="0.25">
      <c r="A136" s="92" t="s">
        <v>261</v>
      </c>
      <c r="B136" s="92" t="s">
        <v>13</v>
      </c>
      <c r="C136" s="92" t="s">
        <v>14</v>
      </c>
      <c r="D136" s="133" t="s">
        <v>286</v>
      </c>
      <c r="E136" s="32" t="s">
        <v>16</v>
      </c>
      <c r="F136" s="32" t="s">
        <v>295</v>
      </c>
      <c r="G136" s="32" t="s">
        <v>39</v>
      </c>
      <c r="H136" s="32" t="s">
        <v>297</v>
      </c>
      <c r="I136" s="32" t="s">
        <v>298</v>
      </c>
      <c r="J136" s="32" t="s">
        <v>299</v>
      </c>
      <c r="K136" s="32" t="s">
        <v>300</v>
      </c>
      <c r="L136" s="32" t="s">
        <v>17</v>
      </c>
      <c r="M136" s="32" t="s">
        <v>18</v>
      </c>
      <c r="N136" s="32" t="s">
        <v>19</v>
      </c>
      <c r="O136" s="66">
        <v>43101</v>
      </c>
      <c r="P136" s="66">
        <v>43132</v>
      </c>
      <c r="Q136" s="66">
        <v>43160</v>
      </c>
      <c r="R136" s="66">
        <v>43191</v>
      </c>
      <c r="S136" s="66">
        <v>43221</v>
      </c>
      <c r="T136" s="66">
        <v>43252</v>
      </c>
      <c r="U136" s="66">
        <v>43282</v>
      </c>
      <c r="V136" s="66">
        <v>43313</v>
      </c>
      <c r="W136" s="66">
        <v>43344</v>
      </c>
      <c r="X136" s="66">
        <v>43374</v>
      </c>
      <c r="Y136" s="66">
        <v>43405</v>
      </c>
      <c r="Z136" s="66">
        <v>43435</v>
      </c>
    </row>
    <row r="137" spans="1:27" ht="15" hidden="1" customHeight="1" outlineLevel="1" x14ac:dyDescent="0.25">
      <c r="A137" s="93" t="s">
        <v>265</v>
      </c>
      <c r="B137" s="93"/>
      <c r="C137" s="93"/>
      <c r="D137" s="140"/>
      <c r="E137" s="11"/>
      <c r="F137" s="11"/>
      <c r="G137" s="11"/>
      <c r="H137" s="11"/>
      <c r="I137" s="11"/>
      <c r="J137" s="11"/>
      <c r="K137" s="11"/>
      <c r="L137" s="11"/>
      <c r="M137" s="11"/>
      <c r="N137" s="11">
        <f t="shared" ref="N137:N140" si="11">SUM(O137:Z137)</f>
        <v>0</v>
      </c>
      <c r="O137" s="11"/>
      <c r="P137" s="11"/>
      <c r="Q137" s="11"/>
      <c r="R137" s="11"/>
      <c r="S137" s="11"/>
      <c r="T137" s="11"/>
      <c r="U137" s="11"/>
      <c r="V137" s="11"/>
      <c r="W137" s="11"/>
      <c r="X137" s="11"/>
      <c r="Y137" s="11"/>
      <c r="Z137" s="11"/>
    </row>
    <row r="138" spans="1:27" ht="15" hidden="1" customHeight="1" outlineLevel="1" x14ac:dyDescent="0.25">
      <c r="A138" s="93" t="s">
        <v>266</v>
      </c>
      <c r="B138" s="93"/>
      <c r="C138" s="93"/>
      <c r="D138" s="140"/>
      <c r="E138" s="11"/>
      <c r="F138" s="11"/>
      <c r="G138" s="11"/>
      <c r="H138" s="11"/>
      <c r="I138" s="11"/>
      <c r="J138" s="11"/>
      <c r="K138" s="11"/>
      <c r="L138" s="11"/>
      <c r="M138" s="11"/>
      <c r="N138" s="11">
        <f t="shared" si="11"/>
        <v>0</v>
      </c>
      <c r="O138" s="11"/>
      <c r="P138" s="11"/>
      <c r="Q138" s="11"/>
      <c r="R138" s="11"/>
      <c r="S138" s="11"/>
      <c r="T138" s="11"/>
      <c r="U138" s="11"/>
      <c r="V138" s="11"/>
      <c r="W138" s="11"/>
      <c r="X138" s="11"/>
      <c r="Y138" s="11"/>
      <c r="Z138" s="11"/>
    </row>
    <row r="139" spans="1:27" ht="15" hidden="1" customHeight="1" outlineLevel="1" x14ac:dyDescent="0.25">
      <c r="A139" s="93" t="s">
        <v>283</v>
      </c>
      <c r="B139" s="93"/>
      <c r="C139" s="93"/>
      <c r="D139" s="140"/>
      <c r="E139" s="11"/>
      <c r="F139" s="11"/>
      <c r="G139" s="11"/>
      <c r="H139" s="11"/>
      <c r="I139" s="11"/>
      <c r="J139" s="11"/>
      <c r="K139" s="11"/>
      <c r="L139" s="11"/>
      <c r="M139" s="11"/>
      <c r="N139" s="11">
        <f t="shared" si="11"/>
        <v>0</v>
      </c>
      <c r="O139" s="11"/>
      <c r="P139" s="11"/>
      <c r="Q139" s="11"/>
      <c r="R139" s="11"/>
      <c r="S139" s="11"/>
      <c r="T139" s="11"/>
      <c r="U139" s="11"/>
      <c r="V139" s="11"/>
      <c r="W139" s="11"/>
      <c r="X139" s="11"/>
      <c r="Y139" s="11"/>
      <c r="Z139" s="11"/>
    </row>
    <row r="140" spans="1:27" ht="15" hidden="1" customHeight="1" outlineLevel="1" x14ac:dyDescent="0.25">
      <c r="A140" s="93" t="s">
        <v>284</v>
      </c>
      <c r="B140" s="93"/>
      <c r="C140" s="93"/>
      <c r="D140" s="140"/>
      <c r="E140" s="11"/>
      <c r="F140" s="11"/>
      <c r="G140" s="11"/>
      <c r="H140" s="11"/>
      <c r="I140" s="11"/>
      <c r="J140" s="11"/>
      <c r="K140" s="11"/>
      <c r="L140" s="11"/>
      <c r="M140" s="11"/>
      <c r="N140" s="11">
        <f t="shared" si="11"/>
        <v>0</v>
      </c>
      <c r="O140" s="11"/>
      <c r="P140" s="11"/>
      <c r="Q140" s="11"/>
      <c r="R140" s="11"/>
      <c r="S140" s="11"/>
      <c r="T140" s="11"/>
      <c r="U140" s="11"/>
      <c r="V140" s="11"/>
      <c r="W140" s="11"/>
      <c r="X140" s="11"/>
      <c r="Y140" s="11"/>
      <c r="Z140" s="11"/>
    </row>
    <row r="141" spans="1:27" ht="21" hidden="1" customHeight="1" outlineLevel="1" x14ac:dyDescent="0.25">
      <c r="A141" s="93" t="s">
        <v>285</v>
      </c>
      <c r="B141" s="93"/>
      <c r="C141" s="93"/>
      <c r="D141" s="140"/>
      <c r="E141" s="11"/>
      <c r="F141" s="11"/>
      <c r="G141" s="45"/>
      <c r="H141" s="11"/>
      <c r="I141" s="11"/>
      <c r="J141" s="11"/>
      <c r="K141" s="68" t="s">
        <v>20</v>
      </c>
      <c r="L141" s="32">
        <f>SUM(L136:L140)</f>
        <v>0</v>
      </c>
      <c r="M141" s="32">
        <f>SUM(M136:M140)</f>
        <v>0</v>
      </c>
      <c r="N141" s="11">
        <f>SUM(N137:N140)</f>
        <v>0</v>
      </c>
      <c r="O141" s="11">
        <f t="shared" ref="O141:Z141" si="12">SUM(O137:O140)</f>
        <v>0</v>
      </c>
      <c r="P141" s="11">
        <f t="shared" si="12"/>
        <v>0</v>
      </c>
      <c r="Q141" s="11">
        <f t="shared" si="12"/>
        <v>0</v>
      </c>
      <c r="R141" s="11">
        <f t="shared" si="12"/>
        <v>0</v>
      </c>
      <c r="S141" s="11">
        <f t="shared" si="12"/>
        <v>0</v>
      </c>
      <c r="T141" s="11">
        <f t="shared" si="12"/>
        <v>0</v>
      </c>
      <c r="U141" s="11">
        <f t="shared" si="12"/>
        <v>0</v>
      </c>
      <c r="V141" s="11">
        <f t="shared" si="12"/>
        <v>0</v>
      </c>
      <c r="W141" s="11">
        <f t="shared" si="12"/>
        <v>0</v>
      </c>
      <c r="X141" s="11">
        <f t="shared" si="12"/>
        <v>0</v>
      </c>
      <c r="Y141" s="11">
        <f t="shared" si="12"/>
        <v>0</v>
      </c>
      <c r="Z141" s="11">
        <f t="shared" si="12"/>
        <v>0</v>
      </c>
      <c r="AA141" s="35"/>
    </row>
    <row r="142" spans="1:27" ht="18" hidden="1" outlineLevel="1" x14ac:dyDescent="0.25">
      <c r="A142" s="30" t="str">
        <f>CONCATENATE(B21," ",C21)</f>
        <v xml:space="preserve"> </v>
      </c>
      <c r="B142" s="30"/>
      <c r="C142" s="31"/>
      <c r="D142" s="31"/>
      <c r="E142" s="29"/>
      <c r="F142" s="29"/>
      <c r="G142" s="29"/>
      <c r="H142" s="29"/>
      <c r="I142" s="29"/>
      <c r="J142" s="29"/>
      <c r="K142" s="29"/>
      <c r="L142" s="29"/>
      <c r="M142" s="29"/>
      <c r="N142" s="29"/>
      <c r="O142" s="29" t="s">
        <v>5</v>
      </c>
      <c r="P142" s="29"/>
      <c r="Q142" s="29"/>
      <c r="R142" s="29"/>
      <c r="S142" s="29"/>
      <c r="T142" s="29"/>
      <c r="U142" s="29"/>
      <c r="V142" s="29"/>
      <c r="W142" s="29"/>
      <c r="X142" s="29"/>
      <c r="Y142" s="29"/>
      <c r="Z142" s="29"/>
    </row>
    <row r="143" spans="1:27" ht="41.45" hidden="1" customHeight="1" outlineLevel="1" x14ac:dyDescent="0.25">
      <c r="A143" s="92" t="s">
        <v>261</v>
      </c>
      <c r="B143" s="92" t="s">
        <v>13</v>
      </c>
      <c r="C143" s="92" t="s">
        <v>14</v>
      </c>
      <c r="D143" s="133" t="s">
        <v>286</v>
      </c>
      <c r="E143" s="32" t="s">
        <v>16</v>
      </c>
      <c r="F143" s="32" t="s">
        <v>295</v>
      </c>
      <c r="G143" s="32" t="s">
        <v>39</v>
      </c>
      <c r="H143" s="32" t="s">
        <v>297</v>
      </c>
      <c r="I143" s="32" t="s">
        <v>298</v>
      </c>
      <c r="J143" s="32" t="s">
        <v>299</v>
      </c>
      <c r="K143" s="32" t="s">
        <v>300</v>
      </c>
      <c r="L143" s="32" t="s">
        <v>17</v>
      </c>
      <c r="M143" s="32" t="s">
        <v>18</v>
      </c>
      <c r="N143" s="32" t="s">
        <v>19</v>
      </c>
      <c r="O143" s="66">
        <v>43101</v>
      </c>
      <c r="P143" s="66">
        <v>43132</v>
      </c>
      <c r="Q143" s="66">
        <v>43160</v>
      </c>
      <c r="R143" s="66">
        <v>43191</v>
      </c>
      <c r="S143" s="66">
        <v>43221</v>
      </c>
      <c r="T143" s="66">
        <v>43252</v>
      </c>
      <c r="U143" s="66">
        <v>43282</v>
      </c>
      <c r="V143" s="66">
        <v>43313</v>
      </c>
      <c r="W143" s="66">
        <v>43344</v>
      </c>
      <c r="X143" s="66">
        <v>43374</v>
      </c>
      <c r="Y143" s="66">
        <v>43405</v>
      </c>
      <c r="Z143" s="66">
        <v>43435</v>
      </c>
    </row>
    <row r="144" spans="1:27" ht="15" hidden="1" customHeight="1" outlineLevel="1" x14ac:dyDescent="0.25">
      <c r="A144" s="93" t="s">
        <v>265</v>
      </c>
      <c r="B144" s="93"/>
      <c r="C144" s="93"/>
      <c r="D144" s="140"/>
      <c r="E144" s="11"/>
      <c r="F144" s="11"/>
      <c r="G144" s="11"/>
      <c r="H144" s="11"/>
      <c r="I144" s="11"/>
      <c r="J144" s="11"/>
      <c r="K144" s="11"/>
      <c r="L144" s="11"/>
      <c r="M144" s="11"/>
      <c r="N144" s="11">
        <f t="shared" ref="N144:N147" si="13">SUM(O144:Z144)</f>
        <v>0</v>
      </c>
      <c r="O144" s="11"/>
      <c r="P144" s="11"/>
      <c r="Q144" s="11"/>
      <c r="R144" s="11"/>
      <c r="S144" s="11"/>
      <c r="T144" s="11"/>
      <c r="U144" s="11"/>
      <c r="V144" s="11"/>
      <c r="W144" s="11"/>
      <c r="X144" s="11"/>
      <c r="Y144" s="11"/>
      <c r="Z144" s="11"/>
    </row>
    <row r="145" spans="1:27" ht="15" hidden="1" customHeight="1" outlineLevel="1" x14ac:dyDescent="0.25">
      <c r="A145" s="93" t="s">
        <v>266</v>
      </c>
      <c r="B145" s="93"/>
      <c r="C145" s="93"/>
      <c r="D145" s="140"/>
      <c r="E145" s="11"/>
      <c r="F145" s="11"/>
      <c r="G145" s="11"/>
      <c r="H145" s="11"/>
      <c r="I145" s="11"/>
      <c r="J145" s="11"/>
      <c r="K145" s="11"/>
      <c r="L145" s="11"/>
      <c r="M145" s="11"/>
      <c r="N145" s="11">
        <f t="shared" si="13"/>
        <v>0</v>
      </c>
      <c r="O145" s="11"/>
      <c r="P145" s="11"/>
      <c r="Q145" s="11"/>
      <c r="R145" s="11"/>
      <c r="S145" s="11"/>
      <c r="T145" s="11"/>
      <c r="U145" s="11"/>
      <c r="V145" s="11"/>
      <c r="W145" s="11"/>
      <c r="X145" s="11"/>
      <c r="Y145" s="11"/>
      <c r="Z145" s="11"/>
    </row>
    <row r="146" spans="1:27" ht="15" hidden="1" customHeight="1" outlineLevel="1" x14ac:dyDescent="0.25">
      <c r="A146" s="93" t="s">
        <v>283</v>
      </c>
      <c r="B146" s="93"/>
      <c r="C146" s="93"/>
      <c r="D146" s="140"/>
      <c r="E146" s="11"/>
      <c r="F146" s="11"/>
      <c r="G146" s="11"/>
      <c r="H146" s="11"/>
      <c r="I146" s="11"/>
      <c r="J146" s="11"/>
      <c r="K146" s="11"/>
      <c r="L146" s="11"/>
      <c r="M146" s="11"/>
      <c r="N146" s="11">
        <f t="shared" si="13"/>
        <v>0</v>
      </c>
      <c r="O146" s="11"/>
      <c r="P146" s="11"/>
      <c r="Q146" s="11"/>
      <c r="R146" s="11"/>
      <c r="S146" s="11"/>
      <c r="T146" s="11"/>
      <c r="U146" s="11"/>
      <c r="V146" s="11"/>
      <c r="W146" s="11"/>
      <c r="X146" s="11"/>
      <c r="Y146" s="11"/>
      <c r="Z146" s="11"/>
    </row>
    <row r="147" spans="1:27" ht="15" hidden="1" customHeight="1" outlineLevel="1" x14ac:dyDescent="0.25">
      <c r="A147" s="93" t="s">
        <v>284</v>
      </c>
      <c r="B147" s="93"/>
      <c r="C147" s="93"/>
      <c r="D147" s="140"/>
      <c r="E147" s="11"/>
      <c r="F147" s="11"/>
      <c r="G147" s="11"/>
      <c r="H147" s="11"/>
      <c r="I147" s="11"/>
      <c r="J147" s="11"/>
      <c r="K147" s="11"/>
      <c r="L147" s="11"/>
      <c r="M147" s="11"/>
      <c r="N147" s="11">
        <f t="shared" si="13"/>
        <v>0</v>
      </c>
      <c r="O147" s="11"/>
      <c r="P147" s="11"/>
      <c r="Q147" s="11"/>
      <c r="R147" s="11"/>
      <c r="S147" s="11"/>
      <c r="T147" s="11"/>
      <c r="U147" s="11"/>
      <c r="V147" s="11"/>
      <c r="W147" s="11"/>
      <c r="X147" s="11"/>
      <c r="Y147" s="11"/>
      <c r="Z147" s="11"/>
    </row>
    <row r="148" spans="1:27" ht="21" hidden="1" customHeight="1" outlineLevel="1" x14ac:dyDescent="0.25">
      <c r="A148" s="93" t="s">
        <v>285</v>
      </c>
      <c r="B148" s="93"/>
      <c r="C148" s="93"/>
      <c r="D148" s="140"/>
      <c r="E148" s="11"/>
      <c r="F148" s="11"/>
      <c r="G148" s="45"/>
      <c r="H148" s="11"/>
      <c r="I148" s="11"/>
      <c r="J148" s="11"/>
      <c r="K148" s="68" t="s">
        <v>20</v>
      </c>
      <c r="L148" s="32">
        <f>SUM(L143:L147)</f>
        <v>0</v>
      </c>
      <c r="M148" s="32">
        <f>SUM(M143:M147)</f>
        <v>0</v>
      </c>
      <c r="N148" s="11">
        <f>SUM(N144:N147)</f>
        <v>0</v>
      </c>
      <c r="O148" s="11">
        <f t="shared" ref="O148:Z148" si="14">SUM(O144:O147)</f>
        <v>0</v>
      </c>
      <c r="P148" s="11">
        <f t="shared" si="14"/>
        <v>0</v>
      </c>
      <c r="Q148" s="11">
        <f t="shared" si="14"/>
        <v>0</v>
      </c>
      <c r="R148" s="11">
        <f t="shared" si="14"/>
        <v>0</v>
      </c>
      <c r="S148" s="11">
        <f t="shared" si="14"/>
        <v>0</v>
      </c>
      <c r="T148" s="11">
        <f t="shared" si="14"/>
        <v>0</v>
      </c>
      <c r="U148" s="11">
        <f t="shared" si="14"/>
        <v>0</v>
      </c>
      <c r="V148" s="11">
        <f t="shared" si="14"/>
        <v>0</v>
      </c>
      <c r="W148" s="11">
        <f t="shared" si="14"/>
        <v>0</v>
      </c>
      <c r="X148" s="11">
        <f t="shared" si="14"/>
        <v>0</v>
      </c>
      <c r="Y148" s="11">
        <f t="shared" si="14"/>
        <v>0</v>
      </c>
      <c r="Z148" s="11">
        <f t="shared" si="14"/>
        <v>0</v>
      </c>
      <c r="AA148" s="35"/>
    </row>
    <row r="149" spans="1:27" ht="18" hidden="1" outlineLevel="1" x14ac:dyDescent="0.25">
      <c r="A149" s="30" t="str">
        <f>CONCATENATE(B22," ",C22)</f>
        <v xml:space="preserve"> </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45" hidden="1" customHeight="1" outlineLevel="1" x14ac:dyDescent="0.25">
      <c r="A150" s="92" t="s">
        <v>261</v>
      </c>
      <c r="B150" s="92" t="s">
        <v>13</v>
      </c>
      <c r="C150" s="92" t="s">
        <v>14</v>
      </c>
      <c r="D150" s="133" t="s">
        <v>286</v>
      </c>
      <c r="E150" s="32" t="s">
        <v>16</v>
      </c>
      <c r="F150" s="32" t="s">
        <v>295</v>
      </c>
      <c r="G150" s="32" t="s">
        <v>39</v>
      </c>
      <c r="H150" s="32" t="s">
        <v>297</v>
      </c>
      <c r="I150" s="32" t="s">
        <v>298</v>
      </c>
      <c r="J150" s="32" t="s">
        <v>299</v>
      </c>
      <c r="K150" s="32" t="s">
        <v>300</v>
      </c>
      <c r="L150" s="32" t="s">
        <v>17</v>
      </c>
      <c r="M150" s="32" t="s">
        <v>18</v>
      </c>
      <c r="N150" s="32" t="s">
        <v>19</v>
      </c>
      <c r="O150" s="66">
        <v>43101</v>
      </c>
      <c r="P150" s="66">
        <v>43132</v>
      </c>
      <c r="Q150" s="66">
        <v>43160</v>
      </c>
      <c r="R150" s="66">
        <v>43191</v>
      </c>
      <c r="S150" s="66">
        <v>43221</v>
      </c>
      <c r="T150" s="66">
        <v>43252</v>
      </c>
      <c r="U150" s="66">
        <v>43282</v>
      </c>
      <c r="V150" s="66">
        <v>43313</v>
      </c>
      <c r="W150" s="66">
        <v>43344</v>
      </c>
      <c r="X150" s="66">
        <v>43374</v>
      </c>
      <c r="Y150" s="66">
        <v>43405</v>
      </c>
      <c r="Z150" s="66">
        <v>43435</v>
      </c>
    </row>
    <row r="151" spans="1:27" ht="15" hidden="1" customHeight="1" outlineLevel="1" x14ac:dyDescent="0.25">
      <c r="A151" s="93" t="s">
        <v>265</v>
      </c>
      <c r="B151" s="93"/>
      <c r="C151" s="93"/>
      <c r="D151" s="140"/>
      <c r="E151" s="11"/>
      <c r="F151" s="11"/>
      <c r="G151" s="11"/>
      <c r="H151" s="11"/>
      <c r="I151" s="11"/>
      <c r="J151" s="11"/>
      <c r="K151" s="11"/>
      <c r="L151" s="11"/>
      <c r="M151" s="11"/>
      <c r="N151" s="11">
        <f t="shared" ref="N151:N154" si="15">SUM(O151:Z151)</f>
        <v>0</v>
      </c>
      <c r="O151" s="11"/>
      <c r="P151" s="11"/>
      <c r="Q151" s="11"/>
      <c r="R151" s="11"/>
      <c r="S151" s="11"/>
      <c r="T151" s="11"/>
      <c r="U151" s="11"/>
      <c r="V151" s="11"/>
      <c r="W151" s="11"/>
      <c r="X151" s="11"/>
      <c r="Y151" s="11"/>
      <c r="Z151" s="11"/>
    </row>
    <row r="152" spans="1:27" ht="15" hidden="1" customHeight="1" outlineLevel="1" x14ac:dyDescent="0.25">
      <c r="A152" s="93" t="s">
        <v>266</v>
      </c>
      <c r="B152" s="93"/>
      <c r="C152" s="93"/>
      <c r="D152" s="140"/>
      <c r="E152" s="11"/>
      <c r="F152" s="11"/>
      <c r="G152" s="11"/>
      <c r="H152" s="11"/>
      <c r="I152" s="11"/>
      <c r="J152" s="11"/>
      <c r="K152" s="11"/>
      <c r="L152" s="11"/>
      <c r="M152" s="11"/>
      <c r="N152" s="11">
        <f t="shared" si="15"/>
        <v>0</v>
      </c>
      <c r="O152" s="11"/>
      <c r="P152" s="11"/>
      <c r="Q152" s="11"/>
      <c r="R152" s="11"/>
      <c r="S152" s="11"/>
      <c r="T152" s="11"/>
      <c r="U152" s="11"/>
      <c r="V152" s="11"/>
      <c r="W152" s="11"/>
      <c r="X152" s="11"/>
      <c r="Y152" s="11"/>
      <c r="Z152" s="11"/>
    </row>
    <row r="153" spans="1:27" ht="15" hidden="1" customHeight="1" outlineLevel="1" x14ac:dyDescent="0.25">
      <c r="A153" s="93" t="s">
        <v>283</v>
      </c>
      <c r="B153" s="93"/>
      <c r="C153" s="93"/>
      <c r="D153" s="140"/>
      <c r="E153" s="11"/>
      <c r="F153" s="11"/>
      <c r="G153" s="11"/>
      <c r="H153" s="11"/>
      <c r="I153" s="11"/>
      <c r="J153" s="11"/>
      <c r="K153" s="11"/>
      <c r="L153" s="11"/>
      <c r="M153" s="11"/>
      <c r="N153" s="11">
        <f t="shared" si="15"/>
        <v>0</v>
      </c>
      <c r="O153" s="11"/>
      <c r="P153" s="11"/>
      <c r="Q153" s="11"/>
      <c r="R153" s="11"/>
      <c r="S153" s="11"/>
      <c r="T153" s="11"/>
      <c r="U153" s="11"/>
      <c r="V153" s="11"/>
      <c r="W153" s="11"/>
      <c r="X153" s="11"/>
      <c r="Y153" s="11"/>
      <c r="Z153" s="11"/>
    </row>
    <row r="154" spans="1:27" ht="15" hidden="1" customHeight="1" outlineLevel="1" x14ac:dyDescent="0.25">
      <c r="A154" s="93" t="s">
        <v>284</v>
      </c>
      <c r="B154" s="93"/>
      <c r="C154" s="93"/>
      <c r="D154" s="140"/>
      <c r="E154" s="11"/>
      <c r="F154" s="11"/>
      <c r="G154" s="11"/>
      <c r="H154" s="11"/>
      <c r="I154" s="11"/>
      <c r="J154" s="11"/>
      <c r="K154" s="11"/>
      <c r="L154" s="11"/>
      <c r="M154" s="11"/>
      <c r="N154" s="11">
        <f t="shared" si="15"/>
        <v>0</v>
      </c>
      <c r="O154" s="11"/>
      <c r="P154" s="11"/>
      <c r="Q154" s="11"/>
      <c r="R154" s="11"/>
      <c r="S154" s="11"/>
      <c r="T154" s="11"/>
      <c r="U154" s="11"/>
      <c r="V154" s="11"/>
      <c r="W154" s="11"/>
      <c r="X154" s="11"/>
      <c r="Y154" s="11"/>
      <c r="Z154" s="11"/>
    </row>
    <row r="155" spans="1:27" ht="21" hidden="1" customHeight="1" outlineLevel="1" x14ac:dyDescent="0.25">
      <c r="A155" s="93" t="s">
        <v>285</v>
      </c>
      <c r="B155" s="93"/>
      <c r="C155" s="93"/>
      <c r="D155" s="140"/>
      <c r="E155" s="11"/>
      <c r="F155" s="11"/>
      <c r="G155" s="45"/>
      <c r="H155" s="11"/>
      <c r="I155" s="11"/>
      <c r="J155" s="11"/>
      <c r="K155" s="68" t="s">
        <v>20</v>
      </c>
      <c r="L155" s="32">
        <f>SUM(L150:L154)</f>
        <v>0</v>
      </c>
      <c r="M155" s="32">
        <f>SUM(M150:M154)</f>
        <v>0</v>
      </c>
      <c r="N155" s="11">
        <f>SUM(N151:N154)</f>
        <v>0</v>
      </c>
      <c r="O155" s="11">
        <f t="shared" ref="O155:Z155" si="16">SUM(O151:O154)</f>
        <v>0</v>
      </c>
      <c r="P155" s="11">
        <f t="shared" si="16"/>
        <v>0</v>
      </c>
      <c r="Q155" s="11">
        <f t="shared" si="16"/>
        <v>0</v>
      </c>
      <c r="R155" s="11">
        <f t="shared" si="16"/>
        <v>0</v>
      </c>
      <c r="S155" s="11">
        <f t="shared" si="16"/>
        <v>0</v>
      </c>
      <c r="T155" s="11">
        <f t="shared" si="16"/>
        <v>0</v>
      </c>
      <c r="U155" s="11">
        <f t="shared" si="16"/>
        <v>0</v>
      </c>
      <c r="V155" s="11">
        <f t="shared" si="16"/>
        <v>0</v>
      </c>
      <c r="W155" s="11">
        <f t="shared" si="16"/>
        <v>0</v>
      </c>
      <c r="X155" s="11">
        <f t="shared" si="16"/>
        <v>0</v>
      </c>
      <c r="Y155" s="11">
        <f t="shared" si="16"/>
        <v>0</v>
      </c>
      <c r="Z155" s="11">
        <f t="shared" si="16"/>
        <v>0</v>
      </c>
      <c r="AA155" s="35"/>
    </row>
    <row r="156" spans="1:27" ht="18" hidden="1" outlineLevel="1" x14ac:dyDescent="0.25">
      <c r="A156" s="30" t="str">
        <f>CONCATENATE(B23," ",C23)</f>
        <v xml:space="preserve"> </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hidden="1"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15" hidden="1" customHeight="1" outlineLevel="1" x14ac:dyDescent="0.25">
      <c r="A158" s="93" t="s">
        <v>265</v>
      </c>
      <c r="B158" s="93"/>
      <c r="C158" s="93"/>
      <c r="D158" s="140"/>
      <c r="E158" s="11"/>
      <c r="F158" s="11"/>
      <c r="G158" s="11"/>
      <c r="H158" s="11"/>
      <c r="I158" s="11"/>
      <c r="J158" s="11"/>
      <c r="K158" s="11"/>
      <c r="L158" s="11"/>
      <c r="M158" s="11"/>
      <c r="N158" s="11">
        <f t="shared" ref="N158:N161" si="17">SUM(O158:Z158)</f>
        <v>0</v>
      </c>
      <c r="O158" s="11"/>
      <c r="P158" s="11"/>
      <c r="Q158" s="11"/>
      <c r="R158" s="11"/>
      <c r="S158" s="11"/>
      <c r="T158" s="11"/>
      <c r="U158" s="11"/>
      <c r="V158" s="11"/>
      <c r="W158" s="11"/>
      <c r="X158" s="11"/>
      <c r="Y158" s="11"/>
      <c r="Z158" s="11"/>
    </row>
    <row r="159" spans="1:27" ht="15" hidden="1" customHeight="1" outlineLevel="1" x14ac:dyDescent="0.25">
      <c r="A159" s="93" t="s">
        <v>266</v>
      </c>
      <c r="B159" s="93"/>
      <c r="C159" s="93"/>
      <c r="D159" s="140"/>
      <c r="E159" s="11"/>
      <c r="F159" s="11"/>
      <c r="G159" s="11"/>
      <c r="H159" s="11"/>
      <c r="I159" s="11"/>
      <c r="J159" s="11"/>
      <c r="K159" s="11"/>
      <c r="L159" s="11"/>
      <c r="M159" s="11"/>
      <c r="N159" s="11">
        <f t="shared" si="17"/>
        <v>0</v>
      </c>
      <c r="O159" s="11"/>
      <c r="P159" s="11"/>
      <c r="Q159" s="11"/>
      <c r="R159" s="11"/>
      <c r="S159" s="11"/>
      <c r="T159" s="11"/>
      <c r="U159" s="11"/>
      <c r="V159" s="11"/>
      <c r="W159" s="11"/>
      <c r="X159" s="11"/>
      <c r="Y159" s="11"/>
      <c r="Z159" s="11"/>
    </row>
    <row r="160" spans="1:27" ht="15" hidden="1" customHeight="1" outlineLevel="1" x14ac:dyDescent="0.25">
      <c r="A160" s="93" t="s">
        <v>283</v>
      </c>
      <c r="B160" s="93"/>
      <c r="C160" s="93"/>
      <c r="D160" s="140"/>
      <c r="E160" s="11"/>
      <c r="F160" s="11"/>
      <c r="G160" s="11"/>
      <c r="H160" s="11"/>
      <c r="I160" s="11"/>
      <c r="J160" s="11"/>
      <c r="K160" s="11"/>
      <c r="L160" s="11"/>
      <c r="M160" s="11"/>
      <c r="N160" s="11">
        <f t="shared" si="17"/>
        <v>0</v>
      </c>
      <c r="O160" s="11"/>
      <c r="P160" s="11"/>
      <c r="Q160" s="11"/>
      <c r="R160" s="11"/>
      <c r="S160" s="11"/>
      <c r="T160" s="11"/>
      <c r="U160" s="11"/>
      <c r="V160" s="11"/>
      <c r="W160" s="11"/>
      <c r="X160" s="11"/>
      <c r="Y160" s="11"/>
      <c r="Z160" s="11"/>
    </row>
    <row r="161" spans="1:27" ht="15" hidden="1" customHeight="1" outlineLevel="1" x14ac:dyDescent="0.25">
      <c r="A161" s="93" t="s">
        <v>284</v>
      </c>
      <c r="B161" s="93"/>
      <c r="C161" s="93"/>
      <c r="D161" s="140"/>
      <c r="E161" s="11"/>
      <c r="F161" s="11"/>
      <c r="G161" s="11"/>
      <c r="H161" s="11"/>
      <c r="I161" s="11"/>
      <c r="J161" s="11"/>
      <c r="K161" s="11"/>
      <c r="L161" s="11"/>
      <c r="M161" s="11"/>
      <c r="N161" s="11">
        <f t="shared" si="17"/>
        <v>0</v>
      </c>
      <c r="O161" s="11"/>
      <c r="P161" s="11"/>
      <c r="Q161" s="11"/>
      <c r="R161" s="11"/>
      <c r="S161" s="11"/>
      <c r="T161" s="11"/>
      <c r="U161" s="11"/>
      <c r="V161" s="11"/>
      <c r="W161" s="11"/>
      <c r="X161" s="11"/>
      <c r="Y161" s="11"/>
      <c r="Z161" s="11"/>
    </row>
    <row r="162" spans="1:27" ht="21" hidden="1" customHeight="1" outlineLevel="1" x14ac:dyDescent="0.25">
      <c r="A162" s="93" t="s">
        <v>285</v>
      </c>
      <c r="B162" s="93"/>
      <c r="C162" s="93"/>
      <c r="D162" s="140"/>
      <c r="E162" s="11"/>
      <c r="F162" s="11"/>
      <c r="G162" s="45"/>
      <c r="H162" s="11"/>
      <c r="I162" s="11"/>
      <c r="J162" s="11"/>
      <c r="K162" s="68" t="s">
        <v>20</v>
      </c>
      <c r="L162" s="32">
        <f>SUM(L157:L161)</f>
        <v>0</v>
      </c>
      <c r="M162" s="32">
        <f>SUM(M157:M161)</f>
        <v>0</v>
      </c>
      <c r="N162" s="11">
        <f>SUM(N158:N161)</f>
        <v>0</v>
      </c>
      <c r="O162" s="11">
        <f t="shared" ref="O162:Z162" si="18">SUM(O158:O161)</f>
        <v>0</v>
      </c>
      <c r="P162" s="11">
        <f t="shared" si="18"/>
        <v>0</v>
      </c>
      <c r="Q162" s="11">
        <f t="shared" si="18"/>
        <v>0</v>
      </c>
      <c r="R162" s="11">
        <f t="shared" si="18"/>
        <v>0</v>
      </c>
      <c r="S162" s="11">
        <f t="shared" si="18"/>
        <v>0</v>
      </c>
      <c r="T162" s="11">
        <f t="shared" si="18"/>
        <v>0</v>
      </c>
      <c r="U162" s="11">
        <f t="shared" si="18"/>
        <v>0</v>
      </c>
      <c r="V162" s="11">
        <f t="shared" si="18"/>
        <v>0</v>
      </c>
      <c r="W162" s="11">
        <f t="shared" si="18"/>
        <v>0</v>
      </c>
      <c r="X162" s="11">
        <f t="shared" si="18"/>
        <v>0</v>
      </c>
      <c r="Y162" s="11">
        <f t="shared" si="18"/>
        <v>0</v>
      </c>
      <c r="Z162" s="11">
        <f t="shared" si="18"/>
        <v>0</v>
      </c>
      <c r="AA162" s="35"/>
    </row>
    <row r="163" spans="1:27" ht="18" hidden="1" outlineLevel="1" x14ac:dyDescent="0.25">
      <c r="A163" s="30" t="str">
        <f>CONCATENATE(B24," ",C24)</f>
        <v xml:space="preserve"> </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hidden="1"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hidden="1" customHeight="1" outlineLevel="1" x14ac:dyDescent="0.25">
      <c r="A165" s="93" t="s">
        <v>265</v>
      </c>
      <c r="B165" s="93"/>
      <c r="C165" s="93"/>
      <c r="D165" s="140"/>
      <c r="E165" s="11"/>
      <c r="F165" s="11"/>
      <c r="G165" s="11"/>
      <c r="H165" s="11"/>
      <c r="I165" s="11"/>
      <c r="J165" s="11"/>
      <c r="K165" s="11"/>
      <c r="L165" s="11"/>
      <c r="M165" s="11"/>
      <c r="N165" s="11">
        <f t="shared" ref="N165:N168" si="19">SUM(O165:Z165)</f>
        <v>0</v>
      </c>
      <c r="O165" s="11"/>
      <c r="P165" s="11"/>
      <c r="Q165" s="11"/>
      <c r="R165" s="11"/>
      <c r="S165" s="11"/>
      <c r="T165" s="11"/>
      <c r="U165" s="11"/>
      <c r="V165" s="11"/>
      <c r="W165" s="11"/>
      <c r="X165" s="11"/>
      <c r="Y165" s="11"/>
      <c r="Z165" s="11"/>
    </row>
    <row r="166" spans="1:27" ht="15" hidden="1" customHeight="1" outlineLevel="1" x14ac:dyDescent="0.25">
      <c r="A166" s="93" t="s">
        <v>266</v>
      </c>
      <c r="B166" s="93"/>
      <c r="C166" s="93"/>
      <c r="D166" s="140"/>
      <c r="E166" s="11"/>
      <c r="F166" s="11"/>
      <c r="G166" s="11"/>
      <c r="H166" s="11"/>
      <c r="I166" s="11"/>
      <c r="J166" s="11"/>
      <c r="K166" s="11"/>
      <c r="L166" s="11"/>
      <c r="M166" s="11"/>
      <c r="N166" s="11">
        <f t="shared" si="19"/>
        <v>0</v>
      </c>
      <c r="O166" s="11"/>
      <c r="P166" s="11"/>
      <c r="Q166" s="11"/>
      <c r="R166" s="11"/>
      <c r="S166" s="11"/>
      <c r="T166" s="11"/>
      <c r="U166" s="11"/>
      <c r="V166" s="11"/>
      <c r="W166" s="11"/>
      <c r="X166" s="11"/>
      <c r="Y166" s="11"/>
      <c r="Z166" s="11"/>
    </row>
    <row r="167" spans="1:27" ht="15" hidden="1" customHeight="1" outlineLevel="1" x14ac:dyDescent="0.25">
      <c r="A167" s="93" t="s">
        <v>283</v>
      </c>
      <c r="B167" s="93"/>
      <c r="C167" s="93"/>
      <c r="D167" s="140"/>
      <c r="E167" s="11"/>
      <c r="F167" s="11"/>
      <c r="G167" s="11"/>
      <c r="H167" s="11"/>
      <c r="I167" s="11"/>
      <c r="J167" s="11"/>
      <c r="K167" s="11"/>
      <c r="L167" s="11"/>
      <c r="M167" s="11"/>
      <c r="N167" s="11">
        <f t="shared" si="19"/>
        <v>0</v>
      </c>
      <c r="O167" s="11"/>
      <c r="P167" s="11"/>
      <c r="Q167" s="11"/>
      <c r="R167" s="11"/>
      <c r="S167" s="11"/>
      <c r="T167" s="11"/>
      <c r="U167" s="11"/>
      <c r="V167" s="11"/>
      <c r="W167" s="11"/>
      <c r="X167" s="11"/>
      <c r="Y167" s="11"/>
      <c r="Z167" s="11"/>
    </row>
    <row r="168" spans="1:27" ht="15" hidden="1" customHeight="1" outlineLevel="1" x14ac:dyDescent="0.25">
      <c r="A168" s="93" t="s">
        <v>284</v>
      </c>
      <c r="B168" s="93"/>
      <c r="C168" s="93"/>
      <c r="D168" s="140"/>
      <c r="E168" s="11"/>
      <c r="F168" s="11"/>
      <c r="G168" s="11"/>
      <c r="H168" s="11"/>
      <c r="I168" s="11"/>
      <c r="J168" s="11"/>
      <c r="K168" s="11"/>
      <c r="L168" s="11"/>
      <c r="M168" s="11"/>
      <c r="N168" s="11">
        <f t="shared" si="19"/>
        <v>0</v>
      </c>
      <c r="O168" s="11"/>
      <c r="P168" s="11"/>
      <c r="Q168" s="11"/>
      <c r="R168" s="11"/>
      <c r="S168" s="11"/>
      <c r="T168" s="11"/>
      <c r="U168" s="11"/>
      <c r="V168" s="11"/>
      <c r="W168" s="11"/>
      <c r="X168" s="11"/>
      <c r="Y168" s="11"/>
      <c r="Z168" s="11"/>
    </row>
    <row r="169" spans="1:27" ht="21" hidden="1" customHeight="1" outlineLevel="1" x14ac:dyDescent="0.25">
      <c r="A169" s="93" t="s">
        <v>285</v>
      </c>
      <c r="B169" s="93"/>
      <c r="C169" s="93"/>
      <c r="D169" s="140"/>
      <c r="E169" s="11"/>
      <c r="F169" s="11"/>
      <c r="G169" s="45"/>
      <c r="H169" s="11"/>
      <c r="I169" s="11"/>
      <c r="J169" s="11"/>
      <c r="K169" s="68" t="s">
        <v>20</v>
      </c>
      <c r="L169" s="32">
        <f>SUM(L164:L168)</f>
        <v>0</v>
      </c>
      <c r="M169" s="32">
        <f>SUM(M164:M168)</f>
        <v>0</v>
      </c>
      <c r="N169" s="11">
        <f>SUM(N165:N168)</f>
        <v>0</v>
      </c>
      <c r="O169" s="11">
        <f t="shared" ref="O169:Z169" si="20">SUM(O165:O168)</f>
        <v>0</v>
      </c>
      <c r="P169" s="11">
        <f t="shared" si="20"/>
        <v>0</v>
      </c>
      <c r="Q169" s="11">
        <f t="shared" si="20"/>
        <v>0</v>
      </c>
      <c r="R169" s="11">
        <f t="shared" si="20"/>
        <v>0</v>
      </c>
      <c r="S169" s="11">
        <f t="shared" si="20"/>
        <v>0</v>
      </c>
      <c r="T169" s="11">
        <f t="shared" si="20"/>
        <v>0</v>
      </c>
      <c r="U169" s="11">
        <f t="shared" si="20"/>
        <v>0</v>
      </c>
      <c r="V169" s="11">
        <f t="shared" si="20"/>
        <v>0</v>
      </c>
      <c r="W169" s="11">
        <f t="shared" si="20"/>
        <v>0</v>
      </c>
      <c r="X169" s="11">
        <f t="shared" si="20"/>
        <v>0</v>
      </c>
      <c r="Y169" s="11">
        <f t="shared" si="20"/>
        <v>0</v>
      </c>
      <c r="Z169" s="11">
        <f t="shared" si="20"/>
        <v>0</v>
      </c>
      <c r="AA169" s="35"/>
    </row>
    <row r="170" spans="1:27" ht="18" hidden="1" outlineLevel="1" x14ac:dyDescent="0.25">
      <c r="A170" s="30" t="str">
        <f>CONCATENATE(B25," ",C25)</f>
        <v xml:space="preserve"> </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hidden="1"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hidden="1" customHeight="1" outlineLevel="1" x14ac:dyDescent="0.25">
      <c r="A172" s="93" t="s">
        <v>265</v>
      </c>
      <c r="B172" s="93"/>
      <c r="C172" s="93"/>
      <c r="D172" s="140"/>
      <c r="E172" s="11"/>
      <c r="F172" s="11"/>
      <c r="G172" s="11"/>
      <c r="H172" s="11"/>
      <c r="I172" s="11"/>
      <c r="J172" s="11"/>
      <c r="K172" s="11"/>
      <c r="L172" s="11"/>
      <c r="M172" s="11"/>
      <c r="N172" s="11">
        <f t="shared" ref="N172:N175" si="21">SUM(O172:Z172)</f>
        <v>0</v>
      </c>
      <c r="O172" s="11"/>
      <c r="P172" s="11"/>
      <c r="Q172" s="11"/>
      <c r="R172" s="11"/>
      <c r="S172" s="11"/>
      <c r="T172" s="11"/>
      <c r="U172" s="11"/>
      <c r="V172" s="11"/>
      <c r="W172" s="11"/>
      <c r="X172" s="11"/>
      <c r="Y172" s="11"/>
      <c r="Z172" s="11"/>
    </row>
    <row r="173" spans="1:27" ht="15" hidden="1" customHeight="1" outlineLevel="1" x14ac:dyDescent="0.25">
      <c r="A173" s="93" t="s">
        <v>266</v>
      </c>
      <c r="B173" s="93"/>
      <c r="C173" s="93"/>
      <c r="D173" s="140"/>
      <c r="E173" s="11"/>
      <c r="F173" s="11"/>
      <c r="G173" s="11"/>
      <c r="H173" s="11"/>
      <c r="I173" s="11"/>
      <c r="J173" s="11"/>
      <c r="K173" s="11"/>
      <c r="L173" s="11"/>
      <c r="M173" s="11"/>
      <c r="N173" s="11">
        <f t="shared" si="21"/>
        <v>0</v>
      </c>
      <c r="O173" s="11"/>
      <c r="P173" s="11"/>
      <c r="Q173" s="11"/>
      <c r="R173" s="11"/>
      <c r="S173" s="11"/>
      <c r="T173" s="11"/>
      <c r="U173" s="11"/>
      <c r="V173" s="11"/>
      <c r="W173" s="11"/>
      <c r="X173" s="11"/>
      <c r="Y173" s="11"/>
      <c r="Z173" s="11"/>
    </row>
    <row r="174" spans="1:27" ht="15" hidden="1" customHeight="1" outlineLevel="1" x14ac:dyDescent="0.25">
      <c r="A174" s="93" t="s">
        <v>283</v>
      </c>
      <c r="B174" s="93"/>
      <c r="C174" s="93"/>
      <c r="D174" s="140"/>
      <c r="E174" s="11"/>
      <c r="F174" s="11"/>
      <c r="G174" s="11"/>
      <c r="H174" s="11"/>
      <c r="I174" s="11"/>
      <c r="J174" s="11"/>
      <c r="K174" s="11"/>
      <c r="L174" s="11"/>
      <c r="M174" s="11"/>
      <c r="N174" s="11">
        <f t="shared" si="21"/>
        <v>0</v>
      </c>
      <c r="O174" s="11"/>
      <c r="P174" s="11"/>
      <c r="Q174" s="11"/>
      <c r="R174" s="11"/>
      <c r="S174" s="11"/>
      <c r="T174" s="11"/>
      <c r="U174" s="11"/>
      <c r="V174" s="11"/>
      <c r="W174" s="11"/>
      <c r="X174" s="11"/>
      <c r="Y174" s="11"/>
      <c r="Z174" s="11"/>
    </row>
    <row r="175" spans="1:27" ht="15" hidden="1" customHeight="1" outlineLevel="1" x14ac:dyDescent="0.25">
      <c r="A175" s="93" t="s">
        <v>284</v>
      </c>
      <c r="B175" s="93"/>
      <c r="C175" s="93"/>
      <c r="D175" s="140"/>
      <c r="E175" s="11"/>
      <c r="F175" s="11"/>
      <c r="G175" s="11"/>
      <c r="H175" s="11"/>
      <c r="I175" s="11"/>
      <c r="J175" s="11"/>
      <c r="K175" s="11"/>
      <c r="L175" s="11"/>
      <c r="M175" s="11"/>
      <c r="N175" s="11">
        <f t="shared" si="21"/>
        <v>0</v>
      </c>
      <c r="O175" s="11"/>
      <c r="P175" s="11"/>
      <c r="Q175" s="11"/>
      <c r="R175" s="11"/>
      <c r="S175" s="11"/>
      <c r="T175" s="11"/>
      <c r="U175" s="11"/>
      <c r="V175" s="11"/>
      <c r="W175" s="11"/>
      <c r="X175" s="11"/>
      <c r="Y175" s="11"/>
      <c r="Z175" s="11"/>
    </row>
    <row r="176" spans="1:27" ht="21" hidden="1" customHeight="1" outlineLevel="1" x14ac:dyDescent="0.25">
      <c r="A176" s="93" t="s">
        <v>285</v>
      </c>
      <c r="B176" s="93"/>
      <c r="C176" s="93"/>
      <c r="D176" s="140"/>
      <c r="E176" s="11"/>
      <c r="F176" s="11"/>
      <c r="G176" s="45"/>
      <c r="H176" s="11"/>
      <c r="I176" s="11"/>
      <c r="J176" s="11"/>
      <c r="K176" s="68" t="s">
        <v>20</v>
      </c>
      <c r="L176" s="32">
        <f>SUM(L171:L175)</f>
        <v>0</v>
      </c>
      <c r="M176" s="32">
        <f>SUM(M171:M175)</f>
        <v>0</v>
      </c>
      <c r="N176" s="11">
        <f>SUM(N172:N175)</f>
        <v>0</v>
      </c>
      <c r="O176" s="11">
        <f t="shared" ref="O176:Z176" si="22">SUM(O172:O175)</f>
        <v>0</v>
      </c>
      <c r="P176" s="11">
        <f t="shared" si="22"/>
        <v>0</v>
      </c>
      <c r="Q176" s="11">
        <f t="shared" si="22"/>
        <v>0</v>
      </c>
      <c r="R176" s="11">
        <f t="shared" si="22"/>
        <v>0</v>
      </c>
      <c r="S176" s="11">
        <f t="shared" si="22"/>
        <v>0</v>
      </c>
      <c r="T176" s="11">
        <f t="shared" si="22"/>
        <v>0</v>
      </c>
      <c r="U176" s="11">
        <f t="shared" si="22"/>
        <v>0</v>
      </c>
      <c r="V176" s="11">
        <f t="shared" si="22"/>
        <v>0</v>
      </c>
      <c r="W176" s="11">
        <f t="shared" si="22"/>
        <v>0</v>
      </c>
      <c r="X176" s="11">
        <f t="shared" si="22"/>
        <v>0</v>
      </c>
      <c r="Y176" s="11">
        <f t="shared" si="22"/>
        <v>0</v>
      </c>
      <c r="Z176" s="11">
        <f t="shared" si="22"/>
        <v>0</v>
      </c>
      <c r="AA176" s="35"/>
    </row>
    <row r="177" spans="1:26" ht="18" hidden="1" outlineLevel="1" x14ac:dyDescent="0.25">
      <c r="A177" s="30" t="str">
        <f>CONCATENATE(B26," ",C26)</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6" ht="6.75" hidden="1" customHeight="1" collapsed="1" x14ac:dyDescent="0.25"/>
    <row r="179" spans="1:26" ht="18" x14ac:dyDescent="0.25">
      <c r="A179" s="41" t="s">
        <v>324</v>
      </c>
      <c r="B179" s="41"/>
      <c r="C179" s="42"/>
      <c r="D179" s="42"/>
      <c r="E179" s="43"/>
      <c r="F179" s="43"/>
      <c r="G179" s="43"/>
      <c r="H179" s="44"/>
      <c r="I179" s="44"/>
      <c r="J179" s="43"/>
      <c r="K179" s="43"/>
      <c r="L179" s="43"/>
      <c r="M179" s="43"/>
      <c r="N179" s="43"/>
      <c r="O179" s="43" t="s">
        <v>5</v>
      </c>
      <c r="P179" s="43"/>
      <c r="Q179" s="43"/>
      <c r="R179" s="43"/>
      <c r="S179" s="43"/>
      <c r="T179" s="43"/>
      <c r="U179" s="43"/>
      <c r="V179" s="43"/>
      <c r="W179" s="43"/>
      <c r="X179" s="43"/>
      <c r="Y179" s="43"/>
      <c r="Z179" s="43"/>
    </row>
    <row r="180" spans="1:26" ht="15.75" outlineLevel="1" x14ac:dyDescent="0.25">
      <c r="A180" s="92" t="s">
        <v>261</v>
      </c>
      <c r="B180" s="92" t="s">
        <v>13</v>
      </c>
      <c r="C180" s="92" t="s">
        <v>14</v>
      </c>
      <c r="D180" s="8" t="s">
        <v>15</v>
      </c>
      <c r="E180" s="49"/>
      <c r="F180" s="49"/>
      <c r="G180" s="49"/>
      <c r="H180" s="49"/>
      <c r="I180" s="49"/>
      <c r="J180" s="48"/>
      <c r="K180" s="12"/>
      <c r="L180" s="32" t="s">
        <v>52</v>
      </c>
      <c r="M180" s="32" t="s">
        <v>53</v>
      </c>
      <c r="N180" s="32" t="s">
        <v>54</v>
      </c>
      <c r="O180" s="66">
        <v>43101</v>
      </c>
      <c r="P180" s="66">
        <v>43132</v>
      </c>
      <c r="Q180" s="66">
        <v>43160</v>
      </c>
      <c r="R180" s="66">
        <v>43191</v>
      </c>
      <c r="S180" s="66">
        <v>43221</v>
      </c>
      <c r="T180" s="66">
        <v>43252</v>
      </c>
      <c r="U180" s="66">
        <v>43282</v>
      </c>
      <c r="V180" s="66">
        <v>43313</v>
      </c>
      <c r="W180" s="66">
        <v>43344</v>
      </c>
      <c r="X180" s="66">
        <v>43374</v>
      </c>
      <c r="Y180" s="66">
        <v>43405</v>
      </c>
      <c r="Z180" s="66">
        <v>43435</v>
      </c>
    </row>
    <row r="181" spans="1:26" ht="15" outlineLevel="1" x14ac:dyDescent="0.25">
      <c r="A181" s="93"/>
      <c r="B181" s="93" t="s">
        <v>27</v>
      </c>
      <c r="C181" s="93" t="str">
        <f t="shared" ref="C181:D190" si="23">C17</f>
        <v>Lunch meetings</v>
      </c>
      <c r="D181" s="7">
        <f t="shared" si="23"/>
        <v>0</v>
      </c>
      <c r="E181" s="49"/>
      <c r="F181" s="49"/>
      <c r="G181" s="49"/>
      <c r="H181" s="49"/>
      <c r="I181" s="49"/>
      <c r="J181" s="48"/>
      <c r="K181" s="12" t="s">
        <v>5</v>
      </c>
      <c r="L181" s="11" t="s">
        <v>48</v>
      </c>
      <c r="M181" s="11" t="s">
        <v>55</v>
      </c>
      <c r="N181" s="11">
        <v>6</v>
      </c>
      <c r="O181" s="54">
        <f t="shared" ref="O181:Z181" si="24">+O17/SUM($O17:$Z17)</f>
        <v>8.3333333333333329E-2</v>
      </c>
      <c r="P181" s="54">
        <f t="shared" si="24"/>
        <v>8.3333333333333329E-2</v>
      </c>
      <c r="Q181" s="54">
        <f t="shared" si="24"/>
        <v>8.3333333333333329E-2</v>
      </c>
      <c r="R181" s="54">
        <f t="shared" si="24"/>
        <v>8.3333333333333329E-2</v>
      </c>
      <c r="S181" s="54">
        <f t="shared" si="24"/>
        <v>8.3333333333333329E-2</v>
      </c>
      <c r="T181" s="54">
        <f t="shared" si="24"/>
        <v>8.3333333333333329E-2</v>
      </c>
      <c r="U181" s="54">
        <f t="shared" si="24"/>
        <v>8.3333333333333329E-2</v>
      </c>
      <c r="V181" s="54">
        <f t="shared" si="24"/>
        <v>8.3333333333333329E-2</v>
      </c>
      <c r="W181" s="54">
        <f t="shared" si="24"/>
        <v>8.3333333333333329E-2</v>
      </c>
      <c r="X181" s="54">
        <f t="shared" si="24"/>
        <v>8.3333333333333329E-2</v>
      </c>
      <c r="Y181" s="54">
        <f t="shared" si="24"/>
        <v>8.3333333333333329E-2</v>
      </c>
      <c r="Z181" s="54">
        <f t="shared" si="24"/>
        <v>8.3333333333333329E-2</v>
      </c>
    </row>
    <row r="182" spans="1:26" ht="15" hidden="1" outlineLevel="1" x14ac:dyDescent="0.25">
      <c r="A182" s="93">
        <f>+A18</f>
        <v>0</v>
      </c>
      <c r="B182" s="93" t="s">
        <v>29</v>
      </c>
      <c r="C182" s="93">
        <f t="shared" si="23"/>
        <v>0</v>
      </c>
      <c r="D182" s="7">
        <f t="shared" si="23"/>
        <v>0</v>
      </c>
      <c r="E182" s="49"/>
      <c r="F182" s="49"/>
      <c r="G182" s="49"/>
      <c r="H182" s="49"/>
      <c r="I182" s="49"/>
      <c r="J182" s="48"/>
      <c r="K182" s="12" t="s">
        <v>5</v>
      </c>
      <c r="L182" s="11" t="s">
        <v>48</v>
      </c>
      <c r="M182" s="11" t="s">
        <v>55</v>
      </c>
      <c r="N182" s="11">
        <v>6</v>
      </c>
      <c r="O182" s="54" t="e">
        <f t="shared" ref="O182:Z182" si="25">+O18/SUM($O18:$Z18)</f>
        <v>#DIV/0!</v>
      </c>
      <c r="P182" s="54" t="e">
        <f t="shared" si="25"/>
        <v>#DIV/0!</v>
      </c>
      <c r="Q182" s="54" t="e">
        <f t="shared" si="25"/>
        <v>#DIV/0!</v>
      </c>
      <c r="R182" s="54" t="e">
        <f t="shared" si="25"/>
        <v>#DIV/0!</v>
      </c>
      <c r="S182" s="54" t="e">
        <f t="shared" si="25"/>
        <v>#DIV/0!</v>
      </c>
      <c r="T182" s="54" t="e">
        <f t="shared" si="25"/>
        <v>#DIV/0!</v>
      </c>
      <c r="U182" s="54" t="e">
        <f t="shared" si="25"/>
        <v>#DIV/0!</v>
      </c>
      <c r="V182" s="54" t="e">
        <f t="shared" si="25"/>
        <v>#DIV/0!</v>
      </c>
      <c r="W182" s="54" t="e">
        <f t="shared" si="25"/>
        <v>#DIV/0!</v>
      </c>
      <c r="X182" s="54" t="e">
        <f t="shared" si="25"/>
        <v>#DIV/0!</v>
      </c>
      <c r="Y182" s="54" t="e">
        <f t="shared" si="25"/>
        <v>#DIV/0!</v>
      </c>
      <c r="Z182" s="54" t="e">
        <f t="shared" si="25"/>
        <v>#DIV/0!</v>
      </c>
    </row>
    <row r="183" spans="1:26" ht="15" hidden="1" outlineLevel="1" x14ac:dyDescent="0.25">
      <c r="A183" s="93">
        <f>+A19</f>
        <v>0</v>
      </c>
      <c r="B183" s="93" t="s">
        <v>30</v>
      </c>
      <c r="C183" s="93">
        <f t="shared" si="23"/>
        <v>0</v>
      </c>
      <c r="D183" s="7">
        <f t="shared" si="23"/>
        <v>0</v>
      </c>
      <c r="E183" s="49"/>
      <c r="F183" s="49"/>
      <c r="G183" s="49"/>
      <c r="H183" s="49"/>
      <c r="I183" s="49"/>
      <c r="J183" s="48"/>
      <c r="K183" s="12" t="s">
        <v>5</v>
      </c>
      <c r="L183" s="11"/>
      <c r="M183" s="11"/>
      <c r="N183" s="11"/>
      <c r="O183" s="54" t="e">
        <f t="shared" ref="O183:Z191" si="26">+O19/SUM($O19:$Z19)</f>
        <v>#DIV/0!</v>
      </c>
      <c r="P183" s="54" t="e">
        <f t="shared" si="26"/>
        <v>#DIV/0!</v>
      </c>
      <c r="Q183" s="54" t="e">
        <f t="shared" si="26"/>
        <v>#DIV/0!</v>
      </c>
      <c r="R183" s="54" t="e">
        <f t="shared" si="26"/>
        <v>#DIV/0!</v>
      </c>
      <c r="S183" s="54" t="e">
        <f t="shared" si="26"/>
        <v>#DIV/0!</v>
      </c>
      <c r="T183" s="54" t="e">
        <f t="shared" si="26"/>
        <v>#DIV/0!</v>
      </c>
      <c r="U183" s="54" t="e">
        <f t="shared" si="26"/>
        <v>#DIV/0!</v>
      </c>
      <c r="V183" s="54" t="e">
        <f t="shared" si="26"/>
        <v>#DIV/0!</v>
      </c>
      <c r="W183" s="54" t="e">
        <f t="shared" si="26"/>
        <v>#DIV/0!</v>
      </c>
      <c r="X183" s="54" t="e">
        <f t="shared" si="26"/>
        <v>#DIV/0!</v>
      </c>
      <c r="Y183" s="54" t="e">
        <f t="shared" si="26"/>
        <v>#DIV/0!</v>
      </c>
      <c r="Z183" s="54" t="e">
        <f t="shared" si="26"/>
        <v>#DIV/0!</v>
      </c>
    </row>
    <row r="184" spans="1:26" ht="15" hidden="1" outlineLevel="1" x14ac:dyDescent="0.25">
      <c r="A184" s="93">
        <f>+A20</f>
        <v>0</v>
      </c>
      <c r="B184" s="93" t="s">
        <v>31</v>
      </c>
      <c r="C184" s="93">
        <f t="shared" si="23"/>
        <v>0</v>
      </c>
      <c r="D184" s="140">
        <f t="shared" si="23"/>
        <v>0</v>
      </c>
      <c r="E184" s="49"/>
      <c r="F184" s="49"/>
      <c r="G184" s="49"/>
      <c r="H184" s="49"/>
      <c r="I184" s="49"/>
      <c r="J184" s="48"/>
      <c r="K184" s="12" t="s">
        <v>5</v>
      </c>
      <c r="L184" s="11"/>
      <c r="M184" s="11"/>
      <c r="N184" s="11"/>
      <c r="O184" s="54" t="e">
        <f t="shared" si="26"/>
        <v>#VALUE!</v>
      </c>
      <c r="P184" s="54" t="e">
        <f t="shared" si="26"/>
        <v>#DIV/0!</v>
      </c>
      <c r="Q184" s="54" t="e">
        <f t="shared" si="26"/>
        <v>#DIV/0!</v>
      </c>
      <c r="R184" s="54" t="e">
        <f t="shared" si="26"/>
        <v>#DIV/0!</v>
      </c>
      <c r="S184" s="54" t="e">
        <f t="shared" si="26"/>
        <v>#DIV/0!</v>
      </c>
      <c r="T184" s="54" t="e">
        <f t="shared" si="26"/>
        <v>#DIV/0!</v>
      </c>
      <c r="U184" s="54" t="e">
        <f t="shared" si="26"/>
        <v>#DIV/0!</v>
      </c>
      <c r="V184" s="54" t="e">
        <f t="shared" si="26"/>
        <v>#DIV/0!</v>
      </c>
      <c r="W184" s="54" t="e">
        <f t="shared" si="26"/>
        <v>#DIV/0!</v>
      </c>
      <c r="X184" s="54" t="e">
        <f t="shared" si="26"/>
        <v>#DIV/0!</v>
      </c>
      <c r="Y184" s="54" t="e">
        <f t="shared" si="26"/>
        <v>#DIV/0!</v>
      </c>
      <c r="Z184" s="54" t="e">
        <f t="shared" si="26"/>
        <v>#DIV/0!</v>
      </c>
    </row>
    <row r="185" spans="1:26" ht="15" hidden="1" outlineLevel="1" x14ac:dyDescent="0.25">
      <c r="A185" s="93">
        <f t="shared" ref="A185:A190" si="27">+A21</f>
        <v>0</v>
      </c>
      <c r="B185" s="93" t="s">
        <v>32</v>
      </c>
      <c r="C185" s="93">
        <f t="shared" si="23"/>
        <v>0</v>
      </c>
      <c r="D185" s="140">
        <f t="shared" si="23"/>
        <v>0</v>
      </c>
      <c r="E185" s="49"/>
      <c r="F185" s="49"/>
      <c r="G185" s="49"/>
      <c r="H185" s="49"/>
      <c r="I185" s="49"/>
      <c r="J185" s="48"/>
      <c r="K185" s="12"/>
      <c r="L185" s="11"/>
      <c r="M185" s="11"/>
      <c r="N185" s="11"/>
      <c r="O185" s="54" t="e">
        <f t="shared" si="26"/>
        <v>#DIV/0!</v>
      </c>
      <c r="P185" s="54" t="e">
        <f t="shared" si="26"/>
        <v>#DIV/0!</v>
      </c>
      <c r="Q185" s="54" t="e">
        <f t="shared" si="26"/>
        <v>#DIV/0!</v>
      </c>
      <c r="R185" s="54" t="e">
        <f t="shared" si="26"/>
        <v>#DIV/0!</v>
      </c>
      <c r="S185" s="54" t="e">
        <f t="shared" si="26"/>
        <v>#DIV/0!</v>
      </c>
      <c r="T185" s="54" t="e">
        <f t="shared" si="26"/>
        <v>#DIV/0!</v>
      </c>
      <c r="U185" s="54" t="e">
        <f t="shared" si="26"/>
        <v>#DIV/0!</v>
      </c>
      <c r="V185" s="54" t="e">
        <f t="shared" si="26"/>
        <v>#DIV/0!</v>
      </c>
      <c r="W185" s="54" t="e">
        <f t="shared" si="26"/>
        <v>#DIV/0!</v>
      </c>
      <c r="X185" s="54" t="e">
        <f t="shared" si="26"/>
        <v>#DIV/0!</v>
      </c>
      <c r="Y185" s="54" t="e">
        <f t="shared" si="26"/>
        <v>#DIV/0!</v>
      </c>
      <c r="Z185" s="54" t="e">
        <f t="shared" si="26"/>
        <v>#DIV/0!</v>
      </c>
    </row>
    <row r="186" spans="1:26" ht="15" hidden="1" outlineLevel="1" x14ac:dyDescent="0.25">
      <c r="A186" s="93">
        <f t="shared" si="27"/>
        <v>0</v>
      </c>
      <c r="B186" s="93" t="s">
        <v>256</v>
      </c>
      <c r="C186" s="93">
        <f t="shared" si="23"/>
        <v>0</v>
      </c>
      <c r="D186" s="140">
        <f t="shared" si="23"/>
        <v>0</v>
      </c>
      <c r="E186" s="49"/>
      <c r="F186" s="49"/>
      <c r="G186" s="49"/>
      <c r="H186" s="49"/>
      <c r="I186" s="49"/>
      <c r="J186" s="48"/>
      <c r="K186" s="12"/>
      <c r="L186" s="11"/>
      <c r="M186" s="11"/>
      <c r="N186" s="11"/>
      <c r="O186" s="54" t="e">
        <f t="shared" si="26"/>
        <v>#DIV/0!</v>
      </c>
      <c r="P186" s="54" t="e">
        <f t="shared" si="26"/>
        <v>#DIV/0!</v>
      </c>
      <c r="Q186" s="54" t="e">
        <f t="shared" si="26"/>
        <v>#DIV/0!</v>
      </c>
      <c r="R186" s="54" t="e">
        <f t="shared" si="26"/>
        <v>#DIV/0!</v>
      </c>
      <c r="S186" s="54" t="e">
        <f t="shared" si="26"/>
        <v>#DIV/0!</v>
      </c>
      <c r="T186" s="54" t="e">
        <f t="shared" si="26"/>
        <v>#DIV/0!</v>
      </c>
      <c r="U186" s="54" t="e">
        <f t="shared" si="26"/>
        <v>#DIV/0!</v>
      </c>
      <c r="V186" s="54" t="e">
        <f t="shared" si="26"/>
        <v>#DIV/0!</v>
      </c>
      <c r="W186" s="54" t="e">
        <f t="shared" si="26"/>
        <v>#DIV/0!</v>
      </c>
      <c r="X186" s="54" t="e">
        <f t="shared" si="26"/>
        <v>#DIV/0!</v>
      </c>
      <c r="Y186" s="54" t="e">
        <f t="shared" si="26"/>
        <v>#DIV/0!</v>
      </c>
      <c r="Z186" s="54" t="e">
        <f t="shared" si="26"/>
        <v>#DIV/0!</v>
      </c>
    </row>
    <row r="187" spans="1:26" ht="15" hidden="1" outlineLevel="1" x14ac:dyDescent="0.25">
      <c r="A187" s="93">
        <f t="shared" si="27"/>
        <v>0</v>
      </c>
      <c r="B187" s="93" t="s">
        <v>257</v>
      </c>
      <c r="C187" s="93">
        <f t="shared" si="23"/>
        <v>0</v>
      </c>
      <c r="D187" s="140">
        <f t="shared" si="23"/>
        <v>0</v>
      </c>
      <c r="E187" s="49"/>
      <c r="F187" s="49"/>
      <c r="G187" s="49"/>
      <c r="H187" s="49"/>
      <c r="I187" s="49"/>
      <c r="J187" s="48"/>
      <c r="K187" s="12"/>
      <c r="L187" s="11"/>
      <c r="M187" s="11"/>
      <c r="N187" s="11"/>
      <c r="O187" s="54" t="e">
        <f t="shared" si="26"/>
        <v>#DIV/0!</v>
      </c>
      <c r="P187" s="54" t="e">
        <f t="shared" si="26"/>
        <v>#DIV/0!</v>
      </c>
      <c r="Q187" s="54" t="e">
        <f t="shared" si="26"/>
        <v>#DIV/0!</v>
      </c>
      <c r="R187" s="54" t="e">
        <f t="shared" si="26"/>
        <v>#DIV/0!</v>
      </c>
      <c r="S187" s="54" t="e">
        <f t="shared" si="26"/>
        <v>#DIV/0!</v>
      </c>
      <c r="T187" s="54" t="e">
        <f t="shared" si="26"/>
        <v>#DIV/0!</v>
      </c>
      <c r="U187" s="54" t="e">
        <f t="shared" si="26"/>
        <v>#DIV/0!</v>
      </c>
      <c r="V187" s="54" t="e">
        <f t="shared" si="26"/>
        <v>#DIV/0!</v>
      </c>
      <c r="W187" s="54" t="e">
        <f t="shared" si="26"/>
        <v>#DIV/0!</v>
      </c>
      <c r="X187" s="54" t="e">
        <f t="shared" si="26"/>
        <v>#DIV/0!</v>
      </c>
      <c r="Y187" s="54" t="e">
        <f t="shared" si="26"/>
        <v>#DIV/0!</v>
      </c>
      <c r="Z187" s="54" t="e">
        <f t="shared" si="26"/>
        <v>#DIV/0!</v>
      </c>
    </row>
    <row r="188" spans="1:26" ht="15" hidden="1" outlineLevel="1" x14ac:dyDescent="0.25">
      <c r="A188" s="93">
        <f t="shared" si="27"/>
        <v>0</v>
      </c>
      <c r="B188" s="93" t="s">
        <v>258</v>
      </c>
      <c r="C188" s="93">
        <f t="shared" si="23"/>
        <v>0</v>
      </c>
      <c r="D188" s="140">
        <f t="shared" si="23"/>
        <v>0</v>
      </c>
      <c r="E188" s="49"/>
      <c r="F188" s="49"/>
      <c r="G188" s="49"/>
      <c r="H188" s="49"/>
      <c r="I188" s="49"/>
      <c r="J188" s="48"/>
      <c r="K188" s="12"/>
      <c r="L188" s="11"/>
      <c r="M188" s="11"/>
      <c r="N188" s="11"/>
      <c r="O188" s="54" t="e">
        <f t="shared" si="26"/>
        <v>#DIV/0!</v>
      </c>
      <c r="P188" s="54" t="e">
        <f t="shared" si="26"/>
        <v>#DIV/0!</v>
      </c>
      <c r="Q188" s="54" t="e">
        <f t="shared" si="26"/>
        <v>#DIV/0!</v>
      </c>
      <c r="R188" s="54" t="e">
        <f t="shared" si="26"/>
        <v>#DIV/0!</v>
      </c>
      <c r="S188" s="54" t="e">
        <f t="shared" si="26"/>
        <v>#DIV/0!</v>
      </c>
      <c r="T188" s="54" t="e">
        <f t="shared" si="26"/>
        <v>#DIV/0!</v>
      </c>
      <c r="U188" s="54" t="e">
        <f t="shared" si="26"/>
        <v>#DIV/0!</v>
      </c>
      <c r="V188" s="54" t="e">
        <f t="shared" si="26"/>
        <v>#DIV/0!</v>
      </c>
      <c r="W188" s="54" t="e">
        <f t="shared" si="26"/>
        <v>#DIV/0!</v>
      </c>
      <c r="X188" s="54" t="e">
        <f t="shared" si="26"/>
        <v>#DIV/0!</v>
      </c>
      <c r="Y188" s="54" t="e">
        <f t="shared" si="26"/>
        <v>#DIV/0!</v>
      </c>
      <c r="Z188" s="54" t="e">
        <f t="shared" si="26"/>
        <v>#DIV/0!</v>
      </c>
    </row>
    <row r="189" spans="1:26" ht="15" hidden="1" outlineLevel="1" x14ac:dyDescent="0.25">
      <c r="A189" s="93">
        <f t="shared" si="27"/>
        <v>0</v>
      </c>
      <c r="B189" s="93" t="s">
        <v>259</v>
      </c>
      <c r="C189" s="93">
        <f t="shared" si="23"/>
        <v>0</v>
      </c>
      <c r="D189" s="140">
        <f t="shared" si="23"/>
        <v>0</v>
      </c>
      <c r="E189" s="49"/>
      <c r="F189" s="49"/>
      <c r="G189" s="49"/>
      <c r="H189" s="49"/>
      <c r="I189" s="49"/>
      <c r="J189" s="48"/>
      <c r="K189" s="12"/>
      <c r="L189" s="11"/>
      <c r="M189" s="11"/>
      <c r="N189" s="11"/>
      <c r="O189" s="54" t="e">
        <f t="shared" si="26"/>
        <v>#DIV/0!</v>
      </c>
      <c r="P189" s="54" t="e">
        <f t="shared" si="26"/>
        <v>#DIV/0!</v>
      </c>
      <c r="Q189" s="54" t="e">
        <f t="shared" si="26"/>
        <v>#DIV/0!</v>
      </c>
      <c r="R189" s="54" t="e">
        <f t="shared" si="26"/>
        <v>#DIV/0!</v>
      </c>
      <c r="S189" s="54" t="e">
        <f t="shared" si="26"/>
        <v>#DIV/0!</v>
      </c>
      <c r="T189" s="54" t="e">
        <f t="shared" si="26"/>
        <v>#DIV/0!</v>
      </c>
      <c r="U189" s="54" t="e">
        <f t="shared" si="26"/>
        <v>#DIV/0!</v>
      </c>
      <c r="V189" s="54" t="e">
        <f t="shared" si="26"/>
        <v>#DIV/0!</v>
      </c>
      <c r="W189" s="54" t="e">
        <f t="shared" si="26"/>
        <v>#DIV/0!</v>
      </c>
      <c r="X189" s="54" t="e">
        <f t="shared" si="26"/>
        <v>#DIV/0!</v>
      </c>
      <c r="Y189" s="54" t="e">
        <f t="shared" si="26"/>
        <v>#DIV/0!</v>
      </c>
      <c r="Z189" s="54" t="e">
        <f t="shared" si="26"/>
        <v>#DIV/0!</v>
      </c>
    </row>
    <row r="190" spans="1:26" ht="15" hidden="1" outlineLevel="1" x14ac:dyDescent="0.25">
      <c r="A190" s="93">
        <f t="shared" si="27"/>
        <v>0</v>
      </c>
      <c r="B190" s="93" t="s">
        <v>260</v>
      </c>
      <c r="C190" s="93">
        <f t="shared" si="23"/>
        <v>0</v>
      </c>
      <c r="D190" s="140">
        <f t="shared" si="23"/>
        <v>0</v>
      </c>
      <c r="E190" s="49"/>
      <c r="F190" s="49"/>
      <c r="G190" s="49"/>
      <c r="H190" s="49"/>
      <c r="I190" s="49"/>
      <c r="J190" s="48"/>
      <c r="K190" s="12" t="s">
        <v>5</v>
      </c>
      <c r="L190" s="11"/>
      <c r="M190" s="11"/>
      <c r="N190" s="11"/>
      <c r="O190" s="54" t="e">
        <f t="shared" si="26"/>
        <v>#VALUE!</v>
      </c>
      <c r="P190" s="54" t="e">
        <f t="shared" si="26"/>
        <v>#DIV/0!</v>
      </c>
      <c r="Q190" s="54" t="e">
        <f t="shared" si="26"/>
        <v>#DIV/0!</v>
      </c>
      <c r="R190" s="54" t="e">
        <f t="shared" si="26"/>
        <v>#DIV/0!</v>
      </c>
      <c r="S190" s="54" t="e">
        <f t="shared" si="26"/>
        <v>#DIV/0!</v>
      </c>
      <c r="T190" s="54" t="e">
        <f t="shared" si="26"/>
        <v>#DIV/0!</v>
      </c>
      <c r="U190" s="54" t="e">
        <f t="shared" si="26"/>
        <v>#DIV/0!</v>
      </c>
      <c r="V190" s="54" t="e">
        <f t="shared" si="26"/>
        <v>#DIV/0!</v>
      </c>
      <c r="W190" s="54" t="e">
        <f t="shared" si="26"/>
        <v>#DIV/0!</v>
      </c>
      <c r="X190" s="54" t="e">
        <f t="shared" si="26"/>
        <v>#DIV/0!</v>
      </c>
      <c r="Y190" s="54" t="e">
        <f t="shared" si="26"/>
        <v>#DIV/0!</v>
      </c>
      <c r="Z190" s="54" t="e">
        <f t="shared" si="26"/>
        <v>#DIV/0!</v>
      </c>
    </row>
    <row r="191" spans="1:26" s="35" customFormat="1" ht="22.5" customHeight="1" outlineLevel="1" x14ac:dyDescent="0.25">
      <c r="A191" s="33"/>
      <c r="B191" s="34"/>
      <c r="C191" s="34"/>
      <c r="D191" s="34"/>
      <c r="E191" s="50"/>
      <c r="F191" s="50"/>
      <c r="G191" s="50"/>
      <c r="H191" s="50"/>
      <c r="I191" s="50"/>
      <c r="J191" s="51" t="s">
        <v>20</v>
      </c>
      <c r="K191" s="68"/>
      <c r="L191" s="32" t="s">
        <v>48</v>
      </c>
      <c r="M191" s="32" t="s">
        <v>55</v>
      </c>
      <c r="N191" s="126">
        <f>SUM(N181:N190)</f>
        <v>12</v>
      </c>
      <c r="O191" s="54">
        <f t="shared" si="26"/>
        <v>8.3333333333333329E-2</v>
      </c>
      <c r="P191" s="54">
        <f t="shared" si="26"/>
        <v>8.3333333333333329E-2</v>
      </c>
      <c r="Q191" s="54">
        <f t="shared" si="26"/>
        <v>8.3333333333333329E-2</v>
      </c>
      <c r="R191" s="54">
        <f t="shared" si="26"/>
        <v>8.3333333333333329E-2</v>
      </c>
      <c r="S191" s="54">
        <f t="shared" si="26"/>
        <v>8.3333333333333329E-2</v>
      </c>
      <c r="T191" s="54">
        <f t="shared" si="26"/>
        <v>8.3333333333333329E-2</v>
      </c>
      <c r="U191" s="54">
        <f t="shared" si="26"/>
        <v>8.3333333333333329E-2</v>
      </c>
      <c r="V191" s="54">
        <f t="shared" si="26"/>
        <v>8.3333333333333329E-2</v>
      </c>
      <c r="W191" s="54">
        <f t="shared" si="26"/>
        <v>8.3333333333333329E-2</v>
      </c>
      <c r="X191" s="54">
        <f t="shared" si="26"/>
        <v>8.3333333333333329E-2</v>
      </c>
      <c r="Y191" s="54">
        <f t="shared" si="26"/>
        <v>8.3333333333333329E-2</v>
      </c>
      <c r="Z191" s="54">
        <f t="shared" si="26"/>
        <v>8.3333333333333329E-2</v>
      </c>
    </row>
    <row r="193" spans="1:3" x14ac:dyDescent="0.25">
      <c r="B193" s="27" t="s">
        <v>21</v>
      </c>
      <c r="C193" s="28">
        <v>43102</v>
      </c>
    </row>
    <row r="194" spans="1:3" x14ac:dyDescent="0.25">
      <c r="B194" s="27" t="s">
        <v>23</v>
      </c>
      <c r="C194" s="28">
        <v>42917</v>
      </c>
    </row>
    <row r="196" spans="1:3" ht="18" x14ac:dyDescent="0.25">
      <c r="A196" s="132" t="s">
        <v>262</v>
      </c>
    </row>
    <row r="197" spans="1:3" ht="18" x14ac:dyDescent="0.25">
      <c r="A197" s="127" t="s">
        <v>302</v>
      </c>
      <c r="B197" s="128"/>
    </row>
    <row r="198" spans="1:3" ht="18" x14ac:dyDescent="0.25">
      <c r="A198" s="127" t="s">
        <v>323</v>
      </c>
      <c r="B198" s="128"/>
    </row>
    <row r="200" spans="1:3" ht="18" x14ac:dyDescent="0.25">
      <c r="A200" s="128" t="s">
        <v>316</v>
      </c>
      <c r="B200" s="131" t="s">
        <v>288</v>
      </c>
      <c r="C200" s="131" t="s">
        <v>320</v>
      </c>
    </row>
    <row r="201" spans="1:3" ht="36" x14ac:dyDescent="0.25">
      <c r="A201" s="130" t="s">
        <v>310</v>
      </c>
      <c r="B201" s="131" t="s">
        <v>289</v>
      </c>
      <c r="C201" s="131" t="s">
        <v>321</v>
      </c>
    </row>
    <row r="202" spans="1:3" ht="54" x14ac:dyDescent="0.25">
      <c r="A202" s="130" t="s">
        <v>311</v>
      </c>
      <c r="B202" s="131" t="s">
        <v>290</v>
      </c>
      <c r="C202" s="131" t="s">
        <v>319</v>
      </c>
    </row>
    <row r="203" spans="1:3" ht="54" x14ac:dyDescent="0.25">
      <c r="A203" s="130" t="s">
        <v>312</v>
      </c>
      <c r="B203" s="131" t="s">
        <v>291</v>
      </c>
      <c r="C203" s="131" t="s">
        <v>322</v>
      </c>
    </row>
    <row r="204" spans="1:3" ht="72" x14ac:dyDescent="0.25">
      <c r="A204" s="130" t="s">
        <v>313</v>
      </c>
      <c r="B204" s="131" t="s">
        <v>292</v>
      </c>
      <c r="C204" s="131" t="s">
        <v>327</v>
      </c>
    </row>
    <row r="205" spans="1:3" ht="36" x14ac:dyDescent="0.25">
      <c r="A205" s="130" t="s">
        <v>314</v>
      </c>
      <c r="B205" s="131" t="s">
        <v>293</v>
      </c>
      <c r="C205" s="131" t="s">
        <v>317</v>
      </c>
    </row>
    <row r="206" spans="1:3" ht="72" x14ac:dyDescent="0.25">
      <c r="A206" s="130" t="s">
        <v>315</v>
      </c>
      <c r="B206" s="131" t="s">
        <v>296</v>
      </c>
      <c r="C206" s="131" t="s">
        <v>318</v>
      </c>
    </row>
    <row r="208" spans="1:3" ht="72" x14ac:dyDescent="0.25">
      <c r="A208" s="129" t="s">
        <v>301</v>
      </c>
      <c r="B208" s="128" t="s">
        <v>305</v>
      </c>
    </row>
    <row r="210" spans="1:2" ht="54" x14ac:dyDescent="0.25">
      <c r="A210" s="129" t="s">
        <v>303</v>
      </c>
      <c r="B210" s="128" t="s">
        <v>306</v>
      </c>
    </row>
    <row r="211" spans="1:2" ht="18" x14ac:dyDescent="0.25">
      <c r="A211" s="128"/>
    </row>
    <row r="212" spans="1:2" ht="72" x14ac:dyDescent="0.25">
      <c r="A212" s="129" t="s">
        <v>304</v>
      </c>
      <c r="B212" s="9" t="s">
        <v>307</v>
      </c>
    </row>
    <row r="213" spans="1:2" ht="18" x14ac:dyDescent="0.25">
      <c r="A213" s="128"/>
    </row>
    <row r="214" spans="1:2" ht="54" x14ac:dyDescent="0.25">
      <c r="A214" s="128" t="s">
        <v>308</v>
      </c>
      <c r="B214" s="128" t="s">
        <v>309</v>
      </c>
    </row>
  </sheetData>
  <mergeCells count="50">
    <mergeCell ref="E89:K89"/>
    <mergeCell ref="E90:K90"/>
    <mergeCell ref="E82:K82"/>
    <mergeCell ref="E83:K83"/>
    <mergeCell ref="E84:K84"/>
    <mergeCell ref="E86:K86"/>
    <mergeCell ref="E87:K87"/>
    <mergeCell ref="E88:K88"/>
    <mergeCell ref="E81:K81"/>
    <mergeCell ref="E68:K68"/>
    <mergeCell ref="E69:K69"/>
    <mergeCell ref="E70:K70"/>
    <mergeCell ref="E71:K71"/>
    <mergeCell ref="E72:K72"/>
    <mergeCell ref="E74:K74"/>
    <mergeCell ref="E75:K75"/>
    <mergeCell ref="E76:K76"/>
    <mergeCell ref="E77:K77"/>
    <mergeCell ref="E78:K78"/>
    <mergeCell ref="E80:K80"/>
    <mergeCell ref="E66:K66"/>
    <mergeCell ref="E53:K53"/>
    <mergeCell ref="E54:K54"/>
    <mergeCell ref="E56:K56"/>
    <mergeCell ref="E57:K57"/>
    <mergeCell ref="E58:K58"/>
    <mergeCell ref="E59:K59"/>
    <mergeCell ref="E60:K60"/>
    <mergeCell ref="E62:K62"/>
    <mergeCell ref="E63:K63"/>
    <mergeCell ref="E64:K64"/>
    <mergeCell ref="E65:K65"/>
    <mergeCell ref="E52:K52"/>
    <mergeCell ref="E39:K39"/>
    <mergeCell ref="E40:K40"/>
    <mergeCell ref="E41:K41"/>
    <mergeCell ref="E42:K42"/>
    <mergeCell ref="E44:K44"/>
    <mergeCell ref="E45:K45"/>
    <mergeCell ref="E46:K46"/>
    <mergeCell ref="E47:K47"/>
    <mergeCell ref="E48:K48"/>
    <mergeCell ref="E50:K50"/>
    <mergeCell ref="E51:K51"/>
    <mergeCell ref="E38:K38"/>
    <mergeCell ref="E32:K32"/>
    <mergeCell ref="E33:K33"/>
    <mergeCell ref="E34:K34"/>
    <mergeCell ref="E35:K35"/>
    <mergeCell ref="E36:K36"/>
  </mergeCells>
  <dataValidations count="4">
    <dataValidation type="list" allowBlank="1" showInputMessage="1" showErrorMessage="1" sqref="F117 F172:F176 F165:F169 F158:F162 F151:F155 F144:F148 F137:F141 F121:F134">
      <formula1>$A$3:$A$9</formula1>
    </dataValidation>
    <dataValidation type="list" allowBlank="1" showInputMessage="1" showErrorMessage="1" sqref="M181:M191 L181:L190 H165:K168 H158:K161 H151:K154 H144:K147 H141:J141 I121:K133 H148:I148 I134:J134 H121:H134 H137:K140 H155:J155 H162:J162 H169:J169 H176:J176 H172:K175 K101:K102">
      <formula1>$C$3:$C$15</formula1>
    </dataValidation>
    <dataValidation type="list" allowBlank="1" showInputMessage="1" showErrorMessage="1" sqref="J96:J102 J148 L191">
      <formula1>$C$3:$C$14</formula1>
    </dataValidation>
    <dataValidation type="list" allowBlank="1" showInputMessage="1" showErrorMessage="1" sqref="L38:L42 L44:L48 L50:L54 L56:L60 L62:L66 L68:L72 L74:L78 L80:L84 L86:L90">
      <formula1>$G$2:$G$8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Lists!$A$2:$A$8</xm:f>
          </x14:formula1>
          <xm:sqref>F95:F102</xm:sqref>
        </x14:dataValidation>
        <x14:dataValidation type="list" allowBlank="1" showInputMessage="1" showErrorMessage="1">
          <x14:formula1>
            <xm:f>Lists!$C$2:$C$14</xm:f>
          </x14:formula1>
          <xm:sqref>K95:K97 H95:J95</xm:sqref>
        </x14:dataValidation>
        <x14:dataValidation type="list" allowBlank="1" showInputMessage="1" showErrorMessage="1">
          <x14:formula1>
            <xm:f>Lists!$H$2:$H$9</xm:f>
          </x14:formula1>
          <xm:sqref>L32:L36</xm:sqref>
        </x14:dataValidation>
        <x14:dataValidation type="list" allowBlank="1" showInputMessage="1" showErrorMessage="1">
          <x14:formula1>
            <xm:f>Lists!$D$2:$D$14</xm:f>
          </x14:formula1>
          <xm:sqref>L17:L26 L95:L102</xm:sqref>
        </x14:dataValidation>
        <x14:dataValidation type="list" allowBlank="1" showInputMessage="1" showErrorMessage="1">
          <x14:formula1>
            <xm:f>Lists!$B$2:$B$41</xm:f>
          </x14:formula1>
          <xm:sqref>E17:E27 E95:E102</xm:sqref>
        </x14:dataValidation>
        <x14:dataValidation type="list" allowBlank="1" showInputMessage="1" showErrorMessage="1">
          <x14:formula1>
            <xm:f>Lists!$E$3:$E$41</xm:f>
          </x14:formula1>
          <xm:sqref>B8</xm:sqref>
        </x14:dataValidation>
        <x14:dataValidation type="list" allowBlank="1" showInputMessage="1" showErrorMessage="1">
          <x14:formula1>
            <xm:f>'https://nuevaunionspa-my.sharepoint.com/personal/gineva_alcota_nuevaunion_cl/Documents/40300 Cost Control/40303 Presupuestos/2018/Ingeniería/[1002-40303-PS-SOA-0001_Total Eng.xlsx]Lists'!#REF!</xm:f>
          </x14:formula1>
          <xm:sqref>L172:M175 N181:N190 L165:M168 K98:K100 H106:M117 L144:M147 F106:F116 L151:M154 H96:I102 L158:M161 L121:M133 L137:M140</xm:sqref>
        </x14:dataValidation>
        <x14:dataValidation type="list" allowBlank="1" showInputMessage="1" showErrorMessage="1">
          <x14:formula1>
            <xm:f>'https://nuevaunionspa-my.sharepoint.com/personal/gineva_alcota_nuevaunion_cl/Documents/40300 Cost Control/40303 Presupuestos/2018/Ingeniería/[1002-40303-PS-SOA-0001_Total Eng.xlsx]CCs &amp; Accounts'!#REF!</xm:f>
          </x14:formula1>
          <xm:sqref>E121:E134 E106:E117 E137:E141 E144:E148 E151:E155 E158:E162 E165:E169 E172:E176</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pageSetUpPr fitToPage="1"/>
  </sheetPr>
  <dimension ref="A1:AA22"/>
  <sheetViews>
    <sheetView showGridLines="0" zoomScale="70" zoomScaleNormal="70" zoomScalePageLayoutView="60" workbookViewId="0">
      <selection activeCell="D24" sqref="D24"/>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8" width="17.5703125" style="9" hidden="1" customWidth="1"/>
    <col min="9" max="10" width="11.5703125" style="9" hidden="1" customWidth="1"/>
    <col min="11" max="11" width="17.5703125" style="9" hidden="1" customWidth="1"/>
    <col min="12" max="13" width="17.7109375" style="9" customWidth="1"/>
    <col min="14" max="14" width="15.7109375" style="9" customWidth="1"/>
    <col min="15" max="15" width="11.5703125" style="9" hidden="1" customWidth="1" outlineLevel="1"/>
    <col min="16" max="17" width="16.42578125" style="9" hidden="1" customWidth="1" outlineLevel="1"/>
    <col min="18" max="18" width="16.85546875" style="9" hidden="1" customWidth="1" outlineLevel="1"/>
    <col min="19" max="19" width="16.42578125" style="9" hidden="1" customWidth="1" outlineLevel="1"/>
    <col min="20" max="23" width="16.85546875" style="9" hidden="1" customWidth="1" outlineLevel="1"/>
    <col min="24" max="25" width="16.42578125" style="9" hidden="1" customWidth="1" outlineLevel="1"/>
    <col min="26" max="26" width="16.85546875" style="9" hidden="1" customWidth="1" outlineLevel="1"/>
    <col min="27" max="27" width="11.42578125" style="9" collapsed="1"/>
    <col min="28" max="16384" width="11.42578125" style="9"/>
  </cols>
  <sheetData>
    <row r="1" spans="1:26" s="1" customFormat="1" ht="36.6" customHeight="1" x14ac:dyDescent="0.2"/>
    <row r="2" spans="1:26" ht="24.75" customHeight="1" x14ac:dyDescent="0.25"/>
    <row r="3" spans="1:26" ht="36.6" customHeight="1" x14ac:dyDescent="0.25">
      <c r="A3" s="40" t="s">
        <v>4</v>
      </c>
      <c r="B3" s="36"/>
      <c r="C3" s="37"/>
      <c r="D3" s="38"/>
      <c r="E3" s="38"/>
      <c r="F3" s="38"/>
      <c r="G3" s="38"/>
      <c r="H3" s="39"/>
      <c r="I3" s="39"/>
      <c r="J3" s="46"/>
      <c r="K3" s="38"/>
      <c r="L3" s="43"/>
      <c r="M3" s="43"/>
      <c r="N3" s="43"/>
      <c r="O3" s="43" t="s">
        <v>5</v>
      </c>
      <c r="P3" s="43"/>
      <c r="Q3" s="43"/>
      <c r="R3" s="43"/>
      <c r="S3" s="43"/>
      <c r="T3" s="43"/>
      <c r="U3" s="43"/>
      <c r="V3" s="43"/>
      <c r="W3" s="43"/>
      <c r="X3" s="43"/>
      <c r="Y3" s="43"/>
      <c r="Z3" s="43"/>
    </row>
    <row r="4" spans="1:26" ht="18" x14ac:dyDescent="0.25">
      <c r="A4" s="17"/>
      <c r="B4" s="75" t="s">
        <v>6</v>
      </c>
      <c r="C4" s="75"/>
      <c r="D4" s="75"/>
      <c r="E4" s="75"/>
      <c r="F4" s="75"/>
      <c r="G4" s="75"/>
      <c r="H4" s="75"/>
      <c r="I4" s="75"/>
      <c r="J4" s="75"/>
      <c r="K4" s="75"/>
      <c r="L4" s="75"/>
      <c r="M4" s="75"/>
      <c r="N4" s="76"/>
      <c r="O4" s="16"/>
      <c r="P4" s="16"/>
      <c r="Q4" s="16"/>
      <c r="R4" s="16"/>
      <c r="S4" s="16"/>
      <c r="T4" s="16"/>
      <c r="U4" s="16"/>
      <c r="V4" s="16"/>
      <c r="W4" s="16"/>
      <c r="X4" s="16"/>
      <c r="Y4" s="16"/>
      <c r="Z4" s="18"/>
    </row>
    <row r="5" spans="1:26" ht="18" x14ac:dyDescent="0.25">
      <c r="A5" s="19"/>
      <c r="B5" s="77" t="str">
        <f>+Service_Management!B8</f>
        <v>7.2 Service management</v>
      </c>
      <c r="C5" s="78"/>
      <c r="D5" s="78"/>
      <c r="E5" s="79"/>
      <c r="F5" s="79"/>
      <c r="G5" s="79"/>
      <c r="H5" s="79"/>
      <c r="I5" s="79"/>
      <c r="J5" s="79"/>
      <c r="K5" s="79"/>
      <c r="L5" s="79"/>
      <c r="M5" s="79"/>
      <c r="N5" s="80" t="s">
        <v>7</v>
      </c>
      <c r="O5" s="13"/>
      <c r="P5" s="13"/>
      <c r="Q5" s="13"/>
      <c r="R5" s="13"/>
      <c r="S5" s="13"/>
      <c r="T5" s="13"/>
      <c r="U5" s="13"/>
      <c r="V5" s="13"/>
      <c r="W5" s="13"/>
      <c r="X5" s="13"/>
      <c r="Y5" s="13"/>
      <c r="Z5" s="25"/>
    </row>
    <row r="6" spans="1:26" ht="18" x14ac:dyDescent="0.25">
      <c r="A6" s="19"/>
      <c r="B6" s="81" t="s">
        <v>8</v>
      </c>
      <c r="C6" s="79"/>
      <c r="D6" s="81" t="s">
        <v>9</v>
      </c>
      <c r="E6" s="81"/>
      <c r="F6" s="81"/>
      <c r="G6" s="81"/>
      <c r="H6" s="81"/>
      <c r="I6" s="81"/>
      <c r="J6" s="81"/>
      <c r="K6" s="81"/>
      <c r="L6" s="81"/>
      <c r="M6" s="81"/>
      <c r="N6" s="82">
        <v>43102</v>
      </c>
      <c r="O6" s="14"/>
      <c r="P6" s="14"/>
      <c r="Q6" s="14"/>
      <c r="R6" s="14"/>
      <c r="S6" s="14"/>
      <c r="T6" s="14"/>
      <c r="U6" s="14"/>
      <c r="V6" s="14"/>
      <c r="W6" s="14"/>
      <c r="X6" s="14"/>
      <c r="Y6" s="14"/>
      <c r="Z6" s="26"/>
    </row>
    <row r="7" spans="1:26" ht="18" x14ac:dyDescent="0.25">
      <c r="A7" s="20"/>
      <c r="B7" s="83" t="str">
        <f>+Service_Management!B10</f>
        <v>688 Management</v>
      </c>
      <c r="C7" s="84"/>
      <c r="D7" s="77" t="str">
        <f>+Service_Management!D10</f>
        <v>Antonio Marambio</v>
      </c>
      <c r="E7" s="79"/>
      <c r="F7" s="79"/>
      <c r="G7" s="79"/>
      <c r="H7" s="79"/>
      <c r="I7" s="79"/>
      <c r="J7" s="79"/>
      <c r="K7" s="79"/>
      <c r="L7" s="79"/>
      <c r="M7" s="79"/>
      <c r="N7" s="85"/>
      <c r="O7" s="13"/>
      <c r="P7" s="13"/>
      <c r="Q7" s="13"/>
      <c r="R7" s="13"/>
      <c r="S7" s="13"/>
      <c r="T7" s="13"/>
      <c r="U7" s="13"/>
      <c r="V7" s="13"/>
      <c r="W7" s="13"/>
      <c r="X7" s="13"/>
      <c r="Y7" s="13"/>
      <c r="Z7" s="25"/>
    </row>
    <row r="8" spans="1:26" ht="18" x14ac:dyDescent="0.25">
      <c r="A8" s="20"/>
      <c r="B8" s="86" t="s">
        <v>10</v>
      </c>
      <c r="C8" s="84"/>
      <c r="D8" s="86"/>
      <c r="E8" s="86"/>
      <c r="F8" s="86"/>
      <c r="G8" s="86"/>
      <c r="H8" s="86"/>
      <c r="I8" s="86"/>
      <c r="J8" s="86"/>
      <c r="K8" s="86"/>
      <c r="L8" s="86"/>
      <c r="M8" s="86"/>
      <c r="N8" s="87" t="s">
        <v>11</v>
      </c>
      <c r="O8" s="15"/>
      <c r="P8" s="15"/>
      <c r="Q8" s="15"/>
      <c r="R8" s="15"/>
      <c r="S8" s="15"/>
      <c r="T8" s="15"/>
      <c r="U8" s="15"/>
      <c r="V8" s="15"/>
      <c r="W8" s="15"/>
      <c r="X8" s="15"/>
      <c r="Y8" s="15"/>
      <c r="Z8" s="24"/>
    </row>
    <row r="9" spans="1:26" ht="18" x14ac:dyDescent="0.25">
      <c r="A9" s="20"/>
      <c r="B9" s="88">
        <f>+Engineering!B12</f>
        <v>43313</v>
      </c>
      <c r="C9" s="84"/>
      <c r="D9" s="86"/>
      <c r="E9" s="79"/>
      <c r="F9" s="79"/>
      <c r="G9" s="79"/>
      <c r="H9" s="79"/>
      <c r="I9" s="79"/>
      <c r="J9" s="79"/>
      <c r="K9" s="79"/>
      <c r="L9" s="79"/>
      <c r="M9" s="79"/>
      <c r="N9" s="82">
        <v>43465</v>
      </c>
      <c r="O9" s="13"/>
      <c r="P9" s="13"/>
      <c r="Q9" s="13"/>
      <c r="R9" s="13"/>
      <c r="S9" s="13"/>
      <c r="T9" s="13"/>
      <c r="U9" s="13"/>
      <c r="V9" s="13"/>
      <c r="W9" s="13"/>
      <c r="X9" s="13"/>
      <c r="Y9" s="13"/>
      <c r="Z9" s="24"/>
    </row>
    <row r="10" spans="1:26" ht="18" x14ac:dyDescent="0.25">
      <c r="A10" s="21"/>
      <c r="B10" s="89"/>
      <c r="C10" s="90"/>
      <c r="D10" s="90"/>
      <c r="E10" s="90"/>
      <c r="F10" s="90"/>
      <c r="G10" s="90"/>
      <c r="H10" s="90"/>
      <c r="I10" s="90"/>
      <c r="J10" s="90"/>
      <c r="K10" s="90"/>
      <c r="L10" s="90"/>
      <c r="M10" s="90"/>
      <c r="N10" s="91"/>
      <c r="O10" s="22"/>
      <c r="P10" s="22"/>
      <c r="Q10" s="22"/>
      <c r="R10" s="22"/>
      <c r="S10" s="22"/>
      <c r="T10" s="22"/>
      <c r="U10" s="22"/>
      <c r="V10" s="22"/>
      <c r="W10" s="22"/>
      <c r="X10" s="22"/>
      <c r="Y10" s="22"/>
      <c r="Z10" s="23"/>
    </row>
    <row r="11" spans="1:26" ht="6.75" customHeight="1" x14ac:dyDescent="0.25"/>
    <row r="12" spans="1:26" ht="18" x14ac:dyDescent="0.25">
      <c r="A12" s="41" t="s">
        <v>12</v>
      </c>
      <c r="B12" s="41"/>
      <c r="C12" s="42"/>
      <c r="D12" s="42"/>
      <c r="E12" s="43"/>
      <c r="F12" s="43"/>
      <c r="G12" s="43"/>
      <c r="H12" s="44"/>
      <c r="I12" s="44"/>
      <c r="J12" s="46"/>
      <c r="K12" s="43"/>
      <c r="L12" s="43"/>
      <c r="M12" s="43"/>
      <c r="N12" s="43"/>
      <c r="O12" s="43" t="s">
        <v>5</v>
      </c>
      <c r="P12" s="43"/>
      <c r="Q12" s="43"/>
      <c r="R12" s="43"/>
      <c r="S12" s="43"/>
      <c r="T12" s="43"/>
      <c r="U12" s="43"/>
      <c r="V12" s="43"/>
      <c r="W12" s="43"/>
      <c r="X12" s="43"/>
      <c r="Y12" s="43"/>
      <c r="Z12" s="43"/>
    </row>
    <row r="13" spans="1:26" ht="30" outlineLevel="1" x14ac:dyDescent="0.25">
      <c r="A13" s="92"/>
      <c r="B13" s="92" t="s">
        <v>13</v>
      </c>
      <c r="C13" s="92" t="s">
        <v>14</v>
      </c>
      <c r="D13" s="8" t="s">
        <v>15</v>
      </c>
      <c r="E13" s="32" t="s">
        <v>16</v>
      </c>
      <c r="F13" s="48"/>
      <c r="G13" s="48"/>
      <c r="H13" s="48"/>
      <c r="I13" s="48"/>
      <c r="J13" s="48"/>
      <c r="K13" s="48"/>
      <c r="L13" s="32" t="s">
        <v>17</v>
      </c>
      <c r="M13" s="32" t="s">
        <v>18</v>
      </c>
      <c r="N13" s="32" t="s">
        <v>19</v>
      </c>
      <c r="O13" s="66">
        <v>43101</v>
      </c>
      <c r="P13" s="66">
        <v>43132</v>
      </c>
      <c r="Q13" s="66">
        <v>43160</v>
      </c>
      <c r="R13" s="66">
        <v>43191</v>
      </c>
      <c r="S13" s="66">
        <v>43221</v>
      </c>
      <c r="T13" s="66">
        <v>43252</v>
      </c>
      <c r="U13" s="66">
        <v>43282</v>
      </c>
      <c r="V13" s="66">
        <v>43313</v>
      </c>
      <c r="W13" s="66">
        <v>43344</v>
      </c>
      <c r="X13" s="66">
        <v>43374</v>
      </c>
      <c r="Y13" s="66">
        <v>43405</v>
      </c>
      <c r="Z13" s="66">
        <v>43435</v>
      </c>
    </row>
    <row r="14" spans="1:26" ht="15" outlineLevel="1" x14ac:dyDescent="0.25">
      <c r="A14" s="93" t="str">
        <f>+Engineering!A17</f>
        <v>5.1</v>
      </c>
      <c r="B14" s="93" t="str">
        <f>+Service_Management!B17</f>
        <v>Objective 1</v>
      </c>
      <c r="C14" s="93">
        <f>+Service_Management!C17</f>
        <v>0</v>
      </c>
      <c r="D14" s="10">
        <f>+Service_Management!D17</f>
        <v>0</v>
      </c>
      <c r="E14" s="11" t="str">
        <f>+Service_Management!E17</f>
        <v>688 / 51-11-3353</v>
      </c>
      <c r="F14" s="48"/>
      <c r="G14" s="48"/>
      <c r="H14" s="48"/>
      <c r="I14" s="48"/>
      <c r="J14" s="48"/>
      <c r="K14" s="48"/>
      <c r="L14" s="11">
        <f>+Service_Management!L17</f>
        <v>6</v>
      </c>
      <c r="M14" s="53">
        <f>+Service_Management!M17</f>
        <v>12</v>
      </c>
      <c r="N14" s="142">
        <f>+Service_Management!N17</f>
        <v>0</v>
      </c>
      <c r="O14" s="52" t="e">
        <f>+#REF!</f>
        <v>#REF!</v>
      </c>
      <c r="P14" s="52" t="e">
        <f>+#REF!</f>
        <v>#REF!</v>
      </c>
      <c r="Q14" s="52" t="e">
        <f>+#REF!</f>
        <v>#REF!</v>
      </c>
      <c r="R14" s="52" t="e">
        <f>+#REF!</f>
        <v>#REF!</v>
      </c>
      <c r="S14" s="52" t="e">
        <f>+#REF!</f>
        <v>#REF!</v>
      </c>
      <c r="T14" s="52" t="e">
        <f>+#REF!</f>
        <v>#REF!</v>
      </c>
      <c r="U14" s="52" t="e">
        <f>+#REF!</f>
        <v>#REF!</v>
      </c>
      <c r="V14" s="52" t="e">
        <f>+#REF!</f>
        <v>#REF!</v>
      </c>
      <c r="W14" s="52" t="e">
        <f>+#REF!</f>
        <v>#REF!</v>
      </c>
      <c r="X14" s="52" t="e">
        <f>+#REF!</f>
        <v>#REF!</v>
      </c>
      <c r="Y14" s="52" t="e">
        <f>+#REF!</f>
        <v>#REF!</v>
      </c>
      <c r="Z14" s="52" t="e">
        <f>+#REF!</f>
        <v>#REF!</v>
      </c>
    </row>
    <row r="15" spans="1:26" ht="15" outlineLevel="1" x14ac:dyDescent="0.25">
      <c r="A15" s="93" t="str">
        <f>+Engineering!A18</f>
        <v>5.2</v>
      </c>
      <c r="B15" s="93">
        <f>+Service_Management!B18</f>
        <v>0</v>
      </c>
      <c r="C15" s="93">
        <f>+Service_Management!C18</f>
        <v>0</v>
      </c>
      <c r="D15" s="10">
        <f>+Service_Management!D18</f>
        <v>0</v>
      </c>
      <c r="E15" s="11">
        <f>+Service_Management!E18</f>
        <v>0</v>
      </c>
      <c r="F15" s="48"/>
      <c r="G15" s="48"/>
      <c r="H15" s="48"/>
      <c r="I15" s="48"/>
      <c r="J15" s="48"/>
      <c r="K15" s="48"/>
      <c r="L15" s="11">
        <f>+Service_Management!L18</f>
        <v>0</v>
      </c>
      <c r="M15" s="53">
        <f>+Service_Management!M18</f>
        <v>0</v>
      </c>
      <c r="N15" s="142">
        <f>+Service_Management!N18</f>
        <v>0</v>
      </c>
      <c r="O15" s="52" t="e">
        <f>+#REF!</f>
        <v>#REF!</v>
      </c>
      <c r="P15" s="52" t="e">
        <f>+#REF!</f>
        <v>#REF!</v>
      </c>
      <c r="Q15" s="52" t="e">
        <f>+#REF!</f>
        <v>#REF!</v>
      </c>
      <c r="R15" s="52" t="e">
        <f>+#REF!</f>
        <v>#REF!</v>
      </c>
      <c r="S15" s="52" t="e">
        <f>+#REF!</f>
        <v>#REF!</v>
      </c>
      <c r="T15" s="52" t="e">
        <f>+#REF!</f>
        <v>#REF!</v>
      </c>
      <c r="U15" s="52" t="e">
        <f>+#REF!</f>
        <v>#REF!</v>
      </c>
      <c r="V15" s="52" t="e">
        <f>+#REF!</f>
        <v>#REF!</v>
      </c>
      <c r="W15" s="52" t="e">
        <f>+#REF!</f>
        <v>#REF!</v>
      </c>
      <c r="X15" s="52" t="e">
        <f>+#REF!</f>
        <v>#REF!</v>
      </c>
      <c r="Y15" s="52" t="e">
        <f>+#REF!</f>
        <v>#REF!</v>
      </c>
      <c r="Z15" s="52" t="e">
        <f>+#REF!</f>
        <v>#REF!</v>
      </c>
    </row>
    <row r="16" spans="1:26" ht="15" outlineLevel="1" x14ac:dyDescent="0.25">
      <c r="A16" s="93" t="str">
        <f>+Engineering!A19</f>
        <v>5.3</v>
      </c>
      <c r="B16" s="93">
        <f>+Service_Management!B19</f>
        <v>0</v>
      </c>
      <c r="C16" s="93">
        <f>+Service_Management!C19</f>
        <v>0</v>
      </c>
      <c r="D16" s="10">
        <f>+Service_Management!D19</f>
        <v>0</v>
      </c>
      <c r="E16" s="11">
        <f>+Service_Management!E19</f>
        <v>0</v>
      </c>
      <c r="F16" s="48"/>
      <c r="G16" s="48"/>
      <c r="H16" s="48"/>
      <c r="I16" s="48"/>
      <c r="J16" s="48"/>
      <c r="K16" s="48"/>
      <c r="L16" s="11">
        <f>+Service_Management!L19</f>
        <v>0</v>
      </c>
      <c r="M16" s="53">
        <f>+Service_Management!M19</f>
        <v>0</v>
      </c>
      <c r="N16" s="142">
        <f>+Service_Management!N19</f>
        <v>0</v>
      </c>
      <c r="O16" s="52" t="e">
        <f>+#REF!</f>
        <v>#REF!</v>
      </c>
      <c r="P16" s="52" t="e">
        <f>+#REF!</f>
        <v>#REF!</v>
      </c>
      <c r="Q16" s="52" t="e">
        <f>+#REF!</f>
        <v>#REF!</v>
      </c>
      <c r="R16" s="52" t="e">
        <f>+#REF!</f>
        <v>#REF!</v>
      </c>
      <c r="S16" s="52" t="e">
        <f>+#REF!</f>
        <v>#REF!</v>
      </c>
      <c r="T16" s="52" t="e">
        <f>+#REF!</f>
        <v>#REF!</v>
      </c>
      <c r="U16" s="52" t="e">
        <f>+#REF!</f>
        <v>#REF!</v>
      </c>
      <c r="V16" s="52" t="e">
        <f>+#REF!</f>
        <v>#REF!</v>
      </c>
      <c r="W16" s="52" t="e">
        <f>+#REF!</f>
        <v>#REF!</v>
      </c>
      <c r="X16" s="52" t="e">
        <f>+#REF!</f>
        <v>#REF!</v>
      </c>
      <c r="Y16" s="52" t="e">
        <f>+#REF!</f>
        <v>#REF!</v>
      </c>
      <c r="Z16" s="52" t="e">
        <f>+#REF!</f>
        <v>#REF!</v>
      </c>
    </row>
    <row r="17" spans="1:26" ht="19.149999999999999" customHeight="1" outlineLevel="1" x14ac:dyDescent="0.25">
      <c r="A17" s="93" t="str">
        <f>+Engineering!A20</f>
        <v>5.4</v>
      </c>
      <c r="B17" s="93">
        <f>+Service_Management!B20</f>
        <v>0</v>
      </c>
      <c r="C17" s="93">
        <f>+Service_Management!C20</f>
        <v>0</v>
      </c>
      <c r="D17" s="10">
        <f>+Service_Management!D20</f>
        <v>0</v>
      </c>
      <c r="E17" s="11">
        <f>+Service_Management!E20</f>
        <v>0</v>
      </c>
      <c r="F17" s="48"/>
      <c r="G17" s="48"/>
      <c r="H17" s="48"/>
      <c r="I17" s="48"/>
      <c r="J17" s="48"/>
      <c r="K17" s="48"/>
      <c r="L17" s="11">
        <f>+Service_Management!L20</f>
        <v>0</v>
      </c>
      <c r="M17" s="53">
        <f>+Service_Management!M20</f>
        <v>0</v>
      </c>
      <c r="N17" s="142">
        <f>+Service_Management!N20</f>
        <v>0</v>
      </c>
      <c r="O17" s="12" t="s">
        <v>5</v>
      </c>
      <c r="P17" s="12"/>
      <c r="Q17" s="12"/>
      <c r="R17" s="12"/>
      <c r="S17" s="12"/>
      <c r="T17" s="12"/>
      <c r="U17" s="12"/>
      <c r="V17" s="12"/>
      <c r="W17" s="12"/>
      <c r="X17" s="12"/>
      <c r="Y17" s="12"/>
      <c r="Z17" s="12"/>
    </row>
    <row r="18" spans="1:26" ht="15" outlineLevel="1" x14ac:dyDescent="0.25">
      <c r="A18" s="69"/>
      <c r="B18" s="70"/>
      <c r="C18" s="70"/>
      <c r="D18" s="71"/>
      <c r="E18" s="72"/>
      <c r="F18" s="72"/>
      <c r="G18" s="72"/>
      <c r="H18" s="72"/>
      <c r="I18" s="72"/>
      <c r="J18" s="74" t="s">
        <v>20</v>
      </c>
      <c r="K18" s="73"/>
      <c r="L18" s="32">
        <f>+Engineering!L27</f>
        <v>12</v>
      </c>
      <c r="M18" s="32">
        <f>SUM(M1:M17)</f>
        <v>12</v>
      </c>
      <c r="N18" s="32">
        <f t="shared" ref="N18:Z18" si="0">SUM(N13:N17)</f>
        <v>0</v>
      </c>
      <c r="O18" s="32" t="e">
        <f t="shared" si="0"/>
        <v>#REF!</v>
      </c>
      <c r="P18" s="32" t="e">
        <f t="shared" si="0"/>
        <v>#REF!</v>
      </c>
      <c r="Q18" s="32" t="e">
        <f t="shared" si="0"/>
        <v>#REF!</v>
      </c>
      <c r="R18" s="32" t="e">
        <f t="shared" si="0"/>
        <v>#REF!</v>
      </c>
      <c r="S18" s="32" t="e">
        <f t="shared" si="0"/>
        <v>#REF!</v>
      </c>
      <c r="T18" s="32" t="e">
        <f t="shared" si="0"/>
        <v>#REF!</v>
      </c>
      <c r="U18" s="32" t="e">
        <f t="shared" si="0"/>
        <v>#REF!</v>
      </c>
      <c r="V18" s="32" t="e">
        <f t="shared" si="0"/>
        <v>#REF!</v>
      </c>
      <c r="W18" s="32" t="e">
        <f t="shared" si="0"/>
        <v>#REF!</v>
      </c>
      <c r="X18" s="32" t="e">
        <f t="shared" si="0"/>
        <v>#REF!</v>
      </c>
      <c r="Y18" s="32" t="e">
        <f t="shared" si="0"/>
        <v>#REF!</v>
      </c>
      <c r="Z18" s="32" t="e">
        <f t="shared" si="0"/>
        <v>#REF!</v>
      </c>
    </row>
    <row r="19" spans="1:26" ht="6.75" customHeight="1" x14ac:dyDescent="0.25">
      <c r="A19" s="71"/>
      <c r="B19" s="71"/>
      <c r="C19" s="71"/>
      <c r="D19" s="71"/>
      <c r="E19" s="71"/>
      <c r="F19" s="71"/>
      <c r="G19" s="71"/>
      <c r="H19" s="71"/>
      <c r="I19" s="71"/>
      <c r="J19" s="71"/>
      <c r="K19" s="71"/>
    </row>
    <row r="21" spans="1:26" ht="24.75" customHeight="1" x14ac:dyDescent="0.25">
      <c r="B21" s="27" t="s">
        <v>21</v>
      </c>
      <c r="C21" s="28">
        <v>43102</v>
      </c>
      <c r="L21" s="112" t="s">
        <v>22</v>
      </c>
      <c r="M21" s="110"/>
      <c r="N21" s="111"/>
    </row>
    <row r="22" spans="1:26" ht="24.75" customHeight="1" x14ac:dyDescent="0.25">
      <c r="B22" s="27" t="s">
        <v>23</v>
      </c>
      <c r="C22" s="28">
        <v>42917</v>
      </c>
      <c r="L22" s="112" t="s">
        <v>24</v>
      </c>
      <c r="M22" s="110"/>
      <c r="N22" s="111"/>
    </row>
  </sheetData>
  <printOptions horizontalCentered="1"/>
  <pageMargins left="0.31496062992125984" right="0.31496062992125984" top="1.1811023622047245" bottom="1.1811023622047245" header="0.31496062992125984" footer="0.31496062992125984"/>
  <pageSetup paperSize="17" scale="89" orientation="landscape" r:id="rId1"/>
  <headerFooter>
    <oddHeader>&amp;R&amp;10&amp;G</oddHeader>
    <oddFooter>&amp;L&amp;"Arial,Normal"&amp;8NuevaUnión - Scope of Approval
&amp;F&amp;C&amp;8&amp;P / &amp;N
&amp;RRev B</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Lists!$D$2:$D$13</xm:f>
          </x14:formula1>
          <xm:sqref>L18</xm:sqref>
        </x14:dataValidation>
        <x14:dataValidation type="list" allowBlank="1" showInputMessage="1" showErrorMessage="1">
          <x14:formula1>
            <xm:f>Lists!$E$3:$E$41</xm:f>
          </x14:formula1>
          <xm:sqref>B5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AA214"/>
  <sheetViews>
    <sheetView topLeftCell="A5" zoomScale="60" zoomScaleNormal="60" workbookViewId="0">
      <selection activeCell="P192" sqref="P192"/>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hidden="1" customWidth="1"/>
    <col min="6" max="6" width="23" style="9" hidden="1" customWidth="1"/>
    <col min="7" max="8" width="17.5703125" style="9" hidden="1" customWidth="1"/>
    <col min="9" max="10" width="11.5703125" style="9" hidden="1" customWidth="1"/>
    <col min="11" max="11" width="17.5703125" style="9" hidden="1" customWidth="1"/>
    <col min="12" max="13" width="17.7109375" style="9"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hidden="1" customHeight="1" x14ac:dyDescent="0.25"/>
    <row r="2" spans="1:26" s="1" customFormat="1" ht="24.75" hidden="1" customHeight="1" x14ac:dyDescent="0.2">
      <c r="B2" s="2"/>
    </row>
    <row r="3" spans="1:26" s="1" customFormat="1" ht="24.75" hidden="1" customHeight="1" x14ac:dyDescent="0.25">
      <c r="B3" s="3"/>
    </row>
    <row r="4" spans="1:26" s="1" customFormat="1" ht="36.6" hidden="1"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249</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VLOOKUP(B8,Lists!E1:I41,3,FALSE)</f>
        <v>688 Management</v>
      </c>
      <c r="C10" s="84"/>
      <c r="D10" s="77" t="str">
        <f>VLOOKUP(B8,Lists!E1:I41,2,FALSE)</f>
        <v>Antonio Marambio</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15" x14ac:dyDescent="0.25">
      <c r="A17" s="93" t="s">
        <v>154</v>
      </c>
      <c r="B17" s="93" t="s">
        <v>27</v>
      </c>
      <c r="C17" s="93"/>
      <c r="D17" s="10"/>
      <c r="E17" s="11" t="s">
        <v>248</v>
      </c>
      <c r="F17" s="48"/>
      <c r="G17" s="48"/>
      <c r="H17" s="48"/>
      <c r="I17" s="48"/>
      <c r="J17" s="48"/>
      <c r="K17" s="48"/>
      <c r="L17" s="11">
        <v>6</v>
      </c>
      <c r="M17" s="53">
        <f>+M103</f>
        <v>12</v>
      </c>
      <c r="N17" s="11">
        <f>SUM(O17:Z17)</f>
        <v>0</v>
      </c>
      <c r="O17" s="52">
        <f t="shared" ref="O17:Z17" si="0">+O103</f>
        <v>0</v>
      </c>
      <c r="P17" s="52">
        <f t="shared" si="0"/>
        <v>0</v>
      </c>
      <c r="Q17" s="52">
        <f t="shared" si="0"/>
        <v>0</v>
      </c>
      <c r="R17" s="52">
        <f t="shared" si="0"/>
        <v>0</v>
      </c>
      <c r="S17" s="52">
        <f t="shared" si="0"/>
        <v>0</v>
      </c>
      <c r="T17" s="52">
        <f t="shared" si="0"/>
        <v>0</v>
      </c>
      <c r="U17" s="52">
        <f t="shared" si="0"/>
        <v>0</v>
      </c>
      <c r="V17" s="52">
        <f t="shared" si="0"/>
        <v>0</v>
      </c>
      <c r="W17" s="52">
        <f t="shared" si="0"/>
        <v>0</v>
      </c>
      <c r="X17" s="52">
        <f t="shared" si="0"/>
        <v>0</v>
      </c>
      <c r="Y17" s="52">
        <f t="shared" si="0"/>
        <v>0</v>
      </c>
      <c r="Z17" s="52">
        <f t="shared" si="0"/>
        <v>0</v>
      </c>
    </row>
    <row r="18" spans="1:26" ht="15" x14ac:dyDescent="0.25">
      <c r="A18" s="93"/>
      <c r="B18" s="93"/>
      <c r="C18" s="93"/>
      <c r="D18" s="10"/>
      <c r="E18" s="11"/>
      <c r="F18" s="48"/>
      <c r="G18" s="48"/>
      <c r="H18" s="48"/>
      <c r="I18" s="48"/>
      <c r="J18" s="48"/>
      <c r="K18" s="48"/>
      <c r="L18" s="11"/>
      <c r="M18" s="53">
        <f>+M118</f>
        <v>0</v>
      </c>
      <c r="N18" s="11">
        <f t="shared" ref="N18" si="1">SUM(O18:Z18)</f>
        <v>0</v>
      </c>
      <c r="O18" s="52">
        <f t="shared" ref="O18:Z18" si="2">+O118</f>
        <v>0</v>
      </c>
      <c r="P18" s="52">
        <f t="shared" si="2"/>
        <v>0</v>
      </c>
      <c r="Q18" s="52">
        <f t="shared" si="2"/>
        <v>0</v>
      </c>
      <c r="R18" s="52">
        <f t="shared" si="2"/>
        <v>0</v>
      </c>
      <c r="S18" s="52">
        <f t="shared" si="2"/>
        <v>0</v>
      </c>
      <c r="T18" s="52">
        <f t="shared" si="2"/>
        <v>0</v>
      </c>
      <c r="U18" s="52">
        <f t="shared" si="2"/>
        <v>0</v>
      </c>
      <c r="V18" s="52">
        <f t="shared" si="2"/>
        <v>0</v>
      </c>
      <c r="W18" s="52">
        <f t="shared" si="2"/>
        <v>0</v>
      </c>
      <c r="X18" s="52">
        <f t="shared" si="2"/>
        <v>0</v>
      </c>
      <c r="Y18" s="52">
        <f t="shared" si="2"/>
        <v>0</v>
      </c>
      <c r="Z18" s="52">
        <f t="shared" si="2"/>
        <v>0</v>
      </c>
    </row>
    <row r="19" spans="1:26" ht="15" x14ac:dyDescent="0.25">
      <c r="A19" s="93"/>
      <c r="B19" s="93"/>
      <c r="C19" s="93"/>
      <c r="D19" s="10"/>
      <c r="E19" s="11"/>
      <c r="F19" s="48"/>
      <c r="G19" s="48"/>
      <c r="H19" s="48"/>
      <c r="I19" s="48"/>
      <c r="J19" s="48"/>
      <c r="K19" s="48"/>
      <c r="L19" s="11"/>
      <c r="M19" s="53">
        <f>+M134</f>
        <v>0</v>
      </c>
      <c r="N19" s="11">
        <f t="shared" ref="N19:Z19" si="3">+N134</f>
        <v>0</v>
      </c>
      <c r="O19" s="52">
        <f t="shared" si="3"/>
        <v>0</v>
      </c>
      <c r="P19" s="52">
        <f t="shared" si="3"/>
        <v>0</v>
      </c>
      <c r="Q19" s="52">
        <f t="shared" si="3"/>
        <v>0</v>
      </c>
      <c r="R19" s="52">
        <f t="shared" si="3"/>
        <v>0</v>
      </c>
      <c r="S19" s="52">
        <f t="shared" si="3"/>
        <v>0</v>
      </c>
      <c r="T19" s="52">
        <f t="shared" si="3"/>
        <v>0</v>
      </c>
      <c r="U19" s="52">
        <f t="shared" si="3"/>
        <v>0</v>
      </c>
      <c r="V19" s="52">
        <f t="shared" si="3"/>
        <v>0</v>
      </c>
      <c r="W19" s="52">
        <f t="shared" si="3"/>
        <v>0</v>
      </c>
      <c r="X19" s="52">
        <f t="shared" si="3"/>
        <v>0</v>
      </c>
      <c r="Y19" s="52">
        <f t="shared" si="3"/>
        <v>0</v>
      </c>
      <c r="Z19" s="52">
        <f t="shared" si="3"/>
        <v>0</v>
      </c>
    </row>
    <row r="20" spans="1:26" ht="15" x14ac:dyDescent="0.25">
      <c r="A20" s="93"/>
      <c r="B20" s="93"/>
      <c r="C20" s="93"/>
      <c r="D20" s="10"/>
      <c r="E20" s="11"/>
      <c r="F20" s="48"/>
      <c r="G20" s="48"/>
      <c r="H20" s="48"/>
      <c r="I20" s="48"/>
      <c r="J20" s="48"/>
      <c r="K20" s="48"/>
      <c r="L20" s="11"/>
      <c r="M20" s="48"/>
      <c r="N20" s="12"/>
      <c r="O20" s="12" t="s">
        <v>5</v>
      </c>
      <c r="P20" s="12"/>
      <c r="Q20" s="12"/>
      <c r="R20" s="12"/>
      <c r="S20" s="12"/>
      <c r="T20" s="12"/>
      <c r="U20" s="12"/>
      <c r="V20" s="12"/>
      <c r="W20" s="12"/>
      <c r="X20" s="12"/>
      <c r="Y20" s="12"/>
      <c r="Z20" s="12"/>
    </row>
    <row r="21" spans="1:26" ht="15" x14ac:dyDescent="0.25">
      <c r="A21" s="93"/>
      <c r="B21" s="93"/>
      <c r="C21" s="93"/>
      <c r="D21" s="10"/>
      <c r="E21" s="11"/>
      <c r="F21" s="48"/>
      <c r="G21" s="48"/>
      <c r="H21" s="48"/>
      <c r="I21" s="48"/>
      <c r="J21" s="48"/>
      <c r="K21" s="48"/>
      <c r="L21" s="11"/>
      <c r="M21" s="48"/>
      <c r="N21" s="12"/>
      <c r="O21" s="12"/>
      <c r="P21" s="12"/>
      <c r="Q21" s="12"/>
      <c r="R21" s="12"/>
      <c r="S21" s="12"/>
      <c r="T21" s="12"/>
      <c r="U21" s="12"/>
      <c r="V21" s="12"/>
      <c r="W21" s="12"/>
      <c r="X21" s="12"/>
      <c r="Y21" s="12"/>
      <c r="Z21" s="12"/>
    </row>
    <row r="22" spans="1:26" ht="15" hidden="1" x14ac:dyDescent="0.25">
      <c r="A22" s="93"/>
      <c r="B22" s="93"/>
      <c r="C22" s="93"/>
      <c r="D22" s="10"/>
      <c r="E22" s="11"/>
      <c r="F22" s="48"/>
      <c r="G22" s="48"/>
      <c r="H22" s="48"/>
      <c r="I22" s="48"/>
      <c r="J22" s="48"/>
      <c r="K22" s="48"/>
      <c r="L22" s="11"/>
      <c r="M22" s="48"/>
      <c r="N22" s="12"/>
      <c r="O22" s="12"/>
      <c r="P22" s="12"/>
      <c r="Q22" s="12"/>
      <c r="R22" s="12"/>
      <c r="S22" s="12"/>
      <c r="T22" s="12"/>
      <c r="U22" s="12"/>
      <c r="V22" s="12"/>
      <c r="W22" s="12"/>
      <c r="X22" s="12"/>
      <c r="Y22" s="12"/>
      <c r="Z22" s="12"/>
    </row>
    <row r="23" spans="1:26" ht="15" hidden="1" x14ac:dyDescent="0.25">
      <c r="A23" s="93"/>
      <c r="B23" s="93"/>
      <c r="C23" s="93"/>
      <c r="D23" s="10"/>
      <c r="E23" s="11"/>
      <c r="F23" s="48"/>
      <c r="G23" s="48"/>
      <c r="H23" s="48"/>
      <c r="I23" s="48"/>
      <c r="J23" s="48"/>
      <c r="K23" s="48"/>
      <c r="L23" s="11"/>
      <c r="M23" s="48"/>
      <c r="N23" s="12"/>
      <c r="O23" s="12"/>
      <c r="P23" s="12"/>
      <c r="Q23" s="12"/>
      <c r="R23" s="12"/>
      <c r="S23" s="12"/>
      <c r="T23" s="12"/>
      <c r="U23" s="12"/>
      <c r="V23" s="12"/>
      <c r="W23" s="12"/>
      <c r="X23" s="12"/>
      <c r="Y23" s="12"/>
      <c r="Z23" s="12"/>
    </row>
    <row r="24" spans="1:26" ht="15" hidden="1"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hidden="1"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hidden="1"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25.9" customHeight="1" x14ac:dyDescent="0.25">
      <c r="A27" s="69"/>
      <c r="B27" s="70"/>
      <c r="C27" s="70"/>
      <c r="D27" s="71"/>
      <c r="E27" s="11"/>
      <c r="F27" s="72"/>
      <c r="G27" s="72"/>
      <c r="H27" s="72"/>
      <c r="I27" s="72"/>
      <c r="J27" s="74" t="s">
        <v>20</v>
      </c>
      <c r="K27" s="73"/>
      <c r="L27" s="32">
        <f>SUM(L17:L26)</f>
        <v>6</v>
      </c>
      <c r="M27" s="32">
        <f>SUM(M2:M26)</f>
        <v>12</v>
      </c>
      <c r="N27" s="32">
        <f>SUM(N16:N26)</f>
        <v>0</v>
      </c>
      <c r="O27" s="32">
        <f>SUM(O17:O26)</f>
        <v>0</v>
      </c>
      <c r="P27" s="32">
        <f t="shared" ref="P27:Z27" si="4">SUM(P17:P26)</f>
        <v>0</v>
      </c>
      <c r="Q27" s="32">
        <f t="shared" si="4"/>
        <v>0</v>
      </c>
      <c r="R27" s="32">
        <f t="shared" si="4"/>
        <v>0</v>
      </c>
      <c r="S27" s="32">
        <f t="shared" si="4"/>
        <v>0</v>
      </c>
      <c r="T27" s="32">
        <f t="shared" si="4"/>
        <v>0</v>
      </c>
      <c r="U27" s="32">
        <f t="shared" si="4"/>
        <v>0</v>
      </c>
      <c r="V27" s="32">
        <f t="shared" si="4"/>
        <v>0</v>
      </c>
      <c r="W27" s="32">
        <f t="shared" si="4"/>
        <v>0</v>
      </c>
      <c r="X27" s="32">
        <f t="shared" si="4"/>
        <v>0</v>
      </c>
      <c r="Y27" s="32">
        <f t="shared" si="4"/>
        <v>0</v>
      </c>
      <c r="Z27" s="32">
        <f t="shared" si="4"/>
        <v>0</v>
      </c>
    </row>
    <row r="28" spans="1:26" ht="6.75" customHeight="1" x14ac:dyDescent="0.25">
      <c r="A28" s="71"/>
      <c r="B28" s="71"/>
      <c r="C28" s="71"/>
      <c r="D28" s="71"/>
      <c r="E28" s="71"/>
      <c r="F28" s="71"/>
      <c r="G28" s="71"/>
      <c r="H28" s="71"/>
      <c r="I28" s="71"/>
      <c r="J28" s="71"/>
      <c r="K28" s="71"/>
    </row>
    <row r="29" spans="1:26" ht="18"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x14ac:dyDescent="0.25">
      <c r="A31" s="30" t="str">
        <f>CONCATENATE(B17," ",C17)</f>
        <v xml:space="preserve">Objective 1 </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x14ac:dyDescent="0.25">
      <c r="A32" s="93" t="s">
        <v>250</v>
      </c>
      <c r="B32" s="7" t="s">
        <v>34</v>
      </c>
      <c r="C32" s="7"/>
      <c r="D32" s="10"/>
      <c r="E32" s="1001"/>
      <c r="F32" s="1001"/>
      <c r="G32" s="1001"/>
      <c r="H32" s="1001"/>
      <c r="I32" s="1001"/>
      <c r="J32" s="1001"/>
      <c r="K32" s="1002"/>
      <c r="L32" s="11" t="s">
        <v>60</v>
      </c>
      <c r="M32" s="48"/>
      <c r="N32" s="12"/>
      <c r="O32" s="12" t="s">
        <v>5</v>
      </c>
      <c r="P32" s="12"/>
      <c r="Q32" s="12"/>
      <c r="R32" s="12"/>
      <c r="S32" s="12"/>
      <c r="T32" s="12"/>
      <c r="U32" s="12"/>
      <c r="V32" s="12"/>
      <c r="W32" s="12"/>
      <c r="X32" s="12"/>
      <c r="Y32" s="12"/>
      <c r="Z32" s="12"/>
    </row>
    <row r="33" spans="1:26" ht="15" x14ac:dyDescent="0.25">
      <c r="A33" s="93" t="s">
        <v>263</v>
      </c>
      <c r="B33" s="7"/>
      <c r="C33" s="7"/>
      <c r="D33" s="10"/>
      <c r="E33" s="1001"/>
      <c r="F33" s="1001"/>
      <c r="G33" s="1001"/>
      <c r="H33" s="1001"/>
      <c r="I33" s="1001"/>
      <c r="J33" s="1001"/>
      <c r="K33" s="1002"/>
      <c r="L33" s="11"/>
      <c r="M33" s="48"/>
      <c r="N33" s="12"/>
      <c r="O33" s="12" t="s">
        <v>5</v>
      </c>
      <c r="P33" s="12"/>
      <c r="Q33" s="12"/>
      <c r="R33" s="12"/>
      <c r="S33" s="12"/>
      <c r="T33" s="12"/>
      <c r="U33" s="12"/>
      <c r="V33" s="12"/>
      <c r="W33" s="12"/>
      <c r="X33" s="12"/>
      <c r="Y33" s="12"/>
      <c r="Z33" s="12"/>
    </row>
    <row r="34" spans="1:26" ht="15" x14ac:dyDescent="0.25">
      <c r="A34" s="93"/>
      <c r="B34" s="7"/>
      <c r="C34" s="7"/>
      <c r="D34" s="10"/>
      <c r="E34" s="1001" t="s">
        <v>5</v>
      </c>
      <c r="F34" s="1001" t="s">
        <v>5</v>
      </c>
      <c r="G34" s="1001" t="s">
        <v>5</v>
      </c>
      <c r="H34" s="1001"/>
      <c r="I34" s="1001"/>
      <c r="J34" s="1001"/>
      <c r="K34" s="1002" t="s">
        <v>5</v>
      </c>
      <c r="L34" s="11"/>
      <c r="M34" s="48"/>
      <c r="N34" s="12"/>
      <c r="O34" s="12" t="s">
        <v>5</v>
      </c>
      <c r="P34" s="12"/>
      <c r="Q34" s="12"/>
      <c r="R34" s="12"/>
      <c r="S34" s="12"/>
      <c r="T34" s="12"/>
      <c r="U34" s="12"/>
      <c r="V34" s="12"/>
      <c r="W34" s="12"/>
      <c r="X34" s="12"/>
      <c r="Y34" s="12"/>
      <c r="Z34" s="12"/>
    </row>
    <row r="35" spans="1:26" ht="15"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5" x14ac:dyDescent="0.25">
      <c r="A36" s="93"/>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8" hidden="1" x14ac:dyDescent="0.25">
      <c r="A37" s="30" t="str">
        <f>CONCATENATE(B18," ",C18)</f>
        <v xml:space="preserve"> </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hidden="1" x14ac:dyDescent="0.25">
      <c r="A38" s="93" t="s">
        <v>264</v>
      </c>
      <c r="B38" s="7" t="s">
        <v>36</v>
      </c>
      <c r="C38" s="7"/>
      <c r="D38" s="10"/>
      <c r="E38" s="1001"/>
      <c r="F38" s="1001"/>
      <c r="G38" s="1001"/>
      <c r="H38" s="1001"/>
      <c r="I38" s="1001"/>
      <c r="J38" s="1001"/>
      <c r="K38" s="1002"/>
      <c r="L38" s="11" t="s">
        <v>60</v>
      </c>
      <c r="M38" s="48"/>
      <c r="N38" s="12"/>
      <c r="O38" s="12" t="s">
        <v>5</v>
      </c>
      <c r="P38" s="12"/>
      <c r="Q38" s="12"/>
      <c r="R38" s="12"/>
      <c r="S38" s="12"/>
      <c r="T38" s="12"/>
      <c r="U38" s="12"/>
      <c r="V38" s="12"/>
      <c r="W38" s="12"/>
      <c r="X38" s="12"/>
      <c r="Y38" s="12"/>
      <c r="Z38" s="12"/>
    </row>
    <row r="39" spans="1:26" ht="15" hidden="1" x14ac:dyDescent="0.25">
      <c r="A39" s="93" t="s">
        <v>253</v>
      </c>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5" hidden="1" x14ac:dyDescent="0.25">
      <c r="A40" s="93"/>
      <c r="B40" s="7"/>
      <c r="C40" s="7"/>
      <c r="D40" s="10"/>
      <c r="E40" s="1001" t="s">
        <v>5</v>
      </c>
      <c r="F40" s="1001" t="s">
        <v>5</v>
      </c>
      <c r="G40" s="1001" t="s">
        <v>5</v>
      </c>
      <c r="H40" s="1001"/>
      <c r="I40" s="1001"/>
      <c r="J40" s="1001"/>
      <c r="K40" s="1002" t="s">
        <v>5</v>
      </c>
      <c r="L40" s="11"/>
      <c r="M40" s="48"/>
      <c r="N40" s="12"/>
      <c r="O40" s="12" t="s">
        <v>5</v>
      </c>
      <c r="P40" s="12"/>
      <c r="Q40" s="12"/>
      <c r="R40" s="12"/>
      <c r="S40" s="12"/>
      <c r="T40" s="12"/>
      <c r="U40" s="12"/>
      <c r="V40" s="12"/>
      <c r="W40" s="12"/>
      <c r="X40" s="12"/>
      <c r="Y40" s="12"/>
      <c r="Z40" s="12"/>
    </row>
    <row r="41" spans="1:26" ht="15" hidden="1" x14ac:dyDescent="0.25">
      <c r="A41" s="93"/>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x14ac:dyDescent="0.25">
      <c r="A42" s="93"/>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hidden="1" x14ac:dyDescent="0.25">
      <c r="A43" s="30" t="str">
        <f>CONCATENATE(B19," ",C19)</f>
        <v xml:space="preserve"> </v>
      </c>
      <c r="B43" s="30"/>
      <c r="C43" s="31"/>
      <c r="D43" s="31"/>
      <c r="E43" s="29"/>
      <c r="F43" s="29"/>
      <c r="G43" s="29"/>
      <c r="H43" s="29"/>
      <c r="I43" s="29"/>
      <c r="J43" s="29"/>
      <c r="K43" s="29"/>
      <c r="L43" s="29"/>
      <c r="M43" s="29"/>
      <c r="N43" s="29"/>
      <c r="O43" s="29" t="s">
        <v>5</v>
      </c>
      <c r="P43" s="29"/>
      <c r="Q43" s="29"/>
      <c r="R43" s="29"/>
      <c r="S43" s="29"/>
      <c r="T43" s="29"/>
      <c r="U43" s="29"/>
      <c r="V43" s="29"/>
      <c r="W43" s="29"/>
      <c r="X43" s="29"/>
      <c r="Y43" s="29"/>
      <c r="Z43" s="29"/>
    </row>
    <row r="44" spans="1:26" ht="15" hidden="1" x14ac:dyDescent="0.25">
      <c r="A44" s="93" t="s">
        <v>265</v>
      </c>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x14ac:dyDescent="0.25">
      <c r="A45" s="93" t="s">
        <v>266</v>
      </c>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5" hidden="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5" hidden="1" x14ac:dyDescent="0.25">
      <c r="A47" s="93"/>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hidden="1" outlineLevel="1" x14ac:dyDescent="0.25">
      <c r="A49" s="30" t="str">
        <f>CONCATENATE(B20," ",C20)</f>
        <v xml:space="preserve"> </v>
      </c>
      <c r="B49" s="30"/>
      <c r="C49" s="31"/>
      <c r="D49" s="31"/>
      <c r="E49" s="29"/>
      <c r="F49" s="29"/>
      <c r="G49" s="29"/>
      <c r="H49" s="29"/>
      <c r="I49" s="29"/>
      <c r="J49" s="29"/>
      <c r="K49" s="29"/>
      <c r="L49" s="29"/>
      <c r="M49" s="29"/>
      <c r="N49" s="29"/>
      <c r="O49" s="29" t="s">
        <v>5</v>
      </c>
      <c r="P49" s="29"/>
      <c r="Q49" s="29"/>
      <c r="R49" s="29"/>
      <c r="S49" s="29"/>
      <c r="T49" s="29"/>
      <c r="U49" s="29"/>
      <c r="V49" s="29"/>
      <c r="W49" s="29"/>
      <c r="X49" s="29"/>
      <c r="Y49" s="29"/>
      <c r="Z49" s="29"/>
    </row>
    <row r="50" spans="1:26" ht="15" hidden="1" outlineLevel="1" x14ac:dyDescent="0.25">
      <c r="A50" s="93" t="s">
        <v>267</v>
      </c>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t="s">
        <v>268</v>
      </c>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hidden="1"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t="str">
        <f>CONCATENATE(B21," ",C21)</f>
        <v xml:space="preserve"> </v>
      </c>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t="s">
        <v>269</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t="s">
        <v>270</v>
      </c>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t="str">
        <f>CONCATENATE(B22," ",C22)</f>
        <v xml:space="preserve"> </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t="s">
        <v>271</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t="s">
        <v>272</v>
      </c>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t="str">
        <f>CONCATENATE(B23," ",C23)</f>
        <v xml:space="preserve"> </v>
      </c>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t="s">
        <v>273</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t="s">
        <v>274</v>
      </c>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t="str">
        <f>CONCATENATE(B24," ",C24)</f>
        <v xml:space="preserve"> </v>
      </c>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t="s">
        <v>275</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t="s">
        <v>276</v>
      </c>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t="str">
        <f>CONCATENATE(B25," ",C25)</f>
        <v xml:space="preserve"> </v>
      </c>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t="s">
        <v>277</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t="s">
        <v>278</v>
      </c>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t="str">
        <f>CONCATENATE(B26," ",C26)</f>
        <v xml:space="preserve"> </v>
      </c>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t="s">
        <v>279</v>
      </c>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t="s">
        <v>280</v>
      </c>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collapsed="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 xml:space="preserve">Objective 1 </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60"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15" customHeight="1" x14ac:dyDescent="0.25">
      <c r="A95" s="93" t="s">
        <v>250</v>
      </c>
      <c r="B95" s="93"/>
      <c r="C95" s="93"/>
      <c r="D95" s="140"/>
      <c r="E95" s="11"/>
      <c r="F95" s="11"/>
      <c r="G95" s="11"/>
      <c r="H95" s="11"/>
      <c r="I95" s="11"/>
      <c r="J95" s="11"/>
      <c r="K95" s="11"/>
      <c r="L95" s="11"/>
      <c r="M95" s="11">
        <v>12</v>
      </c>
      <c r="N95" s="137">
        <f t="shared" ref="N95:N102" si="5">SUM(O95:Z95)</f>
        <v>0</v>
      </c>
      <c r="O95" s="11"/>
      <c r="P95" s="11"/>
      <c r="Q95" s="11"/>
      <c r="R95" s="11"/>
      <c r="S95" s="11"/>
      <c r="T95" s="11"/>
      <c r="U95" s="11"/>
      <c r="V95" s="11"/>
      <c r="W95" s="11"/>
      <c r="X95" s="11"/>
      <c r="Y95" s="11"/>
      <c r="Z95" s="11"/>
    </row>
    <row r="96" spans="1:26" ht="15" x14ac:dyDescent="0.25">
      <c r="A96" s="93"/>
      <c r="B96" s="93"/>
      <c r="C96" s="93"/>
      <c r="D96" s="140"/>
      <c r="E96" s="11"/>
      <c r="F96" s="11"/>
      <c r="G96" s="11"/>
      <c r="H96" s="11"/>
      <c r="I96" s="11"/>
      <c r="J96" s="11"/>
      <c r="K96" s="11"/>
      <c r="L96" s="11"/>
      <c r="M96" s="11"/>
      <c r="N96" s="137">
        <f t="shared" si="5"/>
        <v>0</v>
      </c>
      <c r="O96" s="11"/>
      <c r="P96" s="11"/>
      <c r="Q96" s="11"/>
      <c r="R96" s="11"/>
      <c r="S96" s="11"/>
      <c r="T96" s="11"/>
      <c r="U96" s="11"/>
      <c r="V96" s="11"/>
      <c r="W96" s="11"/>
      <c r="X96" s="11"/>
      <c r="Y96" s="11"/>
      <c r="Z96" s="11"/>
    </row>
    <row r="97" spans="1:26" ht="15" x14ac:dyDescent="0.25">
      <c r="A97" s="93"/>
      <c r="B97" s="93"/>
      <c r="C97" s="93"/>
      <c r="D97" s="10"/>
      <c r="E97" s="11"/>
      <c r="F97" s="11"/>
      <c r="G97" s="11"/>
      <c r="H97" s="11"/>
      <c r="I97" s="11"/>
      <c r="J97" s="11"/>
      <c r="K97" s="11"/>
      <c r="L97" s="11"/>
      <c r="M97" s="11"/>
      <c r="N97" s="137">
        <f t="shared" si="5"/>
        <v>0</v>
      </c>
      <c r="O97" s="11"/>
      <c r="P97" s="11"/>
      <c r="Q97" s="11"/>
      <c r="R97" s="11"/>
      <c r="S97" s="11"/>
      <c r="T97" s="11"/>
      <c r="U97" s="11"/>
      <c r="V97" s="11"/>
      <c r="W97" s="11"/>
      <c r="X97" s="11"/>
      <c r="Y97" s="11"/>
      <c r="Z97" s="11"/>
    </row>
    <row r="98" spans="1:26" ht="15" hidden="1" x14ac:dyDescent="0.25">
      <c r="A98" s="93"/>
      <c r="B98" s="93"/>
      <c r="C98" s="93"/>
      <c r="D98" s="140"/>
      <c r="E98" s="11"/>
      <c r="F98" s="11"/>
      <c r="G98" s="11"/>
      <c r="H98" s="11"/>
      <c r="I98" s="11"/>
      <c r="J98" s="11"/>
      <c r="K98" s="11"/>
      <c r="L98" s="11"/>
      <c r="M98" s="11"/>
      <c r="N98" s="137">
        <f t="shared" si="5"/>
        <v>0</v>
      </c>
      <c r="O98" s="11"/>
      <c r="P98" s="11"/>
      <c r="Q98" s="11"/>
      <c r="R98" s="11"/>
      <c r="S98" s="11"/>
      <c r="T98" s="11"/>
      <c r="U98" s="11"/>
      <c r="V98" s="11"/>
      <c r="W98" s="11"/>
      <c r="X98" s="11"/>
      <c r="Y98" s="11"/>
      <c r="Z98" s="11"/>
    </row>
    <row r="99" spans="1:26" ht="15" hidden="1" x14ac:dyDescent="0.25">
      <c r="A99" s="93"/>
      <c r="B99" s="93"/>
      <c r="C99" s="93"/>
      <c r="D99" s="140"/>
      <c r="E99" s="11"/>
      <c r="F99" s="11"/>
      <c r="G99" s="11"/>
      <c r="H99" s="11"/>
      <c r="I99" s="11"/>
      <c r="J99" s="11"/>
      <c r="K99" s="11"/>
      <c r="L99" s="11"/>
      <c r="M99" s="11"/>
      <c r="N99" s="11">
        <f t="shared" si="5"/>
        <v>0</v>
      </c>
      <c r="O99" s="11"/>
      <c r="P99" s="11"/>
      <c r="Q99" s="11"/>
      <c r="R99" s="11"/>
      <c r="S99" s="11"/>
      <c r="T99" s="11"/>
      <c r="U99" s="11"/>
      <c r="V99" s="11"/>
      <c r="W99" s="11"/>
      <c r="X99" s="11"/>
      <c r="Y99" s="11"/>
      <c r="Z99" s="11"/>
    </row>
    <row r="100" spans="1:26" ht="15" hidden="1" x14ac:dyDescent="0.25">
      <c r="A100" s="93"/>
      <c r="B100" s="93"/>
      <c r="C100" s="93"/>
      <c r="D100" s="140"/>
      <c r="E100" s="11"/>
      <c r="F100" s="11"/>
      <c r="G100" s="11"/>
      <c r="H100" s="11"/>
      <c r="I100" s="11"/>
      <c r="J100" s="11"/>
      <c r="K100" s="11"/>
      <c r="L100" s="11"/>
      <c r="M100" s="11"/>
      <c r="N100" s="11">
        <f t="shared" si="5"/>
        <v>0</v>
      </c>
      <c r="O100" s="11"/>
      <c r="P100" s="11"/>
      <c r="Q100" s="11"/>
      <c r="R100" s="11"/>
      <c r="S100" s="11"/>
      <c r="T100" s="11"/>
      <c r="U100" s="11"/>
      <c r="V100" s="11"/>
      <c r="W100" s="11"/>
      <c r="X100" s="11"/>
      <c r="Y100" s="11"/>
      <c r="Z100" s="11"/>
    </row>
    <row r="101" spans="1:26" ht="15" hidden="1" x14ac:dyDescent="0.25">
      <c r="A101" s="93"/>
      <c r="B101" s="93"/>
      <c r="C101" s="93"/>
      <c r="D101" s="140"/>
      <c r="E101" s="11"/>
      <c r="F101" s="11"/>
      <c r="G101" s="11"/>
      <c r="H101" s="11"/>
      <c r="I101" s="11"/>
      <c r="J101" s="11"/>
      <c r="K101" s="11"/>
      <c r="L101" s="11"/>
      <c r="M101" s="11"/>
      <c r="N101" s="11">
        <f t="shared" si="5"/>
        <v>0</v>
      </c>
      <c r="O101" s="11"/>
      <c r="P101" s="11"/>
      <c r="Q101" s="11"/>
      <c r="R101" s="11"/>
      <c r="S101" s="11"/>
      <c r="T101" s="11"/>
      <c r="U101" s="11"/>
      <c r="V101" s="11"/>
      <c r="W101" s="11"/>
      <c r="X101" s="11"/>
      <c r="Y101" s="11"/>
      <c r="Z101" s="11"/>
    </row>
    <row r="102" spans="1:26" ht="15" x14ac:dyDescent="0.25">
      <c r="A102" s="93" t="s">
        <v>282</v>
      </c>
      <c r="B102" s="93"/>
      <c r="C102" s="93"/>
      <c r="D102" s="140"/>
      <c r="E102" s="11"/>
      <c r="F102" s="11"/>
      <c r="G102" s="11"/>
      <c r="H102" s="11"/>
      <c r="I102" s="11"/>
      <c r="J102" s="11"/>
      <c r="K102" s="11"/>
      <c r="L102" s="11"/>
      <c r="M102" s="11"/>
      <c r="N102" s="11">
        <f t="shared" si="5"/>
        <v>0</v>
      </c>
      <c r="O102" s="11"/>
      <c r="P102" s="11"/>
      <c r="Q102" s="11"/>
      <c r="R102" s="11"/>
      <c r="S102" s="11"/>
      <c r="T102" s="11"/>
      <c r="U102" s="11"/>
      <c r="V102" s="11"/>
      <c r="W102" s="11"/>
      <c r="X102" s="11"/>
      <c r="Y102" s="11"/>
      <c r="Z102" s="11"/>
    </row>
    <row r="103" spans="1:26" s="35" customFormat="1" ht="22.5" customHeight="1" x14ac:dyDescent="0.25">
      <c r="A103" s="33"/>
      <c r="B103" s="34"/>
      <c r="C103" s="34"/>
      <c r="D103" s="34"/>
      <c r="E103" s="50"/>
      <c r="F103" s="50"/>
      <c r="G103" s="50"/>
      <c r="H103" s="50"/>
      <c r="I103" s="50"/>
      <c r="J103" s="51" t="s">
        <v>20</v>
      </c>
      <c r="K103" s="50"/>
      <c r="L103" s="32">
        <f t="shared" ref="L103:Z103" si="6">SUM(L95:L102)</f>
        <v>0</v>
      </c>
      <c r="M103" s="32">
        <f t="shared" si="6"/>
        <v>12</v>
      </c>
      <c r="N103" s="32">
        <f t="shared" si="6"/>
        <v>0</v>
      </c>
      <c r="O103" s="32">
        <f t="shared" si="6"/>
        <v>0</v>
      </c>
      <c r="P103" s="32">
        <f t="shared" si="6"/>
        <v>0</v>
      </c>
      <c r="Q103" s="32">
        <f t="shared" si="6"/>
        <v>0</v>
      </c>
      <c r="R103" s="32">
        <f t="shared" si="6"/>
        <v>0</v>
      </c>
      <c r="S103" s="32">
        <f t="shared" si="6"/>
        <v>0</v>
      </c>
      <c r="T103" s="32">
        <f t="shared" si="6"/>
        <v>0</v>
      </c>
      <c r="U103" s="32">
        <f t="shared" si="6"/>
        <v>0</v>
      </c>
      <c r="V103" s="32">
        <f t="shared" si="6"/>
        <v>0</v>
      </c>
      <c r="W103" s="32">
        <f t="shared" si="6"/>
        <v>0</v>
      </c>
      <c r="X103" s="32">
        <f t="shared" si="6"/>
        <v>0</v>
      </c>
      <c r="Y103" s="32">
        <f t="shared" si="6"/>
        <v>0</v>
      </c>
      <c r="Z103" s="32">
        <f t="shared" si="6"/>
        <v>0</v>
      </c>
    </row>
    <row r="104" spans="1:26" ht="18" hidden="1" x14ac:dyDescent="0.25">
      <c r="A104" s="30" t="str">
        <f>CONCATENATE(B18," ",C18)</f>
        <v xml:space="preserve"> </v>
      </c>
      <c r="B104" s="30"/>
      <c r="C104" s="31"/>
      <c r="D104" s="31"/>
      <c r="E104" s="29"/>
      <c r="F104" s="29"/>
      <c r="G104" s="29"/>
      <c r="H104" s="29"/>
      <c r="I104" s="29"/>
      <c r="J104" s="29"/>
      <c r="K104" s="29"/>
      <c r="L104" s="29"/>
      <c r="M104" s="29"/>
      <c r="N104" s="29"/>
      <c r="O104" s="29" t="s">
        <v>5</v>
      </c>
      <c r="P104" s="29"/>
      <c r="Q104" s="29"/>
      <c r="R104" s="29"/>
      <c r="S104" s="29"/>
      <c r="T104" s="29"/>
      <c r="U104" s="29"/>
      <c r="V104" s="29"/>
      <c r="W104" s="29"/>
      <c r="X104" s="29"/>
      <c r="Y104" s="29"/>
      <c r="Z104" s="29"/>
    </row>
    <row r="105" spans="1:26" ht="60" hidden="1" x14ac:dyDescent="0.25">
      <c r="A105" s="92" t="s">
        <v>261</v>
      </c>
      <c r="B105" s="92" t="s">
        <v>13</v>
      </c>
      <c r="C105" s="92" t="s">
        <v>14</v>
      </c>
      <c r="D105" s="133" t="s">
        <v>286</v>
      </c>
      <c r="E105" s="32" t="s">
        <v>16</v>
      </c>
      <c r="F105" s="32" t="s">
        <v>295</v>
      </c>
      <c r="G105" s="32" t="s">
        <v>39</v>
      </c>
      <c r="H105" s="32" t="s">
        <v>297</v>
      </c>
      <c r="I105" s="32" t="s">
        <v>298</v>
      </c>
      <c r="J105" s="32" t="s">
        <v>299</v>
      </c>
      <c r="K105" s="32" t="s">
        <v>300</v>
      </c>
      <c r="L105" s="32" t="s">
        <v>17</v>
      </c>
      <c r="M105" s="32" t="s">
        <v>18</v>
      </c>
      <c r="N105" s="32" t="s">
        <v>19</v>
      </c>
      <c r="O105" s="66">
        <v>43101</v>
      </c>
      <c r="P105" s="66">
        <v>43132</v>
      </c>
      <c r="Q105" s="66">
        <v>43160</v>
      </c>
      <c r="R105" s="66">
        <v>43191</v>
      </c>
      <c r="S105" s="66">
        <v>43221</v>
      </c>
      <c r="T105" s="66">
        <v>43252</v>
      </c>
      <c r="U105" s="66">
        <v>43282</v>
      </c>
      <c r="V105" s="66">
        <v>43313</v>
      </c>
      <c r="W105" s="66">
        <v>43344</v>
      </c>
      <c r="X105" s="66">
        <v>43374</v>
      </c>
      <c r="Y105" s="66">
        <v>43405</v>
      </c>
      <c r="Z105" s="66">
        <v>43435</v>
      </c>
    </row>
    <row r="106" spans="1:26" ht="15" hidden="1" x14ac:dyDescent="0.25">
      <c r="A106" s="93" t="s">
        <v>263</v>
      </c>
      <c r="B106" s="93"/>
      <c r="C106" s="93"/>
      <c r="D106" s="140"/>
      <c r="E106" s="11"/>
      <c r="F106" s="11"/>
      <c r="G106" s="11"/>
      <c r="H106" s="11"/>
      <c r="I106" s="11"/>
      <c r="J106" s="11"/>
      <c r="K106" s="11"/>
      <c r="L106" s="11"/>
      <c r="M106" s="11"/>
      <c r="N106" s="137">
        <f>SUM(O106:Z106)</f>
        <v>0</v>
      </c>
      <c r="O106" s="11"/>
      <c r="P106" s="11"/>
      <c r="Q106" s="11"/>
      <c r="R106" s="11"/>
      <c r="S106" s="11"/>
      <c r="T106" s="11"/>
      <c r="U106" s="11"/>
      <c r="V106" s="11"/>
      <c r="W106" s="11"/>
      <c r="X106" s="11"/>
      <c r="Y106" s="11"/>
      <c r="Z106" s="11"/>
    </row>
    <row r="107" spans="1:26" ht="15" hidden="1" x14ac:dyDescent="0.25">
      <c r="A107" s="93" t="s">
        <v>281</v>
      </c>
      <c r="B107" s="93"/>
      <c r="C107" s="93"/>
      <c r="D107" s="140"/>
      <c r="E107" s="11"/>
      <c r="F107" s="11"/>
      <c r="G107" s="11"/>
      <c r="H107" s="11"/>
      <c r="I107" s="11"/>
      <c r="J107" s="11"/>
      <c r="K107" s="11"/>
      <c r="L107" s="11"/>
      <c r="M107" s="11"/>
      <c r="N107" s="137">
        <f>SUM(O107:Z107)</f>
        <v>0</v>
      </c>
      <c r="O107" s="11"/>
      <c r="P107" s="11"/>
      <c r="Q107" s="11"/>
      <c r="R107" s="11"/>
      <c r="S107" s="11"/>
      <c r="T107" s="11"/>
      <c r="U107" s="11"/>
      <c r="V107" s="11"/>
      <c r="W107" s="11"/>
      <c r="X107" s="11"/>
      <c r="Y107" s="11"/>
      <c r="Z107" s="11"/>
    </row>
    <row r="108" spans="1:26" ht="15" hidden="1" x14ac:dyDescent="0.25">
      <c r="A108" s="93"/>
      <c r="B108" s="93"/>
      <c r="C108" s="93"/>
      <c r="D108" s="140"/>
      <c r="E108" s="11"/>
      <c r="F108" s="11"/>
      <c r="G108" s="11"/>
      <c r="H108" s="11"/>
      <c r="I108" s="11"/>
      <c r="J108" s="11"/>
      <c r="K108" s="11"/>
      <c r="L108" s="11"/>
      <c r="M108" s="11"/>
      <c r="N108" s="137">
        <f>SUM(O108:Z108)</f>
        <v>0</v>
      </c>
      <c r="O108" s="11"/>
      <c r="P108" s="11"/>
      <c r="Q108" s="11"/>
      <c r="R108" s="11"/>
      <c r="S108" s="11"/>
      <c r="T108" s="11"/>
      <c r="U108" s="11"/>
      <c r="V108" s="11"/>
      <c r="W108" s="11"/>
      <c r="X108" s="11"/>
      <c r="Y108" s="11"/>
      <c r="Z108" s="11"/>
    </row>
    <row r="109" spans="1:26" ht="15" hidden="1" x14ac:dyDescent="0.25">
      <c r="A109" s="93"/>
      <c r="B109" s="93"/>
      <c r="C109" s="93"/>
      <c r="D109" s="140"/>
      <c r="E109" s="11"/>
      <c r="F109" s="11"/>
      <c r="G109" s="140"/>
      <c r="H109" s="11"/>
      <c r="I109" s="11"/>
      <c r="J109" s="11"/>
      <c r="K109" s="11"/>
      <c r="L109" s="11"/>
      <c r="M109" s="11"/>
      <c r="N109" s="137">
        <f t="shared" ref="N109:N116" si="7">SUM(O109:Z109)</f>
        <v>0</v>
      </c>
      <c r="O109" s="11"/>
      <c r="P109" s="11"/>
      <c r="Q109" s="11"/>
      <c r="R109" s="11"/>
      <c r="S109" s="11"/>
      <c r="T109" s="11"/>
      <c r="U109" s="11"/>
      <c r="V109" s="11"/>
      <c r="W109" s="11"/>
      <c r="X109" s="11"/>
      <c r="Y109" s="11"/>
      <c r="Z109" s="11"/>
    </row>
    <row r="110" spans="1:26" ht="15" hidden="1" x14ac:dyDescent="0.25">
      <c r="A110" s="93"/>
      <c r="B110" s="93"/>
      <c r="C110" s="93"/>
      <c r="D110" s="140"/>
      <c r="E110" s="11"/>
      <c r="F110" s="11"/>
      <c r="G110" s="140"/>
      <c r="H110" s="11"/>
      <c r="I110" s="11"/>
      <c r="J110" s="11"/>
      <c r="K110" s="11"/>
      <c r="L110" s="11"/>
      <c r="M110" s="11"/>
      <c r="N110" s="137">
        <f t="shared" si="7"/>
        <v>0</v>
      </c>
      <c r="O110" s="11"/>
      <c r="P110" s="11"/>
      <c r="Q110" s="11"/>
      <c r="R110" s="11"/>
      <c r="S110" s="11"/>
      <c r="T110" s="11"/>
      <c r="U110" s="11"/>
      <c r="V110" s="11"/>
      <c r="W110" s="11"/>
      <c r="X110" s="11"/>
      <c r="Y110" s="11"/>
      <c r="Z110" s="11"/>
    </row>
    <row r="111" spans="1:26" ht="15" hidden="1" x14ac:dyDescent="0.25">
      <c r="A111" s="93"/>
      <c r="B111" s="93"/>
      <c r="C111" s="93"/>
      <c r="D111" s="140"/>
      <c r="E111" s="11"/>
      <c r="F111" s="11"/>
      <c r="G111" s="11"/>
      <c r="H111" s="11"/>
      <c r="I111" s="11"/>
      <c r="J111" s="11"/>
      <c r="K111" s="11"/>
      <c r="L111" s="11"/>
      <c r="M111" s="11"/>
      <c r="N111" s="137">
        <f t="shared" si="7"/>
        <v>0</v>
      </c>
      <c r="O111" s="11"/>
      <c r="P111" s="11"/>
      <c r="Q111" s="11"/>
      <c r="R111" s="11"/>
      <c r="S111" s="11"/>
      <c r="T111" s="11"/>
      <c r="U111" s="11"/>
      <c r="V111" s="11"/>
      <c r="W111" s="11"/>
      <c r="X111" s="11"/>
      <c r="Y111" s="11"/>
      <c r="Z111" s="11"/>
    </row>
    <row r="112" spans="1:26" ht="15" hidden="1" x14ac:dyDescent="0.25">
      <c r="A112" s="93"/>
      <c r="B112" s="93"/>
      <c r="C112" s="93"/>
      <c r="D112" s="140"/>
      <c r="E112" s="11"/>
      <c r="F112" s="11"/>
      <c r="G112" s="11"/>
      <c r="H112" s="11"/>
      <c r="I112" s="11"/>
      <c r="J112" s="11"/>
      <c r="K112" s="11"/>
      <c r="L112" s="11"/>
      <c r="M112" s="11"/>
      <c r="N112" s="137">
        <f>SUM(O112:Z112)</f>
        <v>0</v>
      </c>
      <c r="O112" s="11"/>
      <c r="P112" s="11"/>
      <c r="Q112" s="11"/>
      <c r="R112" s="11"/>
      <c r="S112" s="11"/>
      <c r="T112" s="11"/>
      <c r="U112" s="11"/>
      <c r="V112" s="11"/>
      <c r="W112" s="11"/>
      <c r="X112" s="11"/>
      <c r="Y112" s="11"/>
      <c r="Z112" s="11"/>
    </row>
    <row r="113" spans="1:26" ht="15" hidden="1" x14ac:dyDescent="0.25">
      <c r="A113" s="93"/>
      <c r="B113" s="93"/>
      <c r="C113" s="93"/>
      <c r="D113" s="140"/>
      <c r="E113" s="11"/>
      <c r="F113" s="11"/>
      <c r="G113" s="11"/>
      <c r="H113" s="11"/>
      <c r="I113" s="11"/>
      <c r="J113" s="11"/>
      <c r="K113" s="11"/>
      <c r="L113" s="11"/>
      <c r="M113" s="11"/>
      <c r="N113" s="137">
        <f t="shared" si="7"/>
        <v>0</v>
      </c>
      <c r="O113" s="11"/>
      <c r="P113" s="11"/>
      <c r="Q113" s="11"/>
      <c r="R113" s="11"/>
      <c r="S113" s="11"/>
      <c r="T113" s="11"/>
      <c r="U113" s="11"/>
      <c r="V113" s="11"/>
      <c r="W113" s="11"/>
      <c r="X113" s="11"/>
      <c r="Y113" s="11"/>
      <c r="Z113" s="11"/>
    </row>
    <row r="114" spans="1:26" ht="15" hidden="1" x14ac:dyDescent="0.25">
      <c r="A114" s="93"/>
      <c r="B114" s="93"/>
      <c r="C114" s="93"/>
      <c r="D114" s="140"/>
      <c r="E114" s="11"/>
      <c r="F114" s="11"/>
      <c r="G114" s="11"/>
      <c r="H114" s="11"/>
      <c r="I114" s="11"/>
      <c r="J114" s="11"/>
      <c r="K114" s="11"/>
      <c r="L114" s="11"/>
      <c r="M114" s="11"/>
      <c r="N114" s="137">
        <f t="shared" si="7"/>
        <v>0</v>
      </c>
      <c r="O114" s="11"/>
      <c r="P114" s="11"/>
      <c r="Q114" s="11"/>
      <c r="R114" s="11"/>
      <c r="S114" s="11"/>
      <c r="T114" s="11"/>
      <c r="U114" s="11"/>
      <c r="V114" s="11"/>
      <c r="W114" s="11"/>
      <c r="X114" s="11"/>
      <c r="Y114" s="11"/>
      <c r="Z114" s="11"/>
    </row>
    <row r="115" spans="1:26" ht="15" hidden="1" x14ac:dyDescent="0.25">
      <c r="A115" s="93"/>
      <c r="B115" s="93"/>
      <c r="C115" s="93"/>
      <c r="D115" s="140"/>
      <c r="E115" s="11"/>
      <c r="F115" s="11"/>
      <c r="G115" s="11"/>
      <c r="H115" s="11"/>
      <c r="I115" s="11"/>
      <c r="J115" s="11"/>
      <c r="K115" s="11"/>
      <c r="L115" s="11"/>
      <c r="M115" s="11"/>
      <c r="N115" s="137">
        <f t="shared" si="7"/>
        <v>0</v>
      </c>
      <c r="O115" s="11"/>
      <c r="P115" s="11"/>
      <c r="Q115" s="11"/>
      <c r="R115" s="11"/>
      <c r="S115" s="11"/>
      <c r="T115" s="11"/>
      <c r="U115" s="11"/>
      <c r="V115" s="11"/>
      <c r="W115" s="11"/>
      <c r="X115" s="11"/>
      <c r="Y115" s="11"/>
      <c r="Z115" s="11"/>
    </row>
    <row r="116" spans="1:26" ht="15" hidden="1" x14ac:dyDescent="0.25">
      <c r="A116" s="93"/>
      <c r="B116" s="93"/>
      <c r="C116" s="93"/>
      <c r="D116" s="140"/>
      <c r="E116" s="11"/>
      <c r="F116" s="11"/>
      <c r="G116" s="11"/>
      <c r="H116" s="11"/>
      <c r="I116" s="11"/>
      <c r="J116" s="11"/>
      <c r="K116" s="11"/>
      <c r="L116" s="11"/>
      <c r="M116" s="11"/>
      <c r="N116" s="137">
        <f t="shared" si="7"/>
        <v>0</v>
      </c>
      <c r="O116" s="11"/>
      <c r="P116" s="11"/>
      <c r="Q116" s="11"/>
      <c r="R116" s="11"/>
      <c r="S116" s="11"/>
      <c r="T116" s="11"/>
      <c r="U116" s="11"/>
      <c r="V116" s="11"/>
      <c r="W116" s="11"/>
      <c r="X116" s="11"/>
      <c r="Y116" s="11"/>
      <c r="Z116" s="11"/>
    </row>
    <row r="117" spans="1:26" ht="27.6" hidden="1" customHeight="1" x14ac:dyDescent="0.25">
      <c r="A117" s="93"/>
      <c r="B117" s="93"/>
      <c r="C117" s="93"/>
      <c r="D117" s="140"/>
      <c r="E117" s="11"/>
      <c r="F117" s="11"/>
      <c r="G117" s="11"/>
      <c r="H117" s="11"/>
      <c r="I117" s="11"/>
      <c r="J117" s="11"/>
      <c r="K117" s="11"/>
      <c r="L117" s="11"/>
      <c r="M117" s="11"/>
      <c r="N117" s="139"/>
      <c r="O117" s="11"/>
      <c r="P117" s="11"/>
      <c r="Q117" s="11"/>
      <c r="R117" s="11"/>
      <c r="S117" s="11"/>
      <c r="T117" s="11"/>
      <c r="U117" s="11"/>
      <c r="V117" s="11"/>
      <c r="W117" s="11"/>
      <c r="X117" s="11"/>
      <c r="Y117" s="11"/>
      <c r="Z117" s="11"/>
    </row>
    <row r="118" spans="1:26" s="35" customFormat="1" ht="22.5" hidden="1" customHeight="1" x14ac:dyDescent="0.25">
      <c r="A118" s="33"/>
      <c r="B118" s="34"/>
      <c r="C118" s="34"/>
      <c r="D118" s="34"/>
      <c r="E118" s="50"/>
      <c r="F118" s="50"/>
      <c r="G118" s="50"/>
      <c r="H118" s="50"/>
      <c r="I118" s="50"/>
      <c r="J118" s="51" t="s">
        <v>20</v>
      </c>
      <c r="K118" s="50"/>
      <c r="L118" s="32">
        <f>SUM(L117:L117)</f>
        <v>0</v>
      </c>
      <c r="M118" s="32">
        <f>SUM(M117:M117)</f>
        <v>0</v>
      </c>
      <c r="N118" s="32">
        <f>SUM(N106:N117)</f>
        <v>0</v>
      </c>
      <c r="O118" s="32">
        <f>SUM(O106:O117)</f>
        <v>0</v>
      </c>
      <c r="P118" s="32">
        <f t="shared" ref="P118:Z118" si="8">SUM(P106:P117)</f>
        <v>0</v>
      </c>
      <c r="Q118" s="32">
        <f t="shared" si="8"/>
        <v>0</v>
      </c>
      <c r="R118" s="32">
        <f t="shared" si="8"/>
        <v>0</v>
      </c>
      <c r="S118" s="32">
        <f t="shared" si="8"/>
        <v>0</v>
      </c>
      <c r="T118" s="32">
        <f t="shared" si="8"/>
        <v>0</v>
      </c>
      <c r="U118" s="32">
        <f t="shared" si="8"/>
        <v>0</v>
      </c>
      <c r="V118" s="32">
        <f t="shared" si="8"/>
        <v>0</v>
      </c>
      <c r="W118" s="32">
        <f t="shared" si="8"/>
        <v>0</v>
      </c>
      <c r="X118" s="32">
        <f t="shared" si="8"/>
        <v>0</v>
      </c>
      <c r="Y118" s="32">
        <f t="shared" si="8"/>
        <v>0</v>
      </c>
      <c r="Z118" s="32">
        <f t="shared" si="8"/>
        <v>0</v>
      </c>
    </row>
    <row r="119" spans="1:26" ht="18" hidden="1" x14ac:dyDescent="0.25">
      <c r="A119" s="30" t="str">
        <f>CONCATENATE(B19," ",C19)</f>
        <v xml:space="preserve"> </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6" ht="60" hidden="1" x14ac:dyDescent="0.25">
      <c r="A120" s="92"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6" ht="15" hidden="1" x14ac:dyDescent="0.25">
      <c r="A121" s="93" t="s">
        <v>265</v>
      </c>
      <c r="B121" s="93"/>
      <c r="C121" s="93"/>
      <c r="D121" s="140"/>
      <c r="E121" s="11"/>
      <c r="F121" s="11"/>
      <c r="G121" s="11"/>
      <c r="H121" s="11"/>
      <c r="I121" s="11"/>
      <c r="J121" s="11"/>
      <c r="K121" s="11"/>
      <c r="L121" s="11"/>
      <c r="M121" s="11"/>
      <c r="N121" s="137">
        <f t="shared" ref="N121:N131" si="9">SUM(O121:Z121)</f>
        <v>0</v>
      </c>
      <c r="O121" s="11"/>
      <c r="P121" s="11"/>
      <c r="Q121" s="11"/>
      <c r="R121" s="11"/>
      <c r="S121" s="11"/>
      <c r="T121" s="11"/>
      <c r="U121" s="11"/>
      <c r="V121" s="11"/>
      <c r="W121" s="11"/>
      <c r="X121" s="11"/>
      <c r="Y121" s="11"/>
      <c r="Z121" s="11"/>
    </row>
    <row r="122" spans="1:26" ht="15" hidden="1" x14ac:dyDescent="0.25">
      <c r="A122" s="93" t="s">
        <v>266</v>
      </c>
      <c r="B122" s="93"/>
      <c r="C122" s="93"/>
      <c r="D122" s="140"/>
      <c r="E122" s="11"/>
      <c r="F122" s="11"/>
      <c r="G122" s="11"/>
      <c r="H122" s="11"/>
      <c r="I122" s="11"/>
      <c r="J122" s="11"/>
      <c r="K122" s="11"/>
      <c r="L122" s="11"/>
      <c r="M122" s="11"/>
      <c r="N122" s="137">
        <f t="shared" si="9"/>
        <v>0</v>
      </c>
      <c r="O122" s="11"/>
      <c r="P122" s="11"/>
      <c r="Q122" s="11"/>
      <c r="R122" s="11"/>
      <c r="S122" s="11"/>
      <c r="T122" s="11"/>
      <c r="U122" s="11"/>
      <c r="V122" s="11"/>
      <c r="W122" s="11"/>
      <c r="X122" s="11"/>
      <c r="Y122" s="11"/>
      <c r="Z122" s="11"/>
    </row>
    <row r="123" spans="1:26" ht="15" hidden="1" x14ac:dyDescent="0.25">
      <c r="A123" s="93" t="s">
        <v>283</v>
      </c>
      <c r="B123" s="93"/>
      <c r="C123" s="93"/>
      <c r="D123" s="140"/>
      <c r="E123" s="11"/>
      <c r="F123" s="11"/>
      <c r="G123" s="11"/>
      <c r="H123" s="11"/>
      <c r="I123" s="11"/>
      <c r="J123" s="11"/>
      <c r="K123" s="11"/>
      <c r="L123" s="11"/>
      <c r="M123" s="11"/>
      <c r="N123" s="137">
        <f t="shared" si="9"/>
        <v>0</v>
      </c>
      <c r="O123" s="11"/>
      <c r="P123" s="11"/>
      <c r="Q123" s="11"/>
      <c r="R123" s="11"/>
      <c r="S123" s="11"/>
      <c r="T123" s="11"/>
      <c r="U123" s="11"/>
      <c r="V123" s="11"/>
      <c r="W123" s="11"/>
      <c r="X123" s="11"/>
      <c r="Y123" s="11"/>
      <c r="Z123" s="11"/>
    </row>
    <row r="124" spans="1:26" ht="15" hidden="1" x14ac:dyDescent="0.25">
      <c r="A124" s="93" t="s">
        <v>284</v>
      </c>
      <c r="B124" s="93"/>
      <c r="C124" s="93"/>
      <c r="D124" s="140"/>
      <c r="E124" s="11"/>
      <c r="F124" s="11"/>
      <c r="G124" s="11"/>
      <c r="H124" s="11"/>
      <c r="I124" s="11"/>
      <c r="J124" s="11"/>
      <c r="K124" s="11"/>
      <c r="L124" s="11"/>
      <c r="M124" s="11"/>
      <c r="N124" s="137">
        <f t="shared" si="9"/>
        <v>0</v>
      </c>
      <c r="O124" s="11"/>
      <c r="P124" s="11"/>
      <c r="Q124" s="11"/>
      <c r="R124" s="11"/>
      <c r="S124" s="11"/>
      <c r="T124" s="11"/>
      <c r="U124" s="11"/>
      <c r="V124" s="11"/>
      <c r="W124" s="11"/>
      <c r="X124" s="11"/>
      <c r="Y124" s="11"/>
      <c r="Z124" s="11"/>
    </row>
    <row r="125" spans="1:26" ht="15" hidden="1" x14ac:dyDescent="0.25">
      <c r="A125" s="93"/>
      <c r="B125" s="93"/>
      <c r="C125" s="93"/>
      <c r="D125" s="140"/>
      <c r="E125" s="11"/>
      <c r="F125" s="11"/>
      <c r="G125" s="53"/>
      <c r="H125" s="11"/>
      <c r="I125" s="11"/>
      <c r="J125" s="11"/>
      <c r="K125" s="11"/>
      <c r="L125" s="11"/>
      <c r="M125" s="11"/>
      <c r="N125" s="137">
        <f t="shared" si="9"/>
        <v>0</v>
      </c>
      <c r="O125" s="11"/>
      <c r="P125" s="11"/>
      <c r="Q125" s="11"/>
      <c r="R125" s="11"/>
      <c r="S125" s="11"/>
      <c r="T125" s="11"/>
      <c r="U125" s="11"/>
      <c r="V125" s="11"/>
      <c r="W125" s="11"/>
      <c r="X125" s="11"/>
      <c r="Y125" s="11"/>
      <c r="Z125" s="11"/>
    </row>
    <row r="126" spans="1:26" ht="15" hidden="1" x14ac:dyDescent="0.25">
      <c r="A126" s="93"/>
      <c r="B126" s="93"/>
      <c r="C126" s="93"/>
      <c r="D126" s="140"/>
      <c r="E126" s="11"/>
      <c r="F126" s="11"/>
      <c r="G126" s="53"/>
      <c r="H126" s="11"/>
      <c r="I126" s="11"/>
      <c r="J126" s="11"/>
      <c r="K126" s="11"/>
      <c r="L126" s="11"/>
      <c r="M126" s="11"/>
      <c r="N126" s="137">
        <f t="shared" si="9"/>
        <v>0</v>
      </c>
      <c r="O126" s="11"/>
      <c r="P126" s="11"/>
      <c r="Q126" s="11"/>
      <c r="R126" s="11"/>
      <c r="S126" s="11"/>
      <c r="T126" s="11"/>
      <c r="U126" s="11"/>
      <c r="V126" s="11"/>
      <c r="W126" s="11"/>
      <c r="X126" s="11"/>
      <c r="Y126" s="11"/>
      <c r="Z126" s="11"/>
    </row>
    <row r="127" spans="1:26" ht="15" hidden="1" x14ac:dyDescent="0.25">
      <c r="A127" s="93"/>
      <c r="B127" s="93"/>
      <c r="C127" s="93"/>
      <c r="D127" s="140"/>
      <c r="E127" s="11"/>
      <c r="F127" s="11"/>
      <c r="G127" s="53"/>
      <c r="H127" s="11"/>
      <c r="I127" s="11"/>
      <c r="J127" s="11"/>
      <c r="K127" s="11"/>
      <c r="L127" s="11"/>
      <c r="M127" s="11"/>
      <c r="N127" s="137">
        <f t="shared" si="9"/>
        <v>0</v>
      </c>
      <c r="O127" s="11"/>
      <c r="P127" s="11"/>
      <c r="Q127" s="11"/>
      <c r="R127" s="11"/>
      <c r="S127" s="11"/>
      <c r="T127" s="11"/>
      <c r="U127" s="11"/>
      <c r="V127" s="11"/>
      <c r="W127" s="11"/>
      <c r="X127" s="11"/>
      <c r="Y127" s="11"/>
      <c r="Z127" s="11"/>
    </row>
    <row r="128" spans="1:26" ht="19.149999999999999" hidden="1" customHeight="1" x14ac:dyDescent="0.25">
      <c r="A128" s="93"/>
      <c r="B128" s="93"/>
      <c r="C128" s="93"/>
      <c r="D128" s="140"/>
      <c r="E128" s="11"/>
      <c r="F128" s="11"/>
      <c r="G128" s="53"/>
      <c r="H128" s="11"/>
      <c r="I128" s="11"/>
      <c r="J128" s="11"/>
      <c r="K128" s="11"/>
      <c r="L128" s="11"/>
      <c r="M128" s="11"/>
      <c r="N128" s="137">
        <f t="shared" si="9"/>
        <v>0</v>
      </c>
      <c r="O128" s="11"/>
      <c r="P128" s="11"/>
      <c r="Q128" s="11"/>
      <c r="R128" s="11"/>
      <c r="S128" s="11"/>
      <c r="T128" s="11"/>
      <c r="U128" s="11"/>
      <c r="V128" s="11"/>
      <c r="W128" s="11"/>
      <c r="X128" s="11"/>
      <c r="Y128" s="11"/>
      <c r="Z128" s="11"/>
    </row>
    <row r="129" spans="1:27" ht="15" hidden="1" x14ac:dyDescent="0.25">
      <c r="A129" s="93"/>
      <c r="B129" s="93"/>
      <c r="C129" s="93"/>
      <c r="D129" s="140"/>
      <c r="E129" s="11"/>
      <c r="F129" s="11"/>
      <c r="G129" s="53"/>
      <c r="H129" s="11"/>
      <c r="I129" s="11"/>
      <c r="J129" s="11"/>
      <c r="K129" s="11"/>
      <c r="L129" s="11"/>
      <c r="M129" s="11"/>
      <c r="N129" s="137">
        <f t="shared" si="9"/>
        <v>0</v>
      </c>
      <c r="O129" s="11"/>
      <c r="P129" s="11"/>
      <c r="Q129" s="11"/>
      <c r="R129" s="11"/>
      <c r="S129" s="11"/>
      <c r="T129" s="11"/>
      <c r="U129" s="11"/>
      <c r="V129" s="11"/>
      <c r="W129" s="11"/>
      <c r="X129" s="11"/>
      <c r="Y129" s="11"/>
      <c r="Z129" s="11"/>
    </row>
    <row r="130" spans="1:27" ht="15" hidden="1" x14ac:dyDescent="0.25">
      <c r="A130" s="93"/>
      <c r="B130" s="93"/>
      <c r="C130" s="93"/>
      <c r="D130" s="140"/>
      <c r="E130" s="11"/>
      <c r="F130" s="11"/>
      <c r="G130" s="53"/>
      <c r="H130" s="11"/>
      <c r="I130" s="11"/>
      <c r="J130" s="11"/>
      <c r="K130" s="11"/>
      <c r="L130" s="11"/>
      <c r="M130" s="11"/>
      <c r="N130" s="137">
        <f t="shared" si="9"/>
        <v>0</v>
      </c>
      <c r="O130" s="11"/>
      <c r="P130" s="11"/>
      <c r="Q130" s="11"/>
      <c r="R130" s="11"/>
      <c r="S130" s="11"/>
      <c r="T130" s="11"/>
      <c r="U130" s="11"/>
      <c r="V130" s="11"/>
      <c r="W130" s="11"/>
      <c r="X130" s="11"/>
      <c r="Y130" s="11"/>
      <c r="Z130" s="11"/>
    </row>
    <row r="131" spans="1:27" ht="15" hidden="1" x14ac:dyDescent="0.25">
      <c r="A131" s="93"/>
      <c r="B131" s="93"/>
      <c r="C131" s="93"/>
      <c r="D131" s="140"/>
      <c r="E131" s="11"/>
      <c r="F131" s="11"/>
      <c r="G131" s="53"/>
      <c r="H131" s="11"/>
      <c r="I131" s="11"/>
      <c r="J131" s="11"/>
      <c r="K131" s="11"/>
      <c r="L131" s="11"/>
      <c r="M131" s="11"/>
      <c r="N131" s="137">
        <f t="shared" si="9"/>
        <v>0</v>
      </c>
      <c r="O131" s="11"/>
      <c r="P131" s="11"/>
      <c r="Q131" s="11"/>
      <c r="R131" s="11"/>
      <c r="S131" s="11"/>
      <c r="T131" s="11"/>
      <c r="U131" s="11"/>
      <c r="V131" s="11"/>
      <c r="W131" s="11"/>
      <c r="X131" s="11"/>
      <c r="Y131" s="11"/>
      <c r="Z131" s="11"/>
    </row>
    <row r="132" spans="1:27" ht="15" hidden="1" x14ac:dyDescent="0.25">
      <c r="A132" s="93"/>
      <c r="B132" s="93"/>
      <c r="C132" s="93"/>
      <c r="D132" s="140"/>
      <c r="E132" s="11"/>
      <c r="F132" s="11"/>
      <c r="G132" s="53"/>
      <c r="H132" s="11"/>
      <c r="I132" s="11"/>
      <c r="J132" s="11"/>
      <c r="K132" s="11"/>
      <c r="L132" s="11"/>
      <c r="M132" s="11"/>
      <c r="N132" s="11"/>
      <c r="O132" s="11"/>
      <c r="P132" s="11"/>
      <c r="Q132" s="11"/>
      <c r="R132" s="11"/>
      <c r="S132" s="11"/>
      <c r="T132" s="11"/>
      <c r="U132" s="11"/>
      <c r="V132" s="11"/>
      <c r="W132" s="11"/>
      <c r="X132" s="11"/>
      <c r="Y132" s="11"/>
      <c r="Z132" s="11"/>
    </row>
    <row r="133" spans="1:27" ht="15" hidden="1" x14ac:dyDescent="0.25">
      <c r="A133" s="93"/>
      <c r="B133" s="93"/>
      <c r="C133" s="93"/>
      <c r="D133" s="140"/>
      <c r="E133" s="11"/>
      <c r="F133" s="11"/>
      <c r="G133" s="53"/>
      <c r="H133" s="11"/>
      <c r="I133" s="11"/>
      <c r="J133" s="11"/>
      <c r="K133" s="11"/>
      <c r="L133" s="11"/>
      <c r="M133" s="11"/>
      <c r="N133" s="11"/>
      <c r="O133" s="11"/>
      <c r="P133" s="11"/>
      <c r="Q133" s="11"/>
      <c r="R133" s="11"/>
      <c r="S133" s="11"/>
      <c r="T133" s="11"/>
      <c r="U133" s="11"/>
      <c r="V133" s="11"/>
      <c r="W133" s="11"/>
      <c r="X133" s="11"/>
      <c r="Y133" s="11"/>
      <c r="Z133" s="11"/>
    </row>
    <row r="134" spans="1:27" ht="20.25" hidden="1" x14ac:dyDescent="0.25">
      <c r="A134" s="93" t="s">
        <v>285</v>
      </c>
      <c r="B134" s="93"/>
      <c r="C134" s="93"/>
      <c r="D134" s="140"/>
      <c r="E134" s="11"/>
      <c r="F134" s="11"/>
      <c r="G134" s="45"/>
      <c r="H134" s="11"/>
      <c r="I134" s="11"/>
      <c r="J134" s="11"/>
      <c r="K134" s="68" t="s">
        <v>20</v>
      </c>
      <c r="L134" s="32">
        <f>SUM(L120:L124)</f>
        <v>0</v>
      </c>
      <c r="M134" s="32">
        <f>SUM(M120:M124)</f>
        <v>0</v>
      </c>
      <c r="N134" s="11">
        <f>SUM(N121:N133)</f>
        <v>0</v>
      </c>
      <c r="O134" s="139">
        <f>SUM(O121:O133)</f>
        <v>0</v>
      </c>
      <c r="P134" s="139">
        <f>SUM(P121:P133)</f>
        <v>0</v>
      </c>
      <c r="Q134" s="139">
        <f t="shared" ref="Q134:Z134" si="10">SUM(Q121:Q133)</f>
        <v>0</v>
      </c>
      <c r="R134" s="139">
        <f t="shared" si="10"/>
        <v>0</v>
      </c>
      <c r="S134" s="139">
        <f t="shared" si="10"/>
        <v>0</v>
      </c>
      <c r="T134" s="139">
        <f t="shared" si="10"/>
        <v>0</v>
      </c>
      <c r="U134" s="139">
        <f t="shared" si="10"/>
        <v>0</v>
      </c>
      <c r="V134" s="139">
        <f t="shared" si="10"/>
        <v>0</v>
      </c>
      <c r="W134" s="139">
        <f t="shared" si="10"/>
        <v>0</v>
      </c>
      <c r="X134" s="139">
        <f t="shared" si="10"/>
        <v>0</v>
      </c>
      <c r="Y134" s="139">
        <f t="shared" si="10"/>
        <v>0</v>
      </c>
      <c r="Z134" s="139">
        <f t="shared" si="10"/>
        <v>0</v>
      </c>
      <c r="AA134" s="35"/>
    </row>
    <row r="135" spans="1:27" ht="18" hidden="1" outlineLevel="1" x14ac:dyDescent="0.25">
      <c r="A135" s="30" t="str">
        <f>CONCATENATE(B20," ",C20)</f>
        <v xml:space="preserve"> </v>
      </c>
      <c r="B135" s="30"/>
      <c r="C135" s="31"/>
      <c r="D135" s="31"/>
      <c r="E135" s="29"/>
      <c r="F135" s="29"/>
      <c r="G135" s="29"/>
      <c r="H135" s="29"/>
      <c r="I135" s="29"/>
      <c r="J135" s="29"/>
      <c r="K135" s="29"/>
      <c r="L135" s="29"/>
      <c r="M135" s="29"/>
      <c r="N135" s="29"/>
      <c r="O135" s="29" t="s">
        <v>5</v>
      </c>
      <c r="P135" s="29"/>
      <c r="Q135" s="29"/>
      <c r="R135" s="29"/>
      <c r="S135" s="29"/>
      <c r="T135" s="29"/>
      <c r="U135" s="29"/>
      <c r="V135" s="29"/>
      <c r="W135" s="29"/>
      <c r="X135" s="29"/>
      <c r="Y135" s="29"/>
      <c r="Z135" s="29"/>
    </row>
    <row r="136" spans="1:27" ht="41.45" hidden="1" customHeight="1" outlineLevel="1" x14ac:dyDescent="0.25">
      <c r="A136" s="92" t="s">
        <v>261</v>
      </c>
      <c r="B136" s="92" t="s">
        <v>13</v>
      </c>
      <c r="C136" s="92" t="s">
        <v>14</v>
      </c>
      <c r="D136" s="133" t="s">
        <v>286</v>
      </c>
      <c r="E136" s="32" t="s">
        <v>16</v>
      </c>
      <c r="F136" s="32" t="s">
        <v>295</v>
      </c>
      <c r="G136" s="32" t="s">
        <v>39</v>
      </c>
      <c r="H136" s="32" t="s">
        <v>297</v>
      </c>
      <c r="I136" s="32" t="s">
        <v>298</v>
      </c>
      <c r="J136" s="32" t="s">
        <v>299</v>
      </c>
      <c r="K136" s="32" t="s">
        <v>300</v>
      </c>
      <c r="L136" s="32" t="s">
        <v>17</v>
      </c>
      <c r="M136" s="32" t="s">
        <v>18</v>
      </c>
      <c r="N136" s="32" t="s">
        <v>19</v>
      </c>
      <c r="O136" s="66">
        <v>43101</v>
      </c>
      <c r="P136" s="66">
        <v>43132</v>
      </c>
      <c r="Q136" s="66">
        <v>43160</v>
      </c>
      <c r="R136" s="66">
        <v>43191</v>
      </c>
      <c r="S136" s="66">
        <v>43221</v>
      </c>
      <c r="T136" s="66">
        <v>43252</v>
      </c>
      <c r="U136" s="66">
        <v>43282</v>
      </c>
      <c r="V136" s="66">
        <v>43313</v>
      </c>
      <c r="W136" s="66">
        <v>43344</v>
      </c>
      <c r="X136" s="66">
        <v>43374</v>
      </c>
      <c r="Y136" s="66">
        <v>43405</v>
      </c>
      <c r="Z136" s="66">
        <v>43435</v>
      </c>
    </row>
    <row r="137" spans="1:27" ht="15" hidden="1" customHeight="1" outlineLevel="1" x14ac:dyDescent="0.25">
      <c r="A137" s="93" t="s">
        <v>265</v>
      </c>
      <c r="B137" s="93"/>
      <c r="C137" s="93"/>
      <c r="D137" s="140"/>
      <c r="E137" s="11"/>
      <c r="F137" s="11"/>
      <c r="G137" s="11"/>
      <c r="H137" s="11"/>
      <c r="I137" s="11"/>
      <c r="J137" s="11"/>
      <c r="K137" s="11"/>
      <c r="L137" s="11"/>
      <c r="M137" s="11"/>
      <c r="N137" s="11">
        <f t="shared" ref="N137:N140" si="11">SUM(O137:Z137)</f>
        <v>0</v>
      </c>
      <c r="O137" s="11"/>
      <c r="P137" s="11"/>
      <c r="Q137" s="11"/>
      <c r="R137" s="11"/>
      <c r="S137" s="11"/>
      <c r="T137" s="11"/>
      <c r="U137" s="11"/>
      <c r="V137" s="11"/>
      <c r="W137" s="11"/>
      <c r="X137" s="11"/>
      <c r="Y137" s="11"/>
      <c r="Z137" s="11"/>
    </row>
    <row r="138" spans="1:27" ht="15" hidden="1" customHeight="1" outlineLevel="1" x14ac:dyDescent="0.25">
      <c r="A138" s="93" t="s">
        <v>266</v>
      </c>
      <c r="B138" s="93"/>
      <c r="C138" s="93"/>
      <c r="D138" s="140"/>
      <c r="E138" s="11"/>
      <c r="F138" s="11"/>
      <c r="G138" s="11"/>
      <c r="H138" s="11"/>
      <c r="I138" s="11"/>
      <c r="J138" s="11"/>
      <c r="K138" s="11"/>
      <c r="L138" s="11"/>
      <c r="M138" s="11"/>
      <c r="N138" s="11">
        <f t="shared" si="11"/>
        <v>0</v>
      </c>
      <c r="O138" s="11"/>
      <c r="P138" s="11"/>
      <c r="Q138" s="11"/>
      <c r="R138" s="11"/>
      <c r="S138" s="11"/>
      <c r="T138" s="11"/>
      <c r="U138" s="11"/>
      <c r="V138" s="11"/>
      <c r="W138" s="11"/>
      <c r="X138" s="11"/>
      <c r="Y138" s="11"/>
      <c r="Z138" s="11"/>
    </row>
    <row r="139" spans="1:27" ht="15" hidden="1" customHeight="1" outlineLevel="1" x14ac:dyDescent="0.25">
      <c r="A139" s="93" t="s">
        <v>283</v>
      </c>
      <c r="B139" s="93"/>
      <c r="C139" s="93"/>
      <c r="D139" s="140"/>
      <c r="E139" s="11"/>
      <c r="F139" s="11"/>
      <c r="G139" s="11"/>
      <c r="H139" s="11"/>
      <c r="I139" s="11"/>
      <c r="J139" s="11"/>
      <c r="K139" s="11"/>
      <c r="L139" s="11"/>
      <c r="M139" s="11"/>
      <c r="N139" s="11">
        <f t="shared" si="11"/>
        <v>0</v>
      </c>
      <c r="O139" s="11"/>
      <c r="P139" s="11"/>
      <c r="Q139" s="11"/>
      <c r="R139" s="11"/>
      <c r="S139" s="11"/>
      <c r="T139" s="11"/>
      <c r="U139" s="11"/>
      <c r="V139" s="11"/>
      <c r="W139" s="11"/>
      <c r="X139" s="11"/>
      <c r="Y139" s="11"/>
      <c r="Z139" s="11"/>
    </row>
    <row r="140" spans="1:27" ht="15" hidden="1" customHeight="1" outlineLevel="1" x14ac:dyDescent="0.25">
      <c r="A140" s="93" t="s">
        <v>284</v>
      </c>
      <c r="B140" s="93"/>
      <c r="C140" s="93"/>
      <c r="D140" s="140"/>
      <c r="E140" s="11"/>
      <c r="F140" s="11"/>
      <c r="G140" s="11"/>
      <c r="H140" s="11"/>
      <c r="I140" s="11"/>
      <c r="J140" s="11"/>
      <c r="K140" s="11"/>
      <c r="L140" s="11"/>
      <c r="M140" s="11"/>
      <c r="N140" s="11">
        <f t="shared" si="11"/>
        <v>0</v>
      </c>
      <c r="O140" s="11"/>
      <c r="P140" s="11"/>
      <c r="Q140" s="11"/>
      <c r="R140" s="11"/>
      <c r="S140" s="11"/>
      <c r="T140" s="11"/>
      <c r="U140" s="11"/>
      <c r="V140" s="11"/>
      <c r="W140" s="11"/>
      <c r="X140" s="11"/>
      <c r="Y140" s="11"/>
      <c r="Z140" s="11"/>
    </row>
    <row r="141" spans="1:27" ht="21" hidden="1" customHeight="1" outlineLevel="1" x14ac:dyDescent="0.25">
      <c r="A141" s="93" t="s">
        <v>285</v>
      </c>
      <c r="B141" s="93"/>
      <c r="C141" s="93"/>
      <c r="D141" s="140"/>
      <c r="E141" s="11"/>
      <c r="F141" s="11"/>
      <c r="G141" s="45"/>
      <c r="H141" s="11"/>
      <c r="I141" s="11"/>
      <c r="J141" s="11"/>
      <c r="K141" s="68" t="s">
        <v>20</v>
      </c>
      <c r="L141" s="32">
        <f>SUM(L136:L140)</f>
        <v>0</v>
      </c>
      <c r="M141" s="32">
        <f>SUM(M136:M140)</f>
        <v>0</v>
      </c>
      <c r="N141" s="11">
        <f>SUM(N137:N140)</f>
        <v>0</v>
      </c>
      <c r="O141" s="11">
        <f t="shared" ref="O141:Z141" si="12">SUM(O137:O140)</f>
        <v>0</v>
      </c>
      <c r="P141" s="11">
        <f t="shared" si="12"/>
        <v>0</v>
      </c>
      <c r="Q141" s="11">
        <f t="shared" si="12"/>
        <v>0</v>
      </c>
      <c r="R141" s="11">
        <f t="shared" si="12"/>
        <v>0</v>
      </c>
      <c r="S141" s="11">
        <f t="shared" si="12"/>
        <v>0</v>
      </c>
      <c r="T141" s="11">
        <f t="shared" si="12"/>
        <v>0</v>
      </c>
      <c r="U141" s="11">
        <f t="shared" si="12"/>
        <v>0</v>
      </c>
      <c r="V141" s="11">
        <f t="shared" si="12"/>
        <v>0</v>
      </c>
      <c r="W141" s="11">
        <f t="shared" si="12"/>
        <v>0</v>
      </c>
      <c r="X141" s="11">
        <f t="shared" si="12"/>
        <v>0</v>
      </c>
      <c r="Y141" s="11">
        <f t="shared" si="12"/>
        <v>0</v>
      </c>
      <c r="Z141" s="11">
        <f t="shared" si="12"/>
        <v>0</v>
      </c>
      <c r="AA141" s="35"/>
    </row>
    <row r="142" spans="1:27" ht="18" hidden="1" outlineLevel="1" x14ac:dyDescent="0.25">
      <c r="A142" s="30" t="str">
        <f>CONCATENATE(B21," ",C21)</f>
        <v xml:space="preserve"> </v>
      </c>
      <c r="B142" s="30"/>
      <c r="C142" s="31"/>
      <c r="D142" s="31"/>
      <c r="E142" s="29"/>
      <c r="F142" s="29"/>
      <c r="G142" s="29"/>
      <c r="H142" s="29"/>
      <c r="I142" s="29"/>
      <c r="J142" s="29"/>
      <c r="K142" s="29"/>
      <c r="L142" s="29"/>
      <c r="M142" s="29"/>
      <c r="N142" s="29"/>
      <c r="O142" s="29" t="s">
        <v>5</v>
      </c>
      <c r="P142" s="29"/>
      <c r="Q142" s="29"/>
      <c r="R142" s="29"/>
      <c r="S142" s="29"/>
      <c r="T142" s="29"/>
      <c r="U142" s="29"/>
      <c r="V142" s="29"/>
      <c r="W142" s="29"/>
      <c r="X142" s="29"/>
      <c r="Y142" s="29"/>
      <c r="Z142" s="29"/>
    </row>
    <row r="143" spans="1:27" ht="41.45" hidden="1" customHeight="1" outlineLevel="1" x14ac:dyDescent="0.25">
      <c r="A143" s="92" t="s">
        <v>261</v>
      </c>
      <c r="B143" s="92" t="s">
        <v>13</v>
      </c>
      <c r="C143" s="92" t="s">
        <v>14</v>
      </c>
      <c r="D143" s="133" t="s">
        <v>286</v>
      </c>
      <c r="E143" s="32" t="s">
        <v>16</v>
      </c>
      <c r="F143" s="32" t="s">
        <v>295</v>
      </c>
      <c r="G143" s="32" t="s">
        <v>39</v>
      </c>
      <c r="H143" s="32" t="s">
        <v>297</v>
      </c>
      <c r="I143" s="32" t="s">
        <v>298</v>
      </c>
      <c r="J143" s="32" t="s">
        <v>299</v>
      </c>
      <c r="K143" s="32" t="s">
        <v>300</v>
      </c>
      <c r="L143" s="32" t="s">
        <v>17</v>
      </c>
      <c r="M143" s="32" t="s">
        <v>18</v>
      </c>
      <c r="N143" s="32" t="s">
        <v>19</v>
      </c>
      <c r="O143" s="66">
        <v>43101</v>
      </c>
      <c r="P143" s="66">
        <v>43132</v>
      </c>
      <c r="Q143" s="66">
        <v>43160</v>
      </c>
      <c r="R143" s="66">
        <v>43191</v>
      </c>
      <c r="S143" s="66">
        <v>43221</v>
      </c>
      <c r="T143" s="66">
        <v>43252</v>
      </c>
      <c r="U143" s="66">
        <v>43282</v>
      </c>
      <c r="V143" s="66">
        <v>43313</v>
      </c>
      <c r="W143" s="66">
        <v>43344</v>
      </c>
      <c r="X143" s="66">
        <v>43374</v>
      </c>
      <c r="Y143" s="66">
        <v>43405</v>
      </c>
      <c r="Z143" s="66">
        <v>43435</v>
      </c>
    </row>
    <row r="144" spans="1:27" ht="15" hidden="1" customHeight="1" outlineLevel="1" x14ac:dyDescent="0.25">
      <c r="A144" s="93" t="s">
        <v>265</v>
      </c>
      <c r="B144" s="93"/>
      <c r="C144" s="93"/>
      <c r="D144" s="140"/>
      <c r="E144" s="11"/>
      <c r="F144" s="11"/>
      <c r="G144" s="11"/>
      <c r="H144" s="11"/>
      <c r="I144" s="11"/>
      <c r="J144" s="11"/>
      <c r="K144" s="11"/>
      <c r="L144" s="11"/>
      <c r="M144" s="11"/>
      <c r="N144" s="11">
        <f t="shared" ref="N144:N147" si="13">SUM(O144:Z144)</f>
        <v>0</v>
      </c>
      <c r="O144" s="11"/>
      <c r="P144" s="11"/>
      <c r="Q144" s="11"/>
      <c r="R144" s="11"/>
      <c r="S144" s="11"/>
      <c r="T144" s="11"/>
      <c r="U144" s="11"/>
      <c r="V144" s="11"/>
      <c r="W144" s="11"/>
      <c r="X144" s="11"/>
      <c r="Y144" s="11"/>
      <c r="Z144" s="11"/>
    </row>
    <row r="145" spans="1:27" ht="15" hidden="1" customHeight="1" outlineLevel="1" x14ac:dyDescent="0.25">
      <c r="A145" s="93" t="s">
        <v>266</v>
      </c>
      <c r="B145" s="93"/>
      <c r="C145" s="93"/>
      <c r="D145" s="140"/>
      <c r="E145" s="11"/>
      <c r="F145" s="11"/>
      <c r="G145" s="11"/>
      <c r="H145" s="11"/>
      <c r="I145" s="11"/>
      <c r="J145" s="11"/>
      <c r="K145" s="11"/>
      <c r="L145" s="11"/>
      <c r="M145" s="11"/>
      <c r="N145" s="11">
        <f t="shared" si="13"/>
        <v>0</v>
      </c>
      <c r="O145" s="11"/>
      <c r="P145" s="11"/>
      <c r="Q145" s="11"/>
      <c r="R145" s="11"/>
      <c r="S145" s="11"/>
      <c r="T145" s="11"/>
      <c r="U145" s="11"/>
      <c r="V145" s="11"/>
      <c r="W145" s="11"/>
      <c r="X145" s="11"/>
      <c r="Y145" s="11"/>
      <c r="Z145" s="11"/>
    </row>
    <row r="146" spans="1:27" ht="15" hidden="1" customHeight="1" outlineLevel="1" x14ac:dyDescent="0.25">
      <c r="A146" s="93" t="s">
        <v>283</v>
      </c>
      <c r="B146" s="93"/>
      <c r="C146" s="93"/>
      <c r="D146" s="140"/>
      <c r="E146" s="11"/>
      <c r="F146" s="11"/>
      <c r="G146" s="11"/>
      <c r="H146" s="11"/>
      <c r="I146" s="11"/>
      <c r="J146" s="11"/>
      <c r="K146" s="11"/>
      <c r="L146" s="11"/>
      <c r="M146" s="11"/>
      <c r="N146" s="11">
        <f t="shared" si="13"/>
        <v>0</v>
      </c>
      <c r="O146" s="11"/>
      <c r="P146" s="11"/>
      <c r="Q146" s="11"/>
      <c r="R146" s="11"/>
      <c r="S146" s="11"/>
      <c r="T146" s="11"/>
      <c r="U146" s="11"/>
      <c r="V146" s="11"/>
      <c r="W146" s="11"/>
      <c r="X146" s="11"/>
      <c r="Y146" s="11"/>
      <c r="Z146" s="11"/>
    </row>
    <row r="147" spans="1:27" ht="15" hidden="1" customHeight="1" outlineLevel="1" x14ac:dyDescent="0.25">
      <c r="A147" s="93" t="s">
        <v>284</v>
      </c>
      <c r="B147" s="93"/>
      <c r="C147" s="93"/>
      <c r="D147" s="140"/>
      <c r="E147" s="11"/>
      <c r="F147" s="11"/>
      <c r="G147" s="11"/>
      <c r="H147" s="11"/>
      <c r="I147" s="11"/>
      <c r="J147" s="11"/>
      <c r="K147" s="11"/>
      <c r="L147" s="11"/>
      <c r="M147" s="11"/>
      <c r="N147" s="11">
        <f t="shared" si="13"/>
        <v>0</v>
      </c>
      <c r="O147" s="11"/>
      <c r="P147" s="11"/>
      <c r="Q147" s="11"/>
      <c r="R147" s="11"/>
      <c r="S147" s="11"/>
      <c r="T147" s="11"/>
      <c r="U147" s="11"/>
      <c r="V147" s="11"/>
      <c r="W147" s="11"/>
      <c r="X147" s="11"/>
      <c r="Y147" s="11"/>
      <c r="Z147" s="11"/>
    </row>
    <row r="148" spans="1:27" ht="21" hidden="1" customHeight="1" outlineLevel="1" x14ac:dyDescent="0.25">
      <c r="A148" s="93" t="s">
        <v>285</v>
      </c>
      <c r="B148" s="93"/>
      <c r="C148" s="93"/>
      <c r="D148" s="140"/>
      <c r="E148" s="11"/>
      <c r="F148" s="11"/>
      <c r="G148" s="45"/>
      <c r="H148" s="11"/>
      <c r="I148" s="11"/>
      <c r="J148" s="11"/>
      <c r="K148" s="68" t="s">
        <v>20</v>
      </c>
      <c r="L148" s="32">
        <f>SUM(L143:L147)</f>
        <v>0</v>
      </c>
      <c r="M148" s="32">
        <f>SUM(M143:M147)</f>
        <v>0</v>
      </c>
      <c r="N148" s="11">
        <f>SUM(N144:N147)</f>
        <v>0</v>
      </c>
      <c r="O148" s="11">
        <f t="shared" ref="O148:Z148" si="14">SUM(O144:O147)</f>
        <v>0</v>
      </c>
      <c r="P148" s="11">
        <f t="shared" si="14"/>
        <v>0</v>
      </c>
      <c r="Q148" s="11">
        <f t="shared" si="14"/>
        <v>0</v>
      </c>
      <c r="R148" s="11">
        <f t="shared" si="14"/>
        <v>0</v>
      </c>
      <c r="S148" s="11">
        <f t="shared" si="14"/>
        <v>0</v>
      </c>
      <c r="T148" s="11">
        <f t="shared" si="14"/>
        <v>0</v>
      </c>
      <c r="U148" s="11">
        <f t="shared" si="14"/>
        <v>0</v>
      </c>
      <c r="V148" s="11">
        <f t="shared" si="14"/>
        <v>0</v>
      </c>
      <c r="W148" s="11">
        <f t="shared" si="14"/>
        <v>0</v>
      </c>
      <c r="X148" s="11">
        <f t="shared" si="14"/>
        <v>0</v>
      </c>
      <c r="Y148" s="11">
        <f t="shared" si="14"/>
        <v>0</v>
      </c>
      <c r="Z148" s="11">
        <f t="shared" si="14"/>
        <v>0</v>
      </c>
      <c r="AA148" s="35"/>
    </row>
    <row r="149" spans="1:27" ht="18" hidden="1" outlineLevel="1" x14ac:dyDescent="0.25">
      <c r="A149" s="30" t="str">
        <f>CONCATENATE(B22," ",C22)</f>
        <v xml:space="preserve"> </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45" hidden="1" customHeight="1" outlineLevel="1" x14ac:dyDescent="0.25">
      <c r="A150" s="92" t="s">
        <v>261</v>
      </c>
      <c r="B150" s="92" t="s">
        <v>13</v>
      </c>
      <c r="C150" s="92" t="s">
        <v>14</v>
      </c>
      <c r="D150" s="133" t="s">
        <v>286</v>
      </c>
      <c r="E150" s="32" t="s">
        <v>16</v>
      </c>
      <c r="F150" s="32" t="s">
        <v>295</v>
      </c>
      <c r="G150" s="32" t="s">
        <v>39</v>
      </c>
      <c r="H150" s="32" t="s">
        <v>297</v>
      </c>
      <c r="I150" s="32" t="s">
        <v>298</v>
      </c>
      <c r="J150" s="32" t="s">
        <v>299</v>
      </c>
      <c r="K150" s="32" t="s">
        <v>300</v>
      </c>
      <c r="L150" s="32" t="s">
        <v>17</v>
      </c>
      <c r="M150" s="32" t="s">
        <v>18</v>
      </c>
      <c r="N150" s="32" t="s">
        <v>19</v>
      </c>
      <c r="O150" s="66">
        <v>43101</v>
      </c>
      <c r="P150" s="66">
        <v>43132</v>
      </c>
      <c r="Q150" s="66">
        <v>43160</v>
      </c>
      <c r="R150" s="66">
        <v>43191</v>
      </c>
      <c r="S150" s="66">
        <v>43221</v>
      </c>
      <c r="T150" s="66">
        <v>43252</v>
      </c>
      <c r="U150" s="66">
        <v>43282</v>
      </c>
      <c r="V150" s="66">
        <v>43313</v>
      </c>
      <c r="W150" s="66">
        <v>43344</v>
      </c>
      <c r="X150" s="66">
        <v>43374</v>
      </c>
      <c r="Y150" s="66">
        <v>43405</v>
      </c>
      <c r="Z150" s="66">
        <v>43435</v>
      </c>
    </row>
    <row r="151" spans="1:27" ht="15" hidden="1" customHeight="1" outlineLevel="1" x14ac:dyDescent="0.25">
      <c r="A151" s="93" t="s">
        <v>265</v>
      </c>
      <c r="B151" s="93"/>
      <c r="C151" s="93"/>
      <c r="D151" s="140"/>
      <c r="E151" s="11"/>
      <c r="F151" s="11"/>
      <c r="G151" s="11"/>
      <c r="H151" s="11"/>
      <c r="I151" s="11"/>
      <c r="J151" s="11"/>
      <c r="K151" s="11"/>
      <c r="L151" s="11"/>
      <c r="M151" s="11"/>
      <c r="N151" s="11">
        <f t="shared" ref="N151:N154" si="15">SUM(O151:Z151)</f>
        <v>0</v>
      </c>
      <c r="O151" s="11"/>
      <c r="P151" s="11"/>
      <c r="Q151" s="11"/>
      <c r="R151" s="11"/>
      <c r="S151" s="11"/>
      <c r="T151" s="11"/>
      <c r="U151" s="11"/>
      <c r="V151" s="11"/>
      <c r="W151" s="11"/>
      <c r="X151" s="11"/>
      <c r="Y151" s="11"/>
      <c r="Z151" s="11"/>
    </row>
    <row r="152" spans="1:27" ht="15" hidden="1" customHeight="1" outlineLevel="1" x14ac:dyDescent="0.25">
      <c r="A152" s="93" t="s">
        <v>266</v>
      </c>
      <c r="B152" s="93"/>
      <c r="C152" s="93"/>
      <c r="D152" s="140"/>
      <c r="E152" s="11"/>
      <c r="F152" s="11"/>
      <c r="G152" s="11"/>
      <c r="H152" s="11"/>
      <c r="I152" s="11"/>
      <c r="J152" s="11"/>
      <c r="K152" s="11"/>
      <c r="L152" s="11"/>
      <c r="M152" s="11"/>
      <c r="N152" s="11">
        <f t="shared" si="15"/>
        <v>0</v>
      </c>
      <c r="O152" s="11"/>
      <c r="P152" s="11"/>
      <c r="Q152" s="11"/>
      <c r="R152" s="11"/>
      <c r="S152" s="11"/>
      <c r="T152" s="11"/>
      <c r="U152" s="11"/>
      <c r="V152" s="11"/>
      <c r="W152" s="11"/>
      <c r="X152" s="11"/>
      <c r="Y152" s="11"/>
      <c r="Z152" s="11"/>
    </row>
    <row r="153" spans="1:27" ht="15" hidden="1" customHeight="1" outlineLevel="1" x14ac:dyDescent="0.25">
      <c r="A153" s="93" t="s">
        <v>283</v>
      </c>
      <c r="B153" s="93"/>
      <c r="C153" s="93"/>
      <c r="D153" s="140"/>
      <c r="E153" s="11"/>
      <c r="F153" s="11"/>
      <c r="G153" s="11"/>
      <c r="H153" s="11"/>
      <c r="I153" s="11"/>
      <c r="J153" s="11"/>
      <c r="K153" s="11"/>
      <c r="L153" s="11"/>
      <c r="M153" s="11"/>
      <c r="N153" s="11">
        <f t="shared" si="15"/>
        <v>0</v>
      </c>
      <c r="O153" s="11"/>
      <c r="P153" s="11"/>
      <c r="Q153" s="11"/>
      <c r="R153" s="11"/>
      <c r="S153" s="11"/>
      <c r="T153" s="11"/>
      <c r="U153" s="11"/>
      <c r="V153" s="11"/>
      <c r="W153" s="11"/>
      <c r="X153" s="11"/>
      <c r="Y153" s="11"/>
      <c r="Z153" s="11"/>
    </row>
    <row r="154" spans="1:27" ht="15" hidden="1" customHeight="1" outlineLevel="1" x14ac:dyDescent="0.25">
      <c r="A154" s="93" t="s">
        <v>284</v>
      </c>
      <c r="B154" s="93"/>
      <c r="C154" s="93"/>
      <c r="D154" s="140"/>
      <c r="E154" s="11"/>
      <c r="F154" s="11"/>
      <c r="G154" s="11"/>
      <c r="H154" s="11"/>
      <c r="I154" s="11"/>
      <c r="J154" s="11"/>
      <c r="K154" s="11"/>
      <c r="L154" s="11"/>
      <c r="M154" s="11"/>
      <c r="N154" s="11">
        <f t="shared" si="15"/>
        <v>0</v>
      </c>
      <c r="O154" s="11"/>
      <c r="P154" s="11"/>
      <c r="Q154" s="11"/>
      <c r="R154" s="11"/>
      <c r="S154" s="11"/>
      <c r="T154" s="11"/>
      <c r="U154" s="11"/>
      <c r="V154" s="11"/>
      <c r="W154" s="11"/>
      <c r="X154" s="11"/>
      <c r="Y154" s="11"/>
      <c r="Z154" s="11"/>
    </row>
    <row r="155" spans="1:27" ht="21" hidden="1" customHeight="1" outlineLevel="1" x14ac:dyDescent="0.25">
      <c r="A155" s="93" t="s">
        <v>285</v>
      </c>
      <c r="B155" s="93"/>
      <c r="C155" s="93"/>
      <c r="D155" s="140"/>
      <c r="E155" s="11"/>
      <c r="F155" s="11"/>
      <c r="G155" s="45"/>
      <c r="H155" s="11"/>
      <c r="I155" s="11"/>
      <c r="J155" s="11"/>
      <c r="K155" s="68" t="s">
        <v>20</v>
      </c>
      <c r="L155" s="32">
        <f>SUM(L150:L154)</f>
        <v>0</v>
      </c>
      <c r="M155" s="32">
        <f>SUM(M150:M154)</f>
        <v>0</v>
      </c>
      <c r="N155" s="11">
        <f>SUM(N151:N154)</f>
        <v>0</v>
      </c>
      <c r="O155" s="11">
        <f t="shared" ref="O155:Z155" si="16">SUM(O151:O154)</f>
        <v>0</v>
      </c>
      <c r="P155" s="11">
        <f t="shared" si="16"/>
        <v>0</v>
      </c>
      <c r="Q155" s="11">
        <f t="shared" si="16"/>
        <v>0</v>
      </c>
      <c r="R155" s="11">
        <f t="shared" si="16"/>
        <v>0</v>
      </c>
      <c r="S155" s="11">
        <f t="shared" si="16"/>
        <v>0</v>
      </c>
      <c r="T155" s="11">
        <f t="shared" si="16"/>
        <v>0</v>
      </c>
      <c r="U155" s="11">
        <f t="shared" si="16"/>
        <v>0</v>
      </c>
      <c r="V155" s="11">
        <f t="shared" si="16"/>
        <v>0</v>
      </c>
      <c r="W155" s="11">
        <f t="shared" si="16"/>
        <v>0</v>
      </c>
      <c r="X155" s="11">
        <f t="shared" si="16"/>
        <v>0</v>
      </c>
      <c r="Y155" s="11">
        <f t="shared" si="16"/>
        <v>0</v>
      </c>
      <c r="Z155" s="11">
        <f t="shared" si="16"/>
        <v>0</v>
      </c>
      <c r="AA155" s="35"/>
    </row>
    <row r="156" spans="1:27" ht="18" hidden="1" outlineLevel="1" x14ac:dyDescent="0.25">
      <c r="A156" s="30" t="str">
        <f>CONCATENATE(B23," ",C23)</f>
        <v xml:space="preserve"> </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hidden="1"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15" hidden="1" customHeight="1" outlineLevel="1" x14ac:dyDescent="0.25">
      <c r="A158" s="93" t="s">
        <v>265</v>
      </c>
      <c r="B158" s="93"/>
      <c r="C158" s="93"/>
      <c r="D158" s="140"/>
      <c r="E158" s="11"/>
      <c r="F158" s="11"/>
      <c r="G158" s="11"/>
      <c r="H158" s="11"/>
      <c r="I158" s="11"/>
      <c r="J158" s="11"/>
      <c r="K158" s="11"/>
      <c r="L158" s="11"/>
      <c r="M158" s="11"/>
      <c r="N158" s="11">
        <f t="shared" ref="N158:N161" si="17">SUM(O158:Z158)</f>
        <v>0</v>
      </c>
      <c r="O158" s="11"/>
      <c r="P158" s="11"/>
      <c r="Q158" s="11"/>
      <c r="R158" s="11"/>
      <c r="S158" s="11"/>
      <c r="T158" s="11"/>
      <c r="U158" s="11"/>
      <c r="V158" s="11"/>
      <c r="W158" s="11"/>
      <c r="X158" s="11"/>
      <c r="Y158" s="11"/>
      <c r="Z158" s="11"/>
    </row>
    <row r="159" spans="1:27" ht="15" hidden="1" customHeight="1" outlineLevel="1" x14ac:dyDescent="0.25">
      <c r="A159" s="93" t="s">
        <v>266</v>
      </c>
      <c r="B159" s="93"/>
      <c r="C159" s="93"/>
      <c r="D159" s="140"/>
      <c r="E159" s="11"/>
      <c r="F159" s="11"/>
      <c r="G159" s="11"/>
      <c r="H159" s="11"/>
      <c r="I159" s="11"/>
      <c r="J159" s="11"/>
      <c r="K159" s="11"/>
      <c r="L159" s="11"/>
      <c r="M159" s="11"/>
      <c r="N159" s="11">
        <f t="shared" si="17"/>
        <v>0</v>
      </c>
      <c r="O159" s="11"/>
      <c r="P159" s="11"/>
      <c r="Q159" s="11"/>
      <c r="R159" s="11"/>
      <c r="S159" s="11"/>
      <c r="T159" s="11"/>
      <c r="U159" s="11"/>
      <c r="V159" s="11"/>
      <c r="W159" s="11"/>
      <c r="X159" s="11"/>
      <c r="Y159" s="11"/>
      <c r="Z159" s="11"/>
    </row>
    <row r="160" spans="1:27" ht="15" hidden="1" customHeight="1" outlineLevel="1" x14ac:dyDescent="0.25">
      <c r="A160" s="93" t="s">
        <v>283</v>
      </c>
      <c r="B160" s="93"/>
      <c r="C160" s="93"/>
      <c r="D160" s="140"/>
      <c r="E160" s="11"/>
      <c r="F160" s="11"/>
      <c r="G160" s="11"/>
      <c r="H160" s="11"/>
      <c r="I160" s="11"/>
      <c r="J160" s="11"/>
      <c r="K160" s="11"/>
      <c r="L160" s="11"/>
      <c r="M160" s="11"/>
      <c r="N160" s="11">
        <f t="shared" si="17"/>
        <v>0</v>
      </c>
      <c r="O160" s="11"/>
      <c r="P160" s="11"/>
      <c r="Q160" s="11"/>
      <c r="R160" s="11"/>
      <c r="S160" s="11"/>
      <c r="T160" s="11"/>
      <c r="U160" s="11"/>
      <c r="V160" s="11"/>
      <c r="W160" s="11"/>
      <c r="X160" s="11"/>
      <c r="Y160" s="11"/>
      <c r="Z160" s="11"/>
    </row>
    <row r="161" spans="1:27" ht="15" hidden="1" customHeight="1" outlineLevel="1" x14ac:dyDescent="0.25">
      <c r="A161" s="93" t="s">
        <v>284</v>
      </c>
      <c r="B161" s="93"/>
      <c r="C161" s="93"/>
      <c r="D161" s="140"/>
      <c r="E161" s="11"/>
      <c r="F161" s="11"/>
      <c r="G161" s="11"/>
      <c r="H161" s="11"/>
      <c r="I161" s="11"/>
      <c r="J161" s="11"/>
      <c r="K161" s="11"/>
      <c r="L161" s="11"/>
      <c r="M161" s="11"/>
      <c r="N161" s="11">
        <f t="shared" si="17"/>
        <v>0</v>
      </c>
      <c r="O161" s="11"/>
      <c r="P161" s="11"/>
      <c r="Q161" s="11"/>
      <c r="R161" s="11"/>
      <c r="S161" s="11"/>
      <c r="T161" s="11"/>
      <c r="U161" s="11"/>
      <c r="V161" s="11"/>
      <c r="W161" s="11"/>
      <c r="X161" s="11"/>
      <c r="Y161" s="11"/>
      <c r="Z161" s="11"/>
    </row>
    <row r="162" spans="1:27" ht="21" hidden="1" customHeight="1" outlineLevel="1" x14ac:dyDescent="0.25">
      <c r="A162" s="93" t="s">
        <v>285</v>
      </c>
      <c r="B162" s="93"/>
      <c r="C162" s="93"/>
      <c r="D162" s="140"/>
      <c r="E162" s="11"/>
      <c r="F162" s="11"/>
      <c r="G162" s="45"/>
      <c r="H162" s="11"/>
      <c r="I162" s="11"/>
      <c r="J162" s="11"/>
      <c r="K162" s="68" t="s">
        <v>20</v>
      </c>
      <c r="L162" s="32">
        <f>SUM(L157:L161)</f>
        <v>0</v>
      </c>
      <c r="M162" s="32">
        <f>SUM(M157:M161)</f>
        <v>0</v>
      </c>
      <c r="N162" s="11">
        <f>SUM(N158:N161)</f>
        <v>0</v>
      </c>
      <c r="O162" s="11">
        <f t="shared" ref="O162:Z162" si="18">SUM(O158:O161)</f>
        <v>0</v>
      </c>
      <c r="P162" s="11">
        <f t="shared" si="18"/>
        <v>0</v>
      </c>
      <c r="Q162" s="11">
        <f t="shared" si="18"/>
        <v>0</v>
      </c>
      <c r="R162" s="11">
        <f t="shared" si="18"/>
        <v>0</v>
      </c>
      <c r="S162" s="11">
        <f t="shared" si="18"/>
        <v>0</v>
      </c>
      <c r="T162" s="11">
        <f t="shared" si="18"/>
        <v>0</v>
      </c>
      <c r="U162" s="11">
        <f t="shared" si="18"/>
        <v>0</v>
      </c>
      <c r="V162" s="11">
        <f t="shared" si="18"/>
        <v>0</v>
      </c>
      <c r="W162" s="11">
        <f t="shared" si="18"/>
        <v>0</v>
      </c>
      <c r="X162" s="11">
        <f t="shared" si="18"/>
        <v>0</v>
      </c>
      <c r="Y162" s="11">
        <f t="shared" si="18"/>
        <v>0</v>
      </c>
      <c r="Z162" s="11">
        <f t="shared" si="18"/>
        <v>0</v>
      </c>
      <c r="AA162" s="35"/>
    </row>
    <row r="163" spans="1:27" ht="18" hidden="1" outlineLevel="1" x14ac:dyDescent="0.25">
      <c r="A163" s="30" t="str">
        <f>CONCATENATE(B24," ",C24)</f>
        <v xml:space="preserve"> </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hidden="1"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hidden="1" customHeight="1" outlineLevel="1" x14ac:dyDescent="0.25">
      <c r="A165" s="93" t="s">
        <v>265</v>
      </c>
      <c r="B165" s="93"/>
      <c r="C165" s="93"/>
      <c r="D165" s="140"/>
      <c r="E165" s="11"/>
      <c r="F165" s="11"/>
      <c r="G165" s="11"/>
      <c r="H165" s="11"/>
      <c r="I165" s="11"/>
      <c r="J165" s="11"/>
      <c r="K165" s="11"/>
      <c r="L165" s="11"/>
      <c r="M165" s="11"/>
      <c r="N165" s="11">
        <f t="shared" ref="N165:N168" si="19">SUM(O165:Z165)</f>
        <v>0</v>
      </c>
      <c r="O165" s="11"/>
      <c r="P165" s="11"/>
      <c r="Q165" s="11"/>
      <c r="R165" s="11"/>
      <c r="S165" s="11"/>
      <c r="T165" s="11"/>
      <c r="U165" s="11"/>
      <c r="V165" s="11"/>
      <c r="W165" s="11"/>
      <c r="X165" s="11"/>
      <c r="Y165" s="11"/>
      <c r="Z165" s="11"/>
    </row>
    <row r="166" spans="1:27" ht="15" hidden="1" customHeight="1" outlineLevel="1" x14ac:dyDescent="0.25">
      <c r="A166" s="93" t="s">
        <v>266</v>
      </c>
      <c r="B166" s="93"/>
      <c r="C166" s="93"/>
      <c r="D166" s="140"/>
      <c r="E166" s="11"/>
      <c r="F166" s="11"/>
      <c r="G166" s="11"/>
      <c r="H166" s="11"/>
      <c r="I166" s="11"/>
      <c r="J166" s="11"/>
      <c r="K166" s="11"/>
      <c r="L166" s="11"/>
      <c r="M166" s="11"/>
      <c r="N166" s="11">
        <f t="shared" si="19"/>
        <v>0</v>
      </c>
      <c r="O166" s="11"/>
      <c r="P166" s="11"/>
      <c r="Q166" s="11"/>
      <c r="R166" s="11"/>
      <c r="S166" s="11"/>
      <c r="T166" s="11"/>
      <c r="U166" s="11"/>
      <c r="V166" s="11"/>
      <c r="W166" s="11"/>
      <c r="X166" s="11"/>
      <c r="Y166" s="11"/>
      <c r="Z166" s="11"/>
    </row>
    <row r="167" spans="1:27" ht="15" hidden="1" customHeight="1" outlineLevel="1" x14ac:dyDescent="0.25">
      <c r="A167" s="93" t="s">
        <v>283</v>
      </c>
      <c r="B167" s="93"/>
      <c r="C167" s="93"/>
      <c r="D167" s="140"/>
      <c r="E167" s="11"/>
      <c r="F167" s="11"/>
      <c r="G167" s="11"/>
      <c r="H167" s="11"/>
      <c r="I167" s="11"/>
      <c r="J167" s="11"/>
      <c r="K167" s="11"/>
      <c r="L167" s="11"/>
      <c r="M167" s="11"/>
      <c r="N167" s="11">
        <f t="shared" si="19"/>
        <v>0</v>
      </c>
      <c r="O167" s="11"/>
      <c r="P167" s="11"/>
      <c r="Q167" s="11"/>
      <c r="R167" s="11"/>
      <c r="S167" s="11"/>
      <c r="T167" s="11"/>
      <c r="U167" s="11"/>
      <c r="V167" s="11"/>
      <c r="W167" s="11"/>
      <c r="X167" s="11"/>
      <c r="Y167" s="11"/>
      <c r="Z167" s="11"/>
    </row>
    <row r="168" spans="1:27" ht="15" hidden="1" customHeight="1" outlineLevel="1" x14ac:dyDescent="0.25">
      <c r="A168" s="93" t="s">
        <v>284</v>
      </c>
      <c r="B168" s="93"/>
      <c r="C168" s="93"/>
      <c r="D168" s="140"/>
      <c r="E168" s="11"/>
      <c r="F168" s="11"/>
      <c r="G168" s="11"/>
      <c r="H168" s="11"/>
      <c r="I168" s="11"/>
      <c r="J168" s="11"/>
      <c r="K168" s="11"/>
      <c r="L168" s="11"/>
      <c r="M168" s="11"/>
      <c r="N168" s="11">
        <f t="shared" si="19"/>
        <v>0</v>
      </c>
      <c r="O168" s="11"/>
      <c r="P168" s="11"/>
      <c r="Q168" s="11"/>
      <c r="R168" s="11"/>
      <c r="S168" s="11"/>
      <c r="T168" s="11"/>
      <c r="U168" s="11"/>
      <c r="V168" s="11"/>
      <c r="W168" s="11"/>
      <c r="X168" s="11"/>
      <c r="Y168" s="11"/>
      <c r="Z168" s="11"/>
    </row>
    <row r="169" spans="1:27" ht="21" hidden="1" customHeight="1" outlineLevel="1" x14ac:dyDescent="0.25">
      <c r="A169" s="93" t="s">
        <v>285</v>
      </c>
      <c r="B169" s="93"/>
      <c r="C169" s="93"/>
      <c r="D169" s="140"/>
      <c r="E169" s="11"/>
      <c r="F169" s="11"/>
      <c r="G169" s="45"/>
      <c r="H169" s="11"/>
      <c r="I169" s="11"/>
      <c r="J169" s="11"/>
      <c r="K169" s="68" t="s">
        <v>20</v>
      </c>
      <c r="L169" s="32">
        <f>SUM(L164:L168)</f>
        <v>0</v>
      </c>
      <c r="M169" s="32">
        <f>SUM(M164:M168)</f>
        <v>0</v>
      </c>
      <c r="N169" s="11">
        <f>SUM(N165:N168)</f>
        <v>0</v>
      </c>
      <c r="O169" s="11">
        <f t="shared" ref="O169:Z169" si="20">SUM(O165:O168)</f>
        <v>0</v>
      </c>
      <c r="P169" s="11">
        <f t="shared" si="20"/>
        <v>0</v>
      </c>
      <c r="Q169" s="11">
        <f t="shared" si="20"/>
        <v>0</v>
      </c>
      <c r="R169" s="11">
        <f t="shared" si="20"/>
        <v>0</v>
      </c>
      <c r="S169" s="11">
        <f t="shared" si="20"/>
        <v>0</v>
      </c>
      <c r="T169" s="11">
        <f t="shared" si="20"/>
        <v>0</v>
      </c>
      <c r="U169" s="11">
        <f t="shared" si="20"/>
        <v>0</v>
      </c>
      <c r="V169" s="11">
        <f t="shared" si="20"/>
        <v>0</v>
      </c>
      <c r="W169" s="11">
        <f t="shared" si="20"/>
        <v>0</v>
      </c>
      <c r="X169" s="11">
        <f t="shared" si="20"/>
        <v>0</v>
      </c>
      <c r="Y169" s="11">
        <f t="shared" si="20"/>
        <v>0</v>
      </c>
      <c r="Z169" s="11">
        <f t="shared" si="20"/>
        <v>0</v>
      </c>
      <c r="AA169" s="35"/>
    </row>
    <row r="170" spans="1:27" ht="18" hidden="1" outlineLevel="1" x14ac:dyDescent="0.25">
      <c r="A170" s="30" t="str">
        <f>CONCATENATE(B25," ",C25)</f>
        <v xml:space="preserve"> </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hidden="1"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hidden="1" customHeight="1" outlineLevel="1" x14ac:dyDescent="0.25">
      <c r="A172" s="93" t="s">
        <v>265</v>
      </c>
      <c r="B172" s="93"/>
      <c r="C172" s="93"/>
      <c r="D172" s="140"/>
      <c r="E172" s="11"/>
      <c r="F172" s="11"/>
      <c r="G172" s="11"/>
      <c r="H172" s="11"/>
      <c r="I172" s="11"/>
      <c r="J172" s="11"/>
      <c r="K172" s="11"/>
      <c r="L172" s="11"/>
      <c r="M172" s="11"/>
      <c r="N172" s="11">
        <f t="shared" ref="N172:N175" si="21">SUM(O172:Z172)</f>
        <v>0</v>
      </c>
      <c r="O172" s="11"/>
      <c r="P172" s="11"/>
      <c r="Q172" s="11"/>
      <c r="R172" s="11"/>
      <c r="S172" s="11"/>
      <c r="T172" s="11"/>
      <c r="U172" s="11"/>
      <c r="V172" s="11"/>
      <c r="W172" s="11"/>
      <c r="X172" s="11"/>
      <c r="Y172" s="11"/>
      <c r="Z172" s="11"/>
    </row>
    <row r="173" spans="1:27" ht="15" hidden="1" customHeight="1" outlineLevel="1" x14ac:dyDescent="0.25">
      <c r="A173" s="93" t="s">
        <v>266</v>
      </c>
      <c r="B173" s="93"/>
      <c r="C173" s="93"/>
      <c r="D173" s="140"/>
      <c r="E173" s="11"/>
      <c r="F173" s="11"/>
      <c r="G173" s="11"/>
      <c r="H173" s="11"/>
      <c r="I173" s="11"/>
      <c r="J173" s="11"/>
      <c r="K173" s="11"/>
      <c r="L173" s="11"/>
      <c r="M173" s="11"/>
      <c r="N173" s="11">
        <f t="shared" si="21"/>
        <v>0</v>
      </c>
      <c r="O173" s="11"/>
      <c r="P173" s="11"/>
      <c r="Q173" s="11"/>
      <c r="R173" s="11"/>
      <c r="S173" s="11"/>
      <c r="T173" s="11"/>
      <c r="U173" s="11"/>
      <c r="V173" s="11"/>
      <c r="W173" s="11"/>
      <c r="X173" s="11"/>
      <c r="Y173" s="11"/>
      <c r="Z173" s="11"/>
    </row>
    <row r="174" spans="1:27" ht="15" hidden="1" customHeight="1" outlineLevel="1" x14ac:dyDescent="0.25">
      <c r="A174" s="93" t="s">
        <v>283</v>
      </c>
      <c r="B174" s="93"/>
      <c r="C174" s="93"/>
      <c r="D174" s="140"/>
      <c r="E174" s="11"/>
      <c r="F174" s="11"/>
      <c r="G174" s="11"/>
      <c r="H174" s="11"/>
      <c r="I174" s="11"/>
      <c r="J174" s="11"/>
      <c r="K174" s="11"/>
      <c r="L174" s="11"/>
      <c r="M174" s="11"/>
      <c r="N174" s="11">
        <f t="shared" si="21"/>
        <v>0</v>
      </c>
      <c r="O174" s="11"/>
      <c r="P174" s="11"/>
      <c r="Q174" s="11"/>
      <c r="R174" s="11"/>
      <c r="S174" s="11"/>
      <c r="T174" s="11"/>
      <c r="U174" s="11"/>
      <c r="V174" s="11"/>
      <c r="W174" s="11"/>
      <c r="X174" s="11"/>
      <c r="Y174" s="11"/>
      <c r="Z174" s="11"/>
    </row>
    <row r="175" spans="1:27" ht="15" hidden="1" customHeight="1" outlineLevel="1" x14ac:dyDescent="0.25">
      <c r="A175" s="93" t="s">
        <v>284</v>
      </c>
      <c r="B175" s="93"/>
      <c r="C175" s="93"/>
      <c r="D175" s="140"/>
      <c r="E175" s="11"/>
      <c r="F175" s="11"/>
      <c r="G175" s="11"/>
      <c r="H175" s="11"/>
      <c r="I175" s="11"/>
      <c r="J175" s="11"/>
      <c r="K175" s="11"/>
      <c r="L175" s="11"/>
      <c r="M175" s="11"/>
      <c r="N175" s="11">
        <f t="shared" si="21"/>
        <v>0</v>
      </c>
      <c r="O175" s="11"/>
      <c r="P175" s="11"/>
      <c r="Q175" s="11"/>
      <c r="R175" s="11"/>
      <c r="S175" s="11"/>
      <c r="T175" s="11"/>
      <c r="U175" s="11"/>
      <c r="V175" s="11"/>
      <c r="W175" s="11"/>
      <c r="X175" s="11"/>
      <c r="Y175" s="11"/>
      <c r="Z175" s="11"/>
    </row>
    <row r="176" spans="1:27" ht="21" hidden="1" customHeight="1" outlineLevel="1" x14ac:dyDescent="0.25">
      <c r="A176" s="93" t="s">
        <v>285</v>
      </c>
      <c r="B176" s="93"/>
      <c r="C176" s="93"/>
      <c r="D176" s="140"/>
      <c r="E176" s="11"/>
      <c r="F176" s="11"/>
      <c r="G176" s="45"/>
      <c r="H176" s="11"/>
      <c r="I176" s="11"/>
      <c r="J176" s="11"/>
      <c r="K176" s="68" t="s">
        <v>20</v>
      </c>
      <c r="L176" s="32">
        <f>SUM(L171:L175)</f>
        <v>0</v>
      </c>
      <c r="M176" s="32">
        <f>SUM(M171:M175)</f>
        <v>0</v>
      </c>
      <c r="N176" s="11">
        <f>SUM(N172:N175)</f>
        <v>0</v>
      </c>
      <c r="O176" s="11">
        <f t="shared" ref="O176:Z176" si="22">SUM(O172:O175)</f>
        <v>0</v>
      </c>
      <c r="P176" s="11">
        <f t="shared" si="22"/>
        <v>0</v>
      </c>
      <c r="Q176" s="11">
        <f t="shared" si="22"/>
        <v>0</v>
      </c>
      <c r="R176" s="11">
        <f t="shared" si="22"/>
        <v>0</v>
      </c>
      <c r="S176" s="11">
        <f t="shared" si="22"/>
        <v>0</v>
      </c>
      <c r="T176" s="11">
        <f t="shared" si="22"/>
        <v>0</v>
      </c>
      <c r="U176" s="11">
        <f t="shared" si="22"/>
        <v>0</v>
      </c>
      <c r="V176" s="11">
        <f t="shared" si="22"/>
        <v>0</v>
      </c>
      <c r="W176" s="11">
        <f t="shared" si="22"/>
        <v>0</v>
      </c>
      <c r="X176" s="11">
        <f t="shared" si="22"/>
        <v>0</v>
      </c>
      <c r="Y176" s="11">
        <f t="shared" si="22"/>
        <v>0</v>
      </c>
      <c r="Z176" s="11">
        <f t="shared" si="22"/>
        <v>0</v>
      </c>
      <c r="AA176" s="35"/>
    </row>
    <row r="177" spans="1:26" ht="18" hidden="1" outlineLevel="1" x14ac:dyDescent="0.25">
      <c r="A177" s="30" t="str">
        <f>CONCATENATE(B26," ",C26)</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6" ht="6.75" hidden="1" customHeight="1" collapsed="1" x14ac:dyDescent="0.25"/>
    <row r="179" spans="1:26" ht="18" x14ac:dyDescent="0.25">
      <c r="A179" s="41" t="s">
        <v>324</v>
      </c>
      <c r="B179" s="41"/>
      <c r="C179" s="42"/>
      <c r="D179" s="42"/>
      <c r="E179" s="43"/>
      <c r="F179" s="43"/>
      <c r="G179" s="43"/>
      <c r="H179" s="44"/>
      <c r="I179" s="44"/>
      <c r="J179" s="43"/>
      <c r="K179" s="43"/>
      <c r="L179" s="43"/>
      <c r="M179" s="43"/>
      <c r="N179" s="43"/>
      <c r="O179" s="43" t="s">
        <v>5</v>
      </c>
      <c r="P179" s="43"/>
      <c r="Q179" s="43"/>
      <c r="R179" s="43"/>
      <c r="S179" s="43"/>
      <c r="T179" s="43"/>
      <c r="U179" s="43"/>
      <c r="V179" s="43"/>
      <c r="W179" s="43"/>
      <c r="X179" s="43"/>
      <c r="Y179" s="43"/>
      <c r="Z179" s="43"/>
    </row>
    <row r="180" spans="1:26" ht="15.75" outlineLevel="1" x14ac:dyDescent="0.25">
      <c r="A180" s="92" t="s">
        <v>261</v>
      </c>
      <c r="B180" s="92" t="s">
        <v>13</v>
      </c>
      <c r="C180" s="92" t="s">
        <v>14</v>
      </c>
      <c r="D180" s="8" t="s">
        <v>15</v>
      </c>
      <c r="E180" s="49"/>
      <c r="F180" s="49"/>
      <c r="G180" s="49"/>
      <c r="H180" s="49"/>
      <c r="I180" s="49"/>
      <c r="J180" s="48"/>
      <c r="K180" s="12"/>
      <c r="L180" s="32" t="s">
        <v>52</v>
      </c>
      <c r="M180" s="32" t="s">
        <v>53</v>
      </c>
      <c r="N180" s="32" t="s">
        <v>54</v>
      </c>
      <c r="O180" s="66">
        <v>43101</v>
      </c>
      <c r="P180" s="66">
        <v>43132</v>
      </c>
      <c r="Q180" s="66">
        <v>43160</v>
      </c>
      <c r="R180" s="66">
        <v>43191</v>
      </c>
      <c r="S180" s="66">
        <v>43221</v>
      </c>
      <c r="T180" s="66">
        <v>43252</v>
      </c>
      <c r="U180" s="66">
        <v>43282</v>
      </c>
      <c r="V180" s="66">
        <v>43313</v>
      </c>
      <c r="W180" s="66">
        <v>43344</v>
      </c>
      <c r="X180" s="66">
        <v>43374</v>
      </c>
      <c r="Y180" s="66">
        <v>43405</v>
      </c>
      <c r="Z180" s="66">
        <v>43435</v>
      </c>
    </row>
    <row r="181" spans="1:26" ht="15" hidden="1" outlineLevel="1" x14ac:dyDescent="0.25">
      <c r="A181" s="93" t="str">
        <f>+A17</f>
        <v>5.1</v>
      </c>
      <c r="B181" s="93" t="s">
        <v>27</v>
      </c>
      <c r="C181" s="93">
        <f t="shared" ref="C181:D190" si="23">C17</f>
        <v>0</v>
      </c>
      <c r="D181" s="7">
        <f t="shared" si="23"/>
        <v>0</v>
      </c>
      <c r="E181" s="49"/>
      <c r="F181" s="49"/>
      <c r="G181" s="49"/>
      <c r="H181" s="49"/>
      <c r="I181" s="49"/>
      <c r="J181" s="48"/>
      <c r="K181" s="12" t="s">
        <v>5</v>
      </c>
      <c r="L181" s="11" t="s">
        <v>48</v>
      </c>
      <c r="M181" s="11" t="s">
        <v>55</v>
      </c>
      <c r="N181" s="11">
        <v>6</v>
      </c>
      <c r="O181" s="54" t="e">
        <f t="shared" ref="O181:Z181" si="24">+O17/SUM($O17:$Z17)</f>
        <v>#DIV/0!</v>
      </c>
      <c r="P181" s="54" t="e">
        <f t="shared" si="24"/>
        <v>#DIV/0!</v>
      </c>
      <c r="Q181" s="54" t="e">
        <f t="shared" si="24"/>
        <v>#DIV/0!</v>
      </c>
      <c r="R181" s="54" t="e">
        <f t="shared" si="24"/>
        <v>#DIV/0!</v>
      </c>
      <c r="S181" s="54" t="e">
        <f t="shared" si="24"/>
        <v>#DIV/0!</v>
      </c>
      <c r="T181" s="54" t="e">
        <f t="shared" si="24"/>
        <v>#DIV/0!</v>
      </c>
      <c r="U181" s="54" t="e">
        <f t="shared" si="24"/>
        <v>#DIV/0!</v>
      </c>
      <c r="V181" s="54" t="e">
        <f t="shared" si="24"/>
        <v>#DIV/0!</v>
      </c>
      <c r="W181" s="54" t="e">
        <f t="shared" si="24"/>
        <v>#DIV/0!</v>
      </c>
      <c r="X181" s="54" t="e">
        <f t="shared" si="24"/>
        <v>#DIV/0!</v>
      </c>
      <c r="Y181" s="54" t="e">
        <f t="shared" si="24"/>
        <v>#DIV/0!</v>
      </c>
      <c r="Z181" s="54" t="e">
        <f t="shared" si="24"/>
        <v>#DIV/0!</v>
      </c>
    </row>
    <row r="182" spans="1:26" ht="15" hidden="1" outlineLevel="1" x14ac:dyDescent="0.25">
      <c r="A182" s="93">
        <f>+A18</f>
        <v>0</v>
      </c>
      <c r="B182" s="93" t="s">
        <v>29</v>
      </c>
      <c r="C182" s="93">
        <f t="shared" si="23"/>
        <v>0</v>
      </c>
      <c r="D182" s="7">
        <f t="shared" si="23"/>
        <v>0</v>
      </c>
      <c r="E182" s="49"/>
      <c r="F182" s="49"/>
      <c r="G182" s="49"/>
      <c r="H182" s="49"/>
      <c r="I182" s="49"/>
      <c r="J182" s="48"/>
      <c r="K182" s="12" t="s">
        <v>5</v>
      </c>
      <c r="L182" s="11" t="s">
        <v>48</v>
      </c>
      <c r="M182" s="11" t="s">
        <v>55</v>
      </c>
      <c r="N182" s="11">
        <v>6</v>
      </c>
      <c r="O182" s="54" t="e">
        <f t="shared" ref="O182:Z182" si="25">+O18/SUM($O18:$Z18)</f>
        <v>#DIV/0!</v>
      </c>
      <c r="P182" s="54" t="e">
        <f t="shared" si="25"/>
        <v>#DIV/0!</v>
      </c>
      <c r="Q182" s="54" t="e">
        <f t="shared" si="25"/>
        <v>#DIV/0!</v>
      </c>
      <c r="R182" s="54" t="e">
        <f t="shared" si="25"/>
        <v>#DIV/0!</v>
      </c>
      <c r="S182" s="54" t="e">
        <f t="shared" si="25"/>
        <v>#DIV/0!</v>
      </c>
      <c r="T182" s="54" t="e">
        <f t="shared" si="25"/>
        <v>#DIV/0!</v>
      </c>
      <c r="U182" s="54" t="e">
        <f t="shared" si="25"/>
        <v>#DIV/0!</v>
      </c>
      <c r="V182" s="54" t="e">
        <f t="shared" si="25"/>
        <v>#DIV/0!</v>
      </c>
      <c r="W182" s="54" t="e">
        <f t="shared" si="25"/>
        <v>#DIV/0!</v>
      </c>
      <c r="X182" s="54" t="e">
        <f t="shared" si="25"/>
        <v>#DIV/0!</v>
      </c>
      <c r="Y182" s="54" t="e">
        <f t="shared" si="25"/>
        <v>#DIV/0!</v>
      </c>
      <c r="Z182" s="54" t="e">
        <f t="shared" si="25"/>
        <v>#DIV/0!</v>
      </c>
    </row>
    <row r="183" spans="1:26" ht="15" hidden="1" outlineLevel="1" x14ac:dyDescent="0.25">
      <c r="A183" s="93">
        <f>+A19</f>
        <v>0</v>
      </c>
      <c r="B183" s="93" t="s">
        <v>30</v>
      </c>
      <c r="C183" s="93">
        <f t="shared" si="23"/>
        <v>0</v>
      </c>
      <c r="D183" s="7">
        <f t="shared" si="23"/>
        <v>0</v>
      </c>
      <c r="E183" s="49"/>
      <c r="F183" s="49"/>
      <c r="G183" s="49"/>
      <c r="H183" s="49"/>
      <c r="I183" s="49"/>
      <c r="J183" s="48"/>
      <c r="K183" s="12" t="s">
        <v>5</v>
      </c>
      <c r="L183" s="11"/>
      <c r="M183" s="11"/>
      <c r="N183" s="11"/>
      <c r="O183" s="54" t="e">
        <f t="shared" ref="O183:Z191" si="26">+O19/SUM($O19:$Z19)</f>
        <v>#DIV/0!</v>
      </c>
      <c r="P183" s="54" t="e">
        <f t="shared" si="26"/>
        <v>#DIV/0!</v>
      </c>
      <c r="Q183" s="54" t="e">
        <f t="shared" si="26"/>
        <v>#DIV/0!</v>
      </c>
      <c r="R183" s="54" t="e">
        <f t="shared" si="26"/>
        <v>#DIV/0!</v>
      </c>
      <c r="S183" s="54" t="e">
        <f t="shared" si="26"/>
        <v>#DIV/0!</v>
      </c>
      <c r="T183" s="54" t="e">
        <f t="shared" si="26"/>
        <v>#DIV/0!</v>
      </c>
      <c r="U183" s="54" t="e">
        <f t="shared" si="26"/>
        <v>#DIV/0!</v>
      </c>
      <c r="V183" s="54" t="e">
        <f t="shared" si="26"/>
        <v>#DIV/0!</v>
      </c>
      <c r="W183" s="54" t="e">
        <f t="shared" si="26"/>
        <v>#DIV/0!</v>
      </c>
      <c r="X183" s="54" t="e">
        <f t="shared" si="26"/>
        <v>#DIV/0!</v>
      </c>
      <c r="Y183" s="54" t="e">
        <f t="shared" si="26"/>
        <v>#DIV/0!</v>
      </c>
      <c r="Z183" s="54" t="e">
        <f t="shared" si="26"/>
        <v>#DIV/0!</v>
      </c>
    </row>
    <row r="184" spans="1:26" ht="15" hidden="1" outlineLevel="1" x14ac:dyDescent="0.25">
      <c r="A184" s="93">
        <f>+A20</f>
        <v>0</v>
      </c>
      <c r="B184" s="93" t="s">
        <v>31</v>
      </c>
      <c r="C184" s="93">
        <f t="shared" si="23"/>
        <v>0</v>
      </c>
      <c r="D184" s="140">
        <f t="shared" si="23"/>
        <v>0</v>
      </c>
      <c r="E184" s="49"/>
      <c r="F184" s="49"/>
      <c r="G184" s="49"/>
      <c r="H184" s="49"/>
      <c r="I184" s="49"/>
      <c r="J184" s="48"/>
      <c r="K184" s="12" t="s">
        <v>5</v>
      </c>
      <c r="L184" s="11"/>
      <c r="M184" s="11"/>
      <c r="N184" s="11"/>
      <c r="O184" s="54" t="e">
        <f t="shared" si="26"/>
        <v>#VALUE!</v>
      </c>
      <c r="P184" s="54" t="e">
        <f t="shared" si="26"/>
        <v>#DIV/0!</v>
      </c>
      <c r="Q184" s="54" t="e">
        <f t="shared" si="26"/>
        <v>#DIV/0!</v>
      </c>
      <c r="R184" s="54" t="e">
        <f t="shared" si="26"/>
        <v>#DIV/0!</v>
      </c>
      <c r="S184" s="54" t="e">
        <f t="shared" si="26"/>
        <v>#DIV/0!</v>
      </c>
      <c r="T184" s="54" t="e">
        <f t="shared" si="26"/>
        <v>#DIV/0!</v>
      </c>
      <c r="U184" s="54" t="e">
        <f t="shared" si="26"/>
        <v>#DIV/0!</v>
      </c>
      <c r="V184" s="54" t="e">
        <f t="shared" si="26"/>
        <v>#DIV/0!</v>
      </c>
      <c r="W184" s="54" t="e">
        <f t="shared" si="26"/>
        <v>#DIV/0!</v>
      </c>
      <c r="X184" s="54" t="e">
        <f t="shared" si="26"/>
        <v>#DIV/0!</v>
      </c>
      <c r="Y184" s="54" t="e">
        <f t="shared" si="26"/>
        <v>#DIV/0!</v>
      </c>
      <c r="Z184" s="54" t="e">
        <f t="shared" si="26"/>
        <v>#DIV/0!</v>
      </c>
    </row>
    <row r="185" spans="1:26" ht="15" hidden="1" outlineLevel="1" x14ac:dyDescent="0.25">
      <c r="A185" s="93">
        <f t="shared" ref="A185:A190" si="27">+A21</f>
        <v>0</v>
      </c>
      <c r="B185" s="93" t="s">
        <v>32</v>
      </c>
      <c r="C185" s="93">
        <f t="shared" si="23"/>
        <v>0</v>
      </c>
      <c r="D185" s="140">
        <f t="shared" si="23"/>
        <v>0</v>
      </c>
      <c r="E185" s="49"/>
      <c r="F185" s="49"/>
      <c r="G185" s="49"/>
      <c r="H185" s="49"/>
      <c r="I185" s="49"/>
      <c r="J185" s="48"/>
      <c r="K185" s="12"/>
      <c r="L185" s="11"/>
      <c r="M185" s="11"/>
      <c r="N185" s="11"/>
      <c r="O185" s="54" t="e">
        <f t="shared" si="26"/>
        <v>#DIV/0!</v>
      </c>
      <c r="P185" s="54" t="e">
        <f t="shared" si="26"/>
        <v>#DIV/0!</v>
      </c>
      <c r="Q185" s="54" t="e">
        <f t="shared" si="26"/>
        <v>#DIV/0!</v>
      </c>
      <c r="R185" s="54" t="e">
        <f t="shared" si="26"/>
        <v>#DIV/0!</v>
      </c>
      <c r="S185" s="54" t="e">
        <f t="shared" si="26"/>
        <v>#DIV/0!</v>
      </c>
      <c r="T185" s="54" t="e">
        <f t="shared" si="26"/>
        <v>#DIV/0!</v>
      </c>
      <c r="U185" s="54" t="e">
        <f t="shared" si="26"/>
        <v>#DIV/0!</v>
      </c>
      <c r="V185" s="54" t="e">
        <f t="shared" si="26"/>
        <v>#DIV/0!</v>
      </c>
      <c r="W185" s="54" t="e">
        <f t="shared" si="26"/>
        <v>#DIV/0!</v>
      </c>
      <c r="X185" s="54" t="e">
        <f t="shared" si="26"/>
        <v>#DIV/0!</v>
      </c>
      <c r="Y185" s="54" t="e">
        <f t="shared" si="26"/>
        <v>#DIV/0!</v>
      </c>
      <c r="Z185" s="54" t="e">
        <f t="shared" si="26"/>
        <v>#DIV/0!</v>
      </c>
    </row>
    <row r="186" spans="1:26" ht="15" hidden="1" outlineLevel="1" x14ac:dyDescent="0.25">
      <c r="A186" s="93">
        <f t="shared" si="27"/>
        <v>0</v>
      </c>
      <c r="B186" s="93" t="s">
        <v>256</v>
      </c>
      <c r="C186" s="93">
        <f t="shared" si="23"/>
        <v>0</v>
      </c>
      <c r="D186" s="140">
        <f t="shared" si="23"/>
        <v>0</v>
      </c>
      <c r="E186" s="49"/>
      <c r="F186" s="49"/>
      <c r="G186" s="49"/>
      <c r="H186" s="49"/>
      <c r="I186" s="49"/>
      <c r="J186" s="48"/>
      <c r="K186" s="12"/>
      <c r="L186" s="11"/>
      <c r="M186" s="11"/>
      <c r="N186" s="11"/>
      <c r="O186" s="54" t="e">
        <f t="shared" si="26"/>
        <v>#DIV/0!</v>
      </c>
      <c r="P186" s="54" t="e">
        <f t="shared" si="26"/>
        <v>#DIV/0!</v>
      </c>
      <c r="Q186" s="54" t="e">
        <f t="shared" si="26"/>
        <v>#DIV/0!</v>
      </c>
      <c r="R186" s="54" t="e">
        <f t="shared" si="26"/>
        <v>#DIV/0!</v>
      </c>
      <c r="S186" s="54" t="e">
        <f t="shared" si="26"/>
        <v>#DIV/0!</v>
      </c>
      <c r="T186" s="54" t="e">
        <f t="shared" si="26"/>
        <v>#DIV/0!</v>
      </c>
      <c r="U186" s="54" t="e">
        <f t="shared" si="26"/>
        <v>#DIV/0!</v>
      </c>
      <c r="V186" s="54" t="e">
        <f t="shared" si="26"/>
        <v>#DIV/0!</v>
      </c>
      <c r="W186" s="54" t="e">
        <f t="shared" si="26"/>
        <v>#DIV/0!</v>
      </c>
      <c r="X186" s="54" t="e">
        <f t="shared" si="26"/>
        <v>#DIV/0!</v>
      </c>
      <c r="Y186" s="54" t="e">
        <f t="shared" si="26"/>
        <v>#DIV/0!</v>
      </c>
      <c r="Z186" s="54" t="e">
        <f t="shared" si="26"/>
        <v>#DIV/0!</v>
      </c>
    </row>
    <row r="187" spans="1:26" ht="15" hidden="1" outlineLevel="1" x14ac:dyDescent="0.25">
      <c r="A187" s="93">
        <f t="shared" si="27"/>
        <v>0</v>
      </c>
      <c r="B187" s="93" t="s">
        <v>257</v>
      </c>
      <c r="C187" s="93">
        <f t="shared" si="23"/>
        <v>0</v>
      </c>
      <c r="D187" s="140">
        <f t="shared" si="23"/>
        <v>0</v>
      </c>
      <c r="E187" s="49"/>
      <c r="F187" s="49"/>
      <c r="G187" s="49"/>
      <c r="H187" s="49"/>
      <c r="I187" s="49"/>
      <c r="J187" s="48"/>
      <c r="K187" s="12"/>
      <c r="L187" s="11"/>
      <c r="M187" s="11"/>
      <c r="N187" s="11"/>
      <c r="O187" s="54" t="e">
        <f t="shared" si="26"/>
        <v>#DIV/0!</v>
      </c>
      <c r="P187" s="54" t="e">
        <f t="shared" si="26"/>
        <v>#DIV/0!</v>
      </c>
      <c r="Q187" s="54" t="e">
        <f t="shared" si="26"/>
        <v>#DIV/0!</v>
      </c>
      <c r="R187" s="54" t="e">
        <f t="shared" si="26"/>
        <v>#DIV/0!</v>
      </c>
      <c r="S187" s="54" t="e">
        <f t="shared" si="26"/>
        <v>#DIV/0!</v>
      </c>
      <c r="T187" s="54" t="e">
        <f t="shared" si="26"/>
        <v>#DIV/0!</v>
      </c>
      <c r="U187" s="54" t="e">
        <f t="shared" si="26"/>
        <v>#DIV/0!</v>
      </c>
      <c r="V187" s="54" t="e">
        <f t="shared" si="26"/>
        <v>#DIV/0!</v>
      </c>
      <c r="W187" s="54" t="e">
        <f t="shared" si="26"/>
        <v>#DIV/0!</v>
      </c>
      <c r="X187" s="54" t="e">
        <f t="shared" si="26"/>
        <v>#DIV/0!</v>
      </c>
      <c r="Y187" s="54" t="e">
        <f t="shared" si="26"/>
        <v>#DIV/0!</v>
      </c>
      <c r="Z187" s="54" t="e">
        <f t="shared" si="26"/>
        <v>#DIV/0!</v>
      </c>
    </row>
    <row r="188" spans="1:26" ht="15" hidden="1" outlineLevel="1" x14ac:dyDescent="0.25">
      <c r="A188" s="93">
        <f t="shared" si="27"/>
        <v>0</v>
      </c>
      <c r="B188" s="93" t="s">
        <v>258</v>
      </c>
      <c r="C188" s="93">
        <f t="shared" si="23"/>
        <v>0</v>
      </c>
      <c r="D188" s="140">
        <f t="shared" si="23"/>
        <v>0</v>
      </c>
      <c r="E188" s="49"/>
      <c r="F188" s="49"/>
      <c r="G188" s="49"/>
      <c r="H188" s="49"/>
      <c r="I188" s="49"/>
      <c r="J188" s="48"/>
      <c r="K188" s="12"/>
      <c r="L188" s="11"/>
      <c r="M188" s="11"/>
      <c r="N188" s="11"/>
      <c r="O188" s="54" t="e">
        <f t="shared" si="26"/>
        <v>#DIV/0!</v>
      </c>
      <c r="P188" s="54" t="e">
        <f t="shared" si="26"/>
        <v>#DIV/0!</v>
      </c>
      <c r="Q188" s="54" t="e">
        <f t="shared" si="26"/>
        <v>#DIV/0!</v>
      </c>
      <c r="R188" s="54" t="e">
        <f t="shared" si="26"/>
        <v>#DIV/0!</v>
      </c>
      <c r="S188" s="54" t="e">
        <f t="shared" si="26"/>
        <v>#DIV/0!</v>
      </c>
      <c r="T188" s="54" t="e">
        <f t="shared" si="26"/>
        <v>#DIV/0!</v>
      </c>
      <c r="U188" s="54" t="e">
        <f t="shared" si="26"/>
        <v>#DIV/0!</v>
      </c>
      <c r="V188" s="54" t="e">
        <f t="shared" si="26"/>
        <v>#DIV/0!</v>
      </c>
      <c r="W188" s="54" t="e">
        <f t="shared" si="26"/>
        <v>#DIV/0!</v>
      </c>
      <c r="X188" s="54" t="e">
        <f t="shared" si="26"/>
        <v>#DIV/0!</v>
      </c>
      <c r="Y188" s="54" t="e">
        <f t="shared" si="26"/>
        <v>#DIV/0!</v>
      </c>
      <c r="Z188" s="54" t="e">
        <f t="shared" si="26"/>
        <v>#DIV/0!</v>
      </c>
    </row>
    <row r="189" spans="1:26" ht="15" hidden="1" outlineLevel="1" x14ac:dyDescent="0.25">
      <c r="A189" s="93">
        <f t="shared" si="27"/>
        <v>0</v>
      </c>
      <c r="B189" s="93" t="s">
        <v>259</v>
      </c>
      <c r="C189" s="93">
        <f t="shared" si="23"/>
        <v>0</v>
      </c>
      <c r="D189" s="140">
        <f t="shared" si="23"/>
        <v>0</v>
      </c>
      <c r="E189" s="49"/>
      <c r="F189" s="49"/>
      <c r="G189" s="49"/>
      <c r="H189" s="49"/>
      <c r="I189" s="49"/>
      <c r="J189" s="48"/>
      <c r="K189" s="12"/>
      <c r="L189" s="11"/>
      <c r="M189" s="11"/>
      <c r="N189" s="11"/>
      <c r="O189" s="54" t="e">
        <f t="shared" si="26"/>
        <v>#DIV/0!</v>
      </c>
      <c r="P189" s="54" t="e">
        <f t="shared" si="26"/>
        <v>#DIV/0!</v>
      </c>
      <c r="Q189" s="54" t="e">
        <f t="shared" si="26"/>
        <v>#DIV/0!</v>
      </c>
      <c r="R189" s="54" t="e">
        <f t="shared" si="26"/>
        <v>#DIV/0!</v>
      </c>
      <c r="S189" s="54" t="e">
        <f t="shared" si="26"/>
        <v>#DIV/0!</v>
      </c>
      <c r="T189" s="54" t="e">
        <f t="shared" si="26"/>
        <v>#DIV/0!</v>
      </c>
      <c r="U189" s="54" t="e">
        <f t="shared" si="26"/>
        <v>#DIV/0!</v>
      </c>
      <c r="V189" s="54" t="e">
        <f t="shared" si="26"/>
        <v>#DIV/0!</v>
      </c>
      <c r="W189" s="54" t="e">
        <f t="shared" si="26"/>
        <v>#DIV/0!</v>
      </c>
      <c r="X189" s="54" t="e">
        <f t="shared" si="26"/>
        <v>#DIV/0!</v>
      </c>
      <c r="Y189" s="54" t="e">
        <f t="shared" si="26"/>
        <v>#DIV/0!</v>
      </c>
      <c r="Z189" s="54" t="e">
        <f t="shared" si="26"/>
        <v>#DIV/0!</v>
      </c>
    </row>
    <row r="190" spans="1:26" ht="15" hidden="1" outlineLevel="1" x14ac:dyDescent="0.25">
      <c r="A190" s="93">
        <f t="shared" si="27"/>
        <v>0</v>
      </c>
      <c r="B190" s="93" t="s">
        <v>260</v>
      </c>
      <c r="C190" s="93">
        <f t="shared" si="23"/>
        <v>0</v>
      </c>
      <c r="D190" s="140">
        <f t="shared" si="23"/>
        <v>0</v>
      </c>
      <c r="E190" s="49"/>
      <c r="F190" s="49"/>
      <c r="G190" s="49"/>
      <c r="H190" s="49"/>
      <c r="I190" s="49"/>
      <c r="J190" s="48"/>
      <c r="K190" s="12" t="s">
        <v>5</v>
      </c>
      <c r="L190" s="11"/>
      <c r="M190" s="11"/>
      <c r="N190" s="11"/>
      <c r="O190" s="54" t="e">
        <f t="shared" si="26"/>
        <v>#VALUE!</v>
      </c>
      <c r="P190" s="54" t="e">
        <f t="shared" si="26"/>
        <v>#DIV/0!</v>
      </c>
      <c r="Q190" s="54" t="e">
        <f t="shared" si="26"/>
        <v>#DIV/0!</v>
      </c>
      <c r="R190" s="54" t="e">
        <f t="shared" si="26"/>
        <v>#DIV/0!</v>
      </c>
      <c r="S190" s="54" t="e">
        <f t="shared" si="26"/>
        <v>#DIV/0!</v>
      </c>
      <c r="T190" s="54" t="e">
        <f t="shared" si="26"/>
        <v>#DIV/0!</v>
      </c>
      <c r="U190" s="54" t="e">
        <f t="shared" si="26"/>
        <v>#DIV/0!</v>
      </c>
      <c r="V190" s="54" t="e">
        <f t="shared" si="26"/>
        <v>#DIV/0!</v>
      </c>
      <c r="W190" s="54" t="e">
        <f t="shared" si="26"/>
        <v>#DIV/0!</v>
      </c>
      <c r="X190" s="54" t="e">
        <f t="shared" si="26"/>
        <v>#DIV/0!</v>
      </c>
      <c r="Y190" s="54" t="e">
        <f t="shared" si="26"/>
        <v>#DIV/0!</v>
      </c>
      <c r="Z190" s="54" t="e">
        <f t="shared" si="26"/>
        <v>#DIV/0!</v>
      </c>
    </row>
    <row r="191" spans="1:26" s="35" customFormat="1" ht="22.5" hidden="1" customHeight="1" outlineLevel="1" x14ac:dyDescent="0.25">
      <c r="A191" s="33"/>
      <c r="B191" s="34"/>
      <c r="C191" s="34"/>
      <c r="D191" s="34"/>
      <c r="E191" s="50"/>
      <c r="F191" s="50"/>
      <c r="G191" s="50"/>
      <c r="H191" s="50"/>
      <c r="I191" s="50"/>
      <c r="J191" s="51" t="s">
        <v>20</v>
      </c>
      <c r="K191" s="68"/>
      <c r="L191" s="32" t="s">
        <v>48</v>
      </c>
      <c r="M191" s="32" t="s">
        <v>55</v>
      </c>
      <c r="N191" s="126">
        <f>SUM(N181:N190)</f>
        <v>12</v>
      </c>
      <c r="O191" s="54" t="e">
        <f t="shared" si="26"/>
        <v>#DIV/0!</v>
      </c>
      <c r="P191" s="54" t="e">
        <f t="shared" si="26"/>
        <v>#DIV/0!</v>
      </c>
      <c r="Q191" s="54" t="e">
        <f t="shared" si="26"/>
        <v>#DIV/0!</v>
      </c>
      <c r="R191" s="54" t="e">
        <f t="shared" si="26"/>
        <v>#DIV/0!</v>
      </c>
      <c r="S191" s="54" t="e">
        <f t="shared" si="26"/>
        <v>#DIV/0!</v>
      </c>
      <c r="T191" s="54" t="e">
        <f t="shared" si="26"/>
        <v>#DIV/0!</v>
      </c>
      <c r="U191" s="54" t="e">
        <f t="shared" si="26"/>
        <v>#DIV/0!</v>
      </c>
      <c r="V191" s="54" t="e">
        <f t="shared" si="26"/>
        <v>#DIV/0!</v>
      </c>
      <c r="W191" s="54" t="e">
        <f t="shared" si="26"/>
        <v>#DIV/0!</v>
      </c>
      <c r="X191" s="54" t="e">
        <f t="shared" si="26"/>
        <v>#DIV/0!</v>
      </c>
      <c r="Y191" s="54" t="e">
        <f t="shared" si="26"/>
        <v>#DIV/0!</v>
      </c>
      <c r="Z191" s="54" t="e">
        <f t="shared" si="26"/>
        <v>#DIV/0!</v>
      </c>
    </row>
    <row r="193" spans="1:3" x14ac:dyDescent="0.25">
      <c r="B193" s="27" t="s">
        <v>21</v>
      </c>
      <c r="C193" s="28">
        <v>43102</v>
      </c>
    </row>
    <row r="194" spans="1:3" x14ac:dyDescent="0.25">
      <c r="B194" s="27" t="s">
        <v>23</v>
      </c>
      <c r="C194" s="28">
        <v>42917</v>
      </c>
    </row>
    <row r="196" spans="1:3" ht="18" x14ac:dyDescent="0.25">
      <c r="A196" s="132" t="s">
        <v>262</v>
      </c>
    </row>
    <row r="197" spans="1:3" ht="18" x14ac:dyDescent="0.25">
      <c r="A197" s="127" t="s">
        <v>302</v>
      </c>
      <c r="B197" s="128"/>
    </row>
    <row r="198" spans="1:3" ht="18" x14ac:dyDescent="0.25">
      <c r="A198" s="127" t="s">
        <v>323</v>
      </c>
      <c r="B198" s="128"/>
    </row>
    <row r="200" spans="1:3" ht="36" x14ac:dyDescent="0.25">
      <c r="A200" s="128" t="s">
        <v>316</v>
      </c>
      <c r="B200" s="131" t="s">
        <v>288</v>
      </c>
      <c r="C200" s="131" t="s">
        <v>320</v>
      </c>
    </row>
    <row r="201" spans="1:3" ht="36" x14ac:dyDescent="0.25">
      <c r="A201" s="130" t="s">
        <v>310</v>
      </c>
      <c r="B201" s="131" t="s">
        <v>289</v>
      </c>
      <c r="C201" s="131" t="s">
        <v>321</v>
      </c>
    </row>
    <row r="202" spans="1:3" ht="54" x14ac:dyDescent="0.25">
      <c r="A202" s="130" t="s">
        <v>311</v>
      </c>
      <c r="B202" s="131" t="s">
        <v>290</v>
      </c>
      <c r="C202" s="131" t="s">
        <v>319</v>
      </c>
    </row>
    <row r="203" spans="1:3" ht="54" x14ac:dyDescent="0.25">
      <c r="A203" s="130" t="s">
        <v>312</v>
      </c>
      <c r="B203" s="131" t="s">
        <v>291</v>
      </c>
      <c r="C203" s="131" t="s">
        <v>322</v>
      </c>
    </row>
    <row r="204" spans="1:3" ht="54" x14ac:dyDescent="0.25">
      <c r="A204" s="130" t="s">
        <v>313</v>
      </c>
      <c r="B204" s="131" t="s">
        <v>292</v>
      </c>
      <c r="C204" s="131" t="s">
        <v>327</v>
      </c>
    </row>
    <row r="205" spans="1:3" ht="36" x14ac:dyDescent="0.25">
      <c r="A205" s="130" t="s">
        <v>314</v>
      </c>
      <c r="B205" s="131" t="s">
        <v>293</v>
      </c>
      <c r="C205" s="131" t="s">
        <v>317</v>
      </c>
    </row>
    <row r="206" spans="1:3" ht="54" x14ac:dyDescent="0.25">
      <c r="A206" s="130" t="s">
        <v>315</v>
      </c>
      <c r="B206" s="131" t="s">
        <v>296</v>
      </c>
      <c r="C206" s="131" t="s">
        <v>318</v>
      </c>
    </row>
    <row r="208" spans="1:3" ht="72" x14ac:dyDescent="0.25">
      <c r="A208" s="129" t="s">
        <v>301</v>
      </c>
      <c r="B208" s="128" t="s">
        <v>305</v>
      </c>
    </row>
    <row r="210" spans="1:2" ht="54" x14ac:dyDescent="0.25">
      <c r="A210" s="129" t="s">
        <v>303</v>
      </c>
      <c r="B210" s="128" t="s">
        <v>306</v>
      </c>
    </row>
    <row r="211" spans="1:2" ht="18" x14ac:dyDescent="0.25">
      <c r="A211" s="128"/>
    </row>
    <row r="212" spans="1:2" ht="72" x14ac:dyDescent="0.25">
      <c r="A212" s="129" t="s">
        <v>304</v>
      </c>
      <c r="B212" s="9" t="s">
        <v>307</v>
      </c>
    </row>
    <row r="213" spans="1:2" ht="18" x14ac:dyDescent="0.25">
      <c r="A213" s="128"/>
    </row>
    <row r="214" spans="1:2" ht="54" x14ac:dyDescent="0.25">
      <c r="A214" s="128" t="s">
        <v>308</v>
      </c>
      <c r="B214" s="128" t="s">
        <v>309</v>
      </c>
    </row>
  </sheetData>
  <mergeCells count="50">
    <mergeCell ref="E89:K89"/>
    <mergeCell ref="E90:K90"/>
    <mergeCell ref="E82:K82"/>
    <mergeCell ref="E83:K83"/>
    <mergeCell ref="E84:K84"/>
    <mergeCell ref="E86:K86"/>
    <mergeCell ref="E87:K87"/>
    <mergeCell ref="E88:K88"/>
    <mergeCell ref="E81:K81"/>
    <mergeCell ref="E68:K68"/>
    <mergeCell ref="E69:K69"/>
    <mergeCell ref="E70:K70"/>
    <mergeCell ref="E71:K71"/>
    <mergeCell ref="E72:K72"/>
    <mergeCell ref="E74:K74"/>
    <mergeCell ref="E75:K75"/>
    <mergeCell ref="E76:K76"/>
    <mergeCell ref="E77:K77"/>
    <mergeCell ref="E78:K78"/>
    <mergeCell ref="E80:K80"/>
    <mergeCell ref="E66:K66"/>
    <mergeCell ref="E53:K53"/>
    <mergeCell ref="E54:K54"/>
    <mergeCell ref="E56:K56"/>
    <mergeCell ref="E57:K57"/>
    <mergeCell ref="E58:K58"/>
    <mergeCell ref="E59:K59"/>
    <mergeCell ref="E60:K60"/>
    <mergeCell ref="E62:K62"/>
    <mergeCell ref="E63:K63"/>
    <mergeCell ref="E64:K64"/>
    <mergeCell ref="E65:K65"/>
    <mergeCell ref="E52:K52"/>
    <mergeCell ref="E39:K39"/>
    <mergeCell ref="E40:K40"/>
    <mergeCell ref="E41:K41"/>
    <mergeCell ref="E42:K42"/>
    <mergeCell ref="E44:K44"/>
    <mergeCell ref="E45:K45"/>
    <mergeCell ref="E46:K46"/>
    <mergeCell ref="E47:K47"/>
    <mergeCell ref="E48:K48"/>
    <mergeCell ref="E50:K50"/>
    <mergeCell ref="E51:K51"/>
    <mergeCell ref="E38:K38"/>
    <mergeCell ref="E32:K32"/>
    <mergeCell ref="E33:K33"/>
    <mergeCell ref="E34:K34"/>
    <mergeCell ref="E35:K35"/>
    <mergeCell ref="E36:K36"/>
  </mergeCells>
  <dataValidations count="4">
    <dataValidation type="list" allowBlank="1" showInputMessage="1" showErrorMessage="1" sqref="L38:L42 L44:L48 L50:L54 L56:L60 L62:L66 L68:L72 L74:L78 L80:L84 L86:L90">
      <formula1>$G$2:$G$8</formula1>
    </dataValidation>
    <dataValidation type="list" allowBlank="1" showInputMessage="1" showErrorMessage="1" sqref="J96:J102 J148 L191">
      <formula1>$C$3:$C$14</formula1>
    </dataValidation>
    <dataValidation type="list" allowBlank="1" showInputMessage="1" showErrorMessage="1" sqref="M181:M191 L181:L190 H165:K168 H158:K161 H151:K154 H144:K147 H141:J141 I121:K133 H148:I148 I134:J134 H121:H134 H137:K140 H155:J155 H162:J162 H169:J169 H176:J176 H172:K175 K101:K102">
      <formula1>$C$3:$C$15</formula1>
    </dataValidation>
    <dataValidation type="list" allowBlank="1" showInputMessage="1" showErrorMessage="1" sqref="F117 F172:F176 F165:F169 F158:F162 F151:F155 F144:F148 F137:F141 F121:F134">
      <formula1>$A$3:$A$9</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'https://nuevaunionspa-my.sharepoint.com/personal/gineva_alcota_nuevaunion_cl/Documents/40300 Cost Control/40303 Presupuestos/2018/Ingeniería/[1002-40303-PS-SOA-0001_Total Eng.xlsx]CCs &amp; Accounts'!#REF!</xm:f>
          </x14:formula1>
          <xm:sqref>E121:E134 E106:E117 E137:E141 E144:E148 E151:E155 E158:E162 E165:E169 E172:E176</xm:sqref>
        </x14:dataValidation>
        <x14:dataValidation type="list" allowBlank="1" showInputMessage="1" showErrorMessage="1">
          <x14:formula1>
            <xm:f>'https://nuevaunionspa-my.sharepoint.com/personal/gineva_alcota_nuevaunion_cl/Documents/40300 Cost Control/40303 Presupuestos/2018/Ingeniería/[1002-40303-PS-SOA-0001_Total Eng.xlsx]Lists'!#REF!</xm:f>
          </x14:formula1>
          <xm:sqref>L172:M175 N181:N190 L165:M168 K98:K100 H106:M117 L144:M147 F106:F116 L151:M154 H96:I102 L158:M161 L121:M133 L137:M140</xm:sqref>
        </x14:dataValidation>
        <x14:dataValidation type="list" allowBlank="1" showInputMessage="1" showErrorMessage="1">
          <x14:formula1>
            <xm:f>Lists!$E$3:$E$41</xm:f>
          </x14:formula1>
          <xm:sqref>B8</xm:sqref>
        </x14:dataValidation>
        <x14:dataValidation type="list" allowBlank="1" showInputMessage="1" showErrorMessage="1">
          <x14:formula1>
            <xm:f>Lists!$B$2:$B$41</xm:f>
          </x14:formula1>
          <xm:sqref>E17:E27 E95:E102</xm:sqref>
        </x14:dataValidation>
        <x14:dataValidation type="list" allowBlank="1" showInputMessage="1" showErrorMessage="1">
          <x14:formula1>
            <xm:f>Lists!$D$2:$D$14</xm:f>
          </x14:formula1>
          <xm:sqref>L17:L26 L95:L102</xm:sqref>
        </x14:dataValidation>
        <x14:dataValidation type="list" allowBlank="1" showInputMessage="1" showErrorMessage="1">
          <x14:formula1>
            <xm:f>Lists!$H$2:$H$9</xm:f>
          </x14:formula1>
          <xm:sqref>L32:L36</xm:sqref>
        </x14:dataValidation>
        <x14:dataValidation type="list" allowBlank="1" showInputMessage="1" showErrorMessage="1">
          <x14:formula1>
            <xm:f>Lists!$C$2:$C$14</xm:f>
          </x14:formula1>
          <xm:sqref>K95:K97 H95:J95</xm:sqref>
        </x14:dataValidation>
        <x14:dataValidation type="list" allowBlank="1" showInputMessage="1" showErrorMessage="1">
          <x14:formula1>
            <xm:f>Lists!$A$2:$A$8</xm:f>
          </x14:formula1>
          <xm:sqref>F95:F102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pageSetUpPr fitToPage="1"/>
  </sheetPr>
  <dimension ref="A1:U27"/>
  <sheetViews>
    <sheetView showGridLines="0" view="pageLayout" topLeftCell="A13" zoomScale="60" zoomScaleNormal="70" zoomScalePageLayoutView="60" workbookViewId="0">
      <selection activeCell="D33" sqref="D33"/>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7" width="17.7109375" style="9" customWidth="1"/>
    <col min="8" max="8" width="15.7109375" style="9" customWidth="1"/>
    <col min="9" max="9" width="11.5703125" style="9" hidden="1" customWidth="1" outlineLevel="1"/>
    <col min="10" max="11" width="16.42578125" style="9" hidden="1" customWidth="1" outlineLevel="1"/>
    <col min="12" max="12" width="16.85546875" style="9" hidden="1" customWidth="1" outlineLevel="1"/>
    <col min="13" max="13" width="16.42578125" style="9" hidden="1" customWidth="1" outlineLevel="1"/>
    <col min="14" max="17" width="16.85546875" style="9" hidden="1" customWidth="1" outlineLevel="1"/>
    <col min="18" max="19" width="16.42578125" style="9" hidden="1" customWidth="1" outlineLevel="1"/>
    <col min="20" max="20" width="16.85546875" style="9" hidden="1" customWidth="1" outlineLevel="1"/>
    <col min="21" max="21" width="11.42578125" style="9" collapsed="1"/>
    <col min="22" max="16384" width="11.42578125" style="9"/>
  </cols>
  <sheetData>
    <row r="1" spans="1:20" s="1" customFormat="1" ht="36.6" customHeight="1" x14ac:dyDescent="0.2"/>
    <row r="2" spans="1:20" ht="24.75" customHeight="1" x14ac:dyDescent="0.25"/>
    <row r="3" spans="1:20" ht="36.6" customHeight="1" x14ac:dyDescent="0.25">
      <c r="A3" s="40" t="s">
        <v>4</v>
      </c>
      <c r="B3" s="36"/>
      <c r="C3" s="37"/>
      <c r="D3" s="38"/>
      <c r="E3" s="38"/>
      <c r="F3" s="43"/>
      <c r="G3" s="43"/>
      <c r="H3" s="43"/>
      <c r="I3" s="43" t="s">
        <v>5</v>
      </c>
      <c r="J3" s="43"/>
      <c r="K3" s="43"/>
      <c r="L3" s="43"/>
      <c r="M3" s="43"/>
      <c r="N3" s="43"/>
      <c r="O3" s="43"/>
      <c r="P3" s="43"/>
      <c r="Q3" s="43"/>
      <c r="R3" s="43"/>
      <c r="S3" s="43"/>
      <c r="T3" s="43"/>
    </row>
    <row r="4" spans="1:20" ht="18" x14ac:dyDescent="0.25">
      <c r="A4" s="17"/>
      <c r="B4" s="75" t="s">
        <v>6</v>
      </c>
      <c r="C4" s="75"/>
      <c r="D4" s="75"/>
      <c r="E4" s="75"/>
      <c r="F4" s="75"/>
      <c r="G4" s="75"/>
      <c r="H4" s="76"/>
      <c r="I4" s="16"/>
      <c r="J4" s="16"/>
      <c r="K4" s="16"/>
      <c r="L4" s="16"/>
      <c r="M4" s="16"/>
      <c r="N4" s="16"/>
      <c r="O4" s="16"/>
      <c r="P4" s="16"/>
      <c r="Q4" s="16"/>
      <c r="R4" s="16"/>
      <c r="S4" s="16"/>
      <c r="T4" s="18"/>
    </row>
    <row r="5" spans="1:20" ht="18" x14ac:dyDescent="0.25">
      <c r="A5" s="19"/>
      <c r="B5" s="77" t="str">
        <f>+Contract!B8</f>
        <v>7.2 Service management</v>
      </c>
      <c r="C5" s="78"/>
      <c r="D5" s="78"/>
      <c r="E5" s="79"/>
      <c r="F5" s="79"/>
      <c r="G5" s="79"/>
      <c r="H5" s="80" t="s">
        <v>7</v>
      </c>
      <c r="I5" s="13"/>
      <c r="J5" s="13"/>
      <c r="K5" s="13"/>
      <c r="L5" s="13"/>
      <c r="M5" s="13"/>
      <c r="N5" s="13"/>
      <c r="O5" s="13"/>
      <c r="P5" s="13"/>
      <c r="Q5" s="13"/>
      <c r="R5" s="13"/>
      <c r="S5" s="13"/>
      <c r="T5" s="25"/>
    </row>
    <row r="6" spans="1:20" ht="18" x14ac:dyDescent="0.25">
      <c r="A6" s="19"/>
      <c r="B6" s="81" t="s">
        <v>8</v>
      </c>
      <c r="C6" s="79"/>
      <c r="D6" s="81" t="s">
        <v>9</v>
      </c>
      <c r="E6" s="81"/>
      <c r="F6" s="81"/>
      <c r="G6" s="81"/>
      <c r="H6" s="82">
        <v>43102</v>
      </c>
      <c r="I6" s="14"/>
      <c r="J6" s="14"/>
      <c r="K6" s="14"/>
      <c r="L6" s="14"/>
      <c r="M6" s="14"/>
      <c r="N6" s="14"/>
      <c r="O6" s="14"/>
      <c r="P6" s="14"/>
      <c r="Q6" s="14"/>
      <c r="R6" s="14"/>
      <c r="S6" s="14"/>
      <c r="T6" s="26"/>
    </row>
    <row r="7" spans="1:20" ht="18" x14ac:dyDescent="0.25">
      <c r="A7" s="20"/>
      <c r="B7" s="83" t="str">
        <f>+Contract!B10</f>
        <v>688 Management</v>
      </c>
      <c r="C7" s="84"/>
      <c r="D7" s="77" t="str">
        <f>+Contract!D10</f>
        <v>Michael Leyton</v>
      </c>
      <c r="E7" s="79"/>
      <c r="F7" s="79"/>
      <c r="G7" s="79"/>
      <c r="H7" s="85"/>
      <c r="I7" s="13"/>
      <c r="J7" s="13"/>
      <c r="K7" s="13"/>
      <c r="L7" s="13"/>
      <c r="M7" s="13"/>
      <c r="N7" s="13"/>
      <c r="O7" s="13"/>
      <c r="P7" s="13"/>
      <c r="Q7" s="13"/>
      <c r="R7" s="13"/>
      <c r="S7" s="13"/>
      <c r="T7" s="25"/>
    </row>
    <row r="8" spans="1:20" ht="18" x14ac:dyDescent="0.25">
      <c r="A8" s="20"/>
      <c r="B8" s="86" t="s">
        <v>10</v>
      </c>
      <c r="C8" s="84"/>
      <c r="D8" s="86"/>
      <c r="E8" s="86"/>
      <c r="F8" s="86"/>
      <c r="G8" s="86"/>
      <c r="H8" s="87" t="s">
        <v>11</v>
      </c>
      <c r="I8" s="15"/>
      <c r="J8" s="15"/>
      <c r="K8" s="15"/>
      <c r="L8" s="15"/>
      <c r="M8" s="15"/>
      <c r="N8" s="15"/>
      <c r="O8" s="15"/>
      <c r="P8" s="15"/>
      <c r="Q8" s="15"/>
      <c r="R8" s="15"/>
      <c r="S8" s="15"/>
      <c r="T8" s="24"/>
    </row>
    <row r="9" spans="1:20" ht="18" x14ac:dyDescent="0.25">
      <c r="A9" s="20"/>
      <c r="B9" s="88">
        <f>+Contract!B12</f>
        <v>43313</v>
      </c>
      <c r="C9" s="84"/>
      <c r="D9" s="86"/>
      <c r="E9" s="79"/>
      <c r="F9" s="79"/>
      <c r="G9" s="79"/>
      <c r="H9" s="82">
        <v>43465</v>
      </c>
      <c r="I9" s="13"/>
      <c r="J9" s="13"/>
      <c r="K9" s="13"/>
      <c r="L9" s="13"/>
      <c r="M9" s="13"/>
      <c r="N9" s="13"/>
      <c r="O9" s="13"/>
      <c r="P9" s="13"/>
      <c r="Q9" s="13"/>
      <c r="R9" s="13"/>
      <c r="S9" s="13"/>
      <c r="T9" s="24"/>
    </row>
    <row r="10" spans="1:20" ht="18" x14ac:dyDescent="0.25">
      <c r="A10" s="21"/>
      <c r="B10" s="89"/>
      <c r="C10" s="90"/>
      <c r="D10" s="90"/>
      <c r="E10" s="90"/>
      <c r="F10" s="90"/>
      <c r="G10" s="90"/>
      <c r="H10" s="91"/>
      <c r="I10" s="22"/>
      <c r="J10" s="22"/>
      <c r="K10" s="22"/>
      <c r="L10" s="22"/>
      <c r="M10" s="22"/>
      <c r="N10" s="22"/>
      <c r="O10" s="22"/>
      <c r="P10" s="22"/>
      <c r="Q10" s="22"/>
      <c r="R10" s="22"/>
      <c r="S10" s="22"/>
      <c r="T10" s="23"/>
    </row>
    <row r="11" spans="1:20" ht="6.75" customHeight="1" x14ac:dyDescent="0.25"/>
    <row r="12" spans="1:20" ht="18" x14ac:dyDescent="0.25">
      <c r="A12" s="41" t="s">
        <v>12</v>
      </c>
      <c r="B12" s="41"/>
      <c r="C12" s="42"/>
      <c r="D12" s="42"/>
      <c r="E12" s="43"/>
      <c r="F12" s="43"/>
      <c r="G12" s="43"/>
      <c r="H12" s="43"/>
      <c r="I12" s="43" t="s">
        <v>5</v>
      </c>
      <c r="J12" s="43"/>
      <c r="K12" s="43"/>
      <c r="L12" s="43"/>
      <c r="M12" s="43"/>
      <c r="N12" s="43"/>
      <c r="O12" s="43"/>
      <c r="P12" s="43"/>
      <c r="Q12" s="43"/>
      <c r="R12" s="43"/>
      <c r="S12" s="43"/>
      <c r="T12" s="43"/>
    </row>
    <row r="13" spans="1:20" ht="30" outlineLevel="1" x14ac:dyDescent="0.25">
      <c r="A13" s="92"/>
      <c r="B13" s="92" t="s">
        <v>13</v>
      </c>
      <c r="C13" s="92" t="s">
        <v>14</v>
      </c>
      <c r="D13" s="8" t="s">
        <v>15</v>
      </c>
      <c r="E13" s="32" t="s">
        <v>16</v>
      </c>
      <c r="F13" s="32" t="s">
        <v>17</v>
      </c>
      <c r="G13" s="32" t="s">
        <v>18</v>
      </c>
      <c r="H13" s="32" t="s">
        <v>19</v>
      </c>
      <c r="I13" s="66">
        <v>43101</v>
      </c>
      <c r="J13" s="66">
        <v>43132</v>
      </c>
      <c r="K13" s="66">
        <v>43160</v>
      </c>
      <c r="L13" s="66">
        <v>43191</v>
      </c>
      <c r="M13" s="66">
        <v>43221</v>
      </c>
      <c r="N13" s="66">
        <v>43252</v>
      </c>
      <c r="O13" s="66">
        <v>43282</v>
      </c>
      <c r="P13" s="66">
        <v>43313</v>
      </c>
      <c r="Q13" s="66">
        <v>43344</v>
      </c>
      <c r="R13" s="66">
        <v>43374</v>
      </c>
      <c r="S13" s="66">
        <v>43405</v>
      </c>
      <c r="T13" s="66">
        <v>43435</v>
      </c>
    </row>
    <row r="14" spans="1:20" ht="27.75" customHeight="1" outlineLevel="1" x14ac:dyDescent="0.25">
      <c r="A14" s="93" t="str">
        <f>+Contract!A17</f>
        <v>5.1</v>
      </c>
      <c r="B14" s="93" t="str">
        <f>+Contract!B17</f>
        <v>Objective 1</v>
      </c>
      <c r="C14" s="93" t="str">
        <f>+Contract!C17</f>
        <v>Base Datos Proveedores</v>
      </c>
      <c r="D14" s="10" t="str">
        <f>+Contract!D17</f>
        <v>Creación de Base de Datos y Sistema de autoingreso de información para Proveedores que permita la clasificación de proveedores</v>
      </c>
      <c r="E14" s="11" t="str">
        <f>+Contract!E17</f>
        <v>688 / 51-11-3353</v>
      </c>
      <c r="F14" s="11">
        <f>+Contract!L17</f>
        <v>3</v>
      </c>
      <c r="G14" s="53">
        <f>+Contract!M17</f>
        <v>1620</v>
      </c>
      <c r="H14" s="11">
        <f>+Contract!N17</f>
        <v>45000</v>
      </c>
      <c r="I14" s="52" t="e">
        <f>+#REF!</f>
        <v>#REF!</v>
      </c>
      <c r="J14" s="52" t="e">
        <f>+#REF!</f>
        <v>#REF!</v>
      </c>
      <c r="K14" s="52" t="e">
        <f>+#REF!</f>
        <v>#REF!</v>
      </c>
      <c r="L14" s="52" t="e">
        <f>+#REF!</f>
        <v>#REF!</v>
      </c>
      <c r="M14" s="52" t="e">
        <f>+#REF!</f>
        <v>#REF!</v>
      </c>
      <c r="N14" s="52" t="e">
        <f>+#REF!</f>
        <v>#REF!</v>
      </c>
      <c r="O14" s="52" t="e">
        <f>+#REF!</f>
        <v>#REF!</v>
      </c>
      <c r="P14" s="52" t="e">
        <f>+#REF!</f>
        <v>#REF!</v>
      </c>
      <c r="Q14" s="52" t="e">
        <f>+#REF!</f>
        <v>#REF!</v>
      </c>
      <c r="R14" s="52" t="e">
        <f>+#REF!</f>
        <v>#REF!</v>
      </c>
      <c r="S14" s="52" t="e">
        <f>+#REF!</f>
        <v>#REF!</v>
      </c>
      <c r="T14" s="52" t="e">
        <f>+#REF!</f>
        <v>#REF!</v>
      </c>
    </row>
    <row r="15" spans="1:20" ht="27.75" customHeight="1" outlineLevel="1" x14ac:dyDescent="0.25">
      <c r="A15" s="93" t="str">
        <f>+Contract!A18</f>
        <v>5.2</v>
      </c>
      <c r="B15" s="93" t="str">
        <f>+Contract!B18</f>
        <v>Objective 2</v>
      </c>
      <c r="C15" s="93" t="str">
        <f>+Contract!C18</f>
        <v>Desarrollo Procedimientos</v>
      </c>
      <c r="D15" s="10" t="str">
        <f>+Contract!D18</f>
        <v>Desarrollo de los Procedimientos de Administración de Contratos y configuración de Herramientas en línea para su aplicación</v>
      </c>
      <c r="E15" s="11" t="str">
        <f>+Contract!E18</f>
        <v>688 / 51-11-3353</v>
      </c>
      <c r="F15" s="11">
        <f>+Contract!L18</f>
        <v>5</v>
      </c>
      <c r="G15" s="53">
        <f>+Contract!M18</f>
        <v>2250</v>
      </c>
      <c r="H15" s="11">
        <f>+Contract!N18</f>
        <v>100000</v>
      </c>
      <c r="I15" s="52" t="e">
        <f>+#REF!</f>
        <v>#REF!</v>
      </c>
      <c r="J15" s="52" t="e">
        <f>+#REF!</f>
        <v>#REF!</v>
      </c>
      <c r="K15" s="52" t="e">
        <f>+#REF!</f>
        <v>#REF!</v>
      </c>
      <c r="L15" s="52" t="e">
        <f>+#REF!</f>
        <v>#REF!</v>
      </c>
      <c r="M15" s="52" t="e">
        <f>+#REF!</f>
        <v>#REF!</v>
      </c>
      <c r="N15" s="52" t="e">
        <f>+#REF!</f>
        <v>#REF!</v>
      </c>
      <c r="O15" s="52" t="e">
        <f>+#REF!</f>
        <v>#REF!</v>
      </c>
      <c r="P15" s="52" t="e">
        <f>+#REF!</f>
        <v>#REF!</v>
      </c>
      <c r="Q15" s="52" t="e">
        <f>+#REF!</f>
        <v>#REF!</v>
      </c>
      <c r="R15" s="52" t="e">
        <f>+#REF!</f>
        <v>#REF!</v>
      </c>
      <c r="S15" s="52" t="e">
        <f>+#REF!</f>
        <v>#REF!</v>
      </c>
      <c r="T15" s="52" t="e">
        <f>+#REF!</f>
        <v>#REF!</v>
      </c>
    </row>
    <row r="16" spans="1:20" ht="27.75" customHeight="1" outlineLevel="1" x14ac:dyDescent="0.25">
      <c r="A16" s="93" t="str">
        <f>+Contract!A19</f>
        <v>5.3</v>
      </c>
      <c r="B16" s="93" t="str">
        <f>+Contract!B19</f>
        <v>Objective 3</v>
      </c>
      <c r="C16" s="93" t="str">
        <f>+Contract!C19</f>
        <v>Auditorías Contratistas y Auditorías Internas</v>
      </c>
      <c r="D16" s="10" t="str">
        <f>+Contract!D19</f>
        <v>Auditorías y Medición de desempeño a Contratistas y Auditorías internas.</v>
      </c>
      <c r="E16" s="11" t="str">
        <f>+Contract!E19</f>
        <v>688 / 51-11-3353</v>
      </c>
      <c r="F16" s="11">
        <f>+Contract!L19</f>
        <v>12</v>
      </c>
      <c r="G16" s="53">
        <f>+Contract!M19</f>
        <v>600</v>
      </c>
      <c r="H16" s="11">
        <f>+Contract!N19</f>
        <v>44000</v>
      </c>
      <c r="I16" s="52" t="e">
        <f>+#REF!</f>
        <v>#REF!</v>
      </c>
      <c r="J16" s="52" t="e">
        <f>+#REF!</f>
        <v>#REF!</v>
      </c>
      <c r="K16" s="52" t="e">
        <f>+#REF!</f>
        <v>#REF!</v>
      </c>
      <c r="L16" s="52" t="e">
        <f>+#REF!</f>
        <v>#REF!</v>
      </c>
      <c r="M16" s="52" t="e">
        <f>+#REF!</f>
        <v>#REF!</v>
      </c>
      <c r="N16" s="52" t="e">
        <f>+#REF!</f>
        <v>#REF!</v>
      </c>
      <c r="O16" s="52" t="e">
        <f>+#REF!</f>
        <v>#REF!</v>
      </c>
      <c r="P16" s="52" t="e">
        <f>+#REF!</f>
        <v>#REF!</v>
      </c>
      <c r="Q16" s="52" t="e">
        <f>+#REF!</f>
        <v>#REF!</v>
      </c>
      <c r="R16" s="52" t="e">
        <f>+#REF!</f>
        <v>#REF!</v>
      </c>
      <c r="S16" s="52" t="e">
        <f>+#REF!</f>
        <v>#REF!</v>
      </c>
      <c r="T16" s="52" t="e">
        <f>+#REF!</f>
        <v>#REF!</v>
      </c>
    </row>
    <row r="17" spans="1:20" ht="27.75" customHeight="1" outlineLevel="1" x14ac:dyDescent="0.25">
      <c r="A17" s="93" t="str">
        <f>+Contract!A20</f>
        <v>5.4</v>
      </c>
      <c r="B17" s="93" t="str">
        <f>+Contract!B20</f>
        <v>Objective 4</v>
      </c>
      <c r="C17" s="93" t="str">
        <f>+Contract!C20</f>
        <v>Desarrollo Contrato EPCM</v>
      </c>
      <c r="D17" s="10" t="str">
        <f>IF(Contract!D20="","",Contract!D20)</f>
        <v>Formación de Contrato para EPCM</v>
      </c>
      <c r="E17" s="11" t="str">
        <f>IF(Contract!E20="","",Contract!E20)</f>
        <v>688 / 51-11-3353</v>
      </c>
      <c r="F17" s="11">
        <f>IF(Contract!L20="","",Contract!L20)</f>
        <v>4</v>
      </c>
      <c r="G17" s="53">
        <f>IF(Contract!M20="","",Contract!M20)</f>
        <v>2160</v>
      </c>
      <c r="H17" s="11">
        <f>+Contract!N20</f>
        <v>115000</v>
      </c>
      <c r="I17" s="12" t="s">
        <v>5</v>
      </c>
      <c r="J17" s="12"/>
      <c r="K17" s="12"/>
      <c r="L17" s="12"/>
      <c r="M17" s="12"/>
      <c r="N17" s="12"/>
      <c r="O17" s="12"/>
      <c r="P17" s="12"/>
      <c r="Q17" s="12"/>
      <c r="R17" s="12"/>
      <c r="S17" s="12"/>
      <c r="T17" s="12"/>
    </row>
    <row r="18" spans="1:20" ht="27.75" customHeight="1" outlineLevel="1" x14ac:dyDescent="0.25">
      <c r="A18" s="93" t="str">
        <f>+Contract!A21</f>
        <v>5.5</v>
      </c>
      <c r="B18" s="93" t="str">
        <f>+Contract!B21</f>
        <v>Objective 5</v>
      </c>
      <c r="C18" s="93" t="str">
        <f>+Contract!C21</f>
        <v>Portal de Proveedores (EDP, Licitaciones, Otros)</v>
      </c>
      <c r="D18" s="10" t="str">
        <f>IF(Contract!D21="","",Contract!D21)</f>
        <v>Creación de Portal de Proveedores que permita realizar procesos en línea, Gestión de Aprobación de Estados de Pago, Procesos de cotización y licitación.</v>
      </c>
      <c r="E18" s="11" t="str">
        <f>IF(Contract!E21="","",Contract!E21)</f>
        <v>688 / 51-11-3353</v>
      </c>
      <c r="F18" s="11">
        <f>IF(Contract!L21="","",Contract!L21)</f>
        <v>4</v>
      </c>
      <c r="G18" s="53">
        <f>IF(Contract!M21="","",Contract!M21)</f>
        <v>2880</v>
      </c>
      <c r="H18" s="11">
        <f>+Contract!N21</f>
        <v>60000</v>
      </c>
      <c r="I18" s="12" t="s">
        <v>5</v>
      </c>
      <c r="J18" s="12"/>
      <c r="K18" s="12"/>
      <c r="L18" s="12"/>
      <c r="M18" s="12"/>
      <c r="N18" s="12"/>
      <c r="O18" s="12"/>
      <c r="P18" s="12"/>
      <c r="Q18" s="12"/>
      <c r="R18" s="12"/>
      <c r="S18" s="12"/>
      <c r="T18" s="12"/>
    </row>
    <row r="19" spans="1:20" ht="27.75" customHeight="1" outlineLevel="1" x14ac:dyDescent="0.25">
      <c r="A19" s="93" t="str">
        <f>+Contract!A22</f>
        <v>5.6</v>
      </c>
      <c r="B19" s="93" t="str">
        <f>+Contract!B22</f>
        <v>Objective 6</v>
      </c>
      <c r="C19" s="93" t="str">
        <f>+Contract!C22</f>
        <v>Reportabilidad Contratos en línea (medición de desempeño)</v>
      </c>
      <c r="D19" s="10" t="str">
        <f>IF(Contract!D22="","",Contract!D22)</f>
        <v>Creación de Reportabilidad en línea sobre estatus de Contratos y medición de desempeños, ( Power BI)</v>
      </c>
      <c r="E19" s="11" t="str">
        <f>IF(Contract!E22="","",Contract!E22)</f>
        <v>688 / 51-11-3353</v>
      </c>
      <c r="F19" s="11">
        <f>IF(Contract!L22="","",Contract!L22)</f>
        <v>4</v>
      </c>
      <c r="G19" s="53">
        <f>IF(Contract!M22="","",Contract!M22)</f>
        <v>1440</v>
      </c>
      <c r="H19" s="11">
        <f>+Contract!N22</f>
        <v>40000</v>
      </c>
      <c r="I19" s="12"/>
      <c r="J19" s="12"/>
      <c r="K19" s="12"/>
      <c r="L19" s="12"/>
      <c r="M19" s="12"/>
      <c r="N19" s="12"/>
      <c r="O19" s="12"/>
      <c r="P19" s="12"/>
      <c r="Q19" s="12"/>
      <c r="R19" s="12"/>
      <c r="S19" s="12"/>
      <c r="T19" s="12"/>
    </row>
    <row r="20" spans="1:20" ht="27.75" customHeight="1" outlineLevel="1" x14ac:dyDescent="0.25">
      <c r="A20" s="93" t="str">
        <f>+Contract!A23</f>
        <v>5.7</v>
      </c>
      <c r="B20" s="93" t="str">
        <f>+Contract!B23</f>
        <v>Objective 7</v>
      </c>
      <c r="C20" s="93" t="str">
        <f>+Contract!C23</f>
        <v>Gestion de Proveedores y Contratistas Locales (capacitación)</v>
      </c>
      <c r="D20" s="10" t="str">
        <f>IF(Contract!D23="","",Contract!D23)</f>
        <v>Capacitación de Proveedores locales en temas Administrativos-Comerciales por medio de desarrollo de talleres y cursos</v>
      </c>
      <c r="E20" s="11" t="str">
        <f>IF(Contract!E23="","",Contract!E23)</f>
        <v>688 / 51-11-3353</v>
      </c>
      <c r="F20" s="11">
        <f>IF(Contract!L23="","",Contract!L23)</f>
        <v>8</v>
      </c>
      <c r="G20" s="53">
        <f>IF(Contract!M23="","",Contract!M23)</f>
        <v>2880</v>
      </c>
      <c r="H20" s="11">
        <f>+Contract!N23</f>
        <v>64000</v>
      </c>
      <c r="I20" s="12"/>
      <c r="J20" s="12"/>
      <c r="K20" s="12"/>
      <c r="L20" s="12"/>
      <c r="M20" s="12"/>
      <c r="N20" s="12"/>
      <c r="O20" s="12"/>
      <c r="P20" s="12"/>
      <c r="Q20" s="12"/>
      <c r="R20" s="12"/>
      <c r="S20" s="12"/>
      <c r="T20" s="12"/>
    </row>
    <row r="21" spans="1:20" ht="15" outlineLevel="1" x14ac:dyDescent="0.25">
      <c r="A21" s="299"/>
      <c r="B21" s="300"/>
      <c r="C21" s="300"/>
      <c r="D21" s="71"/>
      <c r="E21" s="357"/>
      <c r="F21" s="11"/>
      <c r="G21" s="53"/>
      <c r="H21" s="11"/>
      <c r="I21" s="12"/>
      <c r="J21" s="12"/>
      <c r="K21" s="12"/>
      <c r="L21" s="12"/>
      <c r="M21" s="12"/>
      <c r="N21" s="12"/>
      <c r="O21" s="12"/>
      <c r="P21" s="12"/>
      <c r="Q21" s="12"/>
      <c r="R21" s="12"/>
      <c r="S21" s="12"/>
      <c r="T21" s="12"/>
    </row>
    <row r="22" spans="1:20" ht="15" outlineLevel="1" x14ac:dyDescent="0.25">
      <c r="A22" s="299"/>
      <c r="B22" s="300"/>
      <c r="C22" s="300"/>
      <c r="D22" s="71"/>
      <c r="E22" s="357"/>
      <c r="F22" s="11"/>
      <c r="G22" s="48"/>
      <c r="H22" s="47"/>
      <c r="I22" s="12"/>
      <c r="J22" s="12"/>
      <c r="K22" s="12"/>
      <c r="L22" s="12"/>
      <c r="M22" s="12"/>
      <c r="N22" s="12"/>
      <c r="O22" s="12"/>
      <c r="P22" s="12"/>
      <c r="Q22" s="12"/>
      <c r="R22" s="12"/>
      <c r="S22" s="12"/>
      <c r="T22" s="12"/>
    </row>
    <row r="23" spans="1:20" ht="15" outlineLevel="1" x14ac:dyDescent="0.25">
      <c r="A23" s="69"/>
      <c r="B23" s="70"/>
      <c r="C23" s="70"/>
      <c r="D23" s="71"/>
      <c r="E23" s="72"/>
      <c r="F23" s="32">
        <f>SUM(F14:F21)</f>
        <v>40</v>
      </c>
      <c r="G23" s="32">
        <f>SUM(G14:G21)</f>
        <v>13830</v>
      </c>
      <c r="H23" s="32">
        <f>SUM(H14:H21)</f>
        <v>468000</v>
      </c>
      <c r="I23" s="32" t="e">
        <f t="shared" ref="I23:T23" si="0">SUM(I13:I18)</f>
        <v>#REF!</v>
      </c>
      <c r="J23" s="32" t="e">
        <f t="shared" si="0"/>
        <v>#REF!</v>
      </c>
      <c r="K23" s="32" t="e">
        <f t="shared" si="0"/>
        <v>#REF!</v>
      </c>
      <c r="L23" s="32" t="e">
        <f t="shared" si="0"/>
        <v>#REF!</v>
      </c>
      <c r="M23" s="32" t="e">
        <f t="shared" si="0"/>
        <v>#REF!</v>
      </c>
      <c r="N23" s="32" t="e">
        <f t="shared" si="0"/>
        <v>#REF!</v>
      </c>
      <c r="O23" s="32" t="e">
        <f t="shared" si="0"/>
        <v>#REF!</v>
      </c>
      <c r="P23" s="32" t="e">
        <f t="shared" si="0"/>
        <v>#REF!</v>
      </c>
      <c r="Q23" s="32" t="e">
        <f t="shared" si="0"/>
        <v>#REF!</v>
      </c>
      <c r="R23" s="32" t="e">
        <f t="shared" si="0"/>
        <v>#REF!</v>
      </c>
      <c r="S23" s="32" t="e">
        <f t="shared" si="0"/>
        <v>#REF!</v>
      </c>
      <c r="T23" s="32" t="e">
        <f t="shared" si="0"/>
        <v>#REF!</v>
      </c>
    </row>
    <row r="24" spans="1:20" ht="12" customHeight="1" x14ac:dyDescent="0.25">
      <c r="A24" s="71"/>
      <c r="B24" s="71"/>
      <c r="C24" s="71"/>
      <c r="D24" s="71"/>
      <c r="E24" s="71"/>
    </row>
    <row r="26" spans="1:20" ht="24.75" customHeight="1" x14ac:dyDescent="0.25">
      <c r="B26" s="27" t="s">
        <v>21</v>
      </c>
      <c r="C26" s="28">
        <v>43102</v>
      </c>
      <c r="F26" s="112" t="s">
        <v>22</v>
      </c>
      <c r="G26" s="110"/>
      <c r="H26" s="111"/>
    </row>
    <row r="27" spans="1:20" ht="24.75" customHeight="1" x14ac:dyDescent="0.25">
      <c r="B27" s="27" t="s">
        <v>23</v>
      </c>
      <c r="C27" s="28">
        <v>42917</v>
      </c>
      <c r="F27" s="112" t="s">
        <v>24</v>
      </c>
      <c r="G27" s="110"/>
      <c r="H27" s="111"/>
    </row>
  </sheetData>
  <printOptions horizontalCentered="1"/>
  <pageMargins left="0.31496062992125984" right="0.31496062992125984" top="1.1811023622047245" bottom="1.1811023622047245" header="0.31496062992125984" footer="0.31496062992125984"/>
  <pageSetup paperSize="17" scale="89" orientation="landscape" r:id="rId1"/>
  <headerFooter>
    <oddHeader>&amp;R&amp;10&amp;G</oddHeader>
    <oddFooter>&amp;L&amp;"Arial,Normal"&amp;8NuevaUnión - Scope of Approval
&amp;F&amp;C&amp;8&amp;P / &amp;N
&amp;RRev B</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'C:\Users\gineva.alcota\AppData\Local\Microsoft\Windows\INetCache\Content.Outlook\ZG6HJCZN\[1002-40303-PS-SOA-0001_Contratos.xlsx]Lists'!#REF!</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AA295"/>
  <sheetViews>
    <sheetView showGridLines="0" topLeftCell="D143" zoomScale="80" zoomScaleNormal="80" zoomScalePageLayoutView="60" workbookViewId="0">
      <selection activeCell="T190" sqref="T190"/>
    </sheetView>
  </sheetViews>
  <sheetFormatPr baseColWidth="10" defaultColWidth="11.42578125" defaultRowHeight="14.25" outlineLevelRow="1" outlineLevelCol="1" x14ac:dyDescent="0.25"/>
  <cols>
    <col min="1" max="1" width="10.85546875" style="817" customWidth="1"/>
    <col min="2" max="2" width="32" style="817" customWidth="1"/>
    <col min="3" max="3" width="43.7109375" style="817" customWidth="1"/>
    <col min="4" max="4" width="91.28515625" style="817" customWidth="1"/>
    <col min="5" max="5" width="17.5703125" style="817" hidden="1" customWidth="1"/>
    <col min="6" max="6" width="34.28515625" style="817" hidden="1" customWidth="1"/>
    <col min="7" max="7" width="24" style="817" hidden="1" customWidth="1"/>
    <col min="8" max="8" width="17.5703125" style="817" hidden="1" customWidth="1"/>
    <col min="9" max="10" width="11.5703125" style="817" hidden="1" customWidth="1"/>
    <col min="11" max="11" width="17.5703125" style="817" hidden="1" customWidth="1"/>
    <col min="12" max="12" width="12.42578125" style="817" hidden="1" customWidth="1"/>
    <col min="13" max="13" width="8.7109375" style="817" hidden="1" customWidth="1"/>
    <col min="14" max="14" width="13.5703125" style="817" customWidth="1"/>
    <col min="15" max="15" width="14.28515625" style="817" customWidth="1" outlineLevel="1"/>
    <col min="16" max="17" width="16.42578125" style="817" customWidth="1" outlineLevel="1"/>
    <col min="18" max="18" width="16.85546875" style="817" customWidth="1" outlineLevel="1"/>
    <col min="19" max="19" width="16.42578125" style="817" customWidth="1" outlineLevel="1"/>
    <col min="20" max="23" width="16.85546875" style="817" customWidth="1" outlineLevel="1"/>
    <col min="24" max="25" width="16.42578125" style="817" customWidth="1" outlineLevel="1"/>
    <col min="26" max="26" width="16.85546875" style="817" customWidth="1" outlineLevel="1"/>
    <col min="27" max="27" width="18.5703125" style="817" customWidth="1"/>
    <col min="28" max="16384" width="11.42578125" style="817"/>
  </cols>
  <sheetData>
    <row r="1" spans="1:26" ht="24.75" customHeight="1" x14ac:dyDescent="0.25"/>
    <row r="2" spans="1:26" s="784" customFormat="1" ht="24.75" customHeight="1" x14ac:dyDescent="0.2">
      <c r="B2" s="785"/>
    </row>
    <row r="3" spans="1:26" s="784" customFormat="1" ht="24.75" customHeight="1" x14ac:dyDescent="0.25">
      <c r="B3" s="818"/>
    </row>
    <row r="4" spans="1:26" s="784" customFormat="1" ht="36.6" customHeight="1" x14ac:dyDescent="0.2"/>
    <row r="5" spans="1:26" ht="24.75" customHeight="1" x14ac:dyDescent="0.25"/>
    <row r="6" spans="1:26" s="449" customFormat="1" ht="36.6" customHeight="1" x14ac:dyDescent="0.25">
      <c r="A6" s="417" t="s">
        <v>25</v>
      </c>
      <c r="B6" s="418"/>
      <c r="C6" s="456"/>
      <c r="D6" s="456"/>
      <c r="E6" s="456"/>
      <c r="F6" s="456"/>
      <c r="G6" s="456"/>
      <c r="H6" s="457"/>
      <c r="I6" s="457"/>
      <c r="J6" s="441"/>
      <c r="K6" s="456"/>
      <c r="L6" s="402"/>
      <c r="M6" s="402"/>
      <c r="N6" s="402"/>
      <c r="O6" s="402" t="s">
        <v>5</v>
      </c>
      <c r="P6" s="402"/>
      <c r="Q6" s="402"/>
      <c r="R6" s="402"/>
      <c r="S6" s="402"/>
      <c r="T6" s="402"/>
      <c r="U6" s="402"/>
      <c r="V6" s="402"/>
      <c r="W6" s="402"/>
      <c r="X6" s="402"/>
      <c r="Y6" s="402"/>
      <c r="Z6" s="402"/>
    </row>
    <row r="7" spans="1:26" s="449" customFormat="1" ht="15" x14ac:dyDescent="0.25">
      <c r="A7" s="419"/>
      <c r="B7" s="420" t="s">
        <v>6</v>
      </c>
      <c r="C7" s="420"/>
      <c r="D7" s="420"/>
      <c r="E7" s="420"/>
      <c r="F7" s="420"/>
      <c r="G7" s="420"/>
      <c r="H7" s="420"/>
      <c r="I7" s="420"/>
      <c r="J7" s="420"/>
      <c r="K7" s="420"/>
      <c r="L7" s="420"/>
      <c r="M7" s="420"/>
      <c r="N7" s="421"/>
      <c r="O7" s="420"/>
      <c r="P7" s="420"/>
      <c r="Q7" s="420"/>
      <c r="R7" s="420"/>
      <c r="S7" s="420"/>
      <c r="T7" s="420"/>
      <c r="U7" s="420"/>
      <c r="V7" s="420"/>
      <c r="W7" s="420"/>
      <c r="X7" s="420"/>
      <c r="Y7" s="420"/>
      <c r="Z7" s="421"/>
    </row>
    <row r="8" spans="1:26" s="449" customFormat="1" ht="15" x14ac:dyDescent="0.25">
      <c r="A8" s="422"/>
      <c r="B8" s="423" t="s">
        <v>332</v>
      </c>
      <c r="C8" s="424"/>
      <c r="D8" s="424"/>
      <c r="E8" s="425"/>
      <c r="F8" s="425"/>
      <c r="G8" s="425"/>
      <c r="H8" s="425"/>
      <c r="I8" s="425"/>
      <c r="J8" s="425"/>
      <c r="K8" s="425"/>
      <c r="L8" s="425"/>
      <c r="M8" s="425"/>
      <c r="N8" s="426" t="s">
        <v>7</v>
      </c>
      <c r="O8" s="425"/>
      <c r="P8" s="425"/>
      <c r="Q8" s="425"/>
      <c r="R8" s="425"/>
      <c r="S8" s="425"/>
      <c r="T8" s="425"/>
      <c r="U8" s="425"/>
      <c r="V8" s="425"/>
      <c r="W8" s="425"/>
      <c r="X8" s="425"/>
      <c r="Y8" s="425"/>
      <c r="Z8" s="427"/>
    </row>
    <row r="9" spans="1:26" s="449" customFormat="1" ht="15" x14ac:dyDescent="0.25">
      <c r="A9" s="422"/>
      <c r="B9" s="428" t="s">
        <v>8</v>
      </c>
      <c r="C9" s="425"/>
      <c r="D9" s="428" t="s">
        <v>9</v>
      </c>
      <c r="E9" s="428"/>
      <c r="F9" s="428"/>
      <c r="G9" s="428"/>
      <c r="H9" s="428"/>
      <c r="I9" s="428"/>
      <c r="J9" s="428"/>
      <c r="K9" s="428"/>
      <c r="L9" s="428"/>
      <c r="M9" s="428"/>
      <c r="N9" s="429">
        <v>43466</v>
      </c>
      <c r="O9" s="428"/>
      <c r="P9" s="428"/>
      <c r="Q9" s="428"/>
      <c r="R9" s="428"/>
      <c r="S9" s="428"/>
      <c r="T9" s="428"/>
      <c r="U9" s="428"/>
      <c r="V9" s="428"/>
      <c r="W9" s="428"/>
      <c r="X9" s="428"/>
      <c r="Y9" s="428"/>
      <c r="Z9" s="430"/>
    </row>
    <row r="10" spans="1:26" s="449" customFormat="1" ht="15" x14ac:dyDescent="0.25">
      <c r="A10" s="431"/>
      <c r="B10" s="432" t="str">
        <f>VLOOKUP(B8,[6]Lists!E2:G41,3,)</f>
        <v>683 Legal</v>
      </c>
      <c r="C10" s="433"/>
      <c r="D10" s="423" t="str">
        <f>VLOOKUP(B8,[6]Lists!$E$3:$F$41,2,)</f>
        <v>Ariel Scharfstein</v>
      </c>
      <c r="E10" s="425"/>
      <c r="F10" s="425"/>
      <c r="G10" s="425"/>
      <c r="H10" s="425"/>
      <c r="I10" s="425"/>
      <c r="J10" s="425"/>
      <c r="K10" s="425"/>
      <c r="L10" s="425"/>
      <c r="M10" s="425"/>
      <c r="N10" s="427"/>
      <c r="O10" s="425"/>
      <c r="P10" s="425"/>
      <c r="Q10" s="425"/>
      <c r="R10" s="425"/>
      <c r="S10" s="425"/>
      <c r="T10" s="425"/>
      <c r="U10" s="425"/>
      <c r="V10" s="425"/>
      <c r="W10" s="425"/>
      <c r="X10" s="425"/>
      <c r="Y10" s="425"/>
      <c r="Z10" s="427"/>
    </row>
    <row r="11" spans="1:26" s="449" customFormat="1" ht="15" x14ac:dyDescent="0.25">
      <c r="A11" s="431"/>
      <c r="B11" s="434" t="s">
        <v>10</v>
      </c>
      <c r="C11" s="433"/>
      <c r="D11" s="434"/>
      <c r="E11" s="434"/>
      <c r="F11" s="434"/>
      <c r="G11" s="434"/>
      <c r="H11" s="434"/>
      <c r="I11" s="434"/>
      <c r="J11" s="434"/>
      <c r="K11" s="434"/>
      <c r="L11" s="434"/>
      <c r="M11" s="434"/>
      <c r="N11" s="435" t="s">
        <v>11</v>
      </c>
      <c r="O11" s="434"/>
      <c r="P11" s="434"/>
      <c r="Q11" s="434"/>
      <c r="R11" s="434"/>
      <c r="S11" s="434"/>
      <c r="T11" s="434"/>
      <c r="U11" s="434"/>
      <c r="V11" s="434"/>
      <c r="W11" s="434"/>
      <c r="X11" s="434"/>
      <c r="Y11" s="434"/>
      <c r="Z11" s="435"/>
    </row>
    <row r="12" spans="1:26" s="449" customFormat="1" ht="15" x14ac:dyDescent="0.25">
      <c r="A12" s="431"/>
      <c r="B12" s="436">
        <v>43003</v>
      </c>
      <c r="C12" s="433"/>
      <c r="D12" s="434"/>
      <c r="E12" s="425"/>
      <c r="F12" s="425"/>
      <c r="G12" s="425"/>
      <c r="H12" s="425"/>
      <c r="I12" s="425"/>
      <c r="J12" s="425"/>
      <c r="K12" s="425"/>
      <c r="L12" s="425"/>
      <c r="M12" s="425"/>
      <c r="N12" s="429">
        <v>43830</v>
      </c>
      <c r="O12" s="425"/>
      <c r="P12" s="425"/>
      <c r="Q12" s="425"/>
      <c r="R12" s="425"/>
      <c r="S12" s="425"/>
      <c r="T12" s="425"/>
      <c r="U12" s="425"/>
      <c r="V12" s="425"/>
      <c r="W12" s="425"/>
      <c r="X12" s="425"/>
      <c r="Y12" s="425"/>
      <c r="Z12" s="435"/>
    </row>
    <row r="13" spans="1:26" s="449" customFormat="1" ht="15" x14ac:dyDescent="0.25">
      <c r="A13" s="437"/>
      <c r="B13" s="438"/>
      <c r="C13" s="439"/>
      <c r="D13" s="439"/>
      <c r="E13" s="439"/>
      <c r="F13" s="439"/>
      <c r="G13" s="439"/>
      <c r="H13" s="439"/>
      <c r="I13" s="439"/>
      <c r="J13" s="439"/>
      <c r="K13" s="439"/>
      <c r="L13" s="439"/>
      <c r="M13" s="439"/>
      <c r="N13" s="440"/>
      <c r="O13" s="439"/>
      <c r="P13" s="439"/>
      <c r="Q13" s="439"/>
      <c r="R13" s="439"/>
      <c r="S13" s="439"/>
      <c r="T13" s="439"/>
      <c r="U13" s="439"/>
      <c r="V13" s="439"/>
      <c r="W13" s="439"/>
      <c r="X13" s="439"/>
      <c r="Y13" s="439"/>
      <c r="Z13" s="440"/>
    </row>
    <row r="14" spans="1:26" ht="6.75" customHeight="1" x14ac:dyDescent="0.25"/>
    <row r="15" spans="1:26" ht="18" x14ac:dyDescent="0.25">
      <c r="A15" s="825" t="s">
        <v>12</v>
      </c>
      <c r="B15" s="825"/>
      <c r="C15" s="826"/>
      <c r="D15" s="826"/>
      <c r="E15" s="824"/>
      <c r="F15" s="824"/>
      <c r="G15" s="824"/>
      <c r="H15" s="827"/>
      <c r="I15" s="827"/>
      <c r="J15" s="823"/>
      <c r="K15" s="824"/>
      <c r="L15" s="824"/>
      <c r="M15" s="824"/>
      <c r="N15" s="824"/>
      <c r="O15" s="824" t="s">
        <v>5</v>
      </c>
      <c r="P15" s="824"/>
      <c r="Q15" s="824"/>
      <c r="R15" s="824"/>
      <c r="S15" s="824"/>
      <c r="T15" s="824"/>
      <c r="U15" s="824"/>
      <c r="V15" s="824"/>
      <c r="W15" s="824"/>
      <c r="X15" s="824"/>
      <c r="Y15" s="824"/>
      <c r="Z15" s="824"/>
    </row>
    <row r="16" spans="1:26" ht="30" x14ac:dyDescent="0.25">
      <c r="A16" s="828" t="s">
        <v>261</v>
      </c>
      <c r="B16" s="828" t="s">
        <v>13</v>
      </c>
      <c r="C16" s="828" t="s">
        <v>14</v>
      </c>
      <c r="D16" s="829" t="s">
        <v>15</v>
      </c>
      <c r="E16" s="830" t="s">
        <v>16</v>
      </c>
      <c r="F16" s="831"/>
      <c r="G16" s="831"/>
      <c r="H16" s="831"/>
      <c r="I16" s="831"/>
      <c r="J16" s="831"/>
      <c r="K16" s="831"/>
      <c r="L16" s="830" t="s">
        <v>17</v>
      </c>
      <c r="M16" s="830" t="s">
        <v>18</v>
      </c>
      <c r="N16" s="830" t="s">
        <v>825</v>
      </c>
      <c r="O16" s="832">
        <v>43101</v>
      </c>
      <c r="P16" s="832">
        <v>43132</v>
      </c>
      <c r="Q16" s="832">
        <v>43160</v>
      </c>
      <c r="R16" s="832">
        <v>43191</v>
      </c>
      <c r="S16" s="832">
        <v>43221</v>
      </c>
      <c r="T16" s="832">
        <v>43252</v>
      </c>
      <c r="U16" s="832">
        <v>43282</v>
      </c>
      <c r="V16" s="832">
        <v>43313</v>
      </c>
      <c r="W16" s="832">
        <v>43344</v>
      </c>
      <c r="X16" s="832">
        <v>43374</v>
      </c>
      <c r="Y16" s="832">
        <v>43405</v>
      </c>
      <c r="Z16" s="832">
        <v>43435</v>
      </c>
    </row>
    <row r="17" spans="1:27" ht="15" x14ac:dyDescent="0.25">
      <c r="A17" s="833" t="s">
        <v>102</v>
      </c>
      <c r="B17" s="833" t="s">
        <v>27</v>
      </c>
      <c r="C17" s="833" t="s">
        <v>826</v>
      </c>
      <c r="D17" s="834" t="s">
        <v>1564</v>
      </c>
      <c r="E17" s="812" t="s">
        <v>202</v>
      </c>
      <c r="F17" s="831"/>
      <c r="G17" s="831"/>
      <c r="H17" s="831"/>
      <c r="I17" s="831"/>
      <c r="J17" s="831"/>
      <c r="K17" s="831"/>
      <c r="L17" s="813">
        <v>12</v>
      </c>
      <c r="M17" s="814">
        <f>+M115</f>
        <v>0</v>
      </c>
      <c r="N17" s="813">
        <f>SUM(O17:Z17)</f>
        <v>773841.08393749665</v>
      </c>
      <c r="O17" s="835">
        <f>+O115</f>
        <v>21792.46323529413</v>
      </c>
      <c r="P17" s="835">
        <f>+P115</f>
        <v>24735.147058819999</v>
      </c>
      <c r="Q17" s="835">
        <f t="shared" ref="Q17:Z17" si="0">+Q115</f>
        <v>461434.61334926484</v>
      </c>
      <c r="R17" s="835">
        <f t="shared" si="0"/>
        <v>39422.058823529413</v>
      </c>
      <c r="S17" s="835">
        <f t="shared" si="0"/>
        <v>22244.117647058807</v>
      </c>
      <c r="T17" s="835">
        <f t="shared" si="0"/>
        <v>39481.25</v>
      </c>
      <c r="U17" s="835">
        <f t="shared" si="0"/>
        <v>40186.764705882393</v>
      </c>
      <c r="V17" s="835">
        <f t="shared" si="0"/>
        <v>11990.808823529416</v>
      </c>
      <c r="W17" s="835">
        <f t="shared" si="0"/>
        <v>49636.764705882393</v>
      </c>
      <c r="X17" s="835">
        <f t="shared" si="0"/>
        <v>18931.433823529416</v>
      </c>
      <c r="Y17" s="835">
        <f t="shared" si="0"/>
        <v>28493.749999999949</v>
      </c>
      <c r="Z17" s="835">
        <f t="shared" si="0"/>
        <v>15491.911764705937</v>
      </c>
    </row>
    <row r="18" spans="1:27" ht="15" x14ac:dyDescent="0.25">
      <c r="A18" s="833" t="s">
        <v>105</v>
      </c>
      <c r="B18" s="833" t="s">
        <v>29</v>
      </c>
      <c r="C18" s="833" t="s">
        <v>88</v>
      </c>
      <c r="D18" s="834" t="s">
        <v>828</v>
      </c>
      <c r="E18" s="812" t="s">
        <v>204</v>
      </c>
      <c r="F18" s="831"/>
      <c r="G18" s="831"/>
      <c r="H18" s="831"/>
      <c r="I18" s="831"/>
      <c r="J18" s="831"/>
      <c r="K18" s="831"/>
      <c r="L18" s="813">
        <v>12</v>
      </c>
      <c r="M18" s="814">
        <f>+M122</f>
        <v>0</v>
      </c>
      <c r="N18" s="813">
        <f t="shared" ref="N18:N28" si="1">SUM(O18:Z18)</f>
        <v>899174.32882720628</v>
      </c>
      <c r="O18" s="835">
        <f t="shared" ref="O18:Z18" si="2">+O122</f>
        <v>1927.9382352941179</v>
      </c>
      <c r="P18" s="835">
        <f t="shared" si="2"/>
        <v>3580.1441176470626</v>
      </c>
      <c r="Q18" s="835">
        <f t="shared" si="2"/>
        <v>706934.62882720621</v>
      </c>
      <c r="R18" s="835">
        <f t="shared" si="2"/>
        <v>29586.948529411773</v>
      </c>
      <c r="S18" s="835">
        <f t="shared" si="2"/>
        <v>20662.867647058858</v>
      </c>
      <c r="T18" s="835">
        <f t="shared" si="2"/>
        <v>1755.1470588235297</v>
      </c>
      <c r="U18" s="835">
        <f t="shared" si="2"/>
        <v>67974.632352941146</v>
      </c>
      <c r="V18" s="835">
        <f t="shared" si="2"/>
        <v>3685.2941176470626</v>
      </c>
      <c r="W18" s="835">
        <f t="shared" si="2"/>
        <v>1755.1470588235297</v>
      </c>
      <c r="X18" s="835">
        <f t="shared" si="2"/>
        <v>2226.1029411764712</v>
      </c>
      <c r="Y18" s="835">
        <f t="shared" si="2"/>
        <v>57330.330882352988</v>
      </c>
      <c r="Z18" s="835">
        <f t="shared" si="2"/>
        <v>1755.1470588235297</v>
      </c>
    </row>
    <row r="19" spans="1:27" s="842" customFormat="1" ht="15" customHeight="1" x14ac:dyDescent="0.25">
      <c r="A19" s="833" t="s">
        <v>108</v>
      </c>
      <c r="B19" s="833" t="s">
        <v>1557</v>
      </c>
      <c r="C19" s="833" t="s">
        <v>1558</v>
      </c>
      <c r="D19" s="836" t="s">
        <v>1559</v>
      </c>
      <c r="E19" s="813" t="s">
        <v>206</v>
      </c>
      <c r="F19" s="837"/>
      <c r="G19" s="838"/>
      <c r="H19" s="837"/>
      <c r="I19" s="837"/>
      <c r="J19" s="837"/>
      <c r="K19" s="837"/>
      <c r="L19" s="839">
        <v>12</v>
      </c>
      <c r="M19" s="840">
        <f>+M149</f>
        <v>0</v>
      </c>
      <c r="N19" s="839">
        <f t="shared" si="1"/>
        <v>740720.58823529433</v>
      </c>
      <c r="O19" s="841">
        <f t="shared" ref="O19:Z19" si="3">+O137</f>
        <v>50268.382352941175</v>
      </c>
      <c r="P19" s="841">
        <f t="shared" si="3"/>
        <v>50268.382352941175</v>
      </c>
      <c r="Q19" s="841">
        <f t="shared" si="3"/>
        <v>84368.382352941175</v>
      </c>
      <c r="R19" s="841">
        <f t="shared" si="3"/>
        <v>50268.382352941175</v>
      </c>
      <c r="S19" s="841">
        <f t="shared" si="3"/>
        <v>51368.382352941175</v>
      </c>
      <c r="T19" s="841">
        <f t="shared" si="3"/>
        <v>83268.382352941175</v>
      </c>
      <c r="U19" s="841">
        <f t="shared" si="3"/>
        <v>51368.382352941175</v>
      </c>
      <c r="V19" s="841">
        <f t="shared" si="3"/>
        <v>50268.382352941175</v>
      </c>
      <c r="W19" s="841">
        <f t="shared" si="3"/>
        <v>84368.382352941175</v>
      </c>
      <c r="X19" s="841">
        <f t="shared" si="3"/>
        <v>50268.382352941175</v>
      </c>
      <c r="Y19" s="841">
        <f t="shared" si="3"/>
        <v>51368.382352941175</v>
      </c>
      <c r="Z19" s="841">
        <f t="shared" si="3"/>
        <v>83268.382352941175</v>
      </c>
    </row>
    <row r="20" spans="1:27" s="842" customFormat="1" ht="15" customHeight="1" x14ac:dyDescent="0.25">
      <c r="A20" s="833" t="s">
        <v>108</v>
      </c>
      <c r="B20" s="833" t="s">
        <v>1560</v>
      </c>
      <c r="C20" s="833" t="s">
        <v>1561</v>
      </c>
      <c r="D20" s="836" t="s">
        <v>1562</v>
      </c>
      <c r="E20" s="813" t="s">
        <v>206</v>
      </c>
      <c r="F20" s="837"/>
      <c r="G20" s="838"/>
      <c r="H20" s="837"/>
      <c r="I20" s="837"/>
      <c r="J20" s="837"/>
      <c r="K20" s="837"/>
      <c r="L20" s="839">
        <v>12</v>
      </c>
      <c r="M20" s="840">
        <f>+M150</f>
        <v>0</v>
      </c>
      <c r="N20" s="839">
        <f t="shared" si="1"/>
        <v>1332552.9411764699</v>
      </c>
      <c r="O20" s="841">
        <f t="shared" ref="O20:Z20" si="4">+O152</f>
        <v>151702.94117647057</v>
      </c>
      <c r="P20" s="841">
        <f t="shared" si="4"/>
        <v>151702.94117647057</v>
      </c>
      <c r="Q20" s="841">
        <f t="shared" si="4"/>
        <v>169302.94117647057</v>
      </c>
      <c r="R20" s="841">
        <f t="shared" si="4"/>
        <v>151702.94117647057</v>
      </c>
      <c r="S20" s="841">
        <f t="shared" si="4"/>
        <v>152802.94117647057</v>
      </c>
      <c r="T20" s="841">
        <f t="shared" si="4"/>
        <v>168202.94117647057</v>
      </c>
      <c r="U20" s="841">
        <f t="shared" si="4"/>
        <v>152802.94117647057</v>
      </c>
      <c r="V20" s="841">
        <f t="shared" si="4"/>
        <v>39826.470588235294</v>
      </c>
      <c r="W20" s="841">
        <f t="shared" si="4"/>
        <v>57426.470588235294</v>
      </c>
      <c r="X20" s="841">
        <f t="shared" si="4"/>
        <v>39826.470588235294</v>
      </c>
      <c r="Y20" s="841">
        <f t="shared" si="4"/>
        <v>40926.470588235294</v>
      </c>
      <c r="Z20" s="841">
        <f t="shared" si="4"/>
        <v>56326.470588235294</v>
      </c>
    </row>
    <row r="21" spans="1:27" ht="15" x14ac:dyDescent="0.25">
      <c r="A21" s="833" t="s">
        <v>831</v>
      </c>
      <c r="B21" s="833" t="s">
        <v>1297</v>
      </c>
      <c r="C21" s="833" t="s">
        <v>1298</v>
      </c>
      <c r="D21" s="834" t="s">
        <v>1299</v>
      </c>
      <c r="E21" s="812" t="s">
        <v>206</v>
      </c>
      <c r="F21" s="831"/>
      <c r="G21" s="831"/>
      <c r="H21" s="831"/>
      <c r="I21" s="831"/>
      <c r="J21" s="831"/>
      <c r="K21" s="831"/>
      <c r="L21" s="813">
        <v>12</v>
      </c>
      <c r="M21" s="814">
        <f>+M153</f>
        <v>0</v>
      </c>
      <c r="N21" s="813">
        <f t="shared" si="1"/>
        <v>1500000</v>
      </c>
      <c r="O21" s="835">
        <f t="shared" ref="O21:Z21" si="5">+O160</f>
        <v>1500000</v>
      </c>
      <c r="P21" s="835">
        <f t="shared" si="5"/>
        <v>0</v>
      </c>
      <c r="Q21" s="835">
        <f t="shared" si="5"/>
        <v>0</v>
      </c>
      <c r="R21" s="835">
        <f t="shared" si="5"/>
        <v>0</v>
      </c>
      <c r="S21" s="835">
        <f t="shared" si="5"/>
        <v>0</v>
      </c>
      <c r="T21" s="835">
        <f t="shared" si="5"/>
        <v>0</v>
      </c>
      <c r="U21" s="835">
        <f t="shared" si="5"/>
        <v>0</v>
      </c>
      <c r="V21" s="835">
        <f t="shared" si="5"/>
        <v>0</v>
      </c>
      <c r="W21" s="835">
        <f t="shared" si="5"/>
        <v>0</v>
      </c>
      <c r="X21" s="835">
        <f t="shared" si="5"/>
        <v>0</v>
      </c>
      <c r="Y21" s="835">
        <f t="shared" si="5"/>
        <v>0</v>
      </c>
      <c r="Z21" s="835">
        <f t="shared" si="5"/>
        <v>0</v>
      </c>
    </row>
    <row r="22" spans="1:27" ht="15" x14ac:dyDescent="0.25">
      <c r="A22" s="833" t="s">
        <v>835</v>
      </c>
      <c r="B22" s="833" t="s">
        <v>1300</v>
      </c>
      <c r="C22" s="833" t="s">
        <v>952</v>
      </c>
      <c r="D22" s="834" t="s">
        <v>953</v>
      </c>
      <c r="E22" s="812" t="s">
        <v>206</v>
      </c>
      <c r="F22" s="831"/>
      <c r="G22" s="831"/>
      <c r="H22" s="831"/>
      <c r="I22" s="831"/>
      <c r="J22" s="831"/>
      <c r="K22" s="831"/>
      <c r="L22" s="813">
        <v>12</v>
      </c>
      <c r="M22" s="814">
        <v>0</v>
      </c>
      <c r="N22" s="813">
        <f t="shared" si="1"/>
        <v>0</v>
      </c>
      <c r="O22" s="835">
        <f t="shared" ref="O22:Z22" si="6">+O164</f>
        <v>0</v>
      </c>
      <c r="P22" s="835">
        <f t="shared" si="6"/>
        <v>0</v>
      </c>
      <c r="Q22" s="835">
        <f t="shared" si="6"/>
        <v>0</v>
      </c>
      <c r="R22" s="835">
        <f t="shared" si="6"/>
        <v>0</v>
      </c>
      <c r="S22" s="835">
        <f t="shared" si="6"/>
        <v>0</v>
      </c>
      <c r="T22" s="835">
        <f t="shared" si="6"/>
        <v>0</v>
      </c>
      <c r="U22" s="835">
        <f t="shared" si="6"/>
        <v>0</v>
      </c>
      <c r="V22" s="835">
        <f t="shared" si="6"/>
        <v>0</v>
      </c>
      <c r="W22" s="835">
        <f t="shared" si="6"/>
        <v>0</v>
      </c>
      <c r="X22" s="835">
        <f t="shared" si="6"/>
        <v>0</v>
      </c>
      <c r="Y22" s="835">
        <f t="shared" si="6"/>
        <v>0</v>
      </c>
      <c r="Z22" s="835">
        <f t="shared" si="6"/>
        <v>0</v>
      </c>
    </row>
    <row r="23" spans="1:27" ht="15" x14ac:dyDescent="0.25">
      <c r="A23" s="833" t="s">
        <v>839</v>
      </c>
      <c r="B23" s="833" t="s">
        <v>1301</v>
      </c>
      <c r="C23" s="833" t="s">
        <v>935</v>
      </c>
      <c r="D23" s="834" t="s">
        <v>1302</v>
      </c>
      <c r="E23" s="812" t="s">
        <v>206</v>
      </c>
      <c r="F23" s="831"/>
      <c r="G23" s="831"/>
      <c r="H23" s="831"/>
      <c r="I23" s="831"/>
      <c r="J23" s="831"/>
      <c r="K23" s="831"/>
      <c r="L23" s="813">
        <v>12</v>
      </c>
      <c r="M23" s="814">
        <f t="shared" ref="M23:M24" si="7">+M155</f>
        <v>0</v>
      </c>
      <c r="N23" s="813">
        <f t="shared" si="1"/>
        <v>2717600</v>
      </c>
      <c r="O23" s="835">
        <f t="shared" ref="O23:Z23" si="8">+O174</f>
        <v>0</v>
      </c>
      <c r="P23" s="835">
        <f t="shared" si="8"/>
        <v>0</v>
      </c>
      <c r="Q23" s="835">
        <f t="shared" si="8"/>
        <v>0</v>
      </c>
      <c r="R23" s="835">
        <f t="shared" si="8"/>
        <v>0</v>
      </c>
      <c r="S23" s="835">
        <f t="shared" si="8"/>
        <v>0</v>
      </c>
      <c r="T23" s="835">
        <f t="shared" si="8"/>
        <v>0</v>
      </c>
      <c r="U23" s="835">
        <f t="shared" si="8"/>
        <v>0</v>
      </c>
      <c r="V23" s="835">
        <f t="shared" si="8"/>
        <v>0</v>
      </c>
      <c r="W23" s="835">
        <f t="shared" si="8"/>
        <v>0</v>
      </c>
      <c r="X23" s="835">
        <f t="shared" si="8"/>
        <v>0</v>
      </c>
      <c r="Y23" s="835">
        <f t="shared" si="8"/>
        <v>0</v>
      </c>
      <c r="Z23" s="835">
        <f t="shared" si="8"/>
        <v>2717600</v>
      </c>
    </row>
    <row r="24" spans="1:27" ht="15" x14ac:dyDescent="0.25">
      <c r="A24" s="833" t="s">
        <v>841</v>
      </c>
      <c r="B24" s="833" t="s">
        <v>1303</v>
      </c>
      <c r="C24" s="833" t="s">
        <v>1304</v>
      </c>
      <c r="D24" s="834" t="s">
        <v>1305</v>
      </c>
      <c r="E24" s="812" t="s">
        <v>206</v>
      </c>
      <c r="F24" s="831"/>
      <c r="G24" s="831"/>
      <c r="H24" s="831"/>
      <c r="I24" s="831"/>
      <c r="J24" s="831"/>
      <c r="K24" s="831"/>
      <c r="L24" s="813">
        <v>12</v>
      </c>
      <c r="M24" s="814">
        <f t="shared" si="7"/>
        <v>0</v>
      </c>
      <c r="N24" s="813">
        <f t="shared" si="1"/>
        <v>0</v>
      </c>
      <c r="O24" s="835">
        <f t="shared" ref="O24:Z24" si="9">+O180</f>
        <v>0</v>
      </c>
      <c r="P24" s="835">
        <f t="shared" si="9"/>
        <v>0</v>
      </c>
      <c r="Q24" s="835">
        <f t="shared" si="9"/>
        <v>0</v>
      </c>
      <c r="R24" s="835">
        <f t="shared" si="9"/>
        <v>0</v>
      </c>
      <c r="S24" s="835">
        <f t="shared" si="9"/>
        <v>0</v>
      </c>
      <c r="T24" s="835">
        <f t="shared" si="9"/>
        <v>0</v>
      </c>
      <c r="U24" s="835">
        <f t="shared" si="9"/>
        <v>0</v>
      </c>
      <c r="V24" s="835">
        <f t="shared" si="9"/>
        <v>0</v>
      </c>
      <c r="W24" s="835">
        <f t="shared" si="9"/>
        <v>0</v>
      </c>
      <c r="X24" s="835">
        <f t="shared" si="9"/>
        <v>0</v>
      </c>
      <c r="Y24" s="835">
        <f t="shared" si="9"/>
        <v>0</v>
      </c>
      <c r="Z24" s="835">
        <f t="shared" si="9"/>
        <v>0</v>
      </c>
    </row>
    <row r="25" spans="1:27" ht="15" x14ac:dyDescent="0.25">
      <c r="A25" s="833" t="s">
        <v>844</v>
      </c>
      <c r="B25" s="833" t="s">
        <v>1306</v>
      </c>
      <c r="C25" s="833" t="s">
        <v>1307</v>
      </c>
      <c r="D25" s="834" t="s">
        <v>1308</v>
      </c>
      <c r="E25" s="812" t="s">
        <v>206</v>
      </c>
      <c r="F25" s="831"/>
      <c r="G25" s="831"/>
      <c r="H25" s="831"/>
      <c r="I25" s="831"/>
      <c r="J25" s="831"/>
      <c r="K25" s="831"/>
      <c r="L25" s="813">
        <v>12</v>
      </c>
      <c r="M25" s="814">
        <f t="shared" ref="M25:M26" si="10">+M158</f>
        <v>0</v>
      </c>
      <c r="N25" s="813">
        <f t="shared" si="1"/>
        <v>3013330.0447058822</v>
      </c>
      <c r="O25" s="835">
        <f t="shared" ref="O25:Z25" si="11">+O202</f>
        <v>1379208</v>
      </c>
      <c r="P25" s="835">
        <f t="shared" si="11"/>
        <v>0</v>
      </c>
      <c r="Q25" s="835">
        <f t="shared" si="11"/>
        <v>0</v>
      </c>
      <c r="R25" s="835">
        <f t="shared" si="11"/>
        <v>4632.3529411764721</v>
      </c>
      <c r="S25" s="835">
        <f t="shared" si="11"/>
        <v>1369460.2799999998</v>
      </c>
      <c r="T25" s="835">
        <f t="shared" si="11"/>
        <v>260029.4117647059</v>
      </c>
      <c r="U25" s="835">
        <f t="shared" si="11"/>
        <v>0</v>
      </c>
      <c r="V25" s="835">
        <f t="shared" si="11"/>
        <v>0</v>
      </c>
      <c r="W25" s="835">
        <f t="shared" si="11"/>
        <v>0</v>
      </c>
      <c r="X25" s="835">
        <f t="shared" si="11"/>
        <v>0</v>
      </c>
      <c r="Y25" s="835">
        <f t="shared" si="11"/>
        <v>0</v>
      </c>
      <c r="Z25" s="835">
        <f t="shared" si="11"/>
        <v>0</v>
      </c>
    </row>
    <row r="26" spans="1:27" ht="15" x14ac:dyDescent="0.25">
      <c r="A26" s="833" t="s">
        <v>848</v>
      </c>
      <c r="B26" s="833" t="s">
        <v>1492</v>
      </c>
      <c r="C26" s="833" t="s">
        <v>1493</v>
      </c>
      <c r="D26" s="834" t="s">
        <v>1494</v>
      </c>
      <c r="E26" s="812" t="s">
        <v>206</v>
      </c>
      <c r="F26" s="831"/>
      <c r="G26" s="831"/>
      <c r="H26" s="831"/>
      <c r="I26" s="831"/>
      <c r="J26" s="831"/>
      <c r="K26" s="831"/>
      <c r="L26" s="813">
        <v>12</v>
      </c>
      <c r="M26" s="814">
        <f t="shared" si="10"/>
        <v>0</v>
      </c>
      <c r="N26" s="813">
        <f t="shared" si="1"/>
        <v>1120000</v>
      </c>
      <c r="O26" s="835">
        <f t="shared" ref="O26:Z26" si="12">+O211</f>
        <v>0</v>
      </c>
      <c r="P26" s="835">
        <f t="shared" si="12"/>
        <v>0</v>
      </c>
      <c r="Q26" s="835">
        <f t="shared" si="12"/>
        <v>0</v>
      </c>
      <c r="R26" s="835">
        <f t="shared" si="12"/>
        <v>24000</v>
      </c>
      <c r="S26" s="835">
        <f t="shared" si="12"/>
        <v>1024000</v>
      </c>
      <c r="T26" s="835">
        <f t="shared" si="12"/>
        <v>0</v>
      </c>
      <c r="U26" s="835">
        <f t="shared" si="12"/>
        <v>24000</v>
      </c>
      <c r="V26" s="835">
        <f t="shared" si="12"/>
        <v>0</v>
      </c>
      <c r="W26" s="835">
        <f t="shared" si="12"/>
        <v>0</v>
      </c>
      <c r="X26" s="835">
        <f t="shared" si="12"/>
        <v>24000</v>
      </c>
      <c r="Y26" s="835">
        <f t="shared" si="12"/>
        <v>0</v>
      </c>
      <c r="Z26" s="835">
        <f t="shared" si="12"/>
        <v>24000</v>
      </c>
    </row>
    <row r="27" spans="1:27" ht="15.75" x14ac:dyDescent="0.25">
      <c r="A27" s="833" t="s">
        <v>110</v>
      </c>
      <c r="B27" s="833" t="s">
        <v>31</v>
      </c>
      <c r="C27" s="833" t="s">
        <v>1495</v>
      </c>
      <c r="D27" s="834" t="s">
        <v>1496</v>
      </c>
      <c r="E27" s="812" t="s">
        <v>206</v>
      </c>
      <c r="F27" s="837"/>
      <c r="G27" s="838"/>
      <c r="H27" s="837"/>
      <c r="I27" s="837"/>
      <c r="J27" s="837"/>
      <c r="K27" s="837"/>
      <c r="L27" s="839">
        <v>12</v>
      </c>
      <c r="M27" s="840">
        <v>0</v>
      </c>
      <c r="N27" s="813">
        <f t="shared" si="1"/>
        <v>2770694.8302368559</v>
      </c>
      <c r="O27" s="835">
        <f>+O218</f>
        <v>2770694.8302368559</v>
      </c>
      <c r="P27" s="835">
        <f t="shared" ref="P27:Z27" si="13">+P218</f>
        <v>0</v>
      </c>
      <c r="Q27" s="835">
        <f t="shared" si="13"/>
        <v>0</v>
      </c>
      <c r="R27" s="835">
        <f t="shared" si="13"/>
        <v>0</v>
      </c>
      <c r="S27" s="835">
        <f t="shared" si="13"/>
        <v>0</v>
      </c>
      <c r="T27" s="835">
        <f t="shared" si="13"/>
        <v>0</v>
      </c>
      <c r="U27" s="835">
        <f t="shared" si="13"/>
        <v>0</v>
      </c>
      <c r="V27" s="835">
        <f t="shared" si="13"/>
        <v>0</v>
      </c>
      <c r="W27" s="835">
        <f t="shared" si="13"/>
        <v>0</v>
      </c>
      <c r="X27" s="835">
        <f t="shared" si="13"/>
        <v>0</v>
      </c>
      <c r="Y27" s="835">
        <f t="shared" si="13"/>
        <v>0</v>
      </c>
      <c r="Z27" s="835">
        <f t="shared" si="13"/>
        <v>0</v>
      </c>
    </row>
    <row r="28" spans="1:27" ht="15" x14ac:dyDescent="0.25">
      <c r="A28" s="833" t="s">
        <v>1497</v>
      </c>
      <c r="B28" s="833" t="s">
        <v>32</v>
      </c>
      <c r="C28" s="833" t="s">
        <v>94</v>
      </c>
      <c r="D28" s="834" t="s">
        <v>830</v>
      </c>
      <c r="E28" s="812" t="s">
        <v>209</v>
      </c>
      <c r="F28" s="831"/>
      <c r="G28" s="831"/>
      <c r="H28" s="831"/>
      <c r="I28" s="831"/>
      <c r="J28" s="831"/>
      <c r="K28" s="831"/>
      <c r="L28" s="813">
        <v>12</v>
      </c>
      <c r="M28" s="814">
        <f t="shared" ref="M28" si="14">+M159</f>
        <v>0</v>
      </c>
      <c r="N28" s="813">
        <f t="shared" si="1"/>
        <v>40000</v>
      </c>
      <c r="O28" s="835">
        <f t="shared" ref="O28:Z28" si="15">+O222</f>
        <v>0</v>
      </c>
      <c r="P28" s="835">
        <f t="shared" si="15"/>
        <v>0</v>
      </c>
      <c r="Q28" s="835">
        <f t="shared" si="15"/>
        <v>0</v>
      </c>
      <c r="R28" s="835">
        <f t="shared" si="15"/>
        <v>10000</v>
      </c>
      <c r="S28" s="835">
        <f t="shared" si="15"/>
        <v>0</v>
      </c>
      <c r="T28" s="835">
        <f t="shared" si="15"/>
        <v>10000</v>
      </c>
      <c r="U28" s="835">
        <f t="shared" si="15"/>
        <v>0</v>
      </c>
      <c r="V28" s="835">
        <f t="shared" si="15"/>
        <v>0</v>
      </c>
      <c r="W28" s="835">
        <f t="shared" si="15"/>
        <v>10000</v>
      </c>
      <c r="X28" s="835">
        <f t="shared" si="15"/>
        <v>0</v>
      </c>
      <c r="Y28" s="835">
        <f t="shared" si="15"/>
        <v>10000</v>
      </c>
      <c r="Z28" s="835">
        <f t="shared" si="15"/>
        <v>0</v>
      </c>
    </row>
    <row r="29" spans="1:27" ht="15" x14ac:dyDescent="0.25">
      <c r="A29" s="833"/>
      <c r="B29" s="833"/>
      <c r="C29" s="833"/>
      <c r="D29" s="834"/>
      <c r="E29" s="813"/>
      <c r="F29" s="831"/>
      <c r="G29" s="831"/>
      <c r="H29" s="831"/>
      <c r="I29" s="831"/>
      <c r="J29" s="831"/>
      <c r="K29" s="831"/>
      <c r="L29" s="813"/>
      <c r="M29" s="831"/>
      <c r="N29" s="843"/>
      <c r="O29" s="843" t="s">
        <v>5</v>
      </c>
      <c r="P29" s="843"/>
      <c r="Q29" s="843"/>
      <c r="R29" s="843"/>
      <c r="S29" s="843"/>
      <c r="T29" s="843"/>
      <c r="U29" s="843"/>
      <c r="V29" s="843"/>
      <c r="W29" s="843"/>
      <c r="X29" s="843"/>
      <c r="Y29" s="843"/>
      <c r="Z29" s="843"/>
    </row>
    <row r="30" spans="1:27" ht="15" x14ac:dyDescent="0.25">
      <c r="A30" s="844"/>
      <c r="B30" s="845"/>
      <c r="C30" s="845"/>
      <c r="D30" s="846"/>
      <c r="E30" s="847"/>
      <c r="F30" s="847"/>
      <c r="G30" s="847"/>
      <c r="H30" s="847"/>
      <c r="I30" s="847"/>
      <c r="J30" s="848" t="s">
        <v>20</v>
      </c>
      <c r="K30" s="849"/>
      <c r="L30" s="830">
        <v>12</v>
      </c>
      <c r="M30" s="830">
        <f>SUM(M2:M29)</f>
        <v>0</v>
      </c>
      <c r="N30" s="830">
        <f>SUM(N17:N29)</f>
        <v>14907913.817119205</v>
      </c>
      <c r="O30" s="830">
        <f>SUM(O17:O29)</f>
        <v>5875594.5552368555</v>
      </c>
      <c r="P30" s="830">
        <f t="shared" ref="P30:Z30" si="16">SUM(P17:P29)</f>
        <v>230286.6147058788</v>
      </c>
      <c r="Q30" s="830">
        <f t="shared" si="16"/>
        <v>1422040.5657058829</v>
      </c>
      <c r="R30" s="830">
        <f t="shared" si="16"/>
        <v>309612.6838235294</v>
      </c>
      <c r="S30" s="830">
        <f>SUM(S17:S29)</f>
        <v>2640538.588823529</v>
      </c>
      <c r="T30" s="830">
        <f t="shared" si="16"/>
        <v>562737.1323529412</v>
      </c>
      <c r="U30" s="830">
        <f t="shared" si="16"/>
        <v>336332.7205882353</v>
      </c>
      <c r="V30" s="830">
        <f t="shared" si="16"/>
        <v>105770.95588235295</v>
      </c>
      <c r="W30" s="830">
        <f t="shared" si="16"/>
        <v>203186.76470588241</v>
      </c>
      <c r="X30" s="830">
        <f t="shared" si="16"/>
        <v>135252.38970588235</v>
      </c>
      <c r="Y30" s="830">
        <f t="shared" si="16"/>
        <v>188118.9338235294</v>
      </c>
      <c r="Z30" s="830">
        <f t="shared" si="16"/>
        <v>2898441.911764706</v>
      </c>
      <c r="AA30" s="850"/>
    </row>
    <row r="31" spans="1:27" ht="6.75" customHeight="1" x14ac:dyDescent="0.25">
      <c r="A31" s="846"/>
      <c r="B31" s="846"/>
      <c r="C31" s="846"/>
      <c r="D31" s="846"/>
      <c r="E31" s="846"/>
      <c r="F31" s="846"/>
      <c r="G31" s="846"/>
      <c r="H31" s="846"/>
      <c r="I31" s="846"/>
      <c r="J31" s="846"/>
      <c r="K31" s="846"/>
    </row>
    <row r="32" spans="1:27" ht="18" x14ac:dyDescent="0.25">
      <c r="A32" s="825" t="s">
        <v>33</v>
      </c>
      <c r="B32" s="825"/>
      <c r="C32" s="826"/>
      <c r="D32" s="826"/>
      <c r="E32" s="824"/>
      <c r="F32" s="824"/>
      <c r="G32" s="824"/>
      <c r="H32" s="827"/>
      <c r="I32" s="827"/>
      <c r="J32" s="824"/>
      <c r="K32" s="824"/>
      <c r="L32" s="824"/>
      <c r="M32" s="824"/>
      <c r="N32" s="824"/>
      <c r="O32" s="824" t="s">
        <v>5</v>
      </c>
      <c r="P32" s="824"/>
      <c r="Q32" s="824"/>
      <c r="R32" s="824"/>
      <c r="S32" s="824"/>
      <c r="T32" s="824"/>
      <c r="U32" s="824"/>
      <c r="V32" s="824"/>
      <c r="W32" s="824"/>
      <c r="X32" s="824"/>
      <c r="Y32" s="824"/>
      <c r="Z32" s="824"/>
    </row>
    <row r="33" spans="1:26" ht="15.75" x14ac:dyDescent="0.25">
      <c r="A33" s="828" t="s">
        <v>261</v>
      </c>
      <c r="B33" s="851" t="s">
        <v>13</v>
      </c>
      <c r="C33" s="851" t="s">
        <v>14</v>
      </c>
      <c r="D33" s="829" t="s">
        <v>15</v>
      </c>
      <c r="E33" s="831" t="s">
        <v>5</v>
      </c>
      <c r="F33" s="831" t="s">
        <v>5</v>
      </c>
      <c r="G33" s="831" t="s">
        <v>5</v>
      </c>
      <c r="H33" s="831"/>
      <c r="I33" s="831"/>
      <c r="J33" s="831"/>
      <c r="K33" s="831" t="s">
        <v>5</v>
      </c>
      <c r="L33" s="852" t="s">
        <v>287</v>
      </c>
      <c r="M33" s="831"/>
      <c r="N33" s="843"/>
      <c r="O33" s="843" t="s">
        <v>5</v>
      </c>
      <c r="P33" s="843"/>
      <c r="Q33" s="843"/>
      <c r="R33" s="843"/>
      <c r="S33" s="843"/>
      <c r="T33" s="843"/>
      <c r="U33" s="843"/>
      <c r="V33" s="843"/>
      <c r="W33" s="843"/>
      <c r="X33" s="843"/>
      <c r="Y33" s="843"/>
      <c r="Z33" s="843"/>
    </row>
    <row r="34" spans="1:26" ht="17.45" customHeight="1" x14ac:dyDescent="0.25">
      <c r="A34" s="853" t="s">
        <v>1565</v>
      </c>
      <c r="B34" s="853"/>
      <c r="C34" s="854"/>
      <c r="D34" s="854"/>
      <c r="E34" s="855"/>
      <c r="F34" s="855"/>
      <c r="G34" s="856"/>
      <c r="H34" s="855"/>
      <c r="I34" s="855"/>
      <c r="J34" s="855"/>
      <c r="K34" s="855"/>
      <c r="L34" s="855"/>
      <c r="M34" s="855"/>
      <c r="N34" s="855"/>
      <c r="O34" s="855" t="s">
        <v>5</v>
      </c>
      <c r="P34" s="855"/>
      <c r="Q34" s="855"/>
      <c r="R34" s="855"/>
      <c r="S34" s="855"/>
      <c r="T34" s="855"/>
      <c r="U34" s="855"/>
      <c r="V34" s="855"/>
      <c r="W34" s="855"/>
      <c r="X34" s="855"/>
      <c r="Y34" s="855"/>
      <c r="Z34" s="855"/>
    </row>
    <row r="35" spans="1:26" ht="15" x14ac:dyDescent="0.25">
      <c r="A35" s="833"/>
      <c r="B35" s="857"/>
      <c r="C35" s="857"/>
      <c r="D35" s="834"/>
      <c r="E35" s="989"/>
      <c r="F35" s="989"/>
      <c r="G35" s="989"/>
      <c r="H35" s="989"/>
      <c r="I35" s="989"/>
      <c r="J35" s="989"/>
      <c r="K35" s="990"/>
      <c r="L35" s="813"/>
      <c r="M35" s="831"/>
      <c r="N35" s="843"/>
      <c r="O35" s="843" t="s">
        <v>5</v>
      </c>
      <c r="P35" s="843"/>
      <c r="Q35" s="843"/>
      <c r="R35" s="843"/>
      <c r="S35" s="843"/>
      <c r="T35" s="843"/>
      <c r="U35" s="843"/>
      <c r="V35" s="843"/>
      <c r="W35" s="843"/>
      <c r="X35" s="843"/>
      <c r="Y35" s="843"/>
      <c r="Z35" s="843"/>
    </row>
    <row r="36" spans="1:26" ht="15" x14ac:dyDescent="0.25">
      <c r="A36" s="833"/>
      <c r="B36" s="857"/>
      <c r="C36" s="857"/>
      <c r="D36" s="834"/>
      <c r="E36" s="989"/>
      <c r="F36" s="989"/>
      <c r="G36" s="989"/>
      <c r="H36" s="989"/>
      <c r="I36" s="989"/>
      <c r="J36" s="989"/>
      <c r="K36" s="990"/>
      <c r="L36" s="813"/>
      <c r="M36" s="831"/>
      <c r="N36" s="843"/>
      <c r="O36" s="843" t="s">
        <v>5</v>
      </c>
      <c r="P36" s="843"/>
      <c r="Q36" s="843"/>
      <c r="R36" s="843"/>
      <c r="S36" s="843"/>
      <c r="T36" s="843"/>
      <c r="U36" s="843"/>
      <c r="V36" s="843"/>
      <c r="W36" s="843"/>
      <c r="X36" s="843"/>
      <c r="Y36" s="843"/>
      <c r="Z36" s="843"/>
    </row>
    <row r="37" spans="1:26" ht="17.45" customHeight="1" x14ac:dyDescent="0.25">
      <c r="A37" s="853" t="s">
        <v>1566</v>
      </c>
      <c r="B37" s="853"/>
      <c r="C37" s="854"/>
      <c r="D37" s="854"/>
      <c r="E37" s="855"/>
      <c r="F37" s="855"/>
      <c r="G37" s="856"/>
      <c r="H37" s="855"/>
      <c r="I37" s="855"/>
      <c r="J37" s="855"/>
      <c r="K37" s="855"/>
      <c r="L37" s="855"/>
      <c r="M37" s="855"/>
      <c r="N37" s="855"/>
      <c r="O37" s="855" t="s">
        <v>5</v>
      </c>
      <c r="P37" s="855"/>
      <c r="Q37" s="855"/>
      <c r="R37" s="855"/>
      <c r="S37" s="855"/>
      <c r="T37" s="855"/>
      <c r="U37" s="855"/>
      <c r="V37" s="855"/>
      <c r="W37" s="855"/>
      <c r="X37" s="855"/>
      <c r="Y37" s="855"/>
      <c r="Z37" s="855"/>
    </row>
    <row r="38" spans="1:26" ht="15" x14ac:dyDescent="0.25">
      <c r="A38" s="833"/>
      <c r="B38" s="857"/>
      <c r="C38" s="857"/>
      <c r="D38" s="834"/>
      <c r="E38" s="989"/>
      <c r="F38" s="989"/>
      <c r="G38" s="989"/>
      <c r="H38" s="989"/>
      <c r="I38" s="989"/>
      <c r="J38" s="989"/>
      <c r="K38" s="990"/>
      <c r="L38" s="813"/>
      <c r="M38" s="831"/>
      <c r="N38" s="843"/>
      <c r="O38" s="843" t="s">
        <v>5</v>
      </c>
      <c r="P38" s="843"/>
      <c r="Q38" s="843"/>
      <c r="R38" s="843"/>
      <c r="S38" s="843"/>
      <c r="T38" s="843"/>
      <c r="U38" s="843"/>
      <c r="V38" s="843"/>
      <c r="W38" s="843"/>
      <c r="X38" s="843"/>
      <c r="Y38" s="843"/>
      <c r="Z38" s="843"/>
    </row>
    <row r="39" spans="1:26" ht="15" x14ac:dyDescent="0.25">
      <c r="A39" s="833"/>
      <c r="B39" s="857"/>
      <c r="C39" s="857"/>
      <c r="D39" s="834"/>
      <c r="E39" s="989" t="s">
        <v>5</v>
      </c>
      <c r="F39" s="989" t="s">
        <v>5</v>
      </c>
      <c r="G39" s="989" t="s">
        <v>5</v>
      </c>
      <c r="H39" s="989"/>
      <c r="I39" s="989"/>
      <c r="J39" s="989"/>
      <c r="K39" s="990" t="s">
        <v>5</v>
      </c>
      <c r="L39" s="813"/>
      <c r="M39" s="831"/>
      <c r="N39" s="843"/>
      <c r="O39" s="843" t="s">
        <v>5</v>
      </c>
      <c r="P39" s="843"/>
      <c r="Q39" s="843"/>
      <c r="R39" s="843"/>
      <c r="S39" s="843"/>
      <c r="T39" s="843"/>
      <c r="U39" s="843"/>
      <c r="V39" s="843"/>
      <c r="W39" s="843"/>
      <c r="X39" s="843"/>
      <c r="Y39" s="843"/>
      <c r="Z39" s="843"/>
    </row>
    <row r="40" spans="1:26" ht="17.45" customHeight="1" x14ac:dyDescent="0.25">
      <c r="A40" s="853" t="str">
        <f>CONCATENATE(B19," ",C19)</f>
        <v xml:space="preserve">Objective 3.01 Legal/Consulting </v>
      </c>
      <c r="B40" s="853"/>
      <c r="C40" s="854"/>
      <c r="D40" s="854"/>
      <c r="E40" s="855"/>
      <c r="F40" s="855"/>
      <c r="G40" s="856"/>
      <c r="H40" s="855"/>
      <c r="I40" s="855"/>
      <c r="J40" s="855"/>
      <c r="K40" s="855"/>
      <c r="L40" s="855"/>
      <c r="M40" s="855"/>
      <c r="N40" s="855"/>
      <c r="O40" s="855" t="s">
        <v>5</v>
      </c>
      <c r="P40" s="855"/>
      <c r="Q40" s="855"/>
      <c r="R40" s="855"/>
      <c r="S40" s="855"/>
      <c r="T40" s="855"/>
      <c r="U40" s="855"/>
      <c r="V40" s="855"/>
      <c r="W40" s="855"/>
      <c r="X40" s="855"/>
      <c r="Y40" s="855"/>
      <c r="Z40" s="855"/>
    </row>
    <row r="41" spans="1:26" ht="15" x14ac:dyDescent="0.25">
      <c r="A41" s="833"/>
      <c r="B41" s="851"/>
      <c r="C41" s="857"/>
      <c r="D41" s="834"/>
      <c r="E41" s="989"/>
      <c r="F41" s="989"/>
      <c r="G41" s="989"/>
      <c r="H41" s="989"/>
      <c r="I41" s="989"/>
      <c r="J41" s="989"/>
      <c r="K41" s="990"/>
      <c r="L41" s="858"/>
      <c r="M41" s="831"/>
      <c r="N41" s="843"/>
      <c r="O41" s="843"/>
      <c r="P41" s="843"/>
      <c r="Q41" s="843"/>
      <c r="R41" s="843"/>
      <c r="S41" s="843"/>
      <c r="T41" s="843"/>
      <c r="U41" s="843"/>
      <c r="V41" s="843"/>
      <c r="W41" s="843"/>
      <c r="X41" s="843"/>
      <c r="Y41" s="843"/>
      <c r="Z41" s="843"/>
    </row>
    <row r="42" spans="1:26" ht="15" x14ac:dyDescent="0.25">
      <c r="A42" s="833"/>
      <c r="B42" s="857"/>
      <c r="C42" s="857"/>
      <c r="D42" s="834"/>
      <c r="E42" s="989" t="s">
        <v>5</v>
      </c>
      <c r="F42" s="989" t="s">
        <v>5</v>
      </c>
      <c r="G42" s="989" t="s">
        <v>5</v>
      </c>
      <c r="H42" s="989"/>
      <c r="I42" s="989"/>
      <c r="J42" s="989"/>
      <c r="K42" s="990" t="s">
        <v>5</v>
      </c>
      <c r="L42" s="813"/>
      <c r="M42" s="831"/>
      <c r="N42" s="843"/>
      <c r="O42" s="843" t="s">
        <v>5</v>
      </c>
      <c r="P42" s="843"/>
      <c r="Q42" s="843"/>
      <c r="R42" s="843"/>
      <c r="S42" s="843"/>
      <c r="T42" s="843"/>
      <c r="U42" s="843"/>
      <c r="V42" s="843"/>
      <c r="W42" s="843"/>
      <c r="X42" s="843"/>
      <c r="Y42" s="843"/>
      <c r="Z42" s="843"/>
    </row>
    <row r="43" spans="1:26" ht="17.45" customHeight="1" x14ac:dyDescent="0.25">
      <c r="A43" s="853" t="str">
        <f>CONCATENATE(B20," ",C20)</f>
        <v>Objective 3.02 Legal/Consulting Land Access</v>
      </c>
      <c r="B43" s="853"/>
      <c r="C43" s="854"/>
      <c r="D43" s="854"/>
      <c r="E43" s="855"/>
      <c r="F43" s="855"/>
      <c r="G43" s="856"/>
      <c r="H43" s="855"/>
      <c r="I43" s="855"/>
      <c r="J43" s="855"/>
      <c r="K43" s="855"/>
      <c r="L43" s="855"/>
      <c r="M43" s="855"/>
      <c r="N43" s="855"/>
      <c r="O43" s="855" t="s">
        <v>5</v>
      </c>
      <c r="P43" s="855"/>
      <c r="Q43" s="855"/>
      <c r="R43" s="855"/>
      <c r="S43" s="855"/>
      <c r="T43" s="855"/>
      <c r="U43" s="855"/>
      <c r="V43" s="855"/>
      <c r="W43" s="855"/>
      <c r="X43" s="855"/>
      <c r="Y43" s="855"/>
      <c r="Z43" s="855"/>
    </row>
    <row r="44" spans="1:26" ht="30" x14ac:dyDescent="0.25">
      <c r="A44" s="833" t="s">
        <v>831</v>
      </c>
      <c r="B44" s="851" t="s">
        <v>845</v>
      </c>
      <c r="C44" s="857" t="s">
        <v>846</v>
      </c>
      <c r="D44" s="834" t="s">
        <v>838</v>
      </c>
      <c r="E44" s="989" t="s">
        <v>5</v>
      </c>
      <c r="F44" s="989" t="s">
        <v>5</v>
      </c>
      <c r="G44" s="989" t="s">
        <v>5</v>
      </c>
      <c r="H44" s="989"/>
      <c r="I44" s="989"/>
      <c r="J44" s="989"/>
      <c r="K44" s="990" t="s">
        <v>5</v>
      </c>
      <c r="L44" s="858" t="s">
        <v>847</v>
      </c>
      <c r="M44" s="831"/>
      <c r="N44" s="843"/>
      <c r="O44" s="843" t="s">
        <v>5</v>
      </c>
      <c r="P44" s="843"/>
      <c r="Q44" s="843"/>
      <c r="R44" s="843"/>
      <c r="S44" s="843"/>
      <c r="T44" s="843"/>
      <c r="U44" s="843"/>
      <c r="V44" s="843"/>
      <c r="W44" s="843"/>
      <c r="X44" s="843"/>
      <c r="Y44" s="843"/>
      <c r="Z44" s="843"/>
    </row>
    <row r="45" spans="1:26" ht="30" x14ac:dyDescent="0.25">
      <c r="A45" s="833" t="s">
        <v>835</v>
      </c>
      <c r="B45" s="851" t="s">
        <v>849</v>
      </c>
      <c r="C45" s="857" t="s">
        <v>850</v>
      </c>
      <c r="D45" s="834" t="s">
        <v>838</v>
      </c>
      <c r="E45" s="989" t="s">
        <v>5</v>
      </c>
      <c r="F45" s="989" t="s">
        <v>5</v>
      </c>
      <c r="G45" s="989" t="s">
        <v>5</v>
      </c>
      <c r="H45" s="989"/>
      <c r="I45" s="989"/>
      <c r="J45" s="989"/>
      <c r="K45" s="990" t="s">
        <v>5</v>
      </c>
      <c r="L45" s="859" t="s">
        <v>113</v>
      </c>
      <c r="M45" s="831"/>
      <c r="N45" s="843"/>
      <c r="O45" s="843" t="s">
        <v>5</v>
      </c>
      <c r="P45" s="843"/>
      <c r="Q45" s="843"/>
      <c r="R45" s="843"/>
      <c r="S45" s="843"/>
      <c r="T45" s="843"/>
      <c r="U45" s="843"/>
      <c r="V45" s="843"/>
      <c r="W45" s="843"/>
      <c r="X45" s="843"/>
      <c r="Y45" s="843"/>
      <c r="Z45" s="843"/>
    </row>
    <row r="46" spans="1:26" ht="15" x14ac:dyDescent="0.25">
      <c r="A46" s="833"/>
      <c r="B46" s="857"/>
      <c r="C46" s="857"/>
      <c r="D46" s="834"/>
      <c r="E46" s="989" t="s">
        <v>5</v>
      </c>
      <c r="F46" s="989" t="s">
        <v>5</v>
      </c>
      <c r="G46" s="989" t="s">
        <v>5</v>
      </c>
      <c r="H46" s="989"/>
      <c r="I46" s="989"/>
      <c r="J46" s="989"/>
      <c r="K46" s="990" t="s">
        <v>5</v>
      </c>
      <c r="L46" s="813"/>
      <c r="M46" s="831"/>
      <c r="N46" s="843"/>
      <c r="O46" s="843" t="s">
        <v>5</v>
      </c>
      <c r="P46" s="843"/>
      <c r="Q46" s="843"/>
      <c r="R46" s="843"/>
      <c r="S46" s="843"/>
      <c r="T46" s="843"/>
      <c r="U46" s="843"/>
      <c r="V46" s="843"/>
      <c r="W46" s="843"/>
      <c r="X46" s="843"/>
      <c r="Y46" s="843"/>
      <c r="Z46" s="843"/>
    </row>
    <row r="47" spans="1:26" ht="18" x14ac:dyDescent="0.25">
      <c r="A47" s="853" t="s">
        <v>1567</v>
      </c>
      <c r="B47" s="853"/>
      <c r="C47" s="854"/>
      <c r="D47" s="854"/>
      <c r="E47" s="855"/>
      <c r="F47" s="855"/>
      <c r="G47" s="856"/>
      <c r="H47" s="855"/>
      <c r="I47" s="855"/>
      <c r="J47" s="855"/>
      <c r="K47" s="855"/>
      <c r="L47" s="855"/>
      <c r="M47" s="855"/>
      <c r="N47" s="855"/>
      <c r="O47" s="855" t="s">
        <v>5</v>
      </c>
      <c r="P47" s="855"/>
      <c r="Q47" s="855"/>
      <c r="R47" s="855"/>
      <c r="S47" s="855"/>
      <c r="T47" s="855"/>
      <c r="U47" s="855"/>
      <c r="V47" s="855"/>
      <c r="W47" s="855"/>
      <c r="X47" s="855"/>
      <c r="Y47" s="855"/>
      <c r="Z47" s="855"/>
    </row>
    <row r="48" spans="1:26" ht="14.25" customHeight="1" x14ac:dyDescent="0.25">
      <c r="A48" s="833"/>
      <c r="B48" s="857"/>
      <c r="C48" s="857"/>
      <c r="D48" s="834"/>
      <c r="E48" s="989" t="s">
        <v>5</v>
      </c>
      <c r="F48" s="989" t="s">
        <v>5</v>
      </c>
      <c r="G48" s="989" t="s">
        <v>5</v>
      </c>
      <c r="H48" s="989"/>
      <c r="I48" s="989"/>
      <c r="J48" s="989"/>
      <c r="K48" s="990" t="s">
        <v>5</v>
      </c>
      <c r="L48" s="813"/>
      <c r="M48" s="831"/>
      <c r="N48" s="843"/>
      <c r="O48" s="843" t="s">
        <v>5</v>
      </c>
      <c r="P48" s="843"/>
      <c r="Q48" s="843"/>
      <c r="R48" s="843"/>
      <c r="S48" s="843"/>
      <c r="T48" s="843"/>
      <c r="U48" s="843"/>
      <c r="V48" s="843"/>
      <c r="W48" s="843"/>
      <c r="X48" s="843"/>
      <c r="Y48" s="843"/>
      <c r="Z48" s="843"/>
    </row>
    <row r="49" spans="1:26" ht="17.45" customHeight="1" outlineLevel="1" x14ac:dyDescent="0.25">
      <c r="A49" s="853" t="s">
        <v>1568</v>
      </c>
      <c r="B49" s="853"/>
      <c r="C49" s="854"/>
      <c r="D49" s="854"/>
      <c r="E49" s="855"/>
      <c r="F49" s="855"/>
      <c r="G49" s="856"/>
      <c r="H49" s="855"/>
      <c r="I49" s="855"/>
      <c r="J49" s="855"/>
      <c r="K49" s="855"/>
      <c r="L49" s="855"/>
      <c r="M49" s="855"/>
      <c r="N49" s="855"/>
      <c r="O49" s="855" t="s">
        <v>5</v>
      </c>
      <c r="P49" s="855"/>
      <c r="Q49" s="855"/>
      <c r="R49" s="855"/>
      <c r="S49" s="855"/>
      <c r="T49" s="855"/>
      <c r="U49" s="855"/>
      <c r="V49" s="855"/>
      <c r="W49" s="855"/>
      <c r="X49" s="855"/>
      <c r="Y49" s="855"/>
      <c r="Z49" s="855"/>
    </row>
    <row r="50" spans="1:26" ht="15" outlineLevel="1" x14ac:dyDescent="0.25">
      <c r="A50" s="833"/>
      <c r="B50" s="857"/>
      <c r="C50" s="857"/>
      <c r="D50" s="834"/>
      <c r="E50" s="989" t="s">
        <v>5</v>
      </c>
      <c r="F50" s="989" t="s">
        <v>5</v>
      </c>
      <c r="G50" s="989" t="s">
        <v>5</v>
      </c>
      <c r="H50" s="989"/>
      <c r="I50" s="989"/>
      <c r="J50" s="989"/>
      <c r="K50" s="990" t="s">
        <v>5</v>
      </c>
      <c r="L50" s="813"/>
      <c r="M50" s="831"/>
      <c r="N50" s="843"/>
      <c r="O50" s="843" t="s">
        <v>5</v>
      </c>
      <c r="P50" s="843"/>
      <c r="Q50" s="843"/>
      <c r="R50" s="843"/>
      <c r="S50" s="843"/>
      <c r="T50" s="843"/>
      <c r="U50" s="843"/>
      <c r="V50" s="843"/>
      <c r="W50" s="843"/>
      <c r="X50" s="843"/>
      <c r="Y50" s="843"/>
      <c r="Z50" s="843"/>
    </row>
    <row r="51" spans="1:26" ht="17.45" customHeight="1" outlineLevel="1" x14ac:dyDescent="0.25">
      <c r="A51" s="853" t="s">
        <v>1569</v>
      </c>
      <c r="B51" s="853"/>
      <c r="C51" s="854"/>
      <c r="D51" s="854"/>
      <c r="E51" s="855"/>
      <c r="F51" s="855"/>
      <c r="G51" s="856"/>
      <c r="H51" s="855"/>
      <c r="I51" s="855"/>
      <c r="J51" s="855"/>
      <c r="K51" s="855"/>
      <c r="L51" s="855"/>
      <c r="M51" s="855"/>
      <c r="N51" s="855"/>
      <c r="O51" s="855" t="s">
        <v>5</v>
      </c>
      <c r="P51" s="855"/>
      <c r="Q51" s="855"/>
      <c r="R51" s="855"/>
      <c r="S51" s="855"/>
      <c r="T51" s="855"/>
      <c r="U51" s="855"/>
      <c r="V51" s="855"/>
      <c r="W51" s="855"/>
      <c r="X51" s="855"/>
      <c r="Y51" s="855"/>
      <c r="Z51" s="855"/>
    </row>
    <row r="52" spans="1:26" ht="15" outlineLevel="1" x14ac:dyDescent="0.25">
      <c r="A52" s="833"/>
      <c r="B52" s="857"/>
      <c r="C52" s="857"/>
      <c r="D52" s="834"/>
      <c r="E52" s="989" t="s">
        <v>5</v>
      </c>
      <c r="F52" s="989" t="s">
        <v>5</v>
      </c>
      <c r="G52" s="989" t="s">
        <v>5</v>
      </c>
      <c r="H52" s="989"/>
      <c r="I52" s="989"/>
      <c r="J52" s="989"/>
      <c r="K52" s="990" t="s">
        <v>5</v>
      </c>
      <c r="L52" s="813"/>
      <c r="M52" s="831"/>
      <c r="N52" s="843"/>
      <c r="O52" s="843" t="s">
        <v>5</v>
      </c>
      <c r="P52" s="843"/>
      <c r="Q52" s="843"/>
      <c r="R52" s="843"/>
      <c r="S52" s="843"/>
      <c r="T52" s="843"/>
      <c r="U52" s="843"/>
      <c r="V52" s="843"/>
      <c r="W52" s="843"/>
      <c r="X52" s="843"/>
      <c r="Y52" s="843"/>
      <c r="Z52" s="843"/>
    </row>
    <row r="53" spans="1:26" ht="17.25" customHeight="1" outlineLevel="1" x14ac:dyDescent="0.25">
      <c r="A53" s="853" t="s">
        <v>1570</v>
      </c>
      <c r="B53" s="853"/>
      <c r="C53" s="854"/>
      <c r="D53" s="854"/>
      <c r="E53" s="855"/>
      <c r="F53" s="855"/>
      <c r="G53" s="856"/>
      <c r="H53" s="855"/>
      <c r="I53" s="855"/>
      <c r="J53" s="855"/>
      <c r="K53" s="855"/>
      <c r="L53" s="855"/>
      <c r="M53" s="855"/>
      <c r="N53" s="855"/>
      <c r="O53" s="855" t="s">
        <v>5</v>
      </c>
      <c r="P53" s="855"/>
      <c r="Q53" s="855"/>
      <c r="R53" s="855"/>
      <c r="S53" s="855"/>
      <c r="T53" s="855"/>
      <c r="U53" s="855"/>
      <c r="V53" s="855"/>
      <c r="W53" s="855"/>
      <c r="X53" s="855"/>
      <c r="Y53" s="855"/>
      <c r="Z53" s="855"/>
    </row>
    <row r="54" spans="1:26" ht="28.5" outlineLevel="1" x14ac:dyDescent="0.25">
      <c r="A54" s="833" t="s">
        <v>1498</v>
      </c>
      <c r="B54" s="851" t="s">
        <v>836</v>
      </c>
      <c r="C54" s="857" t="s">
        <v>1312</v>
      </c>
      <c r="D54" s="834" t="s">
        <v>838</v>
      </c>
      <c r="E54" s="989" t="s">
        <v>5</v>
      </c>
      <c r="F54" s="989" t="s">
        <v>5</v>
      </c>
      <c r="G54" s="989" t="s">
        <v>5</v>
      </c>
      <c r="H54" s="989"/>
      <c r="I54" s="989"/>
      <c r="J54" s="989"/>
      <c r="K54" s="990" t="s">
        <v>5</v>
      </c>
      <c r="L54" s="859" t="s">
        <v>148</v>
      </c>
      <c r="M54" s="831"/>
      <c r="N54" s="843"/>
      <c r="O54" s="843" t="s">
        <v>5</v>
      </c>
      <c r="P54" s="843"/>
      <c r="Q54" s="843"/>
      <c r="R54" s="843"/>
      <c r="S54" s="843"/>
      <c r="T54" s="843"/>
      <c r="U54" s="843"/>
      <c r="V54" s="843"/>
      <c r="W54" s="843"/>
      <c r="X54" s="843"/>
      <c r="Y54" s="843"/>
      <c r="Z54" s="843"/>
    </row>
    <row r="55" spans="1:26" ht="17.25" customHeight="1" outlineLevel="1" x14ac:dyDescent="0.25">
      <c r="A55" s="833" t="s">
        <v>1499</v>
      </c>
      <c r="B55" s="851" t="s">
        <v>842</v>
      </c>
      <c r="C55" s="857" t="s">
        <v>843</v>
      </c>
      <c r="D55" s="834" t="s">
        <v>838</v>
      </c>
      <c r="E55" s="989" t="s">
        <v>5</v>
      </c>
      <c r="F55" s="989" t="s">
        <v>5</v>
      </c>
      <c r="G55" s="989" t="s">
        <v>5</v>
      </c>
      <c r="H55" s="989"/>
      <c r="I55" s="989"/>
      <c r="J55" s="989"/>
      <c r="K55" s="990" t="s">
        <v>5</v>
      </c>
      <c r="L55" s="812" t="s">
        <v>197</v>
      </c>
      <c r="M55" s="831"/>
      <c r="N55" s="843"/>
      <c r="O55" s="843" t="s">
        <v>5</v>
      </c>
      <c r="P55" s="843"/>
      <c r="Q55" s="843"/>
      <c r="R55" s="843"/>
      <c r="S55" s="843"/>
      <c r="T55" s="843"/>
      <c r="U55" s="843"/>
      <c r="V55" s="843"/>
      <c r="W55" s="843"/>
      <c r="X55" s="843"/>
      <c r="Y55" s="843"/>
      <c r="Z55" s="843"/>
    </row>
    <row r="56" spans="1:26" ht="48" x14ac:dyDescent="0.25">
      <c r="A56" s="833" t="s">
        <v>1500</v>
      </c>
      <c r="B56" s="851" t="s">
        <v>1316</v>
      </c>
      <c r="C56" s="857" t="s">
        <v>1317</v>
      </c>
      <c r="D56" s="834" t="s">
        <v>1318</v>
      </c>
      <c r="E56" s="989" t="s">
        <v>5</v>
      </c>
      <c r="F56" s="989" t="s">
        <v>5</v>
      </c>
      <c r="G56" s="989" t="s">
        <v>5</v>
      </c>
      <c r="H56" s="989"/>
      <c r="I56" s="989"/>
      <c r="J56" s="989"/>
      <c r="K56" s="990" t="s">
        <v>5</v>
      </c>
      <c r="L56" s="812" t="s">
        <v>197</v>
      </c>
      <c r="M56" s="831"/>
      <c r="N56" s="843"/>
      <c r="O56" s="843" t="s">
        <v>5</v>
      </c>
      <c r="P56" s="843"/>
      <c r="Q56" s="843"/>
      <c r="R56" s="843"/>
      <c r="S56" s="843"/>
      <c r="T56" s="843"/>
      <c r="U56" s="843"/>
      <c r="V56" s="843"/>
      <c r="W56" s="843"/>
      <c r="X56" s="843"/>
      <c r="Y56" s="843"/>
      <c r="Z56" s="843"/>
    </row>
    <row r="57" spans="1:26" ht="27.6" customHeight="1" x14ac:dyDescent="0.25">
      <c r="A57" s="833" t="s">
        <v>1501</v>
      </c>
      <c r="B57" s="851" t="s">
        <v>1319</v>
      </c>
      <c r="C57" s="857" t="s">
        <v>1319</v>
      </c>
      <c r="D57" s="834" t="s">
        <v>1320</v>
      </c>
      <c r="E57" s="989" t="s">
        <v>5</v>
      </c>
      <c r="F57" s="989" t="s">
        <v>5</v>
      </c>
      <c r="G57" s="989" t="s">
        <v>5</v>
      </c>
      <c r="H57" s="989"/>
      <c r="I57" s="989"/>
      <c r="J57" s="989"/>
      <c r="K57" s="990" t="s">
        <v>5</v>
      </c>
      <c r="L57" s="812" t="s">
        <v>148</v>
      </c>
      <c r="M57" s="831"/>
      <c r="N57" s="843"/>
      <c r="O57" s="843" t="s">
        <v>5</v>
      </c>
      <c r="P57" s="843"/>
      <c r="Q57" s="843"/>
      <c r="R57" s="843"/>
      <c r="S57" s="843"/>
      <c r="T57" s="843"/>
      <c r="U57" s="843"/>
      <c r="V57" s="843"/>
      <c r="W57" s="843"/>
      <c r="X57" s="843"/>
      <c r="Y57" s="843"/>
      <c r="Z57" s="843"/>
    </row>
    <row r="58" spans="1:26" ht="27.6" customHeight="1" x14ac:dyDescent="0.25">
      <c r="A58" s="833" t="s">
        <v>1502</v>
      </c>
      <c r="B58" s="851" t="s">
        <v>1321</v>
      </c>
      <c r="C58" s="857" t="s">
        <v>1322</v>
      </c>
      <c r="D58" s="834" t="s">
        <v>1323</v>
      </c>
      <c r="E58" s="989" t="s">
        <v>5</v>
      </c>
      <c r="F58" s="989" t="s">
        <v>5</v>
      </c>
      <c r="G58" s="989" t="s">
        <v>5</v>
      </c>
      <c r="H58" s="989"/>
      <c r="I58" s="989"/>
      <c r="J58" s="989"/>
      <c r="K58" s="990" t="s">
        <v>5</v>
      </c>
      <c r="L58" s="812" t="s">
        <v>148</v>
      </c>
      <c r="M58" s="831"/>
      <c r="N58" s="843"/>
      <c r="O58" s="843" t="s">
        <v>5</v>
      </c>
      <c r="P58" s="843"/>
      <c r="Q58" s="843"/>
      <c r="R58" s="843"/>
      <c r="S58" s="843"/>
      <c r="T58" s="843"/>
      <c r="U58" s="843"/>
      <c r="V58" s="843"/>
      <c r="W58" s="843"/>
      <c r="X58" s="843"/>
      <c r="Y58" s="843"/>
      <c r="Z58" s="843"/>
    </row>
    <row r="59" spans="1:26" ht="22.9" customHeight="1" outlineLevel="1" x14ac:dyDescent="0.25">
      <c r="A59" s="833"/>
      <c r="B59" s="857"/>
      <c r="C59" s="857"/>
      <c r="D59" s="834"/>
      <c r="E59" s="989" t="s">
        <v>5</v>
      </c>
      <c r="F59" s="989" t="s">
        <v>5</v>
      </c>
      <c r="G59" s="989" t="s">
        <v>5</v>
      </c>
      <c r="H59" s="989"/>
      <c r="I59" s="989"/>
      <c r="J59" s="989"/>
      <c r="K59" s="990" t="s">
        <v>5</v>
      </c>
      <c r="L59" s="813"/>
      <c r="M59" s="831"/>
      <c r="N59" s="843"/>
      <c r="O59" s="843" t="s">
        <v>5</v>
      </c>
      <c r="P59" s="843"/>
      <c r="Q59" s="843"/>
      <c r="R59" s="843"/>
      <c r="S59" s="843"/>
      <c r="T59" s="843"/>
      <c r="U59" s="843"/>
      <c r="V59" s="843"/>
      <c r="W59" s="843"/>
      <c r="X59" s="843"/>
      <c r="Y59" s="843"/>
      <c r="Z59" s="843"/>
    </row>
    <row r="60" spans="1:26" ht="27.6" customHeight="1" outlineLevel="1" x14ac:dyDescent="0.25">
      <c r="A60" s="853" t="s">
        <v>1571</v>
      </c>
      <c r="B60" s="853"/>
      <c r="C60" s="854"/>
      <c r="D60" s="854"/>
      <c r="E60" s="855"/>
      <c r="F60" s="855"/>
      <c r="G60" s="856"/>
      <c r="H60" s="855"/>
      <c r="I60" s="855"/>
      <c r="J60" s="855"/>
      <c r="K60" s="855"/>
      <c r="L60" s="855"/>
      <c r="M60" s="855"/>
      <c r="N60" s="855"/>
      <c r="O60" s="855" t="s">
        <v>5</v>
      </c>
      <c r="P60" s="855"/>
      <c r="Q60" s="855"/>
      <c r="R60" s="855"/>
      <c r="S60" s="855"/>
      <c r="T60" s="855"/>
      <c r="U60" s="855"/>
      <c r="V60" s="855"/>
      <c r="W60" s="855"/>
      <c r="X60" s="855"/>
      <c r="Y60" s="855"/>
      <c r="Z60" s="855"/>
    </row>
    <row r="61" spans="1:26" ht="48" outlineLevel="1" x14ac:dyDescent="0.25">
      <c r="A61" s="833" t="s">
        <v>1503</v>
      </c>
      <c r="B61" s="851" t="s">
        <v>840</v>
      </c>
      <c r="C61" s="857" t="s">
        <v>840</v>
      </c>
      <c r="D61" s="834" t="s">
        <v>838</v>
      </c>
      <c r="E61" s="989" t="s">
        <v>5</v>
      </c>
      <c r="F61" s="989" t="s">
        <v>5</v>
      </c>
      <c r="G61" s="989" t="s">
        <v>5</v>
      </c>
      <c r="H61" s="989"/>
      <c r="I61" s="989"/>
      <c r="J61" s="989"/>
      <c r="K61" s="990" t="s">
        <v>5</v>
      </c>
      <c r="L61" s="812" t="s">
        <v>197</v>
      </c>
      <c r="M61" s="831"/>
      <c r="N61" s="843"/>
      <c r="O61" s="843" t="s">
        <v>5</v>
      </c>
      <c r="P61" s="843"/>
      <c r="Q61" s="843"/>
      <c r="R61" s="843"/>
      <c r="S61" s="843"/>
      <c r="T61" s="843"/>
      <c r="U61" s="843"/>
      <c r="V61" s="843"/>
      <c r="W61" s="843"/>
      <c r="X61" s="843"/>
      <c r="Y61" s="843"/>
      <c r="Z61" s="843"/>
    </row>
    <row r="62" spans="1:26" ht="30" outlineLevel="1" x14ac:dyDescent="0.25">
      <c r="A62" s="833" t="s">
        <v>1504</v>
      </c>
      <c r="B62" s="851" t="s">
        <v>1505</v>
      </c>
      <c r="C62" s="857" t="s">
        <v>1506</v>
      </c>
      <c r="D62" s="834" t="s">
        <v>838</v>
      </c>
      <c r="E62" s="860" t="s">
        <v>5</v>
      </c>
      <c r="F62" s="860" t="s">
        <v>5</v>
      </c>
      <c r="G62" s="861" t="s">
        <v>5</v>
      </c>
      <c r="H62" s="860"/>
      <c r="I62" s="860"/>
      <c r="J62" s="860"/>
      <c r="K62" s="862" t="s">
        <v>5</v>
      </c>
      <c r="L62" s="812" t="s">
        <v>113</v>
      </c>
      <c r="M62" s="863"/>
      <c r="N62" s="864"/>
      <c r="O62" s="864" t="s">
        <v>5</v>
      </c>
      <c r="P62" s="864"/>
      <c r="Q62" s="864"/>
      <c r="R62" s="864"/>
      <c r="S62" s="864"/>
      <c r="T62" s="864"/>
      <c r="U62" s="864"/>
      <c r="V62" s="864"/>
      <c r="W62" s="864"/>
      <c r="X62" s="864"/>
      <c r="Y62" s="864"/>
      <c r="Z62" s="864"/>
    </row>
    <row r="63" spans="1:26" ht="28.5" outlineLevel="1" x14ac:dyDescent="0.25">
      <c r="A63" s="833" t="s">
        <v>1507</v>
      </c>
      <c r="B63" s="851" t="s">
        <v>1508</v>
      </c>
      <c r="C63" s="857" t="s">
        <v>1509</v>
      </c>
      <c r="D63" s="834" t="s">
        <v>838</v>
      </c>
      <c r="E63" s="860" t="s">
        <v>5</v>
      </c>
      <c r="F63" s="860" t="s">
        <v>5</v>
      </c>
      <c r="G63" s="861" t="s">
        <v>5</v>
      </c>
      <c r="H63" s="860"/>
      <c r="I63" s="860"/>
      <c r="J63" s="860"/>
      <c r="K63" s="862" t="s">
        <v>5</v>
      </c>
      <c r="L63" s="812" t="s">
        <v>113</v>
      </c>
      <c r="M63" s="863"/>
      <c r="N63" s="864"/>
      <c r="O63" s="864" t="s">
        <v>5</v>
      </c>
      <c r="P63" s="864"/>
      <c r="Q63" s="864"/>
      <c r="R63" s="864"/>
      <c r="S63" s="864"/>
      <c r="T63" s="864"/>
      <c r="U63" s="864"/>
      <c r="V63" s="864"/>
      <c r="W63" s="864"/>
      <c r="X63" s="864"/>
      <c r="Y63" s="864"/>
      <c r="Z63" s="864"/>
    </row>
    <row r="64" spans="1:26" ht="15" outlineLevel="1" x14ac:dyDescent="0.25">
      <c r="A64" s="833" t="s">
        <v>1510</v>
      </c>
      <c r="B64" s="851" t="s">
        <v>1511</v>
      </c>
      <c r="C64" s="857" t="s">
        <v>1511</v>
      </c>
      <c r="D64" s="834" t="s">
        <v>1512</v>
      </c>
      <c r="E64" s="860" t="s">
        <v>5</v>
      </c>
      <c r="F64" s="860" t="s">
        <v>5</v>
      </c>
      <c r="G64" s="861" t="s">
        <v>5</v>
      </c>
      <c r="H64" s="860"/>
      <c r="I64" s="860"/>
      <c r="J64" s="860"/>
      <c r="K64" s="862" t="s">
        <v>5</v>
      </c>
      <c r="L64" s="812" t="s">
        <v>113</v>
      </c>
      <c r="M64" s="863"/>
      <c r="N64" s="864"/>
      <c r="O64" s="864" t="s">
        <v>5</v>
      </c>
      <c r="P64" s="864"/>
      <c r="Q64" s="864"/>
      <c r="R64" s="864"/>
      <c r="S64" s="864"/>
      <c r="T64" s="864"/>
      <c r="U64" s="864"/>
      <c r="V64" s="864"/>
      <c r="W64" s="864"/>
      <c r="X64" s="864"/>
      <c r="Y64" s="864"/>
      <c r="Z64" s="864"/>
    </row>
    <row r="65" spans="1:26" ht="18" outlineLevel="1" x14ac:dyDescent="0.25">
      <c r="A65" s="853" t="s">
        <v>1572</v>
      </c>
      <c r="B65" s="853"/>
      <c r="C65" s="854"/>
      <c r="D65" s="854"/>
      <c r="E65" s="855"/>
      <c r="F65" s="855"/>
      <c r="G65" s="856"/>
      <c r="H65" s="855"/>
      <c r="I65" s="855"/>
      <c r="J65" s="855"/>
      <c r="K65" s="855"/>
      <c r="L65" s="855"/>
      <c r="M65" s="855"/>
      <c r="N65" s="855"/>
      <c r="O65" s="855" t="s">
        <v>5</v>
      </c>
      <c r="P65" s="855"/>
      <c r="Q65" s="855"/>
      <c r="R65" s="855"/>
      <c r="S65" s="855"/>
      <c r="T65" s="855"/>
      <c r="U65" s="855"/>
      <c r="V65" s="855"/>
      <c r="W65" s="855"/>
      <c r="X65" s="855"/>
      <c r="Y65" s="855"/>
      <c r="Z65" s="855"/>
    </row>
    <row r="66" spans="1:26" ht="25.5" outlineLevel="1" x14ac:dyDescent="0.25">
      <c r="A66" s="833" t="s">
        <v>831</v>
      </c>
      <c r="B66" s="851" t="s">
        <v>832</v>
      </c>
      <c r="C66" s="857" t="s">
        <v>833</v>
      </c>
      <c r="D66" s="834" t="s">
        <v>1605</v>
      </c>
      <c r="E66" s="989" t="s">
        <v>5</v>
      </c>
      <c r="F66" s="989" t="s">
        <v>5</v>
      </c>
      <c r="G66" s="989" t="s">
        <v>5</v>
      </c>
      <c r="H66" s="989"/>
      <c r="I66" s="989"/>
      <c r="J66" s="989"/>
      <c r="K66" s="990" t="s">
        <v>5</v>
      </c>
      <c r="L66" s="859" t="s">
        <v>148</v>
      </c>
      <c r="M66" s="831"/>
      <c r="N66" s="843"/>
      <c r="O66" s="843" t="s">
        <v>5</v>
      </c>
      <c r="P66" s="843"/>
      <c r="Q66" s="843"/>
      <c r="R66" s="843"/>
      <c r="S66" s="843"/>
      <c r="T66" s="843"/>
      <c r="U66" s="843"/>
      <c r="V66" s="843"/>
      <c r="W66" s="843"/>
      <c r="X66" s="843"/>
      <c r="Y66" s="843"/>
      <c r="Z66" s="843"/>
    </row>
    <row r="67" spans="1:26" ht="28.5" outlineLevel="1" x14ac:dyDescent="0.25">
      <c r="A67" s="833" t="s">
        <v>835</v>
      </c>
      <c r="B67" s="851" t="s">
        <v>1309</v>
      </c>
      <c r="C67" s="857" t="s">
        <v>1310</v>
      </c>
      <c r="D67" s="834" t="s">
        <v>1311</v>
      </c>
      <c r="E67" s="989" t="s">
        <v>5</v>
      </c>
      <c r="F67" s="989" t="s">
        <v>5</v>
      </c>
      <c r="G67" s="989" t="s">
        <v>5</v>
      </c>
      <c r="H67" s="989"/>
      <c r="I67" s="989"/>
      <c r="J67" s="989"/>
      <c r="K67" s="990" t="s">
        <v>5</v>
      </c>
      <c r="L67" s="859" t="s">
        <v>148</v>
      </c>
      <c r="M67" s="831"/>
      <c r="N67" s="843"/>
      <c r="O67" s="843" t="s">
        <v>5</v>
      </c>
      <c r="P67" s="843"/>
      <c r="Q67" s="843"/>
      <c r="R67" s="843"/>
      <c r="S67" s="843"/>
      <c r="T67" s="843"/>
      <c r="U67" s="843"/>
      <c r="V67" s="843"/>
      <c r="W67" s="843"/>
      <c r="X67" s="843"/>
      <c r="Y67" s="843"/>
      <c r="Z67" s="843"/>
    </row>
    <row r="68" spans="1:26" ht="17.25" customHeight="1" outlineLevel="1" x14ac:dyDescent="0.25">
      <c r="A68" s="833"/>
      <c r="B68" s="851"/>
      <c r="C68" s="857"/>
      <c r="D68" s="834"/>
      <c r="E68" s="860"/>
      <c r="F68" s="860"/>
      <c r="G68" s="860"/>
      <c r="H68" s="860"/>
      <c r="I68" s="860"/>
      <c r="J68" s="860"/>
      <c r="K68" s="862"/>
      <c r="L68" s="859"/>
      <c r="M68" s="831"/>
      <c r="N68" s="843"/>
      <c r="O68" s="843"/>
      <c r="P68" s="843"/>
      <c r="Q68" s="843"/>
      <c r="R68" s="843"/>
      <c r="S68" s="843"/>
      <c r="T68" s="843"/>
      <c r="U68" s="843"/>
      <c r="V68" s="843"/>
      <c r="W68" s="843"/>
      <c r="X68" s="843"/>
      <c r="Y68" s="843"/>
      <c r="Z68" s="843"/>
    </row>
    <row r="69" spans="1:26" ht="17.25" customHeight="1" outlineLevel="1" x14ac:dyDescent="0.25">
      <c r="A69" s="853" t="s">
        <v>1573</v>
      </c>
      <c r="B69" s="853"/>
      <c r="C69" s="854"/>
      <c r="D69" s="854"/>
      <c r="E69" s="855"/>
      <c r="F69" s="855"/>
      <c r="G69" s="856"/>
      <c r="H69" s="855"/>
      <c r="I69" s="855"/>
      <c r="J69" s="855"/>
      <c r="K69" s="855"/>
      <c r="L69" s="855"/>
      <c r="M69" s="855"/>
      <c r="N69" s="855"/>
      <c r="O69" s="855" t="s">
        <v>5</v>
      </c>
      <c r="P69" s="855"/>
      <c r="Q69" s="855"/>
      <c r="R69" s="855"/>
      <c r="S69" s="855"/>
      <c r="T69" s="855"/>
      <c r="U69" s="855"/>
      <c r="V69" s="855"/>
      <c r="W69" s="855"/>
      <c r="X69" s="855"/>
      <c r="Y69" s="855"/>
      <c r="Z69" s="855"/>
    </row>
    <row r="70" spans="1:26" ht="15" outlineLevel="1" x14ac:dyDescent="0.25">
      <c r="A70" s="833"/>
      <c r="B70" s="857"/>
      <c r="C70" s="857"/>
      <c r="D70" s="834"/>
      <c r="E70" s="989" t="s">
        <v>5</v>
      </c>
      <c r="F70" s="989" t="s">
        <v>5</v>
      </c>
      <c r="G70" s="989" t="s">
        <v>5</v>
      </c>
      <c r="H70" s="989"/>
      <c r="I70" s="989"/>
      <c r="J70" s="989"/>
      <c r="K70" s="990" t="s">
        <v>5</v>
      </c>
      <c r="L70" s="813"/>
      <c r="M70" s="831"/>
      <c r="N70" s="843"/>
      <c r="O70" s="843" t="s">
        <v>5</v>
      </c>
      <c r="P70" s="843"/>
      <c r="Q70" s="843"/>
      <c r="R70" s="843"/>
      <c r="S70" s="843"/>
      <c r="T70" s="843"/>
      <c r="U70" s="843"/>
      <c r="V70" s="843"/>
      <c r="W70" s="843"/>
      <c r="X70" s="843"/>
      <c r="Y70" s="843"/>
      <c r="Z70" s="843"/>
    </row>
    <row r="71" spans="1:26" ht="18" hidden="1" outlineLevel="1" x14ac:dyDescent="0.25">
      <c r="A71" s="853" t="e">
        <f>CONCATENATE(#REF!," ",#REF!)</f>
        <v>#REF!</v>
      </c>
      <c r="B71" s="853"/>
      <c r="C71" s="854"/>
      <c r="D71" s="854"/>
      <c r="E71" s="855"/>
      <c r="F71" s="855"/>
      <c r="G71" s="855"/>
      <c r="H71" s="855"/>
      <c r="I71" s="855"/>
      <c r="J71" s="855"/>
      <c r="K71" s="855"/>
      <c r="L71" s="855"/>
      <c r="M71" s="855"/>
      <c r="N71" s="855"/>
      <c r="O71" s="855" t="s">
        <v>5</v>
      </c>
      <c r="P71" s="855"/>
      <c r="Q71" s="855"/>
      <c r="R71" s="855"/>
      <c r="S71" s="855"/>
      <c r="T71" s="855"/>
      <c r="U71" s="855"/>
      <c r="V71" s="855"/>
      <c r="W71" s="855"/>
      <c r="X71" s="855"/>
      <c r="Y71" s="855"/>
      <c r="Z71" s="855"/>
    </row>
    <row r="72" spans="1:26" ht="15" hidden="1" outlineLevel="1" x14ac:dyDescent="0.25">
      <c r="A72" s="833" t="s">
        <v>269</v>
      </c>
      <c r="B72" s="857"/>
      <c r="C72" s="857"/>
      <c r="D72" s="834"/>
      <c r="E72" s="989" t="s">
        <v>5</v>
      </c>
      <c r="F72" s="989" t="s">
        <v>5</v>
      </c>
      <c r="G72" s="989" t="s">
        <v>5</v>
      </c>
      <c r="H72" s="989"/>
      <c r="I72" s="989"/>
      <c r="J72" s="989"/>
      <c r="K72" s="990" t="s">
        <v>5</v>
      </c>
      <c r="L72" s="813"/>
      <c r="M72" s="831"/>
      <c r="N72" s="843"/>
      <c r="O72" s="843" t="s">
        <v>5</v>
      </c>
      <c r="P72" s="843"/>
      <c r="Q72" s="843"/>
      <c r="R72" s="843"/>
      <c r="S72" s="843"/>
      <c r="T72" s="843"/>
      <c r="U72" s="843"/>
      <c r="V72" s="843"/>
      <c r="W72" s="843"/>
      <c r="X72" s="843"/>
      <c r="Y72" s="843"/>
      <c r="Z72" s="843"/>
    </row>
    <row r="73" spans="1:26" ht="15" hidden="1" outlineLevel="1" x14ac:dyDescent="0.25">
      <c r="A73" s="833" t="s">
        <v>270</v>
      </c>
      <c r="B73" s="857"/>
      <c r="C73" s="857"/>
      <c r="D73" s="834"/>
      <c r="E73" s="989" t="s">
        <v>5</v>
      </c>
      <c r="F73" s="989" t="s">
        <v>5</v>
      </c>
      <c r="G73" s="989" t="s">
        <v>5</v>
      </c>
      <c r="H73" s="989"/>
      <c r="I73" s="989"/>
      <c r="J73" s="989"/>
      <c r="K73" s="990" t="s">
        <v>5</v>
      </c>
      <c r="L73" s="813"/>
      <c r="M73" s="831"/>
      <c r="N73" s="843"/>
      <c r="O73" s="843" t="s">
        <v>5</v>
      </c>
      <c r="P73" s="843"/>
      <c r="Q73" s="843"/>
      <c r="R73" s="843"/>
      <c r="S73" s="843"/>
      <c r="T73" s="843"/>
      <c r="U73" s="843"/>
      <c r="V73" s="843"/>
      <c r="W73" s="843"/>
      <c r="X73" s="843"/>
      <c r="Y73" s="843"/>
      <c r="Z73" s="843"/>
    </row>
    <row r="74" spans="1:26" ht="15" hidden="1" outlineLevel="1" x14ac:dyDescent="0.25">
      <c r="A74" s="833"/>
      <c r="B74" s="857"/>
      <c r="C74" s="857"/>
      <c r="D74" s="834"/>
      <c r="E74" s="989" t="s">
        <v>5</v>
      </c>
      <c r="F74" s="989" t="s">
        <v>5</v>
      </c>
      <c r="G74" s="989" t="s">
        <v>5</v>
      </c>
      <c r="H74" s="989"/>
      <c r="I74" s="989"/>
      <c r="J74" s="989"/>
      <c r="K74" s="990" t="s">
        <v>5</v>
      </c>
      <c r="L74" s="813"/>
      <c r="M74" s="831"/>
      <c r="N74" s="843"/>
      <c r="O74" s="843" t="s">
        <v>5</v>
      </c>
      <c r="P74" s="843"/>
      <c r="Q74" s="843"/>
      <c r="R74" s="843"/>
      <c r="S74" s="843"/>
      <c r="T74" s="843"/>
      <c r="U74" s="843"/>
      <c r="V74" s="843"/>
      <c r="W74" s="843"/>
      <c r="X74" s="843"/>
      <c r="Y74" s="843"/>
      <c r="Z74" s="843"/>
    </row>
    <row r="75" spans="1:26" ht="15" hidden="1" outlineLevel="1" x14ac:dyDescent="0.25">
      <c r="A75" s="833"/>
      <c r="B75" s="857"/>
      <c r="C75" s="857"/>
      <c r="D75" s="834"/>
      <c r="E75" s="989" t="s">
        <v>5</v>
      </c>
      <c r="F75" s="989" t="s">
        <v>5</v>
      </c>
      <c r="G75" s="989" t="s">
        <v>5</v>
      </c>
      <c r="H75" s="989"/>
      <c r="I75" s="989"/>
      <c r="J75" s="989"/>
      <c r="K75" s="990" t="s">
        <v>5</v>
      </c>
      <c r="L75" s="813"/>
      <c r="M75" s="831"/>
      <c r="N75" s="843"/>
      <c r="O75" s="843" t="s">
        <v>5</v>
      </c>
      <c r="P75" s="843"/>
      <c r="Q75" s="843"/>
      <c r="R75" s="843"/>
      <c r="S75" s="843"/>
      <c r="T75" s="843"/>
      <c r="U75" s="843"/>
      <c r="V75" s="843"/>
      <c r="W75" s="843"/>
      <c r="X75" s="843"/>
      <c r="Y75" s="843"/>
      <c r="Z75" s="843"/>
    </row>
    <row r="76" spans="1:26" ht="15" hidden="1" outlineLevel="1" x14ac:dyDescent="0.25">
      <c r="A76" s="833"/>
      <c r="B76" s="857"/>
      <c r="C76" s="857"/>
      <c r="D76" s="834"/>
      <c r="E76" s="989" t="s">
        <v>5</v>
      </c>
      <c r="F76" s="989" t="s">
        <v>5</v>
      </c>
      <c r="G76" s="989" t="s">
        <v>5</v>
      </c>
      <c r="H76" s="989"/>
      <c r="I76" s="989"/>
      <c r="J76" s="989"/>
      <c r="K76" s="990" t="s">
        <v>5</v>
      </c>
      <c r="L76" s="813"/>
      <c r="M76" s="831"/>
      <c r="N76" s="843"/>
      <c r="O76" s="843" t="s">
        <v>5</v>
      </c>
      <c r="P76" s="843"/>
      <c r="Q76" s="843"/>
      <c r="R76" s="843"/>
      <c r="S76" s="843"/>
      <c r="T76" s="843"/>
      <c r="U76" s="843"/>
      <c r="V76" s="843"/>
      <c r="W76" s="843"/>
      <c r="X76" s="843"/>
      <c r="Y76" s="843"/>
      <c r="Z76" s="843"/>
    </row>
    <row r="77" spans="1:26" ht="18" hidden="1" outlineLevel="1" x14ac:dyDescent="0.25">
      <c r="A77" s="853" t="e">
        <f>CONCATENATE(#REF!," ",#REF!)</f>
        <v>#REF!</v>
      </c>
      <c r="B77" s="853"/>
      <c r="C77" s="854"/>
      <c r="D77" s="854"/>
      <c r="E77" s="855"/>
      <c r="F77" s="855"/>
      <c r="G77" s="855"/>
      <c r="H77" s="855"/>
      <c r="I77" s="855"/>
      <c r="J77" s="855"/>
      <c r="K77" s="855"/>
      <c r="L77" s="855"/>
      <c r="M77" s="855"/>
      <c r="N77" s="855"/>
      <c r="O77" s="855" t="s">
        <v>5</v>
      </c>
      <c r="P77" s="855"/>
      <c r="Q77" s="855"/>
      <c r="R77" s="855"/>
      <c r="S77" s="855"/>
      <c r="T77" s="855"/>
      <c r="U77" s="855"/>
      <c r="V77" s="855"/>
      <c r="W77" s="855"/>
      <c r="X77" s="855"/>
      <c r="Y77" s="855"/>
      <c r="Z77" s="855"/>
    </row>
    <row r="78" spans="1:26" ht="15" hidden="1" outlineLevel="1" x14ac:dyDescent="0.25">
      <c r="A78" s="833" t="s">
        <v>271</v>
      </c>
      <c r="B78" s="857"/>
      <c r="C78" s="857"/>
      <c r="D78" s="834"/>
      <c r="E78" s="989" t="s">
        <v>5</v>
      </c>
      <c r="F78" s="989" t="s">
        <v>5</v>
      </c>
      <c r="G78" s="989" t="s">
        <v>5</v>
      </c>
      <c r="H78" s="989"/>
      <c r="I78" s="989"/>
      <c r="J78" s="989"/>
      <c r="K78" s="990" t="s">
        <v>5</v>
      </c>
      <c r="L78" s="813"/>
      <c r="M78" s="831"/>
      <c r="N78" s="843"/>
      <c r="O78" s="843" t="s">
        <v>5</v>
      </c>
      <c r="P78" s="843"/>
      <c r="Q78" s="843"/>
      <c r="R78" s="843"/>
      <c r="S78" s="843"/>
      <c r="T78" s="843"/>
      <c r="U78" s="843"/>
      <c r="V78" s="843"/>
      <c r="W78" s="843"/>
      <c r="X78" s="843"/>
      <c r="Y78" s="843"/>
      <c r="Z78" s="843"/>
    </row>
    <row r="79" spans="1:26" ht="15" hidden="1" outlineLevel="1" x14ac:dyDescent="0.25">
      <c r="A79" s="833" t="s">
        <v>272</v>
      </c>
      <c r="B79" s="857"/>
      <c r="C79" s="857"/>
      <c r="D79" s="834"/>
      <c r="E79" s="989" t="s">
        <v>5</v>
      </c>
      <c r="F79" s="989" t="s">
        <v>5</v>
      </c>
      <c r="G79" s="989" t="s">
        <v>5</v>
      </c>
      <c r="H79" s="989"/>
      <c r="I79" s="989"/>
      <c r="J79" s="989"/>
      <c r="K79" s="990" t="s">
        <v>5</v>
      </c>
      <c r="L79" s="813"/>
      <c r="M79" s="831"/>
      <c r="N79" s="843"/>
      <c r="O79" s="843" t="s">
        <v>5</v>
      </c>
      <c r="P79" s="843"/>
      <c r="Q79" s="843"/>
      <c r="R79" s="843"/>
      <c r="S79" s="843"/>
      <c r="T79" s="843"/>
      <c r="U79" s="843"/>
      <c r="V79" s="843"/>
      <c r="W79" s="843"/>
      <c r="X79" s="843"/>
      <c r="Y79" s="843"/>
      <c r="Z79" s="843"/>
    </row>
    <row r="80" spans="1:26" ht="15" hidden="1" outlineLevel="1" x14ac:dyDescent="0.25">
      <c r="A80" s="833"/>
      <c r="B80" s="857"/>
      <c r="C80" s="857"/>
      <c r="D80" s="834"/>
      <c r="E80" s="989" t="s">
        <v>5</v>
      </c>
      <c r="F80" s="989" t="s">
        <v>5</v>
      </c>
      <c r="G80" s="989" t="s">
        <v>5</v>
      </c>
      <c r="H80" s="989"/>
      <c r="I80" s="989"/>
      <c r="J80" s="989"/>
      <c r="K80" s="990" t="s">
        <v>5</v>
      </c>
      <c r="L80" s="813"/>
      <c r="M80" s="831"/>
      <c r="N80" s="843"/>
      <c r="O80" s="843" t="s">
        <v>5</v>
      </c>
      <c r="P80" s="843"/>
      <c r="Q80" s="843"/>
      <c r="R80" s="843"/>
      <c r="S80" s="843"/>
      <c r="T80" s="843"/>
      <c r="U80" s="843"/>
      <c r="V80" s="843"/>
      <c r="W80" s="843"/>
      <c r="X80" s="843"/>
      <c r="Y80" s="843"/>
      <c r="Z80" s="843"/>
    </row>
    <row r="81" spans="1:26" ht="15" hidden="1" outlineLevel="1" x14ac:dyDescent="0.25">
      <c r="A81" s="833"/>
      <c r="B81" s="857"/>
      <c r="C81" s="857"/>
      <c r="D81" s="834"/>
      <c r="E81" s="989" t="s">
        <v>5</v>
      </c>
      <c r="F81" s="989" t="s">
        <v>5</v>
      </c>
      <c r="G81" s="989" t="s">
        <v>5</v>
      </c>
      <c r="H81" s="989"/>
      <c r="I81" s="989"/>
      <c r="J81" s="989"/>
      <c r="K81" s="990" t="s">
        <v>5</v>
      </c>
      <c r="L81" s="813"/>
      <c r="M81" s="831"/>
      <c r="N81" s="843"/>
      <c r="O81" s="843" t="s">
        <v>5</v>
      </c>
      <c r="P81" s="843"/>
      <c r="Q81" s="843"/>
      <c r="R81" s="843"/>
      <c r="S81" s="843"/>
      <c r="T81" s="843"/>
      <c r="U81" s="843"/>
      <c r="V81" s="843"/>
      <c r="W81" s="843"/>
      <c r="X81" s="843"/>
      <c r="Y81" s="843"/>
      <c r="Z81" s="843"/>
    </row>
    <row r="82" spans="1:26" ht="15" hidden="1" outlineLevel="1" x14ac:dyDescent="0.25">
      <c r="A82" s="833"/>
      <c r="B82" s="857"/>
      <c r="C82" s="857"/>
      <c r="D82" s="834"/>
      <c r="E82" s="989" t="s">
        <v>5</v>
      </c>
      <c r="F82" s="989" t="s">
        <v>5</v>
      </c>
      <c r="G82" s="989" t="s">
        <v>5</v>
      </c>
      <c r="H82" s="989"/>
      <c r="I82" s="989"/>
      <c r="J82" s="989"/>
      <c r="K82" s="990" t="s">
        <v>5</v>
      </c>
      <c r="L82" s="813"/>
      <c r="M82" s="831"/>
      <c r="N82" s="843"/>
      <c r="O82" s="843" t="s">
        <v>5</v>
      </c>
      <c r="P82" s="843"/>
      <c r="Q82" s="843"/>
      <c r="R82" s="843"/>
      <c r="S82" s="843"/>
      <c r="T82" s="843"/>
      <c r="U82" s="843"/>
      <c r="V82" s="843"/>
      <c r="W82" s="843"/>
      <c r="X82" s="843"/>
      <c r="Y82" s="843"/>
      <c r="Z82" s="843"/>
    </row>
    <row r="83" spans="1:26" ht="18" hidden="1" outlineLevel="1" x14ac:dyDescent="0.25">
      <c r="A83" s="853" t="e">
        <f>CONCATENATE(#REF!," ",#REF!)</f>
        <v>#REF!</v>
      </c>
      <c r="B83" s="853"/>
      <c r="C83" s="854"/>
      <c r="D83" s="854"/>
      <c r="E83" s="855"/>
      <c r="F83" s="855"/>
      <c r="G83" s="855"/>
      <c r="H83" s="855"/>
      <c r="I83" s="855"/>
      <c r="J83" s="855"/>
      <c r="K83" s="855"/>
      <c r="L83" s="855"/>
      <c r="M83" s="855"/>
      <c r="N83" s="855"/>
      <c r="O83" s="855" t="s">
        <v>5</v>
      </c>
      <c r="P83" s="855"/>
      <c r="Q83" s="855"/>
      <c r="R83" s="855"/>
      <c r="S83" s="855"/>
      <c r="T83" s="855"/>
      <c r="U83" s="855"/>
      <c r="V83" s="855"/>
      <c r="W83" s="855"/>
      <c r="X83" s="855"/>
      <c r="Y83" s="855"/>
      <c r="Z83" s="855"/>
    </row>
    <row r="84" spans="1:26" ht="15" hidden="1" outlineLevel="1" x14ac:dyDescent="0.25">
      <c r="A84" s="833" t="s">
        <v>273</v>
      </c>
      <c r="B84" s="857"/>
      <c r="C84" s="857"/>
      <c r="D84" s="834"/>
      <c r="E84" s="989" t="s">
        <v>5</v>
      </c>
      <c r="F84" s="989" t="s">
        <v>5</v>
      </c>
      <c r="G84" s="989" t="s">
        <v>5</v>
      </c>
      <c r="H84" s="989"/>
      <c r="I84" s="989"/>
      <c r="J84" s="989"/>
      <c r="K84" s="990" t="s">
        <v>5</v>
      </c>
      <c r="L84" s="813"/>
      <c r="M84" s="831"/>
      <c r="N84" s="843"/>
      <c r="O84" s="843" t="s">
        <v>5</v>
      </c>
      <c r="P84" s="843"/>
      <c r="Q84" s="843"/>
      <c r="R84" s="843"/>
      <c r="S84" s="843"/>
      <c r="T84" s="843"/>
      <c r="U84" s="843"/>
      <c r="V84" s="843"/>
      <c r="W84" s="843"/>
      <c r="X84" s="843"/>
      <c r="Y84" s="843"/>
      <c r="Z84" s="843"/>
    </row>
    <row r="85" spans="1:26" ht="15" hidden="1" outlineLevel="1" x14ac:dyDescent="0.25">
      <c r="A85" s="833" t="s">
        <v>274</v>
      </c>
      <c r="B85" s="857"/>
      <c r="C85" s="857"/>
      <c r="D85" s="834"/>
      <c r="E85" s="989" t="s">
        <v>5</v>
      </c>
      <c r="F85" s="989" t="s">
        <v>5</v>
      </c>
      <c r="G85" s="989" t="s">
        <v>5</v>
      </c>
      <c r="H85" s="989"/>
      <c r="I85" s="989"/>
      <c r="J85" s="989"/>
      <c r="K85" s="990" t="s">
        <v>5</v>
      </c>
      <c r="L85" s="813"/>
      <c r="M85" s="831"/>
      <c r="N85" s="843"/>
      <c r="O85" s="843" t="s">
        <v>5</v>
      </c>
      <c r="P85" s="843"/>
      <c r="Q85" s="843"/>
      <c r="R85" s="843"/>
      <c r="S85" s="843"/>
      <c r="T85" s="843"/>
      <c r="U85" s="843"/>
      <c r="V85" s="843"/>
      <c r="W85" s="843"/>
      <c r="X85" s="843"/>
      <c r="Y85" s="843"/>
      <c r="Z85" s="843"/>
    </row>
    <row r="86" spans="1:26" ht="15" hidden="1" outlineLevel="1" x14ac:dyDescent="0.25">
      <c r="A86" s="833"/>
      <c r="B86" s="857"/>
      <c r="C86" s="857"/>
      <c r="D86" s="834"/>
      <c r="E86" s="989" t="s">
        <v>5</v>
      </c>
      <c r="F86" s="989" t="s">
        <v>5</v>
      </c>
      <c r="G86" s="989" t="s">
        <v>5</v>
      </c>
      <c r="H86" s="989"/>
      <c r="I86" s="989"/>
      <c r="J86" s="989"/>
      <c r="K86" s="990" t="s">
        <v>5</v>
      </c>
      <c r="L86" s="813"/>
      <c r="M86" s="831"/>
      <c r="N86" s="843"/>
      <c r="O86" s="843" t="s">
        <v>5</v>
      </c>
      <c r="P86" s="843"/>
      <c r="Q86" s="843"/>
      <c r="R86" s="843"/>
      <c r="S86" s="843"/>
      <c r="T86" s="843"/>
      <c r="U86" s="843"/>
      <c r="V86" s="843"/>
      <c r="W86" s="843"/>
      <c r="X86" s="843"/>
      <c r="Y86" s="843"/>
      <c r="Z86" s="843"/>
    </row>
    <row r="87" spans="1:26" ht="15" hidden="1" outlineLevel="1" x14ac:dyDescent="0.25">
      <c r="A87" s="833"/>
      <c r="B87" s="857"/>
      <c r="C87" s="857"/>
      <c r="D87" s="834"/>
      <c r="E87" s="989" t="s">
        <v>5</v>
      </c>
      <c r="F87" s="989" t="s">
        <v>5</v>
      </c>
      <c r="G87" s="989" t="s">
        <v>5</v>
      </c>
      <c r="H87" s="989"/>
      <c r="I87" s="989"/>
      <c r="J87" s="989"/>
      <c r="K87" s="990" t="s">
        <v>5</v>
      </c>
      <c r="L87" s="813"/>
      <c r="M87" s="831"/>
      <c r="N87" s="843"/>
      <c r="O87" s="843" t="s">
        <v>5</v>
      </c>
      <c r="P87" s="843"/>
      <c r="Q87" s="843"/>
      <c r="R87" s="843"/>
      <c r="S87" s="843"/>
      <c r="T87" s="843"/>
      <c r="U87" s="843"/>
      <c r="V87" s="843"/>
      <c r="W87" s="843"/>
      <c r="X87" s="843"/>
      <c r="Y87" s="843"/>
      <c r="Z87" s="843"/>
    </row>
    <row r="88" spans="1:26" ht="15" hidden="1" outlineLevel="1" x14ac:dyDescent="0.25">
      <c r="A88" s="833"/>
      <c r="B88" s="857"/>
      <c r="C88" s="857"/>
      <c r="D88" s="834"/>
      <c r="E88" s="989" t="s">
        <v>5</v>
      </c>
      <c r="F88" s="989" t="s">
        <v>5</v>
      </c>
      <c r="G88" s="989" t="s">
        <v>5</v>
      </c>
      <c r="H88" s="989"/>
      <c r="I88" s="989"/>
      <c r="J88" s="989"/>
      <c r="K88" s="990" t="s">
        <v>5</v>
      </c>
      <c r="L88" s="813"/>
      <c r="M88" s="831"/>
      <c r="N88" s="843"/>
      <c r="O88" s="843" t="s">
        <v>5</v>
      </c>
      <c r="P88" s="843"/>
      <c r="Q88" s="843"/>
      <c r="R88" s="843"/>
      <c r="S88" s="843"/>
      <c r="T88" s="843"/>
      <c r="U88" s="843"/>
      <c r="V88" s="843"/>
      <c r="W88" s="843"/>
      <c r="X88" s="843"/>
      <c r="Y88" s="843"/>
      <c r="Z88" s="843"/>
    </row>
    <row r="89" spans="1:26" ht="18" hidden="1" outlineLevel="1" x14ac:dyDescent="0.25">
      <c r="A89" s="853" t="e">
        <f>CONCATENATE(#REF!," ",#REF!)</f>
        <v>#REF!</v>
      </c>
      <c r="B89" s="853"/>
      <c r="C89" s="854"/>
      <c r="D89" s="854"/>
      <c r="E89" s="855"/>
      <c r="F89" s="855"/>
      <c r="G89" s="855"/>
      <c r="H89" s="855"/>
      <c r="I89" s="855"/>
      <c r="J89" s="855"/>
      <c r="K89" s="855"/>
      <c r="L89" s="855"/>
      <c r="M89" s="855"/>
      <c r="N89" s="855"/>
      <c r="O89" s="855" t="s">
        <v>5</v>
      </c>
      <c r="P89" s="855"/>
      <c r="Q89" s="855"/>
      <c r="R89" s="855"/>
      <c r="S89" s="855"/>
      <c r="T89" s="855"/>
      <c r="U89" s="855"/>
      <c r="V89" s="855"/>
      <c r="W89" s="855"/>
      <c r="X89" s="855"/>
      <c r="Y89" s="855"/>
      <c r="Z89" s="855"/>
    </row>
    <row r="90" spans="1:26" ht="15" hidden="1" outlineLevel="1" x14ac:dyDescent="0.25">
      <c r="A90" s="833" t="s">
        <v>275</v>
      </c>
      <c r="B90" s="857"/>
      <c r="C90" s="857"/>
      <c r="D90" s="834"/>
      <c r="E90" s="989" t="s">
        <v>5</v>
      </c>
      <c r="F90" s="989" t="s">
        <v>5</v>
      </c>
      <c r="G90" s="989" t="s">
        <v>5</v>
      </c>
      <c r="H90" s="989"/>
      <c r="I90" s="989"/>
      <c r="J90" s="989"/>
      <c r="K90" s="990" t="s">
        <v>5</v>
      </c>
      <c r="L90" s="813"/>
      <c r="M90" s="831"/>
      <c r="N90" s="843"/>
      <c r="O90" s="843" t="s">
        <v>5</v>
      </c>
      <c r="P90" s="843"/>
      <c r="Q90" s="843"/>
      <c r="R90" s="843"/>
      <c r="S90" s="843"/>
      <c r="T90" s="843"/>
      <c r="U90" s="843"/>
      <c r="V90" s="843"/>
      <c r="W90" s="843"/>
      <c r="X90" s="843"/>
      <c r="Y90" s="843"/>
      <c r="Z90" s="843"/>
    </row>
    <row r="91" spans="1:26" ht="15" hidden="1" outlineLevel="1" x14ac:dyDescent="0.25">
      <c r="A91" s="833" t="s">
        <v>276</v>
      </c>
      <c r="B91" s="857"/>
      <c r="C91" s="857"/>
      <c r="D91" s="834"/>
      <c r="E91" s="989" t="s">
        <v>5</v>
      </c>
      <c r="F91" s="989" t="s">
        <v>5</v>
      </c>
      <c r="G91" s="989" t="s">
        <v>5</v>
      </c>
      <c r="H91" s="989"/>
      <c r="I91" s="989"/>
      <c r="J91" s="989"/>
      <c r="K91" s="990" t="s">
        <v>5</v>
      </c>
      <c r="L91" s="813"/>
      <c r="M91" s="831"/>
      <c r="N91" s="843"/>
      <c r="O91" s="843" t="s">
        <v>5</v>
      </c>
      <c r="P91" s="843"/>
      <c r="Q91" s="843"/>
      <c r="R91" s="843"/>
      <c r="S91" s="843"/>
      <c r="T91" s="843"/>
      <c r="U91" s="843"/>
      <c r="V91" s="843"/>
      <c r="W91" s="843"/>
      <c r="X91" s="843"/>
      <c r="Y91" s="843"/>
      <c r="Z91" s="843"/>
    </row>
    <row r="92" spans="1:26" ht="15" hidden="1" outlineLevel="1" x14ac:dyDescent="0.25">
      <c r="A92" s="833"/>
      <c r="B92" s="857"/>
      <c r="C92" s="857"/>
      <c r="D92" s="834"/>
      <c r="E92" s="989" t="s">
        <v>5</v>
      </c>
      <c r="F92" s="989" t="s">
        <v>5</v>
      </c>
      <c r="G92" s="989" t="s">
        <v>5</v>
      </c>
      <c r="H92" s="989"/>
      <c r="I92" s="989"/>
      <c r="J92" s="989"/>
      <c r="K92" s="990" t="s">
        <v>5</v>
      </c>
      <c r="L92" s="813"/>
      <c r="M92" s="831"/>
      <c r="N92" s="843"/>
      <c r="O92" s="843" t="s">
        <v>5</v>
      </c>
      <c r="P92" s="843"/>
      <c r="Q92" s="843"/>
      <c r="R92" s="843"/>
      <c r="S92" s="843"/>
      <c r="T92" s="843"/>
      <c r="U92" s="843"/>
      <c r="V92" s="843"/>
      <c r="W92" s="843"/>
      <c r="X92" s="843"/>
      <c r="Y92" s="843"/>
      <c r="Z92" s="843"/>
    </row>
    <row r="93" spans="1:26" ht="15" hidden="1" outlineLevel="1" x14ac:dyDescent="0.25">
      <c r="A93" s="833"/>
      <c r="B93" s="857"/>
      <c r="C93" s="857"/>
      <c r="D93" s="834"/>
      <c r="E93" s="989" t="s">
        <v>5</v>
      </c>
      <c r="F93" s="989" t="s">
        <v>5</v>
      </c>
      <c r="G93" s="989" t="s">
        <v>5</v>
      </c>
      <c r="H93" s="989"/>
      <c r="I93" s="989"/>
      <c r="J93" s="989"/>
      <c r="K93" s="990" t="s">
        <v>5</v>
      </c>
      <c r="L93" s="813"/>
      <c r="M93" s="831"/>
      <c r="N93" s="843"/>
      <c r="O93" s="843" t="s">
        <v>5</v>
      </c>
      <c r="P93" s="843"/>
      <c r="Q93" s="843"/>
      <c r="R93" s="843"/>
      <c r="S93" s="843"/>
      <c r="T93" s="843"/>
      <c r="U93" s="843"/>
      <c r="V93" s="843"/>
      <c r="W93" s="843"/>
      <c r="X93" s="843"/>
      <c r="Y93" s="843"/>
      <c r="Z93" s="843"/>
    </row>
    <row r="94" spans="1:26" ht="15" hidden="1" outlineLevel="1" x14ac:dyDescent="0.25">
      <c r="A94" s="833"/>
      <c r="B94" s="857"/>
      <c r="C94" s="857"/>
      <c r="D94" s="834"/>
      <c r="E94" s="989" t="s">
        <v>5</v>
      </c>
      <c r="F94" s="989" t="s">
        <v>5</v>
      </c>
      <c r="G94" s="989" t="s">
        <v>5</v>
      </c>
      <c r="H94" s="989"/>
      <c r="I94" s="989"/>
      <c r="J94" s="989"/>
      <c r="K94" s="990" t="s">
        <v>5</v>
      </c>
      <c r="L94" s="813"/>
      <c r="M94" s="831"/>
      <c r="N94" s="843"/>
      <c r="O94" s="843" t="s">
        <v>5</v>
      </c>
      <c r="P94" s="843"/>
      <c r="Q94" s="843"/>
      <c r="R94" s="843"/>
      <c r="S94" s="843"/>
      <c r="T94" s="843"/>
      <c r="U94" s="843"/>
      <c r="V94" s="843"/>
      <c r="W94" s="843"/>
      <c r="X94" s="843"/>
      <c r="Y94" s="843"/>
      <c r="Z94" s="843"/>
    </row>
    <row r="95" spans="1:26" ht="18" hidden="1" outlineLevel="1" x14ac:dyDescent="0.25">
      <c r="A95" s="853" t="str">
        <f>CONCATENATE(B28," ",C28)</f>
        <v>Objective 5 Permits Licences</v>
      </c>
      <c r="B95" s="853"/>
      <c r="C95" s="854"/>
      <c r="D95" s="854"/>
      <c r="E95" s="855"/>
      <c r="F95" s="855"/>
      <c r="G95" s="855"/>
      <c r="H95" s="855"/>
      <c r="I95" s="855"/>
      <c r="J95" s="855"/>
      <c r="K95" s="855"/>
      <c r="L95" s="855"/>
      <c r="M95" s="855"/>
      <c r="N95" s="855"/>
      <c r="O95" s="855" t="s">
        <v>5</v>
      </c>
      <c r="P95" s="855"/>
      <c r="Q95" s="855"/>
      <c r="R95" s="855"/>
      <c r="S95" s="855"/>
      <c r="T95" s="855"/>
      <c r="U95" s="855"/>
      <c r="V95" s="855"/>
      <c r="W95" s="855"/>
      <c r="X95" s="855"/>
      <c r="Y95" s="855"/>
      <c r="Z95" s="855"/>
    </row>
    <row r="96" spans="1:26" ht="15" hidden="1" outlineLevel="1" x14ac:dyDescent="0.25">
      <c r="A96" s="833" t="s">
        <v>277</v>
      </c>
      <c r="B96" s="857"/>
      <c r="C96" s="857"/>
      <c r="D96" s="834"/>
      <c r="E96" s="989" t="s">
        <v>5</v>
      </c>
      <c r="F96" s="989" t="s">
        <v>5</v>
      </c>
      <c r="G96" s="989" t="s">
        <v>5</v>
      </c>
      <c r="H96" s="989"/>
      <c r="I96" s="989"/>
      <c r="J96" s="989"/>
      <c r="K96" s="990" t="s">
        <v>5</v>
      </c>
      <c r="L96" s="813"/>
      <c r="M96" s="831"/>
      <c r="N96" s="843"/>
      <c r="O96" s="843" t="s">
        <v>5</v>
      </c>
      <c r="P96" s="843"/>
      <c r="Q96" s="843"/>
      <c r="R96" s="843"/>
      <c r="S96" s="843"/>
      <c r="T96" s="843"/>
      <c r="U96" s="843"/>
      <c r="V96" s="843"/>
      <c r="W96" s="843"/>
      <c r="X96" s="843"/>
      <c r="Y96" s="843"/>
      <c r="Z96" s="843"/>
    </row>
    <row r="97" spans="1:26" ht="15" hidden="1" outlineLevel="1" x14ac:dyDescent="0.25">
      <c r="A97" s="833" t="s">
        <v>278</v>
      </c>
      <c r="B97" s="857"/>
      <c r="C97" s="857"/>
      <c r="D97" s="834"/>
      <c r="E97" s="989" t="s">
        <v>5</v>
      </c>
      <c r="F97" s="989" t="s">
        <v>5</v>
      </c>
      <c r="G97" s="989" t="s">
        <v>5</v>
      </c>
      <c r="H97" s="989"/>
      <c r="I97" s="989"/>
      <c r="J97" s="989"/>
      <c r="K97" s="990" t="s">
        <v>5</v>
      </c>
      <c r="L97" s="813"/>
      <c r="M97" s="831"/>
      <c r="N97" s="843"/>
      <c r="O97" s="843" t="s">
        <v>5</v>
      </c>
      <c r="P97" s="843"/>
      <c r="Q97" s="843"/>
      <c r="R97" s="843"/>
      <c r="S97" s="843"/>
      <c r="T97" s="843"/>
      <c r="U97" s="843"/>
      <c r="V97" s="843"/>
      <c r="W97" s="843"/>
      <c r="X97" s="843"/>
      <c r="Y97" s="843"/>
      <c r="Z97" s="843"/>
    </row>
    <row r="98" spans="1:26" ht="15" hidden="1" outlineLevel="1" x14ac:dyDescent="0.25">
      <c r="A98" s="833"/>
      <c r="B98" s="857"/>
      <c r="C98" s="857"/>
      <c r="D98" s="834"/>
      <c r="E98" s="989" t="s">
        <v>5</v>
      </c>
      <c r="F98" s="989" t="s">
        <v>5</v>
      </c>
      <c r="G98" s="989" t="s">
        <v>5</v>
      </c>
      <c r="H98" s="989"/>
      <c r="I98" s="989"/>
      <c r="J98" s="989"/>
      <c r="K98" s="990" t="s">
        <v>5</v>
      </c>
      <c r="L98" s="813"/>
      <c r="M98" s="831"/>
      <c r="N98" s="843"/>
      <c r="O98" s="843" t="s">
        <v>5</v>
      </c>
      <c r="P98" s="843"/>
      <c r="Q98" s="843"/>
      <c r="R98" s="843"/>
      <c r="S98" s="843"/>
      <c r="T98" s="843"/>
      <c r="U98" s="843"/>
      <c r="V98" s="843"/>
      <c r="W98" s="843"/>
      <c r="X98" s="843"/>
      <c r="Y98" s="843"/>
      <c r="Z98" s="843"/>
    </row>
    <row r="99" spans="1:26" ht="15" hidden="1" outlineLevel="1" x14ac:dyDescent="0.25">
      <c r="A99" s="833"/>
      <c r="B99" s="857"/>
      <c r="C99" s="857"/>
      <c r="D99" s="834"/>
      <c r="E99" s="989" t="s">
        <v>5</v>
      </c>
      <c r="F99" s="989" t="s">
        <v>5</v>
      </c>
      <c r="G99" s="989" t="s">
        <v>5</v>
      </c>
      <c r="H99" s="989"/>
      <c r="I99" s="989"/>
      <c r="J99" s="989"/>
      <c r="K99" s="990" t="s">
        <v>5</v>
      </c>
      <c r="L99" s="813"/>
      <c r="M99" s="831"/>
      <c r="N99" s="843"/>
      <c r="O99" s="843" t="s">
        <v>5</v>
      </c>
      <c r="P99" s="843"/>
      <c r="Q99" s="843"/>
      <c r="R99" s="843"/>
      <c r="S99" s="843"/>
      <c r="T99" s="843"/>
      <c r="U99" s="843"/>
      <c r="V99" s="843"/>
      <c r="W99" s="843"/>
      <c r="X99" s="843"/>
      <c r="Y99" s="843"/>
      <c r="Z99" s="843"/>
    </row>
    <row r="100" spans="1:26" ht="15" hidden="1" outlineLevel="1" x14ac:dyDescent="0.25">
      <c r="A100" s="833"/>
      <c r="B100" s="857"/>
      <c r="C100" s="857"/>
      <c r="D100" s="834"/>
      <c r="E100" s="989" t="s">
        <v>5</v>
      </c>
      <c r="F100" s="989" t="s">
        <v>5</v>
      </c>
      <c r="G100" s="989" t="s">
        <v>5</v>
      </c>
      <c r="H100" s="989"/>
      <c r="I100" s="989"/>
      <c r="J100" s="989"/>
      <c r="K100" s="990" t="s">
        <v>5</v>
      </c>
      <c r="L100" s="813"/>
      <c r="M100" s="831"/>
      <c r="N100" s="843"/>
      <c r="O100" s="843" t="s">
        <v>5</v>
      </c>
      <c r="P100" s="843"/>
      <c r="Q100" s="843"/>
      <c r="R100" s="843"/>
      <c r="S100" s="843"/>
      <c r="T100" s="843"/>
      <c r="U100" s="843"/>
      <c r="V100" s="843"/>
      <c r="W100" s="843"/>
      <c r="X100" s="843"/>
      <c r="Y100" s="843"/>
      <c r="Z100" s="843"/>
    </row>
    <row r="101" spans="1:26" ht="18" hidden="1" outlineLevel="1" x14ac:dyDescent="0.25">
      <c r="A101" s="853" t="str">
        <f>CONCATENATE(B29," ",C29)</f>
        <v xml:space="preserve"> </v>
      </c>
      <c r="B101" s="853"/>
      <c r="C101" s="854"/>
      <c r="D101" s="854"/>
      <c r="E101" s="855"/>
      <c r="F101" s="855"/>
      <c r="G101" s="855"/>
      <c r="H101" s="855"/>
      <c r="I101" s="855"/>
      <c r="J101" s="855"/>
      <c r="K101" s="855"/>
      <c r="L101" s="855"/>
      <c r="M101" s="855"/>
      <c r="N101" s="855"/>
      <c r="O101" s="855" t="s">
        <v>5</v>
      </c>
      <c r="P101" s="855"/>
      <c r="Q101" s="855"/>
      <c r="R101" s="855"/>
      <c r="S101" s="855"/>
      <c r="T101" s="855"/>
      <c r="U101" s="855"/>
      <c r="V101" s="855"/>
      <c r="W101" s="855"/>
      <c r="X101" s="855"/>
      <c r="Y101" s="855"/>
      <c r="Z101" s="855"/>
    </row>
    <row r="102" spans="1:26" ht="15" hidden="1" outlineLevel="1" x14ac:dyDescent="0.25">
      <c r="A102" s="833" t="s">
        <v>279</v>
      </c>
      <c r="B102" s="857"/>
      <c r="C102" s="857"/>
      <c r="D102" s="834"/>
      <c r="E102" s="989" t="s">
        <v>5</v>
      </c>
      <c r="F102" s="989" t="s">
        <v>5</v>
      </c>
      <c r="G102" s="989" t="s">
        <v>5</v>
      </c>
      <c r="H102" s="989"/>
      <c r="I102" s="989"/>
      <c r="J102" s="989"/>
      <c r="K102" s="990" t="s">
        <v>5</v>
      </c>
      <c r="L102" s="813"/>
      <c r="M102" s="831"/>
      <c r="N102" s="843"/>
      <c r="O102" s="843" t="s">
        <v>5</v>
      </c>
      <c r="P102" s="843"/>
      <c r="Q102" s="843"/>
      <c r="R102" s="843"/>
      <c r="S102" s="843"/>
      <c r="T102" s="843"/>
      <c r="U102" s="843"/>
      <c r="V102" s="843"/>
      <c r="W102" s="843"/>
      <c r="X102" s="843"/>
      <c r="Y102" s="843"/>
      <c r="Z102" s="843"/>
    </row>
    <row r="103" spans="1:26" ht="15" hidden="1" outlineLevel="1" x14ac:dyDescent="0.25">
      <c r="A103" s="833" t="s">
        <v>280</v>
      </c>
      <c r="B103" s="857"/>
      <c r="C103" s="857"/>
      <c r="D103" s="834"/>
      <c r="E103" s="989" t="s">
        <v>5</v>
      </c>
      <c r="F103" s="989" t="s">
        <v>5</v>
      </c>
      <c r="G103" s="989" t="s">
        <v>5</v>
      </c>
      <c r="H103" s="989"/>
      <c r="I103" s="989"/>
      <c r="J103" s="989"/>
      <c r="K103" s="990" t="s">
        <v>5</v>
      </c>
      <c r="L103" s="813"/>
      <c r="M103" s="831"/>
      <c r="N103" s="843"/>
      <c r="O103" s="843" t="s">
        <v>5</v>
      </c>
      <c r="P103" s="843"/>
      <c r="Q103" s="843"/>
      <c r="R103" s="843"/>
      <c r="S103" s="843"/>
      <c r="T103" s="843"/>
      <c r="U103" s="843"/>
      <c r="V103" s="843"/>
      <c r="W103" s="843"/>
      <c r="X103" s="843"/>
      <c r="Y103" s="843"/>
      <c r="Z103" s="843"/>
    </row>
    <row r="104" spans="1:26" ht="15" hidden="1" outlineLevel="1" x14ac:dyDescent="0.25">
      <c r="A104" s="833"/>
      <c r="B104" s="857"/>
      <c r="C104" s="857"/>
      <c r="D104" s="834"/>
      <c r="E104" s="989" t="s">
        <v>5</v>
      </c>
      <c r="F104" s="989" t="s">
        <v>5</v>
      </c>
      <c r="G104" s="989" t="s">
        <v>5</v>
      </c>
      <c r="H104" s="989"/>
      <c r="I104" s="989"/>
      <c r="J104" s="989"/>
      <c r="K104" s="990" t="s">
        <v>5</v>
      </c>
      <c r="L104" s="813"/>
      <c r="M104" s="831"/>
      <c r="N104" s="843"/>
      <c r="O104" s="843" t="s">
        <v>5</v>
      </c>
      <c r="P104" s="843"/>
      <c r="Q104" s="843"/>
      <c r="R104" s="843"/>
      <c r="S104" s="843"/>
      <c r="T104" s="843"/>
      <c r="U104" s="843"/>
      <c r="V104" s="843"/>
      <c r="W104" s="843"/>
      <c r="X104" s="843"/>
      <c r="Y104" s="843"/>
      <c r="Z104" s="843"/>
    </row>
    <row r="105" spans="1:26" ht="15" hidden="1" outlineLevel="1" x14ac:dyDescent="0.25">
      <c r="A105" s="833"/>
      <c r="B105" s="857"/>
      <c r="C105" s="857"/>
      <c r="D105" s="834"/>
      <c r="E105" s="989" t="s">
        <v>5</v>
      </c>
      <c r="F105" s="989" t="s">
        <v>5</v>
      </c>
      <c r="G105" s="989" t="s">
        <v>5</v>
      </c>
      <c r="H105" s="989"/>
      <c r="I105" s="989"/>
      <c r="J105" s="989"/>
      <c r="K105" s="990" t="s">
        <v>5</v>
      </c>
      <c r="L105" s="813"/>
      <c r="M105" s="831"/>
      <c r="N105" s="843"/>
      <c r="O105" s="843" t="s">
        <v>5</v>
      </c>
      <c r="P105" s="843"/>
      <c r="Q105" s="843"/>
      <c r="R105" s="843"/>
      <c r="S105" s="843"/>
      <c r="T105" s="843"/>
      <c r="U105" s="843"/>
      <c r="V105" s="843"/>
      <c r="W105" s="843"/>
      <c r="X105" s="843"/>
      <c r="Y105" s="843"/>
      <c r="Z105" s="843"/>
    </row>
    <row r="106" spans="1:26" ht="15" hidden="1" outlineLevel="1" x14ac:dyDescent="0.25">
      <c r="A106" s="833"/>
      <c r="B106" s="857"/>
      <c r="C106" s="857"/>
      <c r="D106" s="834"/>
      <c r="E106" s="989" t="s">
        <v>5</v>
      </c>
      <c r="F106" s="989" t="s">
        <v>5</v>
      </c>
      <c r="G106" s="989" t="s">
        <v>5</v>
      </c>
      <c r="H106" s="989"/>
      <c r="I106" s="989"/>
      <c r="J106" s="989"/>
      <c r="K106" s="990" t="s">
        <v>5</v>
      </c>
      <c r="L106" s="813"/>
      <c r="M106" s="831"/>
      <c r="N106" s="843"/>
      <c r="O106" s="843" t="s">
        <v>5</v>
      </c>
      <c r="P106" s="843"/>
      <c r="Q106" s="843"/>
      <c r="R106" s="843"/>
      <c r="S106" s="843"/>
      <c r="T106" s="843"/>
      <c r="U106" s="843"/>
      <c r="V106" s="843"/>
      <c r="W106" s="843"/>
      <c r="X106" s="843"/>
      <c r="Y106" s="843"/>
      <c r="Z106" s="843"/>
    </row>
    <row r="107" spans="1:26" ht="6.75" customHeight="1" x14ac:dyDescent="0.25"/>
    <row r="108" spans="1:26" ht="18" x14ac:dyDescent="0.25">
      <c r="A108" s="825" t="s">
        <v>37</v>
      </c>
      <c r="B108" s="825"/>
      <c r="C108" s="826"/>
      <c r="D108" s="826"/>
      <c r="E108" s="824"/>
      <c r="F108" s="824"/>
      <c r="G108" s="824"/>
      <c r="H108" s="827"/>
      <c r="I108" s="827"/>
      <c r="J108" s="824"/>
      <c r="K108" s="824"/>
      <c r="L108" s="824"/>
      <c r="M108" s="824"/>
      <c r="N108" s="824"/>
      <c r="O108" s="824" t="s">
        <v>5</v>
      </c>
      <c r="P108" s="824"/>
      <c r="Q108" s="824"/>
      <c r="R108" s="824"/>
      <c r="S108" s="824"/>
      <c r="T108" s="824"/>
      <c r="U108" s="824"/>
      <c r="V108" s="824"/>
      <c r="W108" s="824"/>
      <c r="X108" s="824"/>
      <c r="Y108" s="824"/>
      <c r="Z108" s="824"/>
    </row>
    <row r="109" spans="1:26" ht="18" x14ac:dyDescent="0.25">
      <c r="A109" s="853" t="str">
        <f>CONCATENATE(B17," ",C17)</f>
        <v>Objective 1 RE Mine Property</v>
      </c>
      <c r="B109" s="853"/>
      <c r="C109" s="854"/>
      <c r="D109" s="854"/>
      <c r="E109" s="855"/>
      <c r="F109" s="855"/>
      <c r="G109" s="855"/>
      <c r="H109" s="855"/>
      <c r="I109" s="855"/>
      <c r="J109" s="855"/>
      <c r="K109" s="855"/>
      <c r="L109" s="855"/>
      <c r="M109" s="855"/>
      <c r="N109" s="855"/>
      <c r="O109" s="855" t="s">
        <v>5</v>
      </c>
      <c r="P109" s="855"/>
      <c r="Q109" s="855"/>
      <c r="R109" s="855"/>
      <c r="S109" s="855"/>
      <c r="T109" s="855"/>
      <c r="U109" s="855"/>
      <c r="V109" s="855"/>
      <c r="W109" s="855"/>
      <c r="X109" s="855"/>
      <c r="Y109" s="855"/>
      <c r="Z109" s="855"/>
    </row>
    <row r="110" spans="1:26" ht="60" x14ac:dyDescent="0.25">
      <c r="A110" s="828" t="s">
        <v>261</v>
      </c>
      <c r="B110" s="828" t="s">
        <v>13</v>
      </c>
      <c r="C110" s="828" t="s">
        <v>14</v>
      </c>
      <c r="D110" s="865" t="s">
        <v>286</v>
      </c>
      <c r="E110" s="830" t="s">
        <v>16</v>
      </c>
      <c r="F110" s="830" t="s">
        <v>295</v>
      </c>
      <c r="G110" s="830" t="s">
        <v>39</v>
      </c>
      <c r="H110" s="830" t="s">
        <v>297</v>
      </c>
      <c r="I110" s="830" t="s">
        <v>298</v>
      </c>
      <c r="J110" s="830" t="s">
        <v>299</v>
      </c>
      <c r="K110" s="830" t="s">
        <v>300</v>
      </c>
      <c r="L110" s="830" t="s">
        <v>17</v>
      </c>
      <c r="M110" s="830" t="s">
        <v>18</v>
      </c>
      <c r="N110" s="830" t="s">
        <v>825</v>
      </c>
      <c r="O110" s="832">
        <v>43101</v>
      </c>
      <c r="P110" s="832">
        <v>43132</v>
      </c>
      <c r="Q110" s="832">
        <v>43160</v>
      </c>
      <c r="R110" s="832">
        <v>43191</v>
      </c>
      <c r="S110" s="832">
        <v>43221</v>
      </c>
      <c r="T110" s="832">
        <v>43252</v>
      </c>
      <c r="U110" s="832">
        <v>43282</v>
      </c>
      <c r="V110" s="832">
        <v>43313</v>
      </c>
      <c r="W110" s="832">
        <v>43344</v>
      </c>
      <c r="X110" s="832">
        <v>43374</v>
      </c>
      <c r="Y110" s="832">
        <v>43405</v>
      </c>
      <c r="Z110" s="832">
        <v>43435</v>
      </c>
    </row>
    <row r="111" spans="1:26" ht="15" customHeight="1" x14ac:dyDescent="0.25">
      <c r="A111" s="833" t="s">
        <v>851</v>
      </c>
      <c r="B111" s="857" t="s">
        <v>852</v>
      </c>
      <c r="C111" s="857" t="s">
        <v>852</v>
      </c>
      <c r="D111" s="834" t="s">
        <v>853</v>
      </c>
      <c r="E111" s="812" t="s">
        <v>202</v>
      </c>
      <c r="F111" s="813"/>
      <c r="G111" s="813"/>
      <c r="H111" s="813" t="s">
        <v>41</v>
      </c>
      <c r="I111" s="813" t="s">
        <v>41</v>
      </c>
      <c r="J111" s="813" t="s">
        <v>41</v>
      </c>
      <c r="K111" s="813" t="s">
        <v>41</v>
      </c>
      <c r="L111" s="813">
        <v>12</v>
      </c>
      <c r="M111" s="813"/>
      <c r="N111" s="813">
        <f t="shared" ref="N111:N114" si="17">SUM(O111:Z111)</f>
        <v>411292.15011397068</v>
      </c>
      <c r="O111" s="813">
        <v>0</v>
      </c>
      <c r="P111" s="813">
        <v>0</v>
      </c>
      <c r="Q111" s="813">
        <f>391706.809632353*1.05</f>
        <v>411292.15011397068</v>
      </c>
      <c r="R111" s="813">
        <v>0</v>
      </c>
      <c r="S111" s="813">
        <v>0</v>
      </c>
      <c r="T111" s="813">
        <v>0</v>
      </c>
      <c r="U111" s="813">
        <v>0</v>
      </c>
      <c r="V111" s="813">
        <v>0</v>
      </c>
      <c r="W111" s="813">
        <v>0</v>
      </c>
      <c r="X111" s="813">
        <v>0</v>
      </c>
      <c r="Y111" s="813">
        <v>0</v>
      </c>
      <c r="Z111" s="813">
        <v>0</v>
      </c>
    </row>
    <row r="112" spans="1:26" ht="15" customHeight="1" x14ac:dyDescent="0.25">
      <c r="A112" s="833" t="s">
        <v>854</v>
      </c>
      <c r="B112" s="833" t="s">
        <v>855</v>
      </c>
      <c r="C112" s="833" t="s">
        <v>856</v>
      </c>
      <c r="D112" s="866" t="s">
        <v>857</v>
      </c>
      <c r="E112" s="812" t="s">
        <v>202</v>
      </c>
      <c r="F112" s="813"/>
      <c r="G112" s="813"/>
      <c r="H112" s="813" t="s">
        <v>41</v>
      </c>
      <c r="I112" s="813" t="s">
        <v>41</v>
      </c>
      <c r="J112" s="813" t="s">
        <v>41</v>
      </c>
      <c r="K112" s="813" t="s">
        <v>41</v>
      </c>
      <c r="L112" s="813">
        <v>12</v>
      </c>
      <c r="M112" s="813"/>
      <c r="N112" s="813">
        <f t="shared" si="17"/>
        <v>309939.15441176482</v>
      </c>
      <c r="O112" s="813">
        <f>17415.4411764706*1.05</f>
        <v>18286.21323529413</v>
      </c>
      <c r="P112" s="813">
        <f>15500*1.05</f>
        <v>16275</v>
      </c>
      <c r="Q112" s="813">
        <f>44415.4411764706*1.05</f>
        <v>46636.213235294133</v>
      </c>
      <c r="R112" s="813">
        <f>34375*1.05</f>
        <v>36093.75</v>
      </c>
      <c r="S112" s="813">
        <f>17845.5882352941*1.05</f>
        <v>18737.867647058807</v>
      </c>
      <c r="T112" s="813">
        <f>34323.5294117647*1.05</f>
        <v>36039.705882352937</v>
      </c>
      <c r="U112" s="813">
        <f>34933.8235294118*1.05</f>
        <v>36680.514705882393</v>
      </c>
      <c r="V112" s="813">
        <f>8250*1.05</f>
        <v>8662.5</v>
      </c>
      <c r="W112" s="813">
        <f>43933.8235294118*1.05</f>
        <v>46130.514705882393</v>
      </c>
      <c r="X112" s="813">
        <f>13812.5*1.05</f>
        <v>14503.125</v>
      </c>
      <c r="Y112" s="813">
        <f>19838.2352941176*1.05</f>
        <v>20830.147058823481</v>
      </c>
      <c r="Z112" s="813">
        <f>10536.7647058824*1.05</f>
        <v>11063.602941176521</v>
      </c>
    </row>
    <row r="113" spans="1:26" ht="15" customHeight="1" x14ac:dyDescent="0.25">
      <c r="A113" s="833" t="s">
        <v>858</v>
      </c>
      <c r="B113" s="833" t="s">
        <v>859</v>
      </c>
      <c r="C113" s="833" t="s">
        <v>860</v>
      </c>
      <c r="D113" s="866" t="s">
        <v>861</v>
      </c>
      <c r="E113" s="812" t="s">
        <v>202</v>
      </c>
      <c r="F113" s="813"/>
      <c r="G113" s="813"/>
      <c r="H113" s="813" t="s">
        <v>41</v>
      </c>
      <c r="I113" s="813" t="s">
        <v>41</v>
      </c>
      <c r="J113" s="813" t="s">
        <v>41</v>
      </c>
      <c r="K113" s="813" t="s">
        <v>41</v>
      </c>
      <c r="L113" s="813">
        <v>12</v>
      </c>
      <c r="M113" s="813"/>
      <c r="N113" s="813">
        <f t="shared" si="17"/>
        <v>17405.379411761194</v>
      </c>
      <c r="O113" s="813">
        <f>520.5*1.1</f>
        <v>572.55000000000007</v>
      </c>
      <c r="P113" s="813">
        <f>5138.14705882+353*1.1</f>
        <v>5526.4470588200002</v>
      </c>
      <c r="Q113" s="813">
        <f>520.5*1.1</f>
        <v>572.55000000000007</v>
      </c>
      <c r="R113" s="813">
        <f>358.73529411765*1.1</f>
        <v>394.60882352941508</v>
      </c>
      <c r="S113" s="813">
        <f>520.5*1.1</f>
        <v>572.55000000000007</v>
      </c>
      <c r="T113" s="813">
        <f>461.67647058824*1.1</f>
        <v>507.84411764706408</v>
      </c>
      <c r="U113" s="813">
        <f>520.5*1.1</f>
        <v>572.55000000000007</v>
      </c>
      <c r="V113" s="813">
        <f>358.73529411765*1.1</f>
        <v>394.60882352941508</v>
      </c>
      <c r="W113" s="813">
        <f>520.5*1.1</f>
        <v>572.55000000000007</v>
      </c>
      <c r="X113" s="813">
        <f>1358.73529411765*1.1</f>
        <v>1494.6088235294151</v>
      </c>
      <c r="Y113" s="813">
        <f>4299.91176470588*1.1</f>
        <v>4729.9029411764686</v>
      </c>
      <c r="Z113" s="813">
        <f>1358.73529411765*1.1</f>
        <v>1494.6088235294151</v>
      </c>
    </row>
    <row r="114" spans="1:26" ht="15" customHeight="1" x14ac:dyDescent="0.25">
      <c r="A114" s="833" t="s">
        <v>862</v>
      </c>
      <c r="B114" s="833" t="s">
        <v>863</v>
      </c>
      <c r="C114" s="833" t="s">
        <v>864</v>
      </c>
      <c r="D114" s="866" t="s">
        <v>865</v>
      </c>
      <c r="E114" s="812" t="s">
        <v>202</v>
      </c>
      <c r="F114" s="867" t="s">
        <v>294</v>
      </c>
      <c r="G114" s="867" t="s">
        <v>866</v>
      </c>
      <c r="H114" s="813" t="s">
        <v>41</v>
      </c>
      <c r="I114" s="813" t="s">
        <v>41</v>
      </c>
      <c r="J114" s="813" t="s">
        <v>42</v>
      </c>
      <c r="K114" s="813" t="s">
        <v>42</v>
      </c>
      <c r="L114" s="813">
        <v>12</v>
      </c>
      <c r="M114" s="813"/>
      <c r="N114" s="813">
        <f t="shared" si="17"/>
        <v>35204.400000000001</v>
      </c>
      <c r="O114" s="813">
        <f t="shared" ref="O114:Z114" si="18">2667*1.1</f>
        <v>2933.7000000000003</v>
      </c>
      <c r="P114" s="813">
        <f t="shared" si="18"/>
        <v>2933.7000000000003</v>
      </c>
      <c r="Q114" s="813">
        <f t="shared" si="18"/>
        <v>2933.7000000000003</v>
      </c>
      <c r="R114" s="813">
        <f t="shared" si="18"/>
        <v>2933.7000000000003</v>
      </c>
      <c r="S114" s="813">
        <f t="shared" si="18"/>
        <v>2933.7000000000003</v>
      </c>
      <c r="T114" s="813">
        <f t="shared" si="18"/>
        <v>2933.7000000000003</v>
      </c>
      <c r="U114" s="813">
        <f t="shared" si="18"/>
        <v>2933.7000000000003</v>
      </c>
      <c r="V114" s="813">
        <f t="shared" si="18"/>
        <v>2933.7000000000003</v>
      </c>
      <c r="W114" s="813">
        <f t="shared" si="18"/>
        <v>2933.7000000000003</v>
      </c>
      <c r="X114" s="813">
        <f t="shared" si="18"/>
        <v>2933.7000000000003</v>
      </c>
      <c r="Y114" s="813">
        <f t="shared" si="18"/>
        <v>2933.7000000000003</v>
      </c>
      <c r="Z114" s="813">
        <f t="shared" si="18"/>
        <v>2933.7000000000003</v>
      </c>
    </row>
    <row r="115" spans="1:26" s="872" customFormat="1" ht="22.5" customHeight="1" x14ac:dyDescent="0.25">
      <c r="A115" s="868"/>
      <c r="B115" s="869"/>
      <c r="C115" s="869"/>
      <c r="D115" s="869"/>
      <c r="E115" s="870"/>
      <c r="F115" s="870"/>
      <c r="G115" s="870"/>
      <c r="H115" s="870"/>
      <c r="I115" s="870"/>
      <c r="J115" s="871" t="s">
        <v>20</v>
      </c>
      <c r="K115" s="870"/>
      <c r="L115" s="830">
        <f t="shared" ref="L115:Z115" si="19">SUM(L111:L114)</f>
        <v>48</v>
      </c>
      <c r="M115" s="830">
        <f t="shared" si="19"/>
        <v>0</v>
      </c>
      <c r="N115" s="830">
        <f t="shared" si="19"/>
        <v>773841.08393749676</v>
      </c>
      <c r="O115" s="830">
        <f t="shared" si="19"/>
        <v>21792.46323529413</v>
      </c>
      <c r="P115" s="830">
        <f t="shared" si="19"/>
        <v>24735.147058819999</v>
      </c>
      <c r="Q115" s="830">
        <f t="shared" si="19"/>
        <v>461434.61334926484</v>
      </c>
      <c r="R115" s="830">
        <f t="shared" si="19"/>
        <v>39422.058823529413</v>
      </c>
      <c r="S115" s="830">
        <f t="shared" si="19"/>
        <v>22244.117647058807</v>
      </c>
      <c r="T115" s="830">
        <f t="shared" si="19"/>
        <v>39481.25</v>
      </c>
      <c r="U115" s="830">
        <f t="shared" si="19"/>
        <v>40186.764705882393</v>
      </c>
      <c r="V115" s="830">
        <f t="shared" si="19"/>
        <v>11990.808823529416</v>
      </c>
      <c r="W115" s="830">
        <f t="shared" si="19"/>
        <v>49636.764705882393</v>
      </c>
      <c r="X115" s="830">
        <f t="shared" si="19"/>
        <v>18931.433823529416</v>
      </c>
      <c r="Y115" s="830">
        <f t="shared" si="19"/>
        <v>28493.749999999949</v>
      </c>
      <c r="Z115" s="830">
        <f t="shared" si="19"/>
        <v>15491.911764705937</v>
      </c>
    </row>
    <row r="116" spans="1:26" ht="18" x14ac:dyDescent="0.25">
      <c r="A116" s="853" t="str">
        <f>CONCATENATE(B18," ",C18)</f>
        <v>Objective 2 EM Mine Property</v>
      </c>
      <c r="B116" s="853"/>
      <c r="C116" s="854"/>
      <c r="D116" s="854"/>
      <c r="E116" s="855"/>
      <c r="F116" s="855"/>
      <c r="G116" s="855"/>
      <c r="H116" s="855"/>
      <c r="I116" s="855"/>
      <c r="J116" s="855"/>
      <c r="K116" s="855"/>
      <c r="L116" s="855"/>
      <c r="M116" s="855"/>
      <c r="N116" s="855"/>
      <c r="O116" s="855" t="s">
        <v>5</v>
      </c>
      <c r="P116" s="855"/>
      <c r="Q116" s="855"/>
      <c r="R116" s="855"/>
      <c r="S116" s="855"/>
      <c r="T116" s="855"/>
      <c r="U116" s="855"/>
      <c r="V116" s="855"/>
      <c r="W116" s="855"/>
      <c r="X116" s="855"/>
      <c r="Y116" s="855"/>
      <c r="Z116" s="855"/>
    </row>
    <row r="117" spans="1:26" ht="60" x14ac:dyDescent="0.25">
      <c r="A117" s="828" t="s">
        <v>261</v>
      </c>
      <c r="B117" s="828" t="s">
        <v>13</v>
      </c>
      <c r="C117" s="828" t="s">
        <v>14</v>
      </c>
      <c r="D117" s="865" t="s">
        <v>286</v>
      </c>
      <c r="E117" s="830" t="s">
        <v>16</v>
      </c>
      <c r="F117" s="830" t="s">
        <v>295</v>
      </c>
      <c r="G117" s="830" t="s">
        <v>39</v>
      </c>
      <c r="H117" s="830" t="s">
        <v>297</v>
      </c>
      <c r="I117" s="830" t="s">
        <v>298</v>
      </c>
      <c r="J117" s="830" t="s">
        <v>299</v>
      </c>
      <c r="K117" s="830" t="s">
        <v>300</v>
      </c>
      <c r="L117" s="830" t="s">
        <v>17</v>
      </c>
      <c r="M117" s="830" t="s">
        <v>18</v>
      </c>
      <c r="N117" s="830" t="s">
        <v>825</v>
      </c>
      <c r="O117" s="832">
        <v>43101</v>
      </c>
      <c r="P117" s="832">
        <v>43132</v>
      </c>
      <c r="Q117" s="832">
        <v>43160</v>
      </c>
      <c r="R117" s="832">
        <v>43191</v>
      </c>
      <c r="S117" s="832">
        <v>43221</v>
      </c>
      <c r="T117" s="832">
        <v>43252</v>
      </c>
      <c r="U117" s="832">
        <v>43282</v>
      </c>
      <c r="V117" s="832">
        <v>43313</v>
      </c>
      <c r="W117" s="832">
        <v>43344</v>
      </c>
      <c r="X117" s="832">
        <v>43374</v>
      </c>
      <c r="Y117" s="832">
        <v>43405</v>
      </c>
      <c r="Z117" s="832">
        <v>43435</v>
      </c>
    </row>
    <row r="118" spans="1:26" ht="15" customHeight="1" x14ac:dyDescent="0.25">
      <c r="A118" s="833" t="s">
        <v>867</v>
      </c>
      <c r="B118" s="857" t="s">
        <v>868</v>
      </c>
      <c r="C118" s="857" t="s">
        <v>868</v>
      </c>
      <c r="D118" s="834" t="s">
        <v>869</v>
      </c>
      <c r="E118" s="812" t="s">
        <v>204</v>
      </c>
      <c r="F118" s="813"/>
      <c r="G118" s="813"/>
      <c r="H118" s="813" t="s">
        <v>41</v>
      </c>
      <c r="I118" s="813" t="s">
        <v>41</v>
      </c>
      <c r="J118" s="813" t="s">
        <v>41</v>
      </c>
      <c r="K118" s="813" t="s">
        <v>41</v>
      </c>
      <c r="L118" s="813">
        <v>12</v>
      </c>
      <c r="M118" s="813"/>
      <c r="N118" s="813">
        <f>SUM(O118:Z118)</f>
        <v>696998.23176838271</v>
      </c>
      <c r="O118" s="813">
        <v>0</v>
      </c>
      <c r="P118" s="813">
        <v>0</v>
      </c>
      <c r="Q118" s="813">
        <f>663807.839779412*1.05</f>
        <v>696998.23176838271</v>
      </c>
      <c r="R118" s="813">
        <v>0</v>
      </c>
      <c r="S118" s="813">
        <v>0</v>
      </c>
      <c r="T118" s="813">
        <v>0</v>
      </c>
      <c r="U118" s="813">
        <v>0</v>
      </c>
      <c r="V118" s="813">
        <v>0</v>
      </c>
      <c r="W118" s="813">
        <v>0</v>
      </c>
      <c r="X118" s="813">
        <v>0</v>
      </c>
      <c r="Y118" s="813">
        <v>0</v>
      </c>
      <c r="Z118" s="813">
        <v>0</v>
      </c>
    </row>
    <row r="119" spans="1:26" ht="15" customHeight="1" x14ac:dyDescent="0.25">
      <c r="A119" s="833" t="s">
        <v>870</v>
      </c>
      <c r="B119" s="833" t="s">
        <v>855</v>
      </c>
      <c r="C119" s="833" t="s">
        <v>871</v>
      </c>
      <c r="D119" s="866" t="s">
        <v>857</v>
      </c>
      <c r="E119" s="812" t="s">
        <v>204</v>
      </c>
      <c r="F119" s="813"/>
      <c r="G119" s="813"/>
      <c r="H119" s="813" t="s">
        <v>41</v>
      </c>
      <c r="I119" s="813" t="s">
        <v>41</v>
      </c>
      <c r="J119" s="813" t="s">
        <v>41</v>
      </c>
      <c r="K119" s="813" t="s">
        <v>41</v>
      </c>
      <c r="L119" s="813">
        <v>12</v>
      </c>
      <c r="M119" s="813"/>
      <c r="N119" s="813">
        <f>SUM(O119:Z119)</f>
        <v>135743.38235294123</v>
      </c>
      <c r="O119" s="813">
        <f>264.705882352941*1.05</f>
        <v>277.94117647058806</v>
      </c>
      <c r="P119" s="813">
        <f>1838.23529411765*1.05</f>
        <v>1930.1470588235327</v>
      </c>
      <c r="Q119" s="813">
        <f>0*1.05</f>
        <v>0</v>
      </c>
      <c r="R119" s="813">
        <f>2018.38235294118*1.05</f>
        <v>2119.3014705882392</v>
      </c>
      <c r="S119" s="813">
        <f>18007.3529411765*1.05</f>
        <v>18907.720588235326</v>
      </c>
      <c r="T119" s="813">
        <v>0</v>
      </c>
      <c r="U119" s="813">
        <f>63066.1764705882*1.05</f>
        <v>66219.485294117621</v>
      </c>
      <c r="V119" s="813">
        <f>1838.23529411765*1.05</f>
        <v>1930.1470588235327</v>
      </c>
      <c r="W119" s="813">
        <v>0</v>
      </c>
      <c r="X119" s="813">
        <f>448.529411764706*1.05</f>
        <v>470.95588235294133</v>
      </c>
      <c r="Y119" s="813">
        <f>41797.7941176471*1.05</f>
        <v>43887.683823529456</v>
      </c>
      <c r="Z119" s="813">
        <v>0</v>
      </c>
    </row>
    <row r="120" spans="1:26" ht="15" customHeight="1" x14ac:dyDescent="0.25">
      <c r="A120" s="833" t="s">
        <v>872</v>
      </c>
      <c r="B120" s="833" t="s">
        <v>859</v>
      </c>
      <c r="C120" s="833" t="s">
        <v>873</v>
      </c>
      <c r="D120" s="866" t="s">
        <v>861</v>
      </c>
      <c r="E120" s="812" t="s">
        <v>204</v>
      </c>
      <c r="F120" s="813"/>
      <c r="G120" s="813"/>
      <c r="H120" s="813" t="s">
        <v>41</v>
      </c>
      <c r="I120" s="813" t="s">
        <v>41</v>
      </c>
      <c r="J120" s="813" t="s">
        <v>41</v>
      </c>
      <c r="K120" s="813" t="s">
        <v>41</v>
      </c>
      <c r="L120" s="813">
        <v>12</v>
      </c>
      <c r="M120" s="813"/>
      <c r="N120" s="813">
        <f>SUM(O120:Z120)</f>
        <v>7036.7647058823577</v>
      </c>
      <c r="O120" s="813">
        <f t="shared" ref="O120:Z120" si="20">533.088235294118*1.1</f>
        <v>586.39705882352985</v>
      </c>
      <c r="P120" s="813">
        <f t="shared" si="20"/>
        <v>586.39705882352985</v>
      </c>
      <c r="Q120" s="813">
        <f t="shared" si="20"/>
        <v>586.39705882352985</v>
      </c>
      <c r="R120" s="813">
        <f t="shared" si="20"/>
        <v>586.39705882352985</v>
      </c>
      <c r="S120" s="813">
        <f t="shared" si="20"/>
        <v>586.39705882352985</v>
      </c>
      <c r="T120" s="813">
        <f t="shared" si="20"/>
        <v>586.39705882352985</v>
      </c>
      <c r="U120" s="813">
        <f t="shared" si="20"/>
        <v>586.39705882352985</v>
      </c>
      <c r="V120" s="813">
        <f t="shared" si="20"/>
        <v>586.39705882352985</v>
      </c>
      <c r="W120" s="813">
        <f t="shared" si="20"/>
        <v>586.39705882352985</v>
      </c>
      <c r="X120" s="813">
        <f t="shared" si="20"/>
        <v>586.39705882352985</v>
      </c>
      <c r="Y120" s="813">
        <f t="shared" si="20"/>
        <v>586.39705882352985</v>
      </c>
      <c r="Z120" s="813">
        <f t="shared" si="20"/>
        <v>586.39705882352985</v>
      </c>
    </row>
    <row r="121" spans="1:26" ht="14.25" customHeight="1" x14ac:dyDescent="0.25">
      <c r="A121" s="833" t="s">
        <v>874</v>
      </c>
      <c r="B121" s="833" t="s">
        <v>875</v>
      </c>
      <c r="C121" s="833" t="s">
        <v>876</v>
      </c>
      <c r="D121" s="866" t="s">
        <v>877</v>
      </c>
      <c r="E121" s="812" t="s">
        <v>204</v>
      </c>
      <c r="F121" s="867" t="s">
        <v>293</v>
      </c>
      <c r="G121" s="859" t="s">
        <v>878</v>
      </c>
      <c r="H121" s="813" t="s">
        <v>41</v>
      </c>
      <c r="I121" s="813" t="s">
        <v>41</v>
      </c>
      <c r="J121" s="813" t="s">
        <v>41</v>
      </c>
      <c r="K121" s="813" t="s">
        <v>42</v>
      </c>
      <c r="L121" s="813">
        <v>12</v>
      </c>
      <c r="M121" s="813"/>
      <c r="N121" s="813">
        <f t="shared" ref="N121" si="21">SUM(O121:Z121)</f>
        <v>59395.950000000004</v>
      </c>
      <c r="O121" s="813">
        <f>1062.5+1.1</f>
        <v>1063.5999999999999</v>
      </c>
      <c r="P121" s="813">
        <f>1062.5+1.1</f>
        <v>1063.5999999999999</v>
      </c>
      <c r="Q121" s="813">
        <f>8500*1.1</f>
        <v>9350</v>
      </c>
      <c r="R121" s="813">
        <f>24437.5*1.1</f>
        <v>26881.250000000004</v>
      </c>
      <c r="S121" s="813">
        <f t="shared" ref="S121:X121" si="22">1062.5*1.1</f>
        <v>1168.75</v>
      </c>
      <c r="T121" s="813">
        <f t="shared" si="22"/>
        <v>1168.75</v>
      </c>
      <c r="U121" s="813">
        <f t="shared" si="22"/>
        <v>1168.75</v>
      </c>
      <c r="V121" s="813">
        <f t="shared" si="22"/>
        <v>1168.75</v>
      </c>
      <c r="W121" s="813">
        <f t="shared" si="22"/>
        <v>1168.75</v>
      </c>
      <c r="X121" s="813">
        <f t="shared" si="22"/>
        <v>1168.75</v>
      </c>
      <c r="Y121" s="813">
        <f>11687.5*1.1</f>
        <v>12856.250000000002</v>
      </c>
      <c r="Z121" s="813">
        <f>1062.5*1.1</f>
        <v>1168.75</v>
      </c>
    </row>
    <row r="122" spans="1:26" s="872" customFormat="1" ht="22.5" customHeight="1" x14ac:dyDescent="0.25">
      <c r="A122" s="868"/>
      <c r="B122" s="869"/>
      <c r="C122" s="869"/>
      <c r="D122" s="869"/>
      <c r="E122" s="870"/>
      <c r="F122" s="870"/>
      <c r="G122" s="870"/>
      <c r="H122" s="870"/>
      <c r="I122" s="870"/>
      <c r="J122" s="871" t="s">
        <v>20</v>
      </c>
      <c r="K122" s="870"/>
      <c r="L122" s="813">
        <v>12</v>
      </c>
      <c r="M122" s="830">
        <f t="shared" ref="M122:Z122" si="23">SUM(M118:M121)</f>
        <v>0</v>
      </c>
      <c r="N122" s="830">
        <f t="shared" si="23"/>
        <v>899174.32882720628</v>
      </c>
      <c r="O122" s="830">
        <f t="shared" si="23"/>
        <v>1927.9382352941179</v>
      </c>
      <c r="P122" s="830">
        <f t="shared" si="23"/>
        <v>3580.1441176470626</v>
      </c>
      <c r="Q122" s="830">
        <f t="shared" si="23"/>
        <v>706934.62882720621</v>
      </c>
      <c r="R122" s="830">
        <f t="shared" si="23"/>
        <v>29586.948529411773</v>
      </c>
      <c r="S122" s="830">
        <f t="shared" si="23"/>
        <v>20662.867647058858</v>
      </c>
      <c r="T122" s="830">
        <f t="shared" si="23"/>
        <v>1755.1470588235297</v>
      </c>
      <c r="U122" s="830">
        <f t="shared" si="23"/>
        <v>67974.632352941146</v>
      </c>
      <c r="V122" s="830">
        <f t="shared" si="23"/>
        <v>3685.2941176470626</v>
      </c>
      <c r="W122" s="830">
        <f t="shared" si="23"/>
        <v>1755.1470588235297</v>
      </c>
      <c r="X122" s="830">
        <f t="shared" si="23"/>
        <v>2226.1029411764712</v>
      </c>
      <c r="Y122" s="830">
        <f t="shared" si="23"/>
        <v>57330.330882352988</v>
      </c>
      <c r="Z122" s="830">
        <f t="shared" si="23"/>
        <v>1755.1470588235297</v>
      </c>
    </row>
    <row r="123" spans="1:26" ht="18" x14ac:dyDescent="0.25">
      <c r="A123" s="853" t="str">
        <f>CONCATENATE(B19," ",C19)</f>
        <v xml:space="preserve">Objective 3.01 Legal/Consulting </v>
      </c>
      <c r="B123" s="853"/>
      <c r="C123" s="854"/>
      <c r="D123" s="854"/>
      <c r="E123" s="855"/>
      <c r="F123" s="855"/>
      <c r="G123" s="855"/>
      <c r="H123" s="855"/>
      <c r="I123" s="855"/>
      <c r="J123" s="855"/>
      <c r="K123" s="855"/>
      <c r="L123" s="855"/>
      <c r="M123" s="855"/>
      <c r="N123" s="855"/>
      <c r="O123" s="855" t="s">
        <v>5</v>
      </c>
      <c r="P123" s="855"/>
      <c r="Q123" s="855"/>
      <c r="R123" s="855"/>
      <c r="S123" s="855"/>
      <c r="T123" s="855"/>
      <c r="U123" s="855"/>
      <c r="V123" s="855"/>
      <c r="W123" s="855"/>
      <c r="X123" s="855"/>
      <c r="Y123" s="855"/>
      <c r="Z123" s="855"/>
    </row>
    <row r="124" spans="1:26" ht="60" x14ac:dyDescent="0.25">
      <c r="A124" s="828" t="s">
        <v>261</v>
      </c>
      <c r="B124" s="828" t="s">
        <v>13</v>
      </c>
      <c r="C124" s="828" t="s">
        <v>14</v>
      </c>
      <c r="D124" s="865" t="s">
        <v>286</v>
      </c>
      <c r="E124" s="830" t="s">
        <v>16</v>
      </c>
      <c r="F124" s="830" t="s">
        <v>295</v>
      </c>
      <c r="G124" s="830" t="s">
        <v>39</v>
      </c>
      <c r="H124" s="830" t="s">
        <v>297</v>
      </c>
      <c r="I124" s="830" t="s">
        <v>298</v>
      </c>
      <c r="J124" s="830" t="s">
        <v>299</v>
      </c>
      <c r="K124" s="830" t="s">
        <v>300</v>
      </c>
      <c r="L124" s="830" t="s">
        <v>17</v>
      </c>
      <c r="M124" s="830" t="s">
        <v>18</v>
      </c>
      <c r="N124" s="830" t="s">
        <v>825</v>
      </c>
      <c r="O124" s="832">
        <v>43101</v>
      </c>
      <c r="P124" s="832">
        <v>43132</v>
      </c>
      <c r="Q124" s="832">
        <v>43160</v>
      </c>
      <c r="R124" s="832">
        <v>43191</v>
      </c>
      <c r="S124" s="832">
        <v>43221</v>
      </c>
      <c r="T124" s="832">
        <v>43252</v>
      </c>
      <c r="U124" s="832">
        <v>43282</v>
      </c>
      <c r="V124" s="832">
        <v>43313</v>
      </c>
      <c r="W124" s="832">
        <v>43344</v>
      </c>
      <c r="X124" s="832">
        <v>43374</v>
      </c>
      <c r="Y124" s="832">
        <v>43405</v>
      </c>
      <c r="Z124" s="832">
        <v>43435</v>
      </c>
    </row>
    <row r="125" spans="1:26" ht="15" customHeight="1" x14ac:dyDescent="0.25">
      <c r="A125" s="833" t="s">
        <v>831</v>
      </c>
      <c r="B125" s="833" t="s">
        <v>863</v>
      </c>
      <c r="C125" s="833" t="s">
        <v>879</v>
      </c>
      <c r="D125" s="866" t="s">
        <v>880</v>
      </c>
      <c r="E125" s="812" t="s">
        <v>206</v>
      </c>
      <c r="F125" s="867" t="s">
        <v>294</v>
      </c>
      <c r="G125" s="873" t="s">
        <v>879</v>
      </c>
      <c r="H125" s="813" t="s">
        <v>41</v>
      </c>
      <c r="I125" s="813" t="s">
        <v>41</v>
      </c>
      <c r="J125" s="813" t="s">
        <v>42</v>
      </c>
      <c r="K125" s="813" t="s">
        <v>42</v>
      </c>
      <c r="L125" s="813">
        <v>12</v>
      </c>
      <c r="M125" s="813"/>
      <c r="N125" s="813">
        <f t="shared" ref="N125:N128" si="24">SUM(O125:Z125)</f>
        <v>87000</v>
      </c>
      <c r="O125" s="813">
        <v>7250</v>
      </c>
      <c r="P125" s="813">
        <v>7250</v>
      </c>
      <c r="Q125" s="813">
        <v>7250</v>
      </c>
      <c r="R125" s="813">
        <v>7250</v>
      </c>
      <c r="S125" s="813">
        <v>7250</v>
      </c>
      <c r="T125" s="813">
        <v>7250</v>
      </c>
      <c r="U125" s="813">
        <v>7250</v>
      </c>
      <c r="V125" s="813">
        <v>7250</v>
      </c>
      <c r="W125" s="813">
        <v>7250</v>
      </c>
      <c r="X125" s="813">
        <v>7250</v>
      </c>
      <c r="Y125" s="813">
        <v>7250</v>
      </c>
      <c r="Z125" s="813">
        <v>7250</v>
      </c>
    </row>
    <row r="126" spans="1:26" ht="15" customHeight="1" x14ac:dyDescent="0.25">
      <c r="A126" s="833" t="s">
        <v>835</v>
      </c>
      <c r="B126" s="833" t="s">
        <v>863</v>
      </c>
      <c r="C126" s="833" t="s">
        <v>881</v>
      </c>
      <c r="D126" s="866" t="s">
        <v>882</v>
      </c>
      <c r="E126" s="812" t="s">
        <v>206</v>
      </c>
      <c r="F126" s="867" t="s">
        <v>294</v>
      </c>
      <c r="G126" s="873" t="s">
        <v>883</v>
      </c>
      <c r="H126" s="813" t="s">
        <v>41</v>
      </c>
      <c r="I126" s="813" t="s">
        <v>41</v>
      </c>
      <c r="J126" s="813" t="s">
        <v>42</v>
      </c>
      <c r="K126" s="813" t="s">
        <v>42</v>
      </c>
      <c r="L126" s="813">
        <v>12</v>
      </c>
      <c r="M126" s="813"/>
      <c r="N126" s="813">
        <f t="shared" si="24"/>
        <v>87000</v>
      </c>
      <c r="O126" s="813">
        <v>7250</v>
      </c>
      <c r="P126" s="813">
        <v>7250</v>
      </c>
      <c r="Q126" s="813">
        <v>7250</v>
      </c>
      <c r="R126" s="813">
        <v>7250</v>
      </c>
      <c r="S126" s="813">
        <v>7250</v>
      </c>
      <c r="T126" s="813">
        <v>7250</v>
      </c>
      <c r="U126" s="813">
        <v>7250</v>
      </c>
      <c r="V126" s="813">
        <v>7250</v>
      </c>
      <c r="W126" s="813">
        <v>7250</v>
      </c>
      <c r="X126" s="813">
        <v>7250</v>
      </c>
      <c r="Y126" s="813">
        <v>7250</v>
      </c>
      <c r="Z126" s="813">
        <v>7250</v>
      </c>
    </row>
    <row r="127" spans="1:26" ht="15" customHeight="1" x14ac:dyDescent="0.25">
      <c r="A127" s="833" t="s">
        <v>848</v>
      </c>
      <c r="B127" s="833" t="s">
        <v>863</v>
      </c>
      <c r="C127" s="833" t="s">
        <v>889</v>
      </c>
      <c r="D127" s="866" t="s">
        <v>890</v>
      </c>
      <c r="E127" s="812" t="s">
        <v>206</v>
      </c>
      <c r="F127" s="867" t="s">
        <v>294</v>
      </c>
      <c r="G127" s="873" t="s">
        <v>889</v>
      </c>
      <c r="H127" s="813" t="s">
        <v>41</v>
      </c>
      <c r="I127" s="813" t="s">
        <v>41</v>
      </c>
      <c r="J127" s="813" t="s">
        <v>42</v>
      </c>
      <c r="K127" s="813" t="s">
        <v>42</v>
      </c>
      <c r="L127" s="813">
        <v>12</v>
      </c>
      <c r="M127" s="813"/>
      <c r="N127" s="813">
        <f t="shared" si="24"/>
        <v>37500</v>
      </c>
      <c r="O127" s="813">
        <v>3125</v>
      </c>
      <c r="P127" s="813">
        <v>3125</v>
      </c>
      <c r="Q127" s="813">
        <v>3125</v>
      </c>
      <c r="R127" s="813">
        <v>3125</v>
      </c>
      <c r="S127" s="813">
        <v>3125</v>
      </c>
      <c r="T127" s="813">
        <v>3125</v>
      </c>
      <c r="U127" s="813">
        <v>3125</v>
      </c>
      <c r="V127" s="813">
        <v>3125</v>
      </c>
      <c r="W127" s="813">
        <v>3125</v>
      </c>
      <c r="X127" s="813">
        <v>3125</v>
      </c>
      <c r="Y127" s="813">
        <v>3125</v>
      </c>
      <c r="Z127" s="813">
        <v>3125</v>
      </c>
    </row>
    <row r="128" spans="1:26" ht="15" customHeight="1" x14ac:dyDescent="0.25">
      <c r="A128" s="833" t="s">
        <v>891</v>
      </c>
      <c r="B128" s="833" t="s">
        <v>863</v>
      </c>
      <c r="C128" s="833" t="s">
        <v>892</v>
      </c>
      <c r="D128" s="866" t="s">
        <v>893</v>
      </c>
      <c r="E128" s="812" t="s">
        <v>206</v>
      </c>
      <c r="F128" s="867" t="s">
        <v>294</v>
      </c>
      <c r="G128" s="873" t="s">
        <v>892</v>
      </c>
      <c r="H128" s="813" t="s">
        <v>41</v>
      </c>
      <c r="I128" s="813" t="s">
        <v>41</v>
      </c>
      <c r="J128" s="813" t="s">
        <v>42</v>
      </c>
      <c r="K128" s="813" t="s">
        <v>42</v>
      </c>
      <c r="L128" s="813">
        <v>12</v>
      </c>
      <c r="M128" s="813"/>
      <c r="N128" s="813">
        <f t="shared" si="24"/>
        <v>150000</v>
      </c>
      <c r="O128" s="813">
        <v>12500</v>
      </c>
      <c r="P128" s="813">
        <v>12500</v>
      </c>
      <c r="Q128" s="813">
        <v>12500</v>
      </c>
      <c r="R128" s="813">
        <v>12500</v>
      </c>
      <c r="S128" s="813">
        <v>12500</v>
      </c>
      <c r="T128" s="813">
        <v>12500</v>
      </c>
      <c r="U128" s="813">
        <v>12500</v>
      </c>
      <c r="V128" s="813">
        <v>12500</v>
      </c>
      <c r="W128" s="813">
        <v>12500</v>
      </c>
      <c r="X128" s="813">
        <v>12500</v>
      </c>
      <c r="Y128" s="813">
        <v>12500</v>
      </c>
      <c r="Z128" s="813">
        <v>12500</v>
      </c>
    </row>
    <row r="129" spans="1:27" ht="15" customHeight="1" x14ac:dyDescent="0.25">
      <c r="A129" s="833" t="s">
        <v>907</v>
      </c>
      <c r="B129" s="833" t="s">
        <v>863</v>
      </c>
      <c r="C129" s="833" t="s">
        <v>908</v>
      </c>
      <c r="D129" s="866" t="s">
        <v>909</v>
      </c>
      <c r="E129" s="812" t="s">
        <v>206</v>
      </c>
      <c r="F129" s="867" t="s">
        <v>294</v>
      </c>
      <c r="G129" s="873" t="s">
        <v>910</v>
      </c>
      <c r="H129" s="813" t="s">
        <v>41</v>
      </c>
      <c r="I129" s="813" t="s">
        <v>41</v>
      </c>
      <c r="J129" s="813" t="s">
        <v>42</v>
      </c>
      <c r="K129" s="813" t="s">
        <v>42</v>
      </c>
      <c r="L129" s="813">
        <v>12</v>
      </c>
      <c r="M129" s="813"/>
      <c r="N129" s="813">
        <f t="shared" ref="N129:N136" si="25">SUM(O129:Z129)</f>
        <v>87000</v>
      </c>
      <c r="O129" s="813">
        <v>7250</v>
      </c>
      <c r="P129" s="813">
        <v>7250</v>
      </c>
      <c r="Q129" s="813">
        <v>7250</v>
      </c>
      <c r="R129" s="813">
        <v>7250</v>
      </c>
      <c r="S129" s="813">
        <v>7250</v>
      </c>
      <c r="T129" s="813">
        <v>7250</v>
      </c>
      <c r="U129" s="813">
        <v>7250</v>
      </c>
      <c r="V129" s="813">
        <v>7250</v>
      </c>
      <c r="W129" s="813">
        <v>7250</v>
      </c>
      <c r="X129" s="813">
        <v>7250</v>
      </c>
      <c r="Y129" s="813">
        <v>7250</v>
      </c>
      <c r="Z129" s="813">
        <v>7250</v>
      </c>
    </row>
    <row r="130" spans="1:27" ht="14.25" customHeight="1" x14ac:dyDescent="0.25">
      <c r="A130" s="833" t="s">
        <v>911</v>
      </c>
      <c r="B130" s="833" t="s">
        <v>863</v>
      </c>
      <c r="C130" s="833" t="s">
        <v>912</v>
      </c>
      <c r="D130" s="866" t="s">
        <v>913</v>
      </c>
      <c r="E130" s="812" t="s">
        <v>206</v>
      </c>
      <c r="F130" s="867" t="s">
        <v>294</v>
      </c>
      <c r="G130" s="873" t="s">
        <v>914</v>
      </c>
      <c r="H130" s="813" t="s">
        <v>41</v>
      </c>
      <c r="I130" s="813" t="s">
        <v>41</v>
      </c>
      <c r="J130" s="813" t="s">
        <v>42</v>
      </c>
      <c r="K130" s="813" t="s">
        <v>42</v>
      </c>
      <c r="L130" s="813">
        <v>12</v>
      </c>
      <c r="M130" s="830"/>
      <c r="N130" s="813">
        <f t="shared" si="25"/>
        <v>12000</v>
      </c>
      <c r="O130" s="813">
        <v>1000</v>
      </c>
      <c r="P130" s="813">
        <v>1000</v>
      </c>
      <c r="Q130" s="813">
        <v>1000</v>
      </c>
      <c r="R130" s="813">
        <v>1000</v>
      </c>
      <c r="S130" s="813">
        <v>1000</v>
      </c>
      <c r="T130" s="813">
        <v>1000</v>
      </c>
      <c r="U130" s="813">
        <v>1000</v>
      </c>
      <c r="V130" s="813">
        <v>1000</v>
      </c>
      <c r="W130" s="813">
        <v>1000</v>
      </c>
      <c r="X130" s="813">
        <v>1000</v>
      </c>
      <c r="Y130" s="813">
        <v>1000</v>
      </c>
      <c r="Z130" s="813">
        <v>1000</v>
      </c>
      <c r="AA130" s="872"/>
    </row>
    <row r="131" spans="1:27" ht="15" customHeight="1" x14ac:dyDescent="0.25">
      <c r="A131" s="833" t="s">
        <v>915</v>
      </c>
      <c r="B131" s="833" t="s">
        <v>863</v>
      </c>
      <c r="C131" s="833" t="s">
        <v>916</v>
      </c>
      <c r="D131" s="866" t="s">
        <v>917</v>
      </c>
      <c r="E131" s="812" t="s">
        <v>206</v>
      </c>
      <c r="F131" s="867" t="s">
        <v>294</v>
      </c>
      <c r="G131" s="873" t="s">
        <v>918</v>
      </c>
      <c r="H131" s="813" t="s">
        <v>41</v>
      </c>
      <c r="I131" s="813" t="s">
        <v>41</v>
      </c>
      <c r="J131" s="813" t="s">
        <v>42</v>
      </c>
      <c r="K131" s="813" t="s">
        <v>42</v>
      </c>
      <c r="L131" s="813">
        <v>12</v>
      </c>
      <c r="M131" s="813"/>
      <c r="N131" s="813">
        <f t="shared" si="25"/>
        <v>15882.352941176474</v>
      </c>
      <c r="O131" s="813">
        <v>1323.5294117647059</v>
      </c>
      <c r="P131" s="813">
        <v>1323.5294117647059</v>
      </c>
      <c r="Q131" s="813">
        <v>1323.5294117647059</v>
      </c>
      <c r="R131" s="813">
        <v>1323.5294117647059</v>
      </c>
      <c r="S131" s="813">
        <v>1323.5294117647059</v>
      </c>
      <c r="T131" s="813">
        <v>1323.5294117647059</v>
      </c>
      <c r="U131" s="813">
        <v>1323.5294117647059</v>
      </c>
      <c r="V131" s="813">
        <v>1323.5294117647059</v>
      </c>
      <c r="W131" s="813">
        <v>1323.5294117647059</v>
      </c>
      <c r="X131" s="813">
        <v>1323.5294117647059</v>
      </c>
      <c r="Y131" s="813">
        <v>1323.5294117647059</v>
      </c>
      <c r="Z131" s="813">
        <v>1323.5294117647059</v>
      </c>
    </row>
    <row r="132" spans="1:27" ht="15" customHeight="1" x14ac:dyDescent="0.25">
      <c r="A132" s="833" t="s">
        <v>919</v>
      </c>
      <c r="B132" s="833" t="s">
        <v>863</v>
      </c>
      <c r="C132" s="833" t="s">
        <v>1324</v>
      </c>
      <c r="D132" s="866" t="s">
        <v>1325</v>
      </c>
      <c r="E132" s="812" t="s">
        <v>206</v>
      </c>
      <c r="F132" s="867"/>
      <c r="G132" s="873"/>
      <c r="H132" s="813" t="s">
        <v>41</v>
      </c>
      <c r="I132" s="813" t="s">
        <v>41</v>
      </c>
      <c r="J132" s="813" t="s">
        <v>42</v>
      </c>
      <c r="K132" s="813" t="s">
        <v>42</v>
      </c>
      <c r="L132" s="813">
        <v>12</v>
      </c>
      <c r="M132" s="813"/>
      <c r="N132" s="813">
        <f t="shared" si="25"/>
        <v>100000</v>
      </c>
      <c r="O132" s="813">
        <v>0</v>
      </c>
      <c r="P132" s="813">
        <v>0</v>
      </c>
      <c r="Q132" s="813">
        <f>100000/4</f>
        <v>25000</v>
      </c>
      <c r="R132" s="813">
        <v>0</v>
      </c>
      <c r="S132" s="813">
        <v>0</v>
      </c>
      <c r="T132" s="813">
        <f>100000/4</f>
        <v>25000</v>
      </c>
      <c r="U132" s="813">
        <v>0</v>
      </c>
      <c r="V132" s="813">
        <v>0</v>
      </c>
      <c r="W132" s="813">
        <f>100000/4</f>
        <v>25000</v>
      </c>
      <c r="X132" s="813">
        <v>0</v>
      </c>
      <c r="Y132" s="813">
        <v>0</v>
      </c>
      <c r="Z132" s="813">
        <f>100000/4</f>
        <v>25000</v>
      </c>
    </row>
    <row r="133" spans="1:27" ht="15" customHeight="1" x14ac:dyDescent="0.25">
      <c r="A133" s="833" t="s">
        <v>926</v>
      </c>
      <c r="B133" s="833" t="s">
        <v>924</v>
      </c>
      <c r="C133" s="833" t="s">
        <v>924</v>
      </c>
      <c r="D133" s="833" t="s">
        <v>925</v>
      </c>
      <c r="E133" s="812" t="s">
        <v>206</v>
      </c>
      <c r="F133" s="813"/>
      <c r="G133" s="813"/>
      <c r="H133" s="813" t="s">
        <v>41</v>
      </c>
      <c r="I133" s="813" t="s">
        <v>41</v>
      </c>
      <c r="J133" s="813" t="s">
        <v>41</v>
      </c>
      <c r="K133" s="813" t="s">
        <v>41</v>
      </c>
      <c r="L133" s="813">
        <v>12</v>
      </c>
      <c r="M133" s="813"/>
      <c r="N133" s="813">
        <f t="shared" si="25"/>
        <v>60000</v>
      </c>
      <c r="O133" s="813">
        <v>5000</v>
      </c>
      <c r="P133" s="813">
        <v>5000</v>
      </c>
      <c r="Q133" s="813">
        <v>5000</v>
      </c>
      <c r="R133" s="813">
        <v>5000</v>
      </c>
      <c r="S133" s="813">
        <v>5000</v>
      </c>
      <c r="T133" s="813">
        <v>5000</v>
      </c>
      <c r="U133" s="813">
        <v>5000</v>
      </c>
      <c r="V133" s="813">
        <v>5000</v>
      </c>
      <c r="W133" s="813">
        <v>5000</v>
      </c>
      <c r="X133" s="813">
        <v>5000</v>
      </c>
      <c r="Y133" s="813">
        <v>5000</v>
      </c>
      <c r="Z133" s="813">
        <v>5000</v>
      </c>
    </row>
    <row r="134" spans="1:27" ht="15" customHeight="1" x14ac:dyDescent="0.25">
      <c r="A134" s="833" t="s">
        <v>928</v>
      </c>
      <c r="B134" s="833" t="s">
        <v>924</v>
      </c>
      <c r="C134" s="833" t="s">
        <v>927</v>
      </c>
      <c r="D134" s="833" t="s">
        <v>927</v>
      </c>
      <c r="E134" s="812" t="s">
        <v>206</v>
      </c>
      <c r="F134" s="813"/>
      <c r="G134" s="813"/>
      <c r="H134" s="813" t="s">
        <v>41</v>
      </c>
      <c r="I134" s="813" t="s">
        <v>41</v>
      </c>
      <c r="J134" s="813" t="s">
        <v>41</v>
      </c>
      <c r="K134" s="813" t="s">
        <v>41</v>
      </c>
      <c r="L134" s="813">
        <v>12</v>
      </c>
      <c r="M134" s="813"/>
      <c r="N134" s="813">
        <f t="shared" si="25"/>
        <v>20000</v>
      </c>
      <c r="O134" s="813">
        <v>0</v>
      </c>
      <c r="P134" s="813">
        <v>0</v>
      </c>
      <c r="Q134" s="813">
        <v>5000</v>
      </c>
      <c r="R134" s="813">
        <v>0</v>
      </c>
      <c r="S134" s="813">
        <v>0</v>
      </c>
      <c r="T134" s="813">
        <v>5000</v>
      </c>
      <c r="U134" s="813">
        <v>0</v>
      </c>
      <c r="V134" s="813">
        <v>0</v>
      </c>
      <c r="W134" s="813">
        <v>5000</v>
      </c>
      <c r="X134" s="813">
        <v>0</v>
      </c>
      <c r="Y134" s="813">
        <v>0</v>
      </c>
      <c r="Z134" s="813">
        <v>5000</v>
      </c>
    </row>
    <row r="135" spans="1:27" ht="15" customHeight="1" x14ac:dyDescent="0.25">
      <c r="A135" s="833" t="s">
        <v>931</v>
      </c>
      <c r="B135" s="833" t="s">
        <v>924</v>
      </c>
      <c r="C135" s="833" t="s">
        <v>929</v>
      </c>
      <c r="D135" s="866" t="s">
        <v>930</v>
      </c>
      <c r="E135" s="812" t="s">
        <v>206</v>
      </c>
      <c r="F135" s="813"/>
      <c r="G135" s="814"/>
      <c r="H135" s="813" t="s">
        <v>41</v>
      </c>
      <c r="I135" s="813" t="s">
        <v>41</v>
      </c>
      <c r="J135" s="813" t="s">
        <v>41</v>
      </c>
      <c r="K135" s="813" t="s">
        <v>41</v>
      </c>
      <c r="L135" s="813">
        <v>12</v>
      </c>
      <c r="M135" s="813"/>
      <c r="N135" s="813">
        <f t="shared" si="25"/>
        <v>17000</v>
      </c>
      <c r="O135" s="813">
        <v>1000</v>
      </c>
      <c r="P135" s="813">
        <v>1000</v>
      </c>
      <c r="Q135" s="813">
        <v>2000</v>
      </c>
      <c r="R135" s="813">
        <v>1000</v>
      </c>
      <c r="S135" s="813">
        <v>2000</v>
      </c>
      <c r="T135" s="813">
        <v>1000</v>
      </c>
      <c r="U135" s="813">
        <v>2000</v>
      </c>
      <c r="V135" s="813">
        <v>1000</v>
      </c>
      <c r="W135" s="813">
        <v>2000</v>
      </c>
      <c r="X135" s="813">
        <v>1000</v>
      </c>
      <c r="Y135" s="813">
        <v>2000</v>
      </c>
      <c r="Z135" s="813">
        <v>1000</v>
      </c>
    </row>
    <row r="136" spans="1:27" ht="15" customHeight="1" x14ac:dyDescent="0.25">
      <c r="A136" s="833" t="s">
        <v>934</v>
      </c>
      <c r="B136" s="833" t="s">
        <v>924</v>
      </c>
      <c r="C136" s="833" t="s">
        <v>932</v>
      </c>
      <c r="D136" s="866" t="s">
        <v>1328</v>
      </c>
      <c r="E136" s="812" t="s">
        <v>206</v>
      </c>
      <c r="F136" s="813"/>
      <c r="G136" s="814"/>
      <c r="H136" s="813" t="s">
        <v>41</v>
      </c>
      <c r="I136" s="813" t="s">
        <v>41</v>
      </c>
      <c r="J136" s="813" t="s">
        <v>41</v>
      </c>
      <c r="K136" s="813" t="s">
        <v>41</v>
      </c>
      <c r="L136" s="813">
        <v>12</v>
      </c>
      <c r="M136" s="813"/>
      <c r="N136" s="813">
        <f t="shared" si="25"/>
        <v>67338.235294117636</v>
      </c>
      <c r="O136" s="813">
        <f t="shared" ref="O136:Z136" si="26">SUM(O125:O135)*0.1</f>
        <v>4569.8529411764712</v>
      </c>
      <c r="P136" s="813">
        <f t="shared" si="26"/>
        <v>4569.8529411764712</v>
      </c>
      <c r="Q136" s="813">
        <f t="shared" si="26"/>
        <v>7669.8529411764703</v>
      </c>
      <c r="R136" s="813">
        <f t="shared" si="26"/>
        <v>4569.8529411764712</v>
      </c>
      <c r="S136" s="813">
        <f t="shared" si="26"/>
        <v>4669.8529411764712</v>
      </c>
      <c r="T136" s="813">
        <f t="shared" si="26"/>
        <v>7569.8529411764703</v>
      </c>
      <c r="U136" s="813">
        <f t="shared" si="26"/>
        <v>4669.8529411764712</v>
      </c>
      <c r="V136" s="813">
        <f t="shared" si="26"/>
        <v>4569.8529411764712</v>
      </c>
      <c r="W136" s="813">
        <f t="shared" si="26"/>
        <v>7669.8529411764703</v>
      </c>
      <c r="X136" s="813">
        <f t="shared" si="26"/>
        <v>4569.8529411764712</v>
      </c>
      <c r="Y136" s="813">
        <f t="shared" si="26"/>
        <v>4669.8529411764712</v>
      </c>
      <c r="Z136" s="813">
        <f t="shared" si="26"/>
        <v>7569.8529411764703</v>
      </c>
    </row>
    <row r="137" spans="1:27" s="872" customFormat="1" ht="22.5" customHeight="1" x14ac:dyDescent="0.25">
      <c r="A137" s="868"/>
      <c r="B137" s="869"/>
      <c r="C137" s="869"/>
      <c r="D137" s="869"/>
      <c r="E137" s="870"/>
      <c r="F137" s="870"/>
      <c r="G137" s="870"/>
      <c r="H137" s="870"/>
      <c r="I137" s="870"/>
      <c r="J137" s="871" t="s">
        <v>20</v>
      </c>
      <c r="K137" s="870"/>
      <c r="L137" s="813">
        <v>12</v>
      </c>
      <c r="M137" s="830">
        <f t="shared" ref="M137:Z137" si="27">SUM(M125:M136)</f>
        <v>0</v>
      </c>
      <c r="N137" s="830">
        <f t="shared" si="27"/>
        <v>740720.58823529398</v>
      </c>
      <c r="O137" s="830">
        <f t="shared" si="27"/>
        <v>50268.382352941175</v>
      </c>
      <c r="P137" s="830">
        <f t="shared" si="27"/>
        <v>50268.382352941175</v>
      </c>
      <c r="Q137" s="830">
        <f t="shared" si="27"/>
        <v>84368.382352941175</v>
      </c>
      <c r="R137" s="830">
        <f t="shared" si="27"/>
        <v>50268.382352941175</v>
      </c>
      <c r="S137" s="830">
        <f t="shared" si="27"/>
        <v>51368.382352941175</v>
      </c>
      <c r="T137" s="830">
        <f t="shared" si="27"/>
        <v>83268.382352941175</v>
      </c>
      <c r="U137" s="830">
        <f t="shared" si="27"/>
        <v>51368.382352941175</v>
      </c>
      <c r="V137" s="830">
        <f t="shared" si="27"/>
        <v>50268.382352941175</v>
      </c>
      <c r="W137" s="830">
        <f t="shared" si="27"/>
        <v>84368.382352941175</v>
      </c>
      <c r="X137" s="830">
        <f t="shared" si="27"/>
        <v>50268.382352941175</v>
      </c>
      <c r="Y137" s="830">
        <f t="shared" si="27"/>
        <v>51368.382352941175</v>
      </c>
      <c r="Z137" s="830">
        <f t="shared" si="27"/>
        <v>83268.382352941175</v>
      </c>
    </row>
    <row r="138" spans="1:27" ht="18" x14ac:dyDescent="0.25">
      <c r="A138" s="853" t="str">
        <f>CONCATENATE(B20," ",C20)</f>
        <v>Objective 3.02 Legal/Consulting Land Access</v>
      </c>
      <c r="B138" s="853"/>
      <c r="C138" s="854"/>
      <c r="D138" s="854"/>
      <c r="E138" s="855"/>
      <c r="F138" s="855"/>
      <c r="G138" s="855"/>
      <c r="H138" s="855"/>
      <c r="I138" s="855"/>
      <c r="J138" s="855"/>
      <c r="K138" s="855"/>
      <c r="L138" s="855"/>
      <c r="M138" s="855"/>
      <c r="N138" s="855"/>
      <c r="O138" s="855" t="s">
        <v>5</v>
      </c>
      <c r="P138" s="855"/>
      <c r="Q138" s="855"/>
      <c r="R138" s="855"/>
      <c r="S138" s="855"/>
      <c r="T138" s="855"/>
      <c r="U138" s="855"/>
      <c r="V138" s="855"/>
      <c r="W138" s="855"/>
      <c r="X138" s="855"/>
      <c r="Y138" s="855"/>
      <c r="Z138" s="855"/>
    </row>
    <row r="139" spans="1:27" ht="60" x14ac:dyDescent="0.25">
      <c r="A139" s="828" t="s">
        <v>261</v>
      </c>
      <c r="B139" s="828" t="s">
        <v>13</v>
      </c>
      <c r="C139" s="828" t="s">
        <v>14</v>
      </c>
      <c r="D139" s="865" t="s">
        <v>286</v>
      </c>
      <c r="E139" s="830" t="s">
        <v>16</v>
      </c>
      <c r="F139" s="830" t="s">
        <v>295</v>
      </c>
      <c r="G139" s="830" t="s">
        <v>39</v>
      </c>
      <c r="H139" s="830" t="s">
        <v>297</v>
      </c>
      <c r="I139" s="830" t="s">
        <v>298</v>
      </c>
      <c r="J139" s="830" t="s">
        <v>299</v>
      </c>
      <c r="K139" s="830" t="s">
        <v>300</v>
      </c>
      <c r="L139" s="830" t="s">
        <v>17</v>
      </c>
      <c r="M139" s="830" t="s">
        <v>18</v>
      </c>
      <c r="N139" s="830" t="s">
        <v>825</v>
      </c>
      <c r="O139" s="832">
        <v>43101</v>
      </c>
      <c r="P139" s="832">
        <v>43132</v>
      </c>
      <c r="Q139" s="832">
        <v>43160</v>
      </c>
      <c r="R139" s="832">
        <v>43191</v>
      </c>
      <c r="S139" s="832">
        <v>43221</v>
      </c>
      <c r="T139" s="832">
        <v>43252</v>
      </c>
      <c r="U139" s="832">
        <v>43282</v>
      </c>
      <c r="V139" s="832">
        <v>43313</v>
      </c>
      <c r="W139" s="832">
        <v>43344</v>
      </c>
      <c r="X139" s="832">
        <v>43374</v>
      </c>
      <c r="Y139" s="832">
        <v>43405</v>
      </c>
      <c r="Z139" s="832">
        <v>43435</v>
      </c>
    </row>
    <row r="140" spans="1:27" ht="15" customHeight="1" x14ac:dyDescent="0.25">
      <c r="A140" s="833" t="s">
        <v>839</v>
      </c>
      <c r="B140" s="833" t="s">
        <v>863</v>
      </c>
      <c r="C140" s="833" t="s">
        <v>881</v>
      </c>
      <c r="D140" s="866" t="s">
        <v>884</v>
      </c>
      <c r="E140" s="812" t="s">
        <v>206</v>
      </c>
      <c r="F140" s="867" t="s">
        <v>294</v>
      </c>
      <c r="G140" s="873" t="s">
        <v>883</v>
      </c>
      <c r="H140" s="813" t="s">
        <v>41</v>
      </c>
      <c r="I140" s="813" t="s">
        <v>41</v>
      </c>
      <c r="J140" s="813" t="s">
        <v>42</v>
      </c>
      <c r="K140" s="813" t="s">
        <v>42</v>
      </c>
      <c r="L140" s="813">
        <v>12</v>
      </c>
      <c r="M140" s="813"/>
      <c r="N140" s="813">
        <f t="shared" ref="N140:N145" si="28">SUM(O140:Z140)</f>
        <v>508529.41176470579</v>
      </c>
      <c r="O140" s="813">
        <v>58676.470588235294</v>
      </c>
      <c r="P140" s="813">
        <v>58676.470588235294</v>
      </c>
      <c r="Q140" s="813">
        <v>58676.470588235294</v>
      </c>
      <c r="R140" s="813">
        <v>58676.470588235294</v>
      </c>
      <c r="S140" s="813">
        <v>58676.470588235294</v>
      </c>
      <c r="T140" s="813">
        <v>58676.470588235294</v>
      </c>
      <c r="U140" s="813">
        <v>58676.470588235294</v>
      </c>
      <c r="V140" s="813">
        <v>19558.823529411766</v>
      </c>
      <c r="W140" s="813">
        <v>19558.823529411766</v>
      </c>
      <c r="X140" s="813">
        <v>19558.823529411766</v>
      </c>
      <c r="Y140" s="813">
        <v>19558.823529411766</v>
      </c>
      <c r="Z140" s="813">
        <v>19558.823529411766</v>
      </c>
    </row>
    <row r="141" spans="1:27" ht="15" customHeight="1" x14ac:dyDescent="0.25">
      <c r="A141" s="833" t="s">
        <v>841</v>
      </c>
      <c r="B141" s="833" t="s">
        <v>863</v>
      </c>
      <c r="C141" s="833" t="s">
        <v>885</v>
      </c>
      <c r="D141" s="866" t="s">
        <v>886</v>
      </c>
      <c r="E141" s="812" t="s">
        <v>206</v>
      </c>
      <c r="F141" s="867" t="s">
        <v>294</v>
      </c>
      <c r="G141" s="873" t="s">
        <v>885</v>
      </c>
      <c r="H141" s="813" t="s">
        <v>41</v>
      </c>
      <c r="I141" s="813" t="s">
        <v>41</v>
      </c>
      <c r="J141" s="813" t="s">
        <v>42</v>
      </c>
      <c r="K141" s="813" t="s">
        <v>42</v>
      </c>
      <c r="L141" s="813">
        <v>12</v>
      </c>
      <c r="M141" s="813"/>
      <c r="N141" s="813">
        <f t="shared" si="28"/>
        <v>187764.70588235289</v>
      </c>
      <c r="O141" s="813">
        <v>15647.058823529413</v>
      </c>
      <c r="P141" s="813">
        <v>15647.058823529413</v>
      </c>
      <c r="Q141" s="813">
        <v>15647.058823529413</v>
      </c>
      <c r="R141" s="813">
        <v>15647.058823529413</v>
      </c>
      <c r="S141" s="813">
        <v>15647.058823529413</v>
      </c>
      <c r="T141" s="813">
        <v>15647.058823529413</v>
      </c>
      <c r="U141" s="813">
        <v>15647.058823529413</v>
      </c>
      <c r="V141" s="813">
        <v>15647.058823529413</v>
      </c>
      <c r="W141" s="813">
        <v>15647.058823529413</v>
      </c>
      <c r="X141" s="813">
        <v>15647.058823529413</v>
      </c>
      <c r="Y141" s="813">
        <v>15647.058823529413</v>
      </c>
      <c r="Z141" s="813">
        <v>15647.058823529413</v>
      </c>
    </row>
    <row r="142" spans="1:27" ht="15" customHeight="1" x14ac:dyDescent="0.25">
      <c r="A142" s="833" t="s">
        <v>844</v>
      </c>
      <c r="B142" s="833" t="s">
        <v>863</v>
      </c>
      <c r="C142" s="833" t="s">
        <v>887</v>
      </c>
      <c r="D142" s="866" t="s">
        <v>1574</v>
      </c>
      <c r="E142" s="812" t="s">
        <v>206</v>
      </c>
      <c r="F142" s="867" t="s">
        <v>294</v>
      </c>
      <c r="G142" s="873" t="s">
        <v>887</v>
      </c>
      <c r="H142" s="813" t="s">
        <v>41</v>
      </c>
      <c r="I142" s="813" t="s">
        <v>41</v>
      </c>
      <c r="J142" s="813" t="s">
        <v>42</v>
      </c>
      <c r="K142" s="813" t="s">
        <v>42</v>
      </c>
      <c r="L142" s="813">
        <v>12</v>
      </c>
      <c r="M142" s="813"/>
      <c r="N142" s="813">
        <f t="shared" si="28"/>
        <v>0</v>
      </c>
      <c r="O142" s="813"/>
      <c r="P142" s="813"/>
      <c r="Q142" s="813"/>
      <c r="R142" s="813"/>
      <c r="S142" s="813"/>
      <c r="T142" s="813"/>
      <c r="U142" s="813"/>
      <c r="V142" s="813"/>
      <c r="W142" s="813"/>
      <c r="X142" s="813"/>
      <c r="Y142" s="813"/>
      <c r="Z142" s="813"/>
    </row>
    <row r="143" spans="1:27" ht="15" customHeight="1" x14ac:dyDescent="0.25">
      <c r="A143" s="833" t="s">
        <v>894</v>
      </c>
      <c r="B143" s="833" t="s">
        <v>863</v>
      </c>
      <c r="C143" s="866" t="s">
        <v>895</v>
      </c>
      <c r="D143" s="833" t="s">
        <v>1575</v>
      </c>
      <c r="E143" s="812" t="s">
        <v>206</v>
      </c>
      <c r="F143" s="867" t="s">
        <v>294</v>
      </c>
      <c r="G143" s="874" t="s">
        <v>895</v>
      </c>
      <c r="H143" s="813" t="s">
        <v>41</v>
      </c>
      <c r="I143" s="813" t="s">
        <v>41</v>
      </c>
      <c r="J143" s="813" t="s">
        <v>42</v>
      </c>
      <c r="K143" s="813" t="s">
        <v>42</v>
      </c>
      <c r="L143" s="813">
        <v>12</v>
      </c>
      <c r="M143" s="813"/>
      <c r="N143" s="813">
        <f t="shared" si="28"/>
        <v>0</v>
      </c>
      <c r="O143" s="813"/>
      <c r="P143" s="813"/>
      <c r="Q143" s="813"/>
      <c r="R143" s="813"/>
      <c r="S143" s="813"/>
      <c r="T143" s="813"/>
      <c r="U143" s="813"/>
      <c r="V143" s="813"/>
      <c r="W143" s="813"/>
      <c r="X143" s="813"/>
      <c r="Y143" s="813"/>
      <c r="Z143" s="813"/>
    </row>
    <row r="144" spans="1:27" ht="12.75" customHeight="1" x14ac:dyDescent="0.25">
      <c r="A144" s="833" t="s">
        <v>897</v>
      </c>
      <c r="B144" s="833" t="s">
        <v>863</v>
      </c>
      <c r="C144" s="833" t="s">
        <v>898</v>
      </c>
      <c r="D144" s="866" t="s">
        <v>899</v>
      </c>
      <c r="E144" s="812" t="s">
        <v>206</v>
      </c>
      <c r="F144" s="867" t="s">
        <v>289</v>
      </c>
      <c r="G144" s="875" t="s">
        <v>900</v>
      </c>
      <c r="H144" s="813" t="s">
        <v>41</v>
      </c>
      <c r="I144" s="813" t="s">
        <v>41</v>
      </c>
      <c r="J144" s="813" t="s">
        <v>42</v>
      </c>
      <c r="K144" s="813" t="s">
        <v>42</v>
      </c>
      <c r="L144" s="813">
        <v>12</v>
      </c>
      <c r="M144" s="813"/>
      <c r="N144" s="813">
        <f t="shared" si="28"/>
        <v>109529.41176470589</v>
      </c>
      <c r="O144" s="813">
        <v>15647.058823529413</v>
      </c>
      <c r="P144" s="813">
        <v>15647.058823529413</v>
      </c>
      <c r="Q144" s="813">
        <v>15647.058823529413</v>
      </c>
      <c r="R144" s="813">
        <v>15647.058823529413</v>
      </c>
      <c r="S144" s="813">
        <v>15647.058823529413</v>
      </c>
      <c r="T144" s="813">
        <v>15647.058823529413</v>
      </c>
      <c r="U144" s="813">
        <v>15647.058823529413</v>
      </c>
      <c r="V144" s="813">
        <v>0</v>
      </c>
      <c r="W144" s="813">
        <v>0</v>
      </c>
      <c r="X144" s="813">
        <v>0</v>
      </c>
      <c r="Y144" s="813">
        <v>0</v>
      </c>
      <c r="Z144" s="813">
        <v>0</v>
      </c>
    </row>
    <row r="145" spans="1:26" ht="15" customHeight="1" x14ac:dyDescent="0.25">
      <c r="A145" s="833" t="s">
        <v>901</v>
      </c>
      <c r="B145" s="833" t="s">
        <v>863</v>
      </c>
      <c r="C145" s="833" t="s">
        <v>898</v>
      </c>
      <c r="D145" s="866" t="s">
        <v>902</v>
      </c>
      <c r="E145" s="812" t="s">
        <v>206</v>
      </c>
      <c r="F145" s="867" t="s">
        <v>289</v>
      </c>
      <c r="G145" s="875" t="s">
        <v>900</v>
      </c>
      <c r="H145" s="813" t="s">
        <v>41</v>
      </c>
      <c r="I145" s="813" t="s">
        <v>41</v>
      </c>
      <c r="J145" s="813" t="s">
        <v>42</v>
      </c>
      <c r="K145" s="813" t="s">
        <v>42</v>
      </c>
      <c r="L145" s="813">
        <v>12</v>
      </c>
      <c r="M145" s="813"/>
      <c r="N145" s="813">
        <f t="shared" si="28"/>
        <v>109529.41176470589</v>
      </c>
      <c r="O145" s="813">
        <v>15647.058823529413</v>
      </c>
      <c r="P145" s="813">
        <v>15647.058823529413</v>
      </c>
      <c r="Q145" s="813">
        <v>15647.058823529413</v>
      </c>
      <c r="R145" s="813">
        <v>15647.058823529413</v>
      </c>
      <c r="S145" s="813">
        <v>15647.058823529413</v>
      </c>
      <c r="T145" s="813">
        <v>15647.058823529413</v>
      </c>
      <c r="U145" s="813">
        <v>15647.058823529413</v>
      </c>
      <c r="V145" s="813">
        <v>0</v>
      </c>
      <c r="W145" s="813">
        <v>0</v>
      </c>
      <c r="X145" s="813">
        <v>0</v>
      </c>
      <c r="Y145" s="813">
        <v>0</v>
      </c>
      <c r="Z145" s="813">
        <v>0</v>
      </c>
    </row>
    <row r="146" spans="1:26" ht="15" customHeight="1" x14ac:dyDescent="0.25">
      <c r="A146" s="833" t="s">
        <v>903</v>
      </c>
      <c r="B146" s="833" t="s">
        <v>863</v>
      </c>
      <c r="C146" s="833" t="s">
        <v>898</v>
      </c>
      <c r="D146" s="866" t="s">
        <v>904</v>
      </c>
      <c r="E146" s="812" t="s">
        <v>206</v>
      </c>
      <c r="F146" s="867" t="s">
        <v>289</v>
      </c>
      <c r="G146" s="875" t="s">
        <v>900</v>
      </c>
      <c r="H146" s="813" t="s">
        <v>41</v>
      </c>
      <c r="I146" s="813" t="s">
        <v>41</v>
      </c>
      <c r="J146" s="813" t="s">
        <v>42</v>
      </c>
      <c r="K146" s="813" t="s">
        <v>42</v>
      </c>
      <c r="L146" s="813">
        <v>12</v>
      </c>
      <c r="M146" s="813"/>
      <c r="N146" s="813">
        <f t="shared" ref="N146:N151" si="29">SUM(O146:Z146)</f>
        <v>109529.41176470589</v>
      </c>
      <c r="O146" s="813">
        <v>15647.058823529413</v>
      </c>
      <c r="P146" s="813">
        <v>15647.058823529413</v>
      </c>
      <c r="Q146" s="813">
        <v>15647.058823529413</v>
      </c>
      <c r="R146" s="813">
        <v>15647.058823529413</v>
      </c>
      <c r="S146" s="813">
        <v>15647.058823529413</v>
      </c>
      <c r="T146" s="813">
        <v>15647.058823529413</v>
      </c>
      <c r="U146" s="813">
        <v>15647.058823529413</v>
      </c>
      <c r="V146" s="813">
        <v>0</v>
      </c>
      <c r="W146" s="813">
        <v>0</v>
      </c>
      <c r="X146" s="813">
        <v>0</v>
      </c>
      <c r="Y146" s="813">
        <v>0</v>
      </c>
      <c r="Z146" s="813">
        <v>0</v>
      </c>
    </row>
    <row r="147" spans="1:26" ht="15" customHeight="1" x14ac:dyDescent="0.25">
      <c r="A147" s="833" t="s">
        <v>905</v>
      </c>
      <c r="B147" s="833" t="s">
        <v>863</v>
      </c>
      <c r="C147" s="833" t="s">
        <v>898</v>
      </c>
      <c r="D147" s="866" t="s">
        <v>906</v>
      </c>
      <c r="E147" s="812" t="s">
        <v>206</v>
      </c>
      <c r="F147" s="867" t="s">
        <v>289</v>
      </c>
      <c r="G147" s="875" t="s">
        <v>900</v>
      </c>
      <c r="H147" s="813" t="s">
        <v>41</v>
      </c>
      <c r="I147" s="813" t="s">
        <v>41</v>
      </c>
      <c r="J147" s="813" t="s">
        <v>42</v>
      </c>
      <c r="K147" s="813" t="s">
        <v>42</v>
      </c>
      <c r="L147" s="813">
        <v>12</v>
      </c>
      <c r="M147" s="813"/>
      <c r="N147" s="813">
        <f t="shared" si="29"/>
        <v>109529.41176470589</v>
      </c>
      <c r="O147" s="813">
        <v>15647.058823529413</v>
      </c>
      <c r="P147" s="813">
        <v>15647.058823529413</v>
      </c>
      <c r="Q147" s="813">
        <v>15647.058823529413</v>
      </c>
      <c r="R147" s="813">
        <v>15647.058823529413</v>
      </c>
      <c r="S147" s="813">
        <v>15647.058823529413</v>
      </c>
      <c r="T147" s="813">
        <v>15647.058823529413</v>
      </c>
      <c r="U147" s="813">
        <v>15647.058823529413</v>
      </c>
      <c r="V147" s="813">
        <v>0</v>
      </c>
      <c r="W147" s="813">
        <v>0</v>
      </c>
      <c r="X147" s="813">
        <v>0</v>
      </c>
      <c r="Y147" s="813">
        <v>0</v>
      </c>
      <c r="Z147" s="813">
        <v>0</v>
      </c>
    </row>
    <row r="148" spans="1:26" ht="15" customHeight="1" x14ac:dyDescent="0.25">
      <c r="A148" s="833" t="s">
        <v>923</v>
      </c>
      <c r="B148" s="833" t="s">
        <v>863</v>
      </c>
      <c r="C148" s="833" t="s">
        <v>1326</v>
      </c>
      <c r="D148" s="866" t="s">
        <v>1327</v>
      </c>
      <c r="E148" s="812" t="s">
        <v>206</v>
      </c>
      <c r="F148" s="867"/>
      <c r="G148" s="873"/>
      <c r="H148" s="813" t="s">
        <v>41</v>
      </c>
      <c r="I148" s="813" t="s">
        <v>41</v>
      </c>
      <c r="J148" s="813" t="s">
        <v>42</v>
      </c>
      <c r="K148" s="813" t="s">
        <v>42</v>
      </c>
      <c r="L148" s="813">
        <v>12</v>
      </c>
      <c r="M148" s="813"/>
      <c r="N148" s="813">
        <f t="shared" si="29"/>
        <v>40000</v>
      </c>
      <c r="O148" s="813">
        <v>0</v>
      </c>
      <c r="P148" s="813">
        <v>0</v>
      </c>
      <c r="Q148" s="813">
        <v>10000</v>
      </c>
      <c r="R148" s="813">
        <v>0</v>
      </c>
      <c r="S148" s="813">
        <v>0</v>
      </c>
      <c r="T148" s="813">
        <v>10000</v>
      </c>
      <c r="U148" s="813">
        <v>0</v>
      </c>
      <c r="V148" s="813">
        <v>0</v>
      </c>
      <c r="W148" s="813">
        <v>10000</v>
      </c>
      <c r="X148" s="813">
        <v>0</v>
      </c>
      <c r="Y148" s="813">
        <v>0</v>
      </c>
      <c r="Z148" s="813">
        <v>10000</v>
      </c>
    </row>
    <row r="149" spans="1:26" ht="15" customHeight="1" x14ac:dyDescent="0.25">
      <c r="A149" s="833" t="s">
        <v>928</v>
      </c>
      <c r="B149" s="833" t="s">
        <v>924</v>
      </c>
      <c r="C149" s="833" t="s">
        <v>927</v>
      </c>
      <c r="D149" s="833" t="s">
        <v>927</v>
      </c>
      <c r="E149" s="812" t="s">
        <v>206</v>
      </c>
      <c r="F149" s="813"/>
      <c r="G149" s="813"/>
      <c r="H149" s="813" t="s">
        <v>41</v>
      </c>
      <c r="I149" s="813" t="s">
        <v>41</v>
      </c>
      <c r="J149" s="813" t="s">
        <v>41</v>
      </c>
      <c r="K149" s="813" t="s">
        <v>41</v>
      </c>
      <c r="L149" s="813">
        <v>12</v>
      </c>
      <c r="M149" s="813"/>
      <c r="N149" s="813">
        <f t="shared" si="29"/>
        <v>20000</v>
      </c>
      <c r="O149" s="813">
        <v>0</v>
      </c>
      <c r="P149" s="813">
        <v>0</v>
      </c>
      <c r="Q149" s="813">
        <v>5000</v>
      </c>
      <c r="R149" s="813">
        <v>0</v>
      </c>
      <c r="S149" s="813">
        <v>0</v>
      </c>
      <c r="T149" s="813">
        <v>5000</v>
      </c>
      <c r="U149" s="813">
        <v>0</v>
      </c>
      <c r="V149" s="813">
        <v>0</v>
      </c>
      <c r="W149" s="813">
        <v>5000</v>
      </c>
      <c r="X149" s="813">
        <v>0</v>
      </c>
      <c r="Y149" s="813">
        <v>0</v>
      </c>
      <c r="Z149" s="813">
        <v>5000</v>
      </c>
    </row>
    <row r="150" spans="1:26" ht="15" customHeight="1" x14ac:dyDescent="0.25">
      <c r="A150" s="833" t="s">
        <v>931</v>
      </c>
      <c r="B150" s="833" t="s">
        <v>924</v>
      </c>
      <c r="C150" s="833" t="s">
        <v>929</v>
      </c>
      <c r="D150" s="866" t="s">
        <v>930</v>
      </c>
      <c r="E150" s="812" t="s">
        <v>206</v>
      </c>
      <c r="F150" s="813"/>
      <c r="G150" s="814"/>
      <c r="H150" s="813" t="s">
        <v>41</v>
      </c>
      <c r="I150" s="813" t="s">
        <v>41</v>
      </c>
      <c r="J150" s="813" t="s">
        <v>41</v>
      </c>
      <c r="K150" s="813" t="s">
        <v>41</v>
      </c>
      <c r="L150" s="813">
        <v>12</v>
      </c>
      <c r="M150" s="813"/>
      <c r="N150" s="813">
        <f t="shared" si="29"/>
        <v>17000</v>
      </c>
      <c r="O150" s="813">
        <v>1000</v>
      </c>
      <c r="P150" s="813">
        <v>1000</v>
      </c>
      <c r="Q150" s="813">
        <v>2000</v>
      </c>
      <c r="R150" s="813">
        <v>1000</v>
      </c>
      <c r="S150" s="813">
        <v>2000</v>
      </c>
      <c r="T150" s="813">
        <v>1000</v>
      </c>
      <c r="U150" s="813">
        <v>2000</v>
      </c>
      <c r="V150" s="813">
        <v>1000</v>
      </c>
      <c r="W150" s="813">
        <v>2000</v>
      </c>
      <c r="X150" s="813">
        <v>1000</v>
      </c>
      <c r="Y150" s="813">
        <v>2000</v>
      </c>
      <c r="Z150" s="813">
        <v>1000</v>
      </c>
    </row>
    <row r="151" spans="1:26" ht="15" customHeight="1" x14ac:dyDescent="0.25">
      <c r="A151" s="833" t="s">
        <v>934</v>
      </c>
      <c r="B151" s="833" t="s">
        <v>924</v>
      </c>
      <c r="C151" s="833" t="s">
        <v>932</v>
      </c>
      <c r="D151" s="866" t="s">
        <v>1328</v>
      </c>
      <c r="E151" s="812" t="s">
        <v>206</v>
      </c>
      <c r="F151" s="813"/>
      <c r="G151" s="814"/>
      <c r="H151" s="813" t="s">
        <v>41</v>
      </c>
      <c r="I151" s="813" t="s">
        <v>41</v>
      </c>
      <c r="J151" s="813" t="s">
        <v>41</v>
      </c>
      <c r="K151" s="813" t="s">
        <v>41</v>
      </c>
      <c r="L151" s="813">
        <v>12</v>
      </c>
      <c r="M151" s="813"/>
      <c r="N151" s="813">
        <f t="shared" si="29"/>
        <v>121141.17647058821</v>
      </c>
      <c r="O151" s="813">
        <f t="shared" ref="O151:Z151" si="30">SUM(O140:O150)*0.1</f>
        <v>13791.176470588236</v>
      </c>
      <c r="P151" s="813">
        <f t="shared" si="30"/>
        <v>13791.176470588236</v>
      </c>
      <c r="Q151" s="813">
        <f t="shared" si="30"/>
        <v>15391.176470588236</v>
      </c>
      <c r="R151" s="813">
        <f t="shared" si="30"/>
        <v>13791.176470588236</v>
      </c>
      <c r="S151" s="813">
        <f t="shared" si="30"/>
        <v>13891.176470588236</v>
      </c>
      <c r="T151" s="813">
        <f t="shared" si="30"/>
        <v>15291.176470588236</v>
      </c>
      <c r="U151" s="813">
        <f t="shared" si="30"/>
        <v>13891.176470588236</v>
      </c>
      <c r="V151" s="813">
        <f t="shared" si="30"/>
        <v>3620.5882352941176</v>
      </c>
      <c r="W151" s="813">
        <f t="shared" si="30"/>
        <v>5220.588235294118</v>
      </c>
      <c r="X151" s="813">
        <f t="shared" si="30"/>
        <v>3620.5882352941176</v>
      </c>
      <c r="Y151" s="813">
        <f t="shared" si="30"/>
        <v>3720.5882352941176</v>
      </c>
      <c r="Z151" s="813">
        <f t="shared" si="30"/>
        <v>5120.588235294118</v>
      </c>
    </row>
    <row r="152" spans="1:26" s="872" customFormat="1" ht="22.5" customHeight="1" x14ac:dyDescent="0.25">
      <c r="A152" s="868"/>
      <c r="B152" s="869"/>
      <c r="C152" s="869"/>
      <c r="D152" s="869"/>
      <c r="E152" s="870"/>
      <c r="F152" s="870"/>
      <c r="G152" s="870"/>
      <c r="H152" s="870"/>
      <c r="I152" s="870"/>
      <c r="J152" s="871" t="s">
        <v>20</v>
      </c>
      <c r="K152" s="870"/>
      <c r="L152" s="813">
        <v>12</v>
      </c>
      <c r="M152" s="830">
        <f t="shared" ref="M152:Z152" si="31">SUM(M140:M151)</f>
        <v>0</v>
      </c>
      <c r="N152" s="830">
        <f t="shared" si="31"/>
        <v>1332552.9411764704</v>
      </c>
      <c r="O152" s="830">
        <f t="shared" si="31"/>
        <v>151702.94117647057</v>
      </c>
      <c r="P152" s="830">
        <f t="shared" si="31"/>
        <v>151702.94117647057</v>
      </c>
      <c r="Q152" s="830">
        <f t="shared" si="31"/>
        <v>169302.94117647057</v>
      </c>
      <c r="R152" s="830">
        <f t="shared" si="31"/>
        <v>151702.94117647057</v>
      </c>
      <c r="S152" s="830">
        <f t="shared" si="31"/>
        <v>152802.94117647057</v>
      </c>
      <c r="T152" s="830">
        <f t="shared" si="31"/>
        <v>168202.94117647057</v>
      </c>
      <c r="U152" s="830">
        <f t="shared" si="31"/>
        <v>152802.94117647057</v>
      </c>
      <c r="V152" s="830">
        <f t="shared" si="31"/>
        <v>39826.470588235294</v>
      </c>
      <c r="W152" s="830">
        <f t="shared" si="31"/>
        <v>57426.470588235294</v>
      </c>
      <c r="X152" s="830">
        <f t="shared" si="31"/>
        <v>39826.470588235294</v>
      </c>
      <c r="Y152" s="830">
        <f t="shared" si="31"/>
        <v>40926.470588235294</v>
      </c>
      <c r="Z152" s="830">
        <f t="shared" si="31"/>
        <v>56326.470588235294</v>
      </c>
    </row>
    <row r="153" spans="1:26" ht="18" x14ac:dyDescent="0.25">
      <c r="A153" s="853" t="str">
        <f>CONCATENATE(B21," ",C21)</f>
        <v>Objective 3.1 Easments Firm commitment</v>
      </c>
      <c r="B153" s="853"/>
      <c r="C153" s="854"/>
      <c r="D153" s="854"/>
      <c r="E153" s="855"/>
      <c r="F153" s="855"/>
      <c r="G153" s="855"/>
      <c r="H153" s="855"/>
      <c r="I153" s="855"/>
      <c r="J153" s="855"/>
      <c r="K153" s="855"/>
      <c r="L153" s="855"/>
      <c r="M153" s="855"/>
      <c r="N153" s="855"/>
      <c r="O153" s="855" t="s">
        <v>5</v>
      </c>
      <c r="P153" s="855"/>
      <c r="Q153" s="855"/>
      <c r="R153" s="855"/>
      <c r="S153" s="855"/>
      <c r="T153" s="855"/>
      <c r="U153" s="855"/>
      <c r="V153" s="855"/>
      <c r="W153" s="855"/>
      <c r="X153" s="855"/>
      <c r="Y153" s="855"/>
      <c r="Z153" s="855"/>
    </row>
    <row r="154" spans="1:26" ht="60" x14ac:dyDescent="0.25">
      <c r="A154" s="828" t="s">
        <v>261</v>
      </c>
      <c r="B154" s="828" t="s">
        <v>13</v>
      </c>
      <c r="C154" s="828" t="s">
        <v>14</v>
      </c>
      <c r="D154" s="865" t="s">
        <v>286</v>
      </c>
      <c r="E154" s="830" t="s">
        <v>16</v>
      </c>
      <c r="F154" s="830" t="s">
        <v>295</v>
      </c>
      <c r="G154" s="830" t="s">
        <v>39</v>
      </c>
      <c r="H154" s="830" t="s">
        <v>297</v>
      </c>
      <c r="I154" s="830" t="s">
        <v>298</v>
      </c>
      <c r="J154" s="830" t="s">
        <v>299</v>
      </c>
      <c r="K154" s="830" t="s">
        <v>300</v>
      </c>
      <c r="L154" s="830" t="s">
        <v>17</v>
      </c>
      <c r="M154" s="830" t="s">
        <v>18</v>
      </c>
      <c r="N154" s="830" t="s">
        <v>825</v>
      </c>
      <c r="O154" s="832">
        <v>43101</v>
      </c>
      <c r="P154" s="832">
        <v>43132</v>
      </c>
      <c r="Q154" s="832">
        <v>43160</v>
      </c>
      <c r="R154" s="832">
        <v>43191</v>
      </c>
      <c r="S154" s="832">
        <v>43221</v>
      </c>
      <c r="T154" s="832">
        <v>43252</v>
      </c>
      <c r="U154" s="832">
        <v>43282</v>
      </c>
      <c r="V154" s="832">
        <v>43313</v>
      </c>
      <c r="W154" s="832">
        <v>43344</v>
      </c>
      <c r="X154" s="832">
        <v>43374</v>
      </c>
      <c r="Y154" s="832">
        <v>43405</v>
      </c>
      <c r="Z154" s="832">
        <v>43435</v>
      </c>
    </row>
    <row r="155" spans="1:26" ht="15" customHeight="1" x14ac:dyDescent="0.25">
      <c r="A155" s="833" t="s">
        <v>1329</v>
      </c>
      <c r="B155" s="833" t="s">
        <v>955</v>
      </c>
      <c r="C155" s="833" t="s">
        <v>956</v>
      </c>
      <c r="D155" s="866" t="s">
        <v>957</v>
      </c>
      <c r="E155" s="812" t="s">
        <v>206</v>
      </c>
      <c r="F155" s="813"/>
      <c r="G155" s="814"/>
      <c r="H155" s="813" t="s">
        <v>41</v>
      </c>
      <c r="I155" s="813" t="s">
        <v>41</v>
      </c>
      <c r="J155" s="813" t="s">
        <v>41</v>
      </c>
      <c r="K155" s="813" t="s">
        <v>41</v>
      </c>
      <c r="L155" s="813">
        <v>12</v>
      </c>
      <c r="M155" s="813"/>
      <c r="N155" s="813">
        <f t="shared" ref="N155:N159" si="32">SUM(O155:Z155)</f>
        <v>0</v>
      </c>
      <c r="O155" s="813">
        <v>0</v>
      </c>
      <c r="P155" s="813">
        <v>0</v>
      </c>
      <c r="Q155" s="813">
        <v>0</v>
      </c>
      <c r="R155" s="813">
        <v>0</v>
      </c>
      <c r="S155" s="813">
        <v>0</v>
      </c>
      <c r="T155" s="813">
        <v>0</v>
      </c>
      <c r="U155" s="813">
        <v>0</v>
      </c>
      <c r="V155" s="813">
        <v>0</v>
      </c>
      <c r="W155" s="813">
        <v>0</v>
      </c>
      <c r="X155" s="813">
        <v>0</v>
      </c>
      <c r="Y155" s="813">
        <v>0</v>
      </c>
      <c r="Z155" s="813">
        <v>0</v>
      </c>
    </row>
    <row r="156" spans="1:26" ht="15" customHeight="1" x14ac:dyDescent="0.25">
      <c r="A156" s="833" t="s">
        <v>1330</v>
      </c>
      <c r="B156" s="833" t="s">
        <v>959</v>
      </c>
      <c r="C156" s="833" t="s">
        <v>960</v>
      </c>
      <c r="D156" s="866" t="s">
        <v>961</v>
      </c>
      <c r="E156" s="812" t="s">
        <v>206</v>
      </c>
      <c r="F156" s="813"/>
      <c r="G156" s="814"/>
      <c r="H156" s="813" t="s">
        <v>41</v>
      </c>
      <c r="I156" s="813" t="s">
        <v>41</v>
      </c>
      <c r="J156" s="813" t="s">
        <v>41</v>
      </c>
      <c r="K156" s="813" t="s">
        <v>41</v>
      </c>
      <c r="L156" s="813">
        <v>12</v>
      </c>
      <c r="M156" s="813"/>
      <c r="N156" s="813">
        <v>0</v>
      </c>
      <c r="O156" s="813">
        <v>0</v>
      </c>
      <c r="P156" s="813">
        <v>0</v>
      </c>
      <c r="Q156" s="813">
        <v>0</v>
      </c>
      <c r="R156" s="813">
        <v>0</v>
      </c>
      <c r="S156" s="813">
        <v>0</v>
      </c>
      <c r="T156" s="813">
        <v>0</v>
      </c>
      <c r="U156" s="813">
        <v>0</v>
      </c>
      <c r="V156" s="813">
        <v>0</v>
      </c>
      <c r="W156" s="813">
        <v>0</v>
      </c>
      <c r="X156" s="813">
        <v>0</v>
      </c>
      <c r="Y156" s="813">
        <v>0</v>
      </c>
      <c r="Z156" s="813">
        <v>0</v>
      </c>
    </row>
    <row r="157" spans="1:26" ht="15" customHeight="1" x14ac:dyDescent="0.25">
      <c r="A157" s="833" t="s">
        <v>1331</v>
      </c>
      <c r="B157" s="833" t="s">
        <v>959</v>
      </c>
      <c r="C157" s="833" t="s">
        <v>1514</v>
      </c>
      <c r="D157" s="866" t="s">
        <v>1515</v>
      </c>
      <c r="E157" s="812" t="s">
        <v>206</v>
      </c>
      <c r="F157" s="813"/>
      <c r="G157" s="814"/>
      <c r="H157" s="813" t="s">
        <v>41</v>
      </c>
      <c r="I157" s="813" t="s">
        <v>41</v>
      </c>
      <c r="J157" s="813" t="s">
        <v>41</v>
      </c>
      <c r="K157" s="813" t="s">
        <v>41</v>
      </c>
      <c r="L157" s="813">
        <v>12</v>
      </c>
      <c r="M157" s="813"/>
      <c r="N157" s="813">
        <f t="shared" ref="N157" si="33">SUM(O157:Z157)</f>
        <v>1500000</v>
      </c>
      <c r="O157" s="813">
        <v>1500000</v>
      </c>
      <c r="P157" s="813">
        <v>0</v>
      </c>
      <c r="Q157" s="813">
        <v>0</v>
      </c>
      <c r="R157" s="813">
        <v>0</v>
      </c>
      <c r="S157" s="813">
        <v>0</v>
      </c>
      <c r="T157" s="813">
        <v>0</v>
      </c>
      <c r="U157" s="813">
        <v>0</v>
      </c>
      <c r="V157" s="813">
        <v>0</v>
      </c>
      <c r="W157" s="813">
        <v>0</v>
      </c>
      <c r="X157" s="813">
        <v>0</v>
      </c>
      <c r="Y157" s="813">
        <v>0</v>
      </c>
      <c r="Z157" s="813">
        <v>0</v>
      </c>
    </row>
    <row r="158" spans="1:26" ht="15" customHeight="1" x14ac:dyDescent="0.25">
      <c r="A158" s="833" t="s">
        <v>1332</v>
      </c>
      <c r="B158" s="833" t="s">
        <v>959</v>
      </c>
      <c r="C158" s="833" t="s">
        <v>963</v>
      </c>
      <c r="D158" s="866" t="s">
        <v>1576</v>
      </c>
      <c r="E158" s="812" t="s">
        <v>206</v>
      </c>
      <c r="F158" s="867" t="s">
        <v>294</v>
      </c>
      <c r="G158" s="814"/>
      <c r="H158" s="813" t="s">
        <v>41</v>
      </c>
      <c r="I158" s="813" t="s">
        <v>41</v>
      </c>
      <c r="J158" s="813" t="s">
        <v>41</v>
      </c>
      <c r="K158" s="813" t="s">
        <v>41</v>
      </c>
      <c r="L158" s="813">
        <v>12</v>
      </c>
      <c r="M158" s="813"/>
      <c r="N158" s="813">
        <f t="shared" si="32"/>
        <v>0</v>
      </c>
      <c r="O158" s="813">
        <v>0</v>
      </c>
      <c r="P158" s="813">
        <v>0</v>
      </c>
      <c r="Q158" s="813">
        <v>0</v>
      </c>
      <c r="R158" s="813">
        <v>0</v>
      </c>
      <c r="S158" s="813">
        <v>0</v>
      </c>
      <c r="T158" s="813">
        <v>0</v>
      </c>
      <c r="U158" s="813">
        <v>0</v>
      </c>
      <c r="V158" s="813">
        <v>0</v>
      </c>
      <c r="W158" s="813">
        <v>0</v>
      </c>
      <c r="X158" s="813">
        <v>0</v>
      </c>
      <c r="Y158" s="813">
        <v>0</v>
      </c>
      <c r="Z158" s="813">
        <v>0</v>
      </c>
    </row>
    <row r="159" spans="1:26" ht="15" customHeight="1" x14ac:dyDescent="0.25">
      <c r="A159" s="833" t="s">
        <v>1516</v>
      </c>
      <c r="B159" s="833" t="s">
        <v>959</v>
      </c>
      <c r="C159" s="833" t="s">
        <v>966</v>
      </c>
      <c r="D159" s="866" t="s">
        <v>1577</v>
      </c>
      <c r="E159" s="812" t="s">
        <v>206</v>
      </c>
      <c r="F159" s="867" t="s">
        <v>294</v>
      </c>
      <c r="G159" s="814"/>
      <c r="H159" s="813" t="s">
        <v>41</v>
      </c>
      <c r="I159" s="813" t="s">
        <v>41</v>
      </c>
      <c r="J159" s="813" t="s">
        <v>41</v>
      </c>
      <c r="K159" s="813" t="s">
        <v>41</v>
      </c>
      <c r="L159" s="813">
        <v>12</v>
      </c>
      <c r="M159" s="813"/>
      <c r="N159" s="813">
        <f t="shared" si="32"/>
        <v>0</v>
      </c>
      <c r="O159" s="813">
        <v>0</v>
      </c>
      <c r="P159" s="813">
        <v>0</v>
      </c>
      <c r="Q159" s="813">
        <v>0</v>
      </c>
      <c r="R159" s="813">
        <v>0</v>
      </c>
      <c r="S159" s="813">
        <v>0</v>
      </c>
      <c r="T159" s="813">
        <v>0</v>
      </c>
      <c r="U159" s="813">
        <v>0</v>
      </c>
      <c r="V159" s="813">
        <v>0</v>
      </c>
      <c r="W159" s="813">
        <v>0</v>
      </c>
      <c r="X159" s="813">
        <v>0</v>
      </c>
      <c r="Y159" s="813">
        <v>0</v>
      </c>
      <c r="Z159" s="813">
        <v>0</v>
      </c>
    </row>
    <row r="160" spans="1:26" s="872" customFormat="1" ht="22.5" customHeight="1" x14ac:dyDescent="0.25">
      <c r="A160" s="868"/>
      <c r="B160" s="869"/>
      <c r="C160" s="869"/>
      <c r="D160" s="869"/>
      <c r="E160" s="870"/>
      <c r="F160" s="870"/>
      <c r="G160" s="870"/>
      <c r="H160" s="870"/>
      <c r="I160" s="870"/>
      <c r="J160" s="871" t="s">
        <v>20</v>
      </c>
      <c r="K160" s="870"/>
      <c r="L160" s="813">
        <v>12</v>
      </c>
      <c r="M160" s="830">
        <f>SUM(M159:M159)</f>
        <v>0</v>
      </c>
      <c r="N160" s="830">
        <f t="shared" ref="N160:Z160" si="34">SUM(N155:N159)</f>
        <v>1500000</v>
      </c>
      <c r="O160" s="830">
        <f t="shared" si="34"/>
        <v>1500000</v>
      </c>
      <c r="P160" s="830">
        <f t="shared" si="34"/>
        <v>0</v>
      </c>
      <c r="Q160" s="830">
        <f t="shared" si="34"/>
        <v>0</v>
      </c>
      <c r="R160" s="830">
        <f t="shared" si="34"/>
        <v>0</v>
      </c>
      <c r="S160" s="830">
        <f t="shared" si="34"/>
        <v>0</v>
      </c>
      <c r="T160" s="830">
        <f t="shared" si="34"/>
        <v>0</v>
      </c>
      <c r="U160" s="830">
        <f t="shared" si="34"/>
        <v>0</v>
      </c>
      <c r="V160" s="830">
        <f t="shared" si="34"/>
        <v>0</v>
      </c>
      <c r="W160" s="830">
        <f t="shared" si="34"/>
        <v>0</v>
      </c>
      <c r="X160" s="830">
        <f t="shared" si="34"/>
        <v>0</v>
      </c>
      <c r="Y160" s="830">
        <f t="shared" si="34"/>
        <v>0</v>
      </c>
      <c r="Z160" s="830">
        <f t="shared" si="34"/>
        <v>0</v>
      </c>
    </row>
    <row r="161" spans="1:26" ht="18" x14ac:dyDescent="0.25">
      <c r="A161" s="853" t="str">
        <f>CONCATENATE(B22," ",C22)</f>
        <v xml:space="preserve">Objective 3.2 NSR Purchases </v>
      </c>
      <c r="B161" s="853"/>
      <c r="C161" s="854"/>
      <c r="D161" s="854"/>
      <c r="E161" s="855"/>
      <c r="F161" s="855"/>
      <c r="G161" s="855"/>
      <c r="H161" s="855"/>
      <c r="I161" s="855"/>
      <c r="J161" s="855"/>
      <c r="K161" s="855"/>
      <c r="L161" s="855"/>
      <c r="M161" s="855"/>
      <c r="N161" s="855"/>
      <c r="O161" s="855" t="s">
        <v>5</v>
      </c>
      <c r="P161" s="855"/>
      <c r="Q161" s="855"/>
      <c r="R161" s="855"/>
      <c r="S161" s="855"/>
      <c r="T161" s="855"/>
      <c r="U161" s="855"/>
      <c r="V161" s="855"/>
      <c r="W161" s="855"/>
      <c r="X161" s="855"/>
      <c r="Y161" s="855"/>
      <c r="Z161" s="855"/>
    </row>
    <row r="162" spans="1:26" ht="60" x14ac:dyDescent="0.25">
      <c r="A162" s="828" t="s">
        <v>261</v>
      </c>
      <c r="B162" s="828" t="s">
        <v>13</v>
      </c>
      <c r="C162" s="828" t="s">
        <v>14</v>
      </c>
      <c r="D162" s="865" t="s">
        <v>286</v>
      </c>
      <c r="E162" s="830" t="s">
        <v>16</v>
      </c>
      <c r="F162" s="830" t="s">
        <v>295</v>
      </c>
      <c r="G162" s="830" t="s">
        <v>39</v>
      </c>
      <c r="H162" s="830" t="s">
        <v>297</v>
      </c>
      <c r="I162" s="830" t="s">
        <v>298</v>
      </c>
      <c r="J162" s="830" t="s">
        <v>299</v>
      </c>
      <c r="K162" s="830" t="s">
        <v>300</v>
      </c>
      <c r="L162" s="830" t="s">
        <v>17</v>
      </c>
      <c r="M162" s="830" t="s">
        <v>18</v>
      </c>
      <c r="N162" s="830" t="s">
        <v>825</v>
      </c>
      <c r="O162" s="832">
        <v>43101</v>
      </c>
      <c r="P162" s="832">
        <v>43132</v>
      </c>
      <c r="Q162" s="832">
        <v>43160</v>
      </c>
      <c r="R162" s="832">
        <v>43191</v>
      </c>
      <c r="S162" s="832">
        <v>43221</v>
      </c>
      <c r="T162" s="832">
        <v>43252</v>
      </c>
      <c r="U162" s="832">
        <v>43282</v>
      </c>
      <c r="V162" s="832">
        <v>43313</v>
      </c>
      <c r="W162" s="832">
        <v>43344</v>
      </c>
      <c r="X162" s="832">
        <v>43374</v>
      </c>
      <c r="Y162" s="832">
        <v>43405</v>
      </c>
      <c r="Z162" s="832">
        <v>43435</v>
      </c>
    </row>
    <row r="163" spans="1:26" ht="14.25" customHeight="1" x14ac:dyDescent="0.25">
      <c r="A163" s="833" t="s">
        <v>1333</v>
      </c>
      <c r="B163" s="833" t="s">
        <v>952</v>
      </c>
      <c r="C163" s="833" t="s">
        <v>953</v>
      </c>
      <c r="D163" s="866" t="s">
        <v>1578</v>
      </c>
      <c r="E163" s="812" t="s">
        <v>206</v>
      </c>
      <c r="F163" s="813"/>
      <c r="G163" s="814"/>
      <c r="H163" s="813" t="s">
        <v>41</v>
      </c>
      <c r="I163" s="813" t="s">
        <v>41</v>
      </c>
      <c r="J163" s="813" t="s">
        <v>41</v>
      </c>
      <c r="K163" s="813" t="s">
        <v>41</v>
      </c>
      <c r="L163" s="813">
        <v>12</v>
      </c>
      <c r="M163" s="813"/>
      <c r="N163" s="813">
        <f t="shared" ref="N163" si="35">SUM(O163:Z163)</f>
        <v>0</v>
      </c>
      <c r="O163" s="813">
        <v>0</v>
      </c>
      <c r="P163" s="813">
        <v>0</v>
      </c>
      <c r="Q163" s="813">
        <v>0</v>
      </c>
      <c r="R163" s="813">
        <v>0</v>
      </c>
      <c r="S163" s="813">
        <v>0</v>
      </c>
      <c r="T163" s="813">
        <v>0</v>
      </c>
      <c r="U163" s="813">
        <v>0</v>
      </c>
      <c r="V163" s="813">
        <v>0</v>
      </c>
      <c r="W163" s="813">
        <v>0</v>
      </c>
      <c r="X163" s="813">
        <v>0</v>
      </c>
      <c r="Y163" s="813">
        <v>0</v>
      </c>
      <c r="Z163" s="813">
        <v>0</v>
      </c>
    </row>
    <row r="164" spans="1:26" s="872" customFormat="1" ht="22.5" customHeight="1" x14ac:dyDescent="0.25">
      <c r="A164" s="868"/>
      <c r="B164" s="869"/>
      <c r="C164" s="869"/>
      <c r="D164" s="869"/>
      <c r="E164" s="870"/>
      <c r="F164" s="870"/>
      <c r="G164" s="870"/>
      <c r="H164" s="870"/>
      <c r="I164" s="870"/>
      <c r="J164" s="871" t="s">
        <v>20</v>
      </c>
      <c r="K164" s="870"/>
      <c r="L164" s="813">
        <v>12</v>
      </c>
      <c r="M164" s="830">
        <f t="shared" ref="M164:Z164" si="36">SUM(M163:M163)</f>
        <v>0</v>
      </c>
      <c r="N164" s="830">
        <f t="shared" si="36"/>
        <v>0</v>
      </c>
      <c r="O164" s="830">
        <f t="shared" si="36"/>
        <v>0</v>
      </c>
      <c r="P164" s="830">
        <f t="shared" si="36"/>
        <v>0</v>
      </c>
      <c r="Q164" s="830">
        <f t="shared" si="36"/>
        <v>0</v>
      </c>
      <c r="R164" s="830">
        <f t="shared" si="36"/>
        <v>0</v>
      </c>
      <c r="S164" s="830">
        <f t="shared" si="36"/>
        <v>0</v>
      </c>
      <c r="T164" s="830">
        <f t="shared" si="36"/>
        <v>0</v>
      </c>
      <c r="U164" s="830">
        <f t="shared" si="36"/>
        <v>0</v>
      </c>
      <c r="V164" s="830">
        <f t="shared" si="36"/>
        <v>0</v>
      </c>
      <c r="W164" s="830">
        <f t="shared" si="36"/>
        <v>0</v>
      </c>
      <c r="X164" s="830">
        <f t="shared" si="36"/>
        <v>0</v>
      </c>
      <c r="Y164" s="830">
        <f t="shared" si="36"/>
        <v>0</v>
      </c>
      <c r="Z164" s="830">
        <f t="shared" si="36"/>
        <v>0</v>
      </c>
    </row>
    <row r="165" spans="1:26" ht="18" x14ac:dyDescent="0.25">
      <c r="A165" s="853" t="str">
        <f>CONCATENATE(B23," ",C23)</f>
        <v xml:space="preserve">Objective 3.3 Mining Rights Purchases </v>
      </c>
      <c r="B165" s="853"/>
      <c r="C165" s="854"/>
      <c r="D165" s="854"/>
      <c r="E165" s="855"/>
      <c r="F165" s="855"/>
      <c r="G165" s="855"/>
      <c r="H165" s="855"/>
      <c r="I165" s="855"/>
      <c r="J165" s="855"/>
      <c r="K165" s="855"/>
      <c r="L165" s="855"/>
      <c r="M165" s="855"/>
      <c r="N165" s="855"/>
      <c r="O165" s="855" t="s">
        <v>5</v>
      </c>
      <c r="P165" s="855"/>
      <c r="Q165" s="855"/>
      <c r="R165" s="855"/>
      <c r="S165" s="855"/>
      <c r="T165" s="855"/>
      <c r="U165" s="855"/>
      <c r="V165" s="855"/>
      <c r="W165" s="855"/>
      <c r="X165" s="855"/>
      <c r="Y165" s="855"/>
      <c r="Z165" s="855"/>
    </row>
    <row r="166" spans="1:26" ht="60" x14ac:dyDescent="0.25">
      <c r="A166" s="828" t="s">
        <v>261</v>
      </c>
      <c r="B166" s="828" t="s">
        <v>13</v>
      </c>
      <c r="C166" s="828" t="s">
        <v>14</v>
      </c>
      <c r="D166" s="865" t="s">
        <v>286</v>
      </c>
      <c r="E166" s="830" t="s">
        <v>16</v>
      </c>
      <c r="F166" s="830" t="s">
        <v>295</v>
      </c>
      <c r="G166" s="830" t="s">
        <v>39</v>
      </c>
      <c r="H166" s="830" t="s">
        <v>297</v>
      </c>
      <c r="I166" s="830" t="s">
        <v>298</v>
      </c>
      <c r="J166" s="830" t="s">
        <v>299</v>
      </c>
      <c r="K166" s="830" t="s">
        <v>300</v>
      </c>
      <c r="L166" s="830" t="s">
        <v>17</v>
      </c>
      <c r="M166" s="830" t="s">
        <v>18</v>
      </c>
      <c r="N166" s="830" t="s">
        <v>825</v>
      </c>
      <c r="O166" s="832">
        <v>43101</v>
      </c>
      <c r="P166" s="832">
        <v>43132</v>
      </c>
      <c r="Q166" s="832">
        <v>43160</v>
      </c>
      <c r="R166" s="832">
        <v>43191</v>
      </c>
      <c r="S166" s="832">
        <v>43221</v>
      </c>
      <c r="T166" s="832">
        <v>43252</v>
      </c>
      <c r="U166" s="832">
        <v>43282</v>
      </c>
      <c r="V166" s="832">
        <v>43313</v>
      </c>
      <c r="W166" s="832">
        <v>43344</v>
      </c>
      <c r="X166" s="832">
        <v>43374</v>
      </c>
      <c r="Y166" s="832">
        <v>43405</v>
      </c>
      <c r="Z166" s="832">
        <v>43435</v>
      </c>
    </row>
    <row r="167" spans="1:26" ht="15" customHeight="1" x14ac:dyDescent="0.25">
      <c r="A167" s="833" t="s">
        <v>1334</v>
      </c>
      <c r="B167" s="833" t="s">
        <v>935</v>
      </c>
      <c r="C167" s="833" t="s">
        <v>936</v>
      </c>
      <c r="D167" s="866" t="s">
        <v>1579</v>
      </c>
      <c r="E167" s="812" t="s">
        <v>206</v>
      </c>
      <c r="F167" s="813"/>
      <c r="G167" s="814"/>
      <c r="H167" s="813" t="s">
        <v>41</v>
      </c>
      <c r="I167" s="813" t="s">
        <v>41</v>
      </c>
      <c r="J167" s="813" t="s">
        <v>41</v>
      </c>
      <c r="K167" s="813" t="s">
        <v>41</v>
      </c>
      <c r="L167" s="813">
        <v>12</v>
      </c>
      <c r="M167" s="813"/>
      <c r="N167" s="813">
        <f t="shared" ref="N167:N173" si="37">SUM(O167:Z167)</f>
        <v>200000</v>
      </c>
      <c r="O167" s="813">
        <v>0</v>
      </c>
      <c r="P167" s="813">
        <v>0</v>
      </c>
      <c r="Q167" s="813">
        <v>0</v>
      </c>
      <c r="R167" s="813">
        <v>0</v>
      </c>
      <c r="S167" s="813">
        <v>0</v>
      </c>
      <c r="T167" s="813">
        <v>0</v>
      </c>
      <c r="U167" s="813">
        <v>0</v>
      </c>
      <c r="V167" s="813">
        <v>0</v>
      </c>
      <c r="W167" s="813">
        <v>0</v>
      </c>
      <c r="X167" s="813">
        <v>0</v>
      </c>
      <c r="Y167" s="813">
        <v>0</v>
      </c>
      <c r="Z167" s="813">
        <v>200000</v>
      </c>
    </row>
    <row r="168" spans="1:26" ht="15" customHeight="1" x14ac:dyDescent="0.25">
      <c r="A168" s="833" t="s">
        <v>1335</v>
      </c>
      <c r="B168" s="833" t="s">
        <v>935</v>
      </c>
      <c r="C168" s="833" t="s">
        <v>939</v>
      </c>
      <c r="D168" s="866" t="s">
        <v>1579</v>
      </c>
      <c r="E168" s="812" t="s">
        <v>206</v>
      </c>
      <c r="F168" s="813"/>
      <c r="G168" s="814"/>
      <c r="H168" s="813" t="s">
        <v>41</v>
      </c>
      <c r="I168" s="813" t="s">
        <v>41</v>
      </c>
      <c r="J168" s="813" t="s">
        <v>41</v>
      </c>
      <c r="K168" s="813" t="s">
        <v>41</v>
      </c>
      <c r="L168" s="813">
        <v>12</v>
      </c>
      <c r="M168" s="813"/>
      <c r="N168" s="813">
        <f t="shared" si="37"/>
        <v>300000</v>
      </c>
      <c r="O168" s="813">
        <v>0</v>
      </c>
      <c r="P168" s="813">
        <v>0</v>
      </c>
      <c r="Q168" s="813">
        <v>0</v>
      </c>
      <c r="R168" s="813">
        <v>0</v>
      </c>
      <c r="S168" s="813">
        <v>0</v>
      </c>
      <c r="T168" s="813">
        <v>0</v>
      </c>
      <c r="U168" s="813">
        <v>0</v>
      </c>
      <c r="V168" s="813">
        <v>0</v>
      </c>
      <c r="W168" s="813">
        <v>0</v>
      </c>
      <c r="X168" s="813">
        <v>0</v>
      </c>
      <c r="Y168" s="813">
        <v>0</v>
      </c>
      <c r="Z168" s="813">
        <v>300000</v>
      </c>
    </row>
    <row r="169" spans="1:26" ht="15" customHeight="1" x14ac:dyDescent="0.25">
      <c r="A169" s="833" t="s">
        <v>1336</v>
      </c>
      <c r="B169" s="833" t="s">
        <v>935</v>
      </c>
      <c r="C169" s="833" t="s">
        <v>1337</v>
      </c>
      <c r="D169" s="866" t="s">
        <v>1579</v>
      </c>
      <c r="E169" s="812" t="s">
        <v>206</v>
      </c>
      <c r="F169" s="813"/>
      <c r="G169" s="814"/>
      <c r="H169" s="813" t="s">
        <v>41</v>
      </c>
      <c r="I169" s="813" t="s">
        <v>41</v>
      </c>
      <c r="J169" s="813" t="s">
        <v>41</v>
      </c>
      <c r="K169" s="813" t="s">
        <v>41</v>
      </c>
      <c r="L169" s="813">
        <v>12</v>
      </c>
      <c r="M169" s="813"/>
      <c r="N169" s="813">
        <f t="shared" si="37"/>
        <v>2160000</v>
      </c>
      <c r="O169" s="813">
        <v>0</v>
      </c>
      <c r="P169" s="813">
        <v>0</v>
      </c>
      <c r="Q169" s="813">
        <v>0</v>
      </c>
      <c r="R169" s="813">
        <v>0</v>
      </c>
      <c r="S169" s="813">
        <v>0</v>
      </c>
      <c r="T169" s="813">
        <v>0</v>
      </c>
      <c r="U169" s="813">
        <v>0</v>
      </c>
      <c r="V169" s="813">
        <v>0</v>
      </c>
      <c r="W169" s="813">
        <v>0</v>
      </c>
      <c r="X169" s="813">
        <v>0</v>
      </c>
      <c r="Y169" s="813">
        <v>0</v>
      </c>
      <c r="Z169" s="813">
        <v>2160000</v>
      </c>
    </row>
    <row r="170" spans="1:26" ht="15" customHeight="1" x14ac:dyDescent="0.25">
      <c r="A170" s="833" t="s">
        <v>1338</v>
      </c>
      <c r="B170" s="833" t="s">
        <v>935</v>
      </c>
      <c r="C170" s="833" t="s">
        <v>943</v>
      </c>
      <c r="D170" s="866" t="s">
        <v>944</v>
      </c>
      <c r="E170" s="812" t="s">
        <v>206</v>
      </c>
      <c r="F170" s="813"/>
      <c r="G170" s="814"/>
      <c r="H170" s="813" t="s">
        <v>41</v>
      </c>
      <c r="I170" s="813" t="s">
        <v>41</v>
      </c>
      <c r="J170" s="813" t="s">
        <v>41</v>
      </c>
      <c r="K170" s="813" t="s">
        <v>41</v>
      </c>
      <c r="L170" s="813">
        <v>12</v>
      </c>
      <c r="M170" s="813"/>
      <c r="N170" s="813">
        <f t="shared" si="37"/>
        <v>0</v>
      </c>
      <c r="O170" s="813">
        <v>0</v>
      </c>
      <c r="P170" s="813">
        <v>0</v>
      </c>
      <c r="Q170" s="813">
        <v>0</v>
      </c>
      <c r="R170" s="813">
        <v>0</v>
      </c>
      <c r="S170" s="813">
        <v>0</v>
      </c>
      <c r="T170" s="813">
        <v>0</v>
      </c>
      <c r="U170" s="813">
        <v>0</v>
      </c>
      <c r="V170" s="813">
        <v>0</v>
      </c>
      <c r="W170" s="813">
        <v>0</v>
      </c>
      <c r="X170" s="813">
        <v>0</v>
      </c>
      <c r="Y170" s="813">
        <v>0</v>
      </c>
      <c r="Z170" s="813">
        <v>0</v>
      </c>
    </row>
    <row r="171" spans="1:26" ht="15" customHeight="1" x14ac:dyDescent="0.25">
      <c r="A171" s="833" t="s">
        <v>1339</v>
      </c>
      <c r="B171" s="833" t="s">
        <v>935</v>
      </c>
      <c r="C171" s="833" t="s">
        <v>946</v>
      </c>
      <c r="D171" s="866" t="s">
        <v>1579</v>
      </c>
      <c r="E171" s="812" t="s">
        <v>206</v>
      </c>
      <c r="F171" s="813"/>
      <c r="G171" s="814"/>
      <c r="H171" s="813" t="s">
        <v>41</v>
      </c>
      <c r="I171" s="813" t="s">
        <v>41</v>
      </c>
      <c r="J171" s="813" t="s">
        <v>41</v>
      </c>
      <c r="K171" s="813" t="s">
        <v>41</v>
      </c>
      <c r="L171" s="813">
        <v>12</v>
      </c>
      <c r="M171" s="813"/>
      <c r="N171" s="813">
        <f t="shared" si="37"/>
        <v>22400</v>
      </c>
      <c r="O171" s="813">
        <v>0</v>
      </c>
      <c r="P171" s="813">
        <v>0</v>
      </c>
      <c r="Q171" s="813">
        <v>0</v>
      </c>
      <c r="R171" s="813">
        <v>0</v>
      </c>
      <c r="S171" s="813">
        <v>0</v>
      </c>
      <c r="T171" s="813">
        <v>0</v>
      </c>
      <c r="U171" s="813">
        <v>0</v>
      </c>
      <c r="V171" s="813">
        <v>0</v>
      </c>
      <c r="W171" s="813">
        <v>0</v>
      </c>
      <c r="X171" s="813">
        <v>0</v>
      </c>
      <c r="Y171" s="813">
        <v>0</v>
      </c>
      <c r="Z171" s="813">
        <v>22400</v>
      </c>
    </row>
    <row r="172" spans="1:26" ht="15" customHeight="1" x14ac:dyDescent="0.25">
      <c r="A172" s="833" t="s">
        <v>1340</v>
      </c>
      <c r="B172" s="833" t="s">
        <v>935</v>
      </c>
      <c r="C172" s="833" t="s">
        <v>948</v>
      </c>
      <c r="D172" s="866" t="s">
        <v>1579</v>
      </c>
      <c r="E172" s="812" t="s">
        <v>206</v>
      </c>
      <c r="F172" s="813"/>
      <c r="G172" s="814"/>
      <c r="H172" s="813" t="s">
        <v>41</v>
      </c>
      <c r="I172" s="813" t="s">
        <v>41</v>
      </c>
      <c r="J172" s="813" t="s">
        <v>41</v>
      </c>
      <c r="K172" s="813" t="s">
        <v>41</v>
      </c>
      <c r="L172" s="813">
        <v>12</v>
      </c>
      <c r="M172" s="813"/>
      <c r="N172" s="813">
        <f t="shared" si="37"/>
        <v>35200</v>
      </c>
      <c r="O172" s="813">
        <v>0</v>
      </c>
      <c r="P172" s="813">
        <v>0</v>
      </c>
      <c r="Q172" s="813">
        <v>0</v>
      </c>
      <c r="R172" s="813">
        <v>0</v>
      </c>
      <c r="S172" s="813">
        <v>0</v>
      </c>
      <c r="T172" s="813">
        <v>0</v>
      </c>
      <c r="U172" s="813">
        <v>0</v>
      </c>
      <c r="V172" s="813">
        <v>0</v>
      </c>
      <c r="W172" s="813">
        <v>0</v>
      </c>
      <c r="X172" s="813">
        <v>0</v>
      </c>
      <c r="Y172" s="813">
        <v>0</v>
      </c>
      <c r="Z172" s="813">
        <v>35200</v>
      </c>
    </row>
    <row r="173" spans="1:26" ht="15" customHeight="1" x14ac:dyDescent="0.25">
      <c r="A173" s="833" t="s">
        <v>1341</v>
      </c>
      <c r="B173" s="833" t="s">
        <v>935</v>
      </c>
      <c r="C173" s="833" t="s">
        <v>950</v>
      </c>
      <c r="D173" s="866" t="s">
        <v>1580</v>
      </c>
      <c r="E173" s="812" t="s">
        <v>206</v>
      </c>
      <c r="F173" s="813"/>
      <c r="G173" s="814"/>
      <c r="H173" s="813" t="s">
        <v>41</v>
      </c>
      <c r="I173" s="813" t="s">
        <v>41</v>
      </c>
      <c r="J173" s="813" t="s">
        <v>41</v>
      </c>
      <c r="K173" s="813" t="s">
        <v>41</v>
      </c>
      <c r="L173" s="813">
        <v>12</v>
      </c>
      <c r="M173" s="813"/>
      <c r="N173" s="813">
        <f t="shared" si="37"/>
        <v>0</v>
      </c>
      <c r="O173" s="813">
        <v>0</v>
      </c>
      <c r="P173" s="813">
        <v>0</v>
      </c>
      <c r="Q173" s="813">
        <v>0</v>
      </c>
      <c r="R173" s="813">
        <v>0</v>
      </c>
      <c r="S173" s="813">
        <v>0</v>
      </c>
      <c r="T173" s="813">
        <v>0</v>
      </c>
      <c r="U173" s="813">
        <v>0</v>
      </c>
      <c r="V173" s="813">
        <v>0</v>
      </c>
      <c r="W173" s="813">
        <v>0</v>
      </c>
      <c r="X173" s="813">
        <v>0</v>
      </c>
      <c r="Y173" s="813">
        <v>0</v>
      </c>
      <c r="Z173" s="813">
        <v>0</v>
      </c>
    </row>
    <row r="174" spans="1:26" s="872" customFormat="1" ht="22.5" customHeight="1" x14ac:dyDescent="0.25">
      <c r="A174" s="868"/>
      <c r="B174" s="869"/>
      <c r="C174" s="869"/>
      <c r="D174" s="869"/>
      <c r="E174" s="870"/>
      <c r="F174" s="870"/>
      <c r="G174" s="870"/>
      <c r="H174" s="870"/>
      <c r="I174" s="870"/>
      <c r="J174" s="871" t="s">
        <v>20</v>
      </c>
      <c r="K174" s="870"/>
      <c r="L174" s="813">
        <v>12</v>
      </c>
      <c r="M174" s="830">
        <f t="shared" ref="M174:Z174" si="38">SUM(M167:M173)</f>
        <v>0</v>
      </c>
      <c r="N174" s="830">
        <f t="shared" si="38"/>
        <v>2717600</v>
      </c>
      <c r="O174" s="830">
        <f t="shared" si="38"/>
        <v>0</v>
      </c>
      <c r="P174" s="830">
        <f t="shared" si="38"/>
        <v>0</v>
      </c>
      <c r="Q174" s="830">
        <f t="shared" si="38"/>
        <v>0</v>
      </c>
      <c r="R174" s="830">
        <f t="shared" si="38"/>
        <v>0</v>
      </c>
      <c r="S174" s="830">
        <f t="shared" si="38"/>
        <v>0</v>
      </c>
      <c r="T174" s="830">
        <f t="shared" si="38"/>
        <v>0</v>
      </c>
      <c r="U174" s="830">
        <f t="shared" si="38"/>
        <v>0</v>
      </c>
      <c r="V174" s="830">
        <f t="shared" si="38"/>
        <v>0</v>
      </c>
      <c r="W174" s="830">
        <f t="shared" si="38"/>
        <v>0</v>
      </c>
      <c r="X174" s="830">
        <f t="shared" si="38"/>
        <v>0</v>
      </c>
      <c r="Y174" s="830">
        <f t="shared" si="38"/>
        <v>0</v>
      </c>
      <c r="Z174" s="830">
        <f t="shared" si="38"/>
        <v>2717600</v>
      </c>
    </row>
    <row r="175" spans="1:26" ht="18" x14ac:dyDescent="0.25">
      <c r="A175" s="853" t="str">
        <f>CONCATENATE(B24," ",C24)</f>
        <v>Objective 3.4 Land Access (Ingreso Enero 2018)</v>
      </c>
      <c r="B175" s="853"/>
      <c r="C175" s="854"/>
      <c r="D175" s="854"/>
      <c r="E175" s="855"/>
      <c r="F175" s="855"/>
      <c r="G175" s="855"/>
      <c r="H175" s="855"/>
      <c r="I175" s="855"/>
      <c r="J175" s="855"/>
      <c r="K175" s="855"/>
      <c r="L175" s="855"/>
      <c r="M175" s="855"/>
      <c r="N175" s="855"/>
      <c r="O175" s="855" t="s">
        <v>5</v>
      </c>
      <c r="P175" s="855"/>
      <c r="Q175" s="855"/>
      <c r="R175" s="855"/>
      <c r="S175" s="855"/>
      <c r="T175" s="855"/>
      <c r="U175" s="855"/>
      <c r="V175" s="855"/>
      <c r="W175" s="855"/>
      <c r="X175" s="855"/>
      <c r="Y175" s="855"/>
      <c r="Z175" s="855"/>
    </row>
    <row r="176" spans="1:26" ht="60" x14ac:dyDescent="0.25">
      <c r="A176" s="828" t="s">
        <v>261</v>
      </c>
      <c r="B176" s="828" t="s">
        <v>13</v>
      </c>
      <c r="C176" s="828" t="s">
        <v>14</v>
      </c>
      <c r="D176" s="865" t="s">
        <v>286</v>
      </c>
      <c r="E176" s="830" t="s">
        <v>16</v>
      </c>
      <c r="F176" s="830" t="s">
        <v>295</v>
      </c>
      <c r="G176" s="830" t="s">
        <v>39</v>
      </c>
      <c r="H176" s="830" t="s">
        <v>297</v>
      </c>
      <c r="I176" s="830" t="s">
        <v>298</v>
      </c>
      <c r="J176" s="830" t="s">
        <v>299</v>
      </c>
      <c r="K176" s="830" t="s">
        <v>300</v>
      </c>
      <c r="L176" s="830" t="s">
        <v>17</v>
      </c>
      <c r="M176" s="830" t="s">
        <v>18</v>
      </c>
      <c r="N176" s="830" t="s">
        <v>825</v>
      </c>
      <c r="O176" s="832">
        <v>43101</v>
      </c>
      <c r="P176" s="832">
        <v>43132</v>
      </c>
      <c r="Q176" s="832">
        <v>43160</v>
      </c>
      <c r="R176" s="832">
        <v>43191</v>
      </c>
      <c r="S176" s="832">
        <v>43221</v>
      </c>
      <c r="T176" s="832">
        <v>43252</v>
      </c>
      <c r="U176" s="832">
        <v>43282</v>
      </c>
      <c r="V176" s="832">
        <v>43313</v>
      </c>
      <c r="W176" s="832">
        <v>43344</v>
      </c>
      <c r="X176" s="832">
        <v>43374</v>
      </c>
      <c r="Y176" s="832">
        <v>43405</v>
      </c>
      <c r="Z176" s="832">
        <v>43435</v>
      </c>
    </row>
    <row r="177" spans="1:26" ht="15.75" customHeight="1" x14ac:dyDescent="0.25">
      <c r="A177" s="833" t="s">
        <v>1342</v>
      </c>
      <c r="B177" s="833" t="s">
        <v>959</v>
      </c>
      <c r="C177" s="833" t="s">
        <v>1343</v>
      </c>
      <c r="D177" s="866" t="s">
        <v>1517</v>
      </c>
      <c r="E177" s="812" t="s">
        <v>206</v>
      </c>
      <c r="F177" s="813"/>
      <c r="G177" s="814"/>
      <c r="H177" s="813" t="s">
        <v>41</v>
      </c>
      <c r="I177" s="813" t="s">
        <v>41</v>
      </c>
      <c r="J177" s="813" t="s">
        <v>41</v>
      </c>
      <c r="K177" s="813" t="s">
        <v>41</v>
      </c>
      <c r="L177" s="813">
        <v>12</v>
      </c>
      <c r="M177" s="813"/>
      <c r="N177" s="813">
        <f t="shared" ref="N177:N179" si="39">SUM(O177:Z177)</f>
        <v>0</v>
      </c>
      <c r="O177" s="813">
        <v>0</v>
      </c>
      <c r="P177" s="813">
        <v>0</v>
      </c>
      <c r="Q177" s="813">
        <v>0</v>
      </c>
      <c r="R177" s="813">
        <v>0</v>
      </c>
      <c r="S177" s="813">
        <v>0</v>
      </c>
      <c r="T177" s="813">
        <v>0</v>
      </c>
      <c r="U177" s="813">
        <v>0</v>
      </c>
      <c r="V177" s="813">
        <v>0</v>
      </c>
      <c r="W177" s="813">
        <v>0</v>
      </c>
      <c r="X177" s="813">
        <v>0</v>
      </c>
      <c r="Y177" s="813">
        <v>0</v>
      </c>
      <c r="Z177" s="813">
        <v>0</v>
      </c>
    </row>
    <row r="178" spans="1:26" ht="15.75" customHeight="1" x14ac:dyDescent="0.25">
      <c r="A178" s="833" t="s">
        <v>1344</v>
      </c>
      <c r="B178" s="833" t="s">
        <v>959</v>
      </c>
      <c r="C178" s="833" t="s">
        <v>1581</v>
      </c>
      <c r="D178" s="866" t="s">
        <v>1582</v>
      </c>
      <c r="E178" s="812" t="s">
        <v>206</v>
      </c>
      <c r="F178" s="813"/>
      <c r="G178" s="814"/>
      <c r="H178" s="813" t="s">
        <v>41</v>
      </c>
      <c r="I178" s="813" t="s">
        <v>41</v>
      </c>
      <c r="J178" s="813" t="s">
        <v>41</v>
      </c>
      <c r="K178" s="813" t="s">
        <v>41</v>
      </c>
      <c r="L178" s="813">
        <v>12</v>
      </c>
      <c r="M178" s="813"/>
      <c r="N178" s="813">
        <v>0</v>
      </c>
      <c r="O178" s="813">
        <v>0</v>
      </c>
      <c r="P178" s="813">
        <v>0</v>
      </c>
      <c r="Q178" s="813">
        <v>0</v>
      </c>
      <c r="R178" s="813">
        <v>0</v>
      </c>
      <c r="S178" s="813">
        <v>0</v>
      </c>
      <c r="T178" s="813">
        <v>0</v>
      </c>
      <c r="U178" s="813">
        <v>0</v>
      </c>
      <c r="V178" s="813">
        <v>0</v>
      </c>
      <c r="W178" s="813">
        <v>0</v>
      </c>
      <c r="X178" s="813">
        <v>0</v>
      </c>
      <c r="Y178" s="813">
        <v>0</v>
      </c>
      <c r="Z178" s="813">
        <v>0</v>
      </c>
    </row>
    <row r="179" spans="1:26" ht="15.75" customHeight="1" x14ac:dyDescent="0.25">
      <c r="A179" s="833" t="s">
        <v>1345</v>
      </c>
      <c r="B179" s="833" t="s">
        <v>959</v>
      </c>
      <c r="C179" s="833" t="s">
        <v>1346</v>
      </c>
      <c r="D179" s="866" t="s">
        <v>982</v>
      </c>
      <c r="E179" s="812" t="s">
        <v>206</v>
      </c>
      <c r="F179" s="813"/>
      <c r="G179" s="814"/>
      <c r="H179" s="813" t="s">
        <v>41</v>
      </c>
      <c r="I179" s="813" t="s">
        <v>41</v>
      </c>
      <c r="J179" s="813" t="s">
        <v>41</v>
      </c>
      <c r="K179" s="813" t="s">
        <v>41</v>
      </c>
      <c r="L179" s="813">
        <v>12</v>
      </c>
      <c r="M179" s="813"/>
      <c r="N179" s="813">
        <f t="shared" si="39"/>
        <v>0</v>
      </c>
      <c r="O179" s="813">
        <f t="shared" ref="O179:Z179" si="40">+(O177+O178)*0.2</f>
        <v>0</v>
      </c>
      <c r="P179" s="813">
        <f t="shared" si="40"/>
        <v>0</v>
      </c>
      <c r="Q179" s="813">
        <f t="shared" si="40"/>
        <v>0</v>
      </c>
      <c r="R179" s="813">
        <f t="shared" si="40"/>
        <v>0</v>
      </c>
      <c r="S179" s="813">
        <f t="shared" si="40"/>
        <v>0</v>
      </c>
      <c r="T179" s="813">
        <f t="shared" si="40"/>
        <v>0</v>
      </c>
      <c r="U179" s="813">
        <f t="shared" si="40"/>
        <v>0</v>
      </c>
      <c r="V179" s="813">
        <f t="shared" si="40"/>
        <v>0</v>
      </c>
      <c r="W179" s="813">
        <f t="shared" si="40"/>
        <v>0</v>
      </c>
      <c r="X179" s="813">
        <f t="shared" si="40"/>
        <v>0</v>
      </c>
      <c r="Y179" s="813">
        <f t="shared" si="40"/>
        <v>0</v>
      </c>
      <c r="Z179" s="813">
        <f t="shared" si="40"/>
        <v>0</v>
      </c>
    </row>
    <row r="180" spans="1:26" s="872" customFormat="1" ht="22.5" customHeight="1" x14ac:dyDescent="0.25">
      <c r="A180" s="868"/>
      <c r="B180" s="869"/>
      <c r="C180" s="869"/>
      <c r="D180" s="869"/>
      <c r="E180" s="870"/>
      <c r="F180" s="870"/>
      <c r="G180" s="870"/>
      <c r="H180" s="870"/>
      <c r="I180" s="870"/>
      <c r="J180" s="871" t="s">
        <v>20</v>
      </c>
      <c r="K180" s="870"/>
      <c r="L180" s="813">
        <v>12</v>
      </c>
      <c r="M180" s="830">
        <f t="shared" ref="M180:Z180" si="41">SUM(M177:M179)</f>
        <v>0</v>
      </c>
      <c r="N180" s="830">
        <f t="shared" si="41"/>
        <v>0</v>
      </c>
      <c r="O180" s="830">
        <f t="shared" si="41"/>
        <v>0</v>
      </c>
      <c r="P180" s="830">
        <f t="shared" si="41"/>
        <v>0</v>
      </c>
      <c r="Q180" s="830">
        <f t="shared" si="41"/>
        <v>0</v>
      </c>
      <c r="R180" s="830">
        <f t="shared" si="41"/>
        <v>0</v>
      </c>
      <c r="S180" s="830">
        <f t="shared" si="41"/>
        <v>0</v>
      </c>
      <c r="T180" s="830">
        <f t="shared" si="41"/>
        <v>0</v>
      </c>
      <c r="U180" s="830">
        <f t="shared" si="41"/>
        <v>0</v>
      </c>
      <c r="V180" s="830">
        <f t="shared" si="41"/>
        <v>0</v>
      </c>
      <c r="W180" s="830">
        <f t="shared" si="41"/>
        <v>0</v>
      </c>
      <c r="X180" s="830">
        <f t="shared" si="41"/>
        <v>0</v>
      </c>
      <c r="Y180" s="830">
        <f t="shared" si="41"/>
        <v>0</v>
      </c>
      <c r="Z180" s="830">
        <f t="shared" si="41"/>
        <v>0</v>
      </c>
    </row>
    <row r="181" spans="1:26" ht="18" x14ac:dyDescent="0.25">
      <c r="A181" s="853" t="str">
        <f>CONCATENATE(B25," ",C25)</f>
        <v>Objective 3.5 Land Access (Ingreso EIA)</v>
      </c>
      <c r="B181" s="853"/>
      <c r="C181" s="854"/>
      <c r="D181" s="854"/>
      <c r="E181" s="855"/>
      <c r="F181" s="855"/>
      <c r="G181" s="855"/>
      <c r="H181" s="855"/>
      <c r="I181" s="855"/>
      <c r="J181" s="855"/>
      <c r="K181" s="855"/>
      <c r="L181" s="855"/>
      <c r="M181" s="855"/>
      <c r="N181" s="855"/>
      <c r="O181" s="855" t="s">
        <v>5</v>
      </c>
      <c r="P181" s="855"/>
      <c r="Q181" s="855"/>
      <c r="R181" s="855"/>
      <c r="S181" s="855"/>
      <c r="T181" s="855"/>
      <c r="U181" s="855"/>
      <c r="V181" s="855"/>
      <c r="W181" s="855"/>
      <c r="X181" s="855"/>
      <c r="Y181" s="855"/>
      <c r="Z181" s="855"/>
    </row>
    <row r="182" spans="1:26" ht="60" x14ac:dyDescent="0.25">
      <c r="A182" s="828" t="s">
        <v>261</v>
      </c>
      <c r="B182" s="828" t="s">
        <v>13</v>
      </c>
      <c r="C182" s="828" t="s">
        <v>14</v>
      </c>
      <c r="D182" s="865" t="s">
        <v>286</v>
      </c>
      <c r="E182" s="830" t="s">
        <v>16</v>
      </c>
      <c r="F182" s="830" t="s">
        <v>295</v>
      </c>
      <c r="G182" s="830" t="s">
        <v>39</v>
      </c>
      <c r="H182" s="830" t="s">
        <v>297</v>
      </c>
      <c r="I182" s="830" t="s">
        <v>298</v>
      </c>
      <c r="J182" s="830" t="s">
        <v>299</v>
      </c>
      <c r="K182" s="830" t="s">
        <v>300</v>
      </c>
      <c r="L182" s="830" t="s">
        <v>17</v>
      </c>
      <c r="M182" s="830" t="s">
        <v>18</v>
      </c>
      <c r="N182" s="830" t="s">
        <v>825</v>
      </c>
      <c r="O182" s="832">
        <v>43101</v>
      </c>
      <c r="P182" s="832">
        <v>43132</v>
      </c>
      <c r="Q182" s="832">
        <v>43160</v>
      </c>
      <c r="R182" s="832">
        <v>43191</v>
      </c>
      <c r="S182" s="832">
        <v>43221</v>
      </c>
      <c r="T182" s="832">
        <v>43252</v>
      </c>
      <c r="U182" s="832">
        <v>43282</v>
      </c>
      <c r="V182" s="832">
        <v>43313</v>
      </c>
      <c r="W182" s="832">
        <v>43344</v>
      </c>
      <c r="X182" s="832">
        <v>43374</v>
      </c>
      <c r="Y182" s="832">
        <v>43405</v>
      </c>
      <c r="Z182" s="832">
        <v>43435</v>
      </c>
    </row>
    <row r="183" spans="1:26" ht="15.75" customHeight="1" x14ac:dyDescent="0.25">
      <c r="A183" s="833" t="s">
        <v>1347</v>
      </c>
      <c r="B183" s="833" t="s">
        <v>959</v>
      </c>
      <c r="C183" s="833" t="s">
        <v>969</v>
      </c>
      <c r="D183" s="866" t="s">
        <v>970</v>
      </c>
      <c r="E183" s="812" t="s">
        <v>206</v>
      </c>
      <c r="F183" s="813"/>
      <c r="G183" s="814"/>
      <c r="H183" s="813" t="s">
        <v>41</v>
      </c>
      <c r="I183" s="813" t="s">
        <v>41</v>
      </c>
      <c r="J183" s="813" t="s">
        <v>41</v>
      </c>
      <c r="K183" s="813" t="s">
        <v>41</v>
      </c>
      <c r="L183" s="813">
        <v>12</v>
      </c>
      <c r="M183" s="813"/>
      <c r="N183" s="813">
        <f t="shared" ref="N183:N196" si="42">SUM(O183:Z183)</f>
        <v>311801.4705882353</v>
      </c>
      <c r="O183" s="813">
        <v>91249.999999999985</v>
      </c>
      <c r="P183" s="813">
        <v>0</v>
      </c>
      <c r="Q183" s="813">
        <v>0</v>
      </c>
      <c r="R183" s="813">
        <v>3860.2941176470604</v>
      </c>
      <c r="S183" s="813">
        <v>0</v>
      </c>
      <c r="T183" s="813">
        <v>216691.17647058825</v>
      </c>
      <c r="U183" s="813">
        <v>0</v>
      </c>
      <c r="V183" s="813">
        <v>0</v>
      </c>
      <c r="W183" s="813">
        <v>0</v>
      </c>
      <c r="X183" s="813">
        <v>0</v>
      </c>
      <c r="Y183" s="813">
        <v>0</v>
      </c>
      <c r="Z183" s="813">
        <v>0</v>
      </c>
    </row>
    <row r="184" spans="1:26" ht="15.75" customHeight="1" x14ac:dyDescent="0.25">
      <c r="A184" s="833" t="s">
        <v>1348</v>
      </c>
      <c r="B184" s="833" t="s">
        <v>959</v>
      </c>
      <c r="C184" s="833" t="s">
        <v>972</v>
      </c>
      <c r="D184" s="828" t="s">
        <v>1583</v>
      </c>
      <c r="E184" s="812" t="s">
        <v>206</v>
      </c>
      <c r="F184" s="813"/>
      <c r="G184" s="814"/>
      <c r="H184" s="813" t="s">
        <v>41</v>
      </c>
      <c r="I184" s="813" t="s">
        <v>41</v>
      </c>
      <c r="J184" s="813" t="s">
        <v>41</v>
      </c>
      <c r="K184" s="813" t="s">
        <v>41</v>
      </c>
      <c r="L184" s="813">
        <v>12</v>
      </c>
      <c r="M184" s="813"/>
      <c r="N184" s="813">
        <f t="shared" si="42"/>
        <v>387464.4</v>
      </c>
      <c r="O184" s="813">
        <v>0</v>
      </c>
      <c r="P184" s="813">
        <v>0</v>
      </c>
      <c r="Q184" s="813">
        <v>0</v>
      </c>
      <c r="R184" s="813">
        <v>0</v>
      </c>
      <c r="S184" s="813">
        <v>387464.4</v>
      </c>
      <c r="T184" s="813">
        <v>0</v>
      </c>
      <c r="U184" s="813">
        <v>0</v>
      </c>
      <c r="V184" s="813">
        <v>0</v>
      </c>
      <c r="W184" s="813">
        <v>0</v>
      </c>
      <c r="X184" s="813">
        <v>0</v>
      </c>
      <c r="Y184" s="813">
        <v>0</v>
      </c>
      <c r="Z184" s="813">
        <v>0</v>
      </c>
    </row>
    <row r="185" spans="1:26" ht="15.75" customHeight="1" x14ac:dyDescent="0.25">
      <c r="A185" s="833" t="s">
        <v>1348</v>
      </c>
      <c r="B185" s="833" t="s">
        <v>959</v>
      </c>
      <c r="C185" s="833" t="s">
        <v>972</v>
      </c>
      <c r="D185" s="828" t="s">
        <v>1584</v>
      </c>
      <c r="E185" s="812" t="s">
        <v>206</v>
      </c>
      <c r="F185" s="813"/>
      <c r="G185" s="814"/>
      <c r="H185" s="813" t="s">
        <v>41</v>
      </c>
      <c r="I185" s="813" t="s">
        <v>41</v>
      </c>
      <c r="J185" s="813" t="s">
        <v>41</v>
      </c>
      <c r="K185" s="813" t="s">
        <v>41</v>
      </c>
      <c r="L185" s="813">
        <v>12</v>
      </c>
      <c r="M185" s="813"/>
      <c r="N185" s="813">
        <f t="shared" ref="N185:N192" si="43">SUM(O185:Z185)</f>
        <v>733736.5</v>
      </c>
      <c r="O185" s="813">
        <v>0</v>
      </c>
      <c r="P185" s="813">
        <v>0</v>
      </c>
      <c r="Q185" s="813">
        <v>0</v>
      </c>
      <c r="R185" s="813">
        <v>0</v>
      </c>
      <c r="S185" s="813">
        <v>733736.5</v>
      </c>
      <c r="T185" s="813">
        <v>0</v>
      </c>
      <c r="U185" s="813">
        <v>0</v>
      </c>
      <c r="V185" s="813">
        <v>0</v>
      </c>
      <c r="W185" s="813">
        <v>0</v>
      </c>
      <c r="X185" s="813">
        <v>0</v>
      </c>
      <c r="Y185" s="813">
        <v>0</v>
      </c>
      <c r="Z185" s="813">
        <v>0</v>
      </c>
    </row>
    <row r="186" spans="1:26" ht="15.75" customHeight="1" x14ac:dyDescent="0.25">
      <c r="A186" s="833" t="s">
        <v>1348</v>
      </c>
      <c r="B186" s="833" t="s">
        <v>959</v>
      </c>
      <c r="C186" s="833" t="s">
        <v>972</v>
      </c>
      <c r="D186" s="828" t="s">
        <v>1585</v>
      </c>
      <c r="E186" s="812" t="s">
        <v>206</v>
      </c>
      <c r="F186" s="813"/>
      <c r="G186" s="814"/>
      <c r="H186" s="813" t="s">
        <v>41</v>
      </c>
      <c r="I186" s="813" t="s">
        <v>41</v>
      </c>
      <c r="J186" s="813" t="s">
        <v>41</v>
      </c>
      <c r="K186" s="813" t="s">
        <v>41</v>
      </c>
      <c r="L186" s="813">
        <v>12</v>
      </c>
      <c r="M186" s="813"/>
      <c r="N186" s="813">
        <f t="shared" si="43"/>
        <v>20016</v>
      </c>
      <c r="O186" s="813">
        <v>0</v>
      </c>
      <c r="P186" s="813">
        <v>0</v>
      </c>
      <c r="Q186" s="813">
        <v>0</v>
      </c>
      <c r="R186" s="813">
        <v>0</v>
      </c>
      <c r="S186" s="813">
        <v>20016</v>
      </c>
      <c r="T186" s="813">
        <v>0</v>
      </c>
      <c r="U186" s="813">
        <v>0</v>
      </c>
      <c r="V186" s="813">
        <v>0</v>
      </c>
      <c r="W186" s="813">
        <v>0</v>
      </c>
      <c r="X186" s="813">
        <v>0</v>
      </c>
      <c r="Y186" s="813">
        <v>0</v>
      </c>
      <c r="Z186" s="813">
        <v>0</v>
      </c>
    </row>
    <row r="187" spans="1:26" ht="15.75" customHeight="1" x14ac:dyDescent="0.25">
      <c r="A187" s="833" t="s">
        <v>1348</v>
      </c>
      <c r="B187" s="833" t="s">
        <v>959</v>
      </c>
      <c r="C187" s="833" t="s">
        <v>972</v>
      </c>
      <c r="D187" s="828" t="s">
        <v>1586</v>
      </c>
      <c r="E187" s="812" t="s">
        <v>206</v>
      </c>
      <c r="F187" s="813"/>
      <c r="G187" s="814"/>
      <c r="H187" s="813" t="s">
        <v>41</v>
      </c>
      <c r="I187" s="813" t="s">
        <v>41</v>
      </c>
      <c r="J187" s="813" t="s">
        <v>41</v>
      </c>
      <c r="K187" s="813" t="s">
        <v>41</v>
      </c>
      <c r="L187" s="813">
        <v>12</v>
      </c>
      <c r="M187" s="813"/>
      <c r="N187" s="813">
        <f t="shared" si="43"/>
        <v>0</v>
      </c>
      <c r="O187" s="813">
        <v>0</v>
      </c>
      <c r="P187" s="813">
        <v>0</v>
      </c>
      <c r="Q187" s="813">
        <v>0</v>
      </c>
      <c r="R187" s="813">
        <v>0</v>
      </c>
      <c r="S187" s="813">
        <v>0</v>
      </c>
      <c r="T187" s="813">
        <v>0</v>
      </c>
      <c r="U187" s="813">
        <v>0</v>
      </c>
      <c r="V187" s="813">
        <v>0</v>
      </c>
      <c r="W187" s="813">
        <v>0</v>
      </c>
      <c r="X187" s="813">
        <v>0</v>
      </c>
      <c r="Y187" s="813">
        <v>0</v>
      </c>
      <c r="Z187" s="813">
        <v>0</v>
      </c>
    </row>
    <row r="188" spans="1:26" ht="15.75" customHeight="1" x14ac:dyDescent="0.25">
      <c r="A188" s="833" t="s">
        <v>1348</v>
      </c>
      <c r="B188" s="833" t="s">
        <v>959</v>
      </c>
      <c r="C188" s="833" t="s">
        <v>972</v>
      </c>
      <c r="D188" s="828" t="s">
        <v>1587</v>
      </c>
      <c r="E188" s="812" t="s">
        <v>206</v>
      </c>
      <c r="F188" s="813"/>
      <c r="G188" s="814"/>
      <c r="H188" s="813" t="s">
        <v>41</v>
      </c>
      <c r="I188" s="813" t="s">
        <v>41</v>
      </c>
      <c r="J188" s="813" t="s">
        <v>41</v>
      </c>
      <c r="K188" s="813" t="s">
        <v>41</v>
      </c>
      <c r="L188" s="813">
        <v>12</v>
      </c>
      <c r="M188" s="813"/>
      <c r="N188" s="813">
        <f t="shared" si="43"/>
        <v>0</v>
      </c>
      <c r="O188" s="813">
        <v>0</v>
      </c>
      <c r="P188" s="813">
        <v>0</v>
      </c>
      <c r="Q188" s="813">
        <v>0</v>
      </c>
      <c r="R188" s="813">
        <v>0</v>
      </c>
      <c r="S188" s="813">
        <v>0</v>
      </c>
      <c r="T188" s="813">
        <v>0</v>
      </c>
      <c r="U188" s="813">
        <v>0</v>
      </c>
      <c r="V188" s="813">
        <v>0</v>
      </c>
      <c r="W188" s="813">
        <v>0</v>
      </c>
      <c r="X188" s="813">
        <v>0</v>
      </c>
      <c r="Y188" s="813">
        <v>0</v>
      </c>
      <c r="Z188" s="813">
        <v>0</v>
      </c>
    </row>
    <row r="189" spans="1:26" ht="15.75" customHeight="1" x14ac:dyDescent="0.25">
      <c r="A189" s="833" t="s">
        <v>1348</v>
      </c>
      <c r="B189" s="833" t="s">
        <v>959</v>
      </c>
      <c r="C189" s="833" t="s">
        <v>972</v>
      </c>
      <c r="D189" s="828" t="s">
        <v>1588</v>
      </c>
      <c r="E189" s="812" t="s">
        <v>206</v>
      </c>
      <c r="F189" s="813"/>
      <c r="G189" s="814"/>
      <c r="H189" s="813" t="s">
        <v>41</v>
      </c>
      <c r="I189" s="813" t="s">
        <v>41</v>
      </c>
      <c r="J189" s="813" t="s">
        <v>41</v>
      </c>
      <c r="K189" s="813" t="s">
        <v>41</v>
      </c>
      <c r="L189" s="813">
        <v>12</v>
      </c>
      <c r="M189" s="813"/>
      <c r="N189" s="813">
        <f t="shared" si="43"/>
        <v>0</v>
      </c>
      <c r="O189" s="813">
        <v>0</v>
      </c>
      <c r="P189" s="813">
        <v>0</v>
      </c>
      <c r="Q189" s="813">
        <v>0</v>
      </c>
      <c r="R189" s="813">
        <v>0</v>
      </c>
      <c r="S189" s="813">
        <v>0</v>
      </c>
      <c r="T189" s="813">
        <v>0</v>
      </c>
      <c r="U189" s="813">
        <v>0</v>
      </c>
      <c r="V189" s="813">
        <v>0</v>
      </c>
      <c r="W189" s="813">
        <v>0</v>
      </c>
      <c r="X189" s="813">
        <v>0</v>
      </c>
      <c r="Y189" s="813">
        <v>0</v>
      </c>
      <c r="Z189" s="813">
        <v>0</v>
      </c>
    </row>
    <row r="190" spans="1:26" ht="15.75" customHeight="1" x14ac:dyDescent="0.25">
      <c r="A190" s="833" t="s">
        <v>1348</v>
      </c>
      <c r="B190" s="833" t="s">
        <v>959</v>
      </c>
      <c r="C190" s="833" t="s">
        <v>972</v>
      </c>
      <c r="D190" s="828" t="s">
        <v>1589</v>
      </c>
      <c r="E190" s="812" t="s">
        <v>206</v>
      </c>
      <c r="F190" s="813"/>
      <c r="G190" s="814"/>
      <c r="H190" s="813" t="s">
        <v>41</v>
      </c>
      <c r="I190" s="813" t="s">
        <v>41</v>
      </c>
      <c r="J190" s="813" t="s">
        <v>41</v>
      </c>
      <c r="K190" s="813" t="s">
        <v>41</v>
      </c>
      <c r="L190" s="813">
        <v>12</v>
      </c>
      <c r="M190" s="813"/>
      <c r="N190" s="813">
        <f t="shared" si="43"/>
        <v>0</v>
      </c>
      <c r="O190" s="813">
        <v>0</v>
      </c>
      <c r="P190" s="813">
        <v>0</v>
      </c>
      <c r="Q190" s="813">
        <v>0</v>
      </c>
      <c r="R190" s="813">
        <v>0</v>
      </c>
      <c r="S190" s="813">
        <v>0</v>
      </c>
      <c r="T190" s="813">
        <v>0</v>
      </c>
      <c r="U190" s="813">
        <v>0</v>
      </c>
      <c r="V190" s="813">
        <v>0</v>
      </c>
      <c r="W190" s="813">
        <v>0</v>
      </c>
      <c r="X190" s="813">
        <v>0</v>
      </c>
      <c r="Y190" s="813">
        <v>0</v>
      </c>
      <c r="Z190" s="813">
        <v>0</v>
      </c>
    </row>
    <row r="191" spans="1:26" ht="15.75" customHeight="1" x14ac:dyDescent="0.25">
      <c r="A191" s="833" t="s">
        <v>1348</v>
      </c>
      <c r="B191" s="833" t="s">
        <v>959</v>
      </c>
      <c r="C191" s="833" t="s">
        <v>972</v>
      </c>
      <c r="D191" s="828" t="s">
        <v>1590</v>
      </c>
      <c r="E191" s="812" t="s">
        <v>206</v>
      </c>
      <c r="F191" s="813"/>
      <c r="G191" s="814"/>
      <c r="H191" s="813" t="s">
        <v>41</v>
      </c>
      <c r="I191" s="813" t="s">
        <v>41</v>
      </c>
      <c r="J191" s="813" t="s">
        <v>41</v>
      </c>
      <c r="K191" s="813" t="s">
        <v>41</v>
      </c>
      <c r="L191" s="813">
        <v>12</v>
      </c>
      <c r="M191" s="813"/>
      <c r="N191" s="813">
        <f t="shared" si="43"/>
        <v>0</v>
      </c>
      <c r="O191" s="813">
        <v>0</v>
      </c>
      <c r="P191" s="813">
        <v>0</v>
      </c>
      <c r="Q191" s="813">
        <v>0</v>
      </c>
      <c r="R191" s="813">
        <v>0</v>
      </c>
      <c r="S191" s="813">
        <v>0</v>
      </c>
      <c r="T191" s="813">
        <v>0</v>
      </c>
      <c r="U191" s="813">
        <v>0</v>
      </c>
      <c r="V191" s="813">
        <v>0</v>
      </c>
      <c r="W191" s="813">
        <v>0</v>
      </c>
      <c r="X191" s="813">
        <v>0</v>
      </c>
      <c r="Y191" s="813">
        <v>0</v>
      </c>
      <c r="Z191" s="813">
        <v>0</v>
      </c>
    </row>
    <row r="192" spans="1:26" ht="15.75" customHeight="1" x14ac:dyDescent="0.25">
      <c r="A192" s="833" t="s">
        <v>1348</v>
      </c>
      <c r="B192" s="833" t="s">
        <v>959</v>
      </c>
      <c r="C192" s="833" t="s">
        <v>972</v>
      </c>
      <c r="D192" s="828" t="s">
        <v>1591</v>
      </c>
      <c r="E192" s="812" t="s">
        <v>206</v>
      </c>
      <c r="F192" s="813"/>
      <c r="G192" s="814"/>
      <c r="H192" s="813" t="s">
        <v>41</v>
      </c>
      <c r="I192" s="813" t="s">
        <v>41</v>
      </c>
      <c r="J192" s="813" t="s">
        <v>41</v>
      </c>
      <c r="K192" s="813" t="s">
        <v>41</v>
      </c>
      <c r="L192" s="813">
        <v>12</v>
      </c>
      <c r="M192" s="813"/>
      <c r="N192" s="813">
        <f t="shared" si="43"/>
        <v>0</v>
      </c>
      <c r="O192" s="813">
        <v>0</v>
      </c>
      <c r="P192" s="813">
        <v>0</v>
      </c>
      <c r="Q192" s="813">
        <v>0</v>
      </c>
      <c r="R192" s="813">
        <v>0</v>
      </c>
      <c r="S192" s="813">
        <v>0</v>
      </c>
      <c r="T192" s="813">
        <v>0</v>
      </c>
      <c r="U192" s="813">
        <v>0</v>
      </c>
      <c r="V192" s="813">
        <v>0</v>
      </c>
      <c r="W192" s="813">
        <v>0</v>
      </c>
      <c r="X192" s="813">
        <v>0</v>
      </c>
      <c r="Y192" s="813">
        <v>0</v>
      </c>
      <c r="Z192" s="813">
        <v>0</v>
      </c>
    </row>
    <row r="193" spans="1:26" ht="15.75" customHeight="1" x14ac:dyDescent="0.25">
      <c r="A193" s="833" t="s">
        <v>1348</v>
      </c>
      <c r="B193" s="833" t="s">
        <v>959</v>
      </c>
      <c r="C193" s="833" t="s">
        <v>972</v>
      </c>
      <c r="D193" s="828" t="s">
        <v>1592</v>
      </c>
      <c r="E193" s="812"/>
      <c r="F193" s="813"/>
      <c r="G193" s="814"/>
      <c r="H193" s="813"/>
      <c r="I193" s="813"/>
      <c r="J193" s="813"/>
      <c r="K193" s="813"/>
      <c r="L193" s="813"/>
      <c r="M193" s="813"/>
      <c r="N193" s="813">
        <f t="shared" si="42"/>
        <v>6572</v>
      </c>
      <c r="O193" s="813">
        <v>6572</v>
      </c>
      <c r="P193" s="813">
        <v>0</v>
      </c>
      <c r="Q193" s="813">
        <v>0</v>
      </c>
      <c r="R193" s="813">
        <v>0</v>
      </c>
      <c r="S193" s="813">
        <v>0</v>
      </c>
      <c r="T193" s="813">
        <v>0</v>
      </c>
      <c r="U193" s="813">
        <v>0</v>
      </c>
      <c r="V193" s="813">
        <v>0</v>
      </c>
      <c r="W193" s="813">
        <v>0</v>
      </c>
      <c r="X193" s="813">
        <v>0</v>
      </c>
      <c r="Y193" s="813">
        <v>0</v>
      </c>
      <c r="Z193" s="813">
        <v>0</v>
      </c>
    </row>
    <row r="194" spans="1:26" ht="15.75" customHeight="1" x14ac:dyDescent="0.25">
      <c r="A194" s="833" t="s">
        <v>1348</v>
      </c>
      <c r="B194" s="833" t="s">
        <v>959</v>
      </c>
      <c r="C194" s="833" t="s">
        <v>972</v>
      </c>
      <c r="D194" s="828" t="s">
        <v>1593</v>
      </c>
      <c r="E194" s="812"/>
      <c r="F194" s="813"/>
      <c r="G194" s="814"/>
      <c r="H194" s="813"/>
      <c r="I194" s="813"/>
      <c r="J194" s="813"/>
      <c r="K194" s="813"/>
      <c r="L194" s="813"/>
      <c r="M194" s="813"/>
      <c r="N194" s="813">
        <f t="shared" si="42"/>
        <v>14786</v>
      </c>
      <c r="O194" s="813">
        <v>14786</v>
      </c>
      <c r="P194" s="813">
        <v>0</v>
      </c>
      <c r="Q194" s="813">
        <v>0</v>
      </c>
      <c r="R194" s="813">
        <v>0</v>
      </c>
      <c r="S194" s="813">
        <v>0</v>
      </c>
      <c r="T194" s="813">
        <v>0</v>
      </c>
      <c r="U194" s="813">
        <v>0</v>
      </c>
      <c r="V194" s="813">
        <v>0</v>
      </c>
      <c r="W194" s="813">
        <v>0</v>
      </c>
      <c r="X194" s="813">
        <v>0</v>
      </c>
      <c r="Y194" s="813">
        <v>0</v>
      </c>
      <c r="Z194" s="813">
        <v>0</v>
      </c>
    </row>
    <row r="195" spans="1:26" ht="15.75" customHeight="1" x14ac:dyDescent="0.25">
      <c r="A195" s="833" t="s">
        <v>1348</v>
      </c>
      <c r="B195" s="833" t="s">
        <v>959</v>
      </c>
      <c r="C195" s="833" t="s">
        <v>972</v>
      </c>
      <c r="D195" s="828" t="s">
        <v>1594</v>
      </c>
      <c r="E195" s="812"/>
      <c r="F195" s="813"/>
      <c r="G195" s="814"/>
      <c r="H195" s="813"/>
      <c r="I195" s="813"/>
      <c r="J195" s="813"/>
      <c r="K195" s="813"/>
      <c r="L195" s="813"/>
      <c r="M195" s="813"/>
      <c r="N195" s="813">
        <f t="shared" si="42"/>
        <v>558064</v>
      </c>
      <c r="O195" s="813">
        <v>558064</v>
      </c>
      <c r="P195" s="813">
        <v>0</v>
      </c>
      <c r="Q195" s="813">
        <v>0</v>
      </c>
      <c r="R195" s="813">
        <v>0</v>
      </c>
      <c r="S195" s="813">
        <v>0</v>
      </c>
      <c r="T195" s="813">
        <v>0</v>
      </c>
      <c r="U195" s="813">
        <v>0</v>
      </c>
      <c r="V195" s="813">
        <v>0</v>
      </c>
      <c r="W195" s="813">
        <v>0</v>
      </c>
      <c r="X195" s="813">
        <v>0</v>
      </c>
      <c r="Y195" s="813">
        <v>0</v>
      </c>
      <c r="Z195" s="813">
        <v>0</v>
      </c>
    </row>
    <row r="196" spans="1:26" ht="15.75" customHeight="1" x14ac:dyDescent="0.25">
      <c r="A196" s="833" t="s">
        <v>1348</v>
      </c>
      <c r="B196" s="833" t="s">
        <v>959</v>
      </c>
      <c r="C196" s="833" t="s">
        <v>972</v>
      </c>
      <c r="D196" s="828" t="s">
        <v>1595</v>
      </c>
      <c r="E196" s="812"/>
      <c r="F196" s="813"/>
      <c r="G196" s="814"/>
      <c r="H196" s="813"/>
      <c r="I196" s="813"/>
      <c r="J196" s="813"/>
      <c r="K196" s="813"/>
      <c r="L196" s="813"/>
      <c r="M196" s="813"/>
      <c r="N196" s="813">
        <f t="shared" si="42"/>
        <v>690286</v>
      </c>
      <c r="O196" s="813">
        <v>690286</v>
      </c>
      <c r="P196" s="813">
        <v>0</v>
      </c>
      <c r="Q196" s="813">
        <v>0</v>
      </c>
      <c r="R196" s="813">
        <v>0</v>
      </c>
      <c r="S196" s="813">
        <v>0</v>
      </c>
      <c r="T196" s="813">
        <v>0</v>
      </c>
      <c r="U196" s="813">
        <v>0</v>
      </c>
      <c r="V196" s="813">
        <v>0</v>
      </c>
      <c r="W196" s="813">
        <v>0</v>
      </c>
      <c r="X196" s="813">
        <v>0</v>
      </c>
      <c r="Y196" s="813">
        <v>0</v>
      </c>
      <c r="Z196" s="813">
        <v>0</v>
      </c>
    </row>
    <row r="197" spans="1:26" ht="15.75" customHeight="1" x14ac:dyDescent="0.25">
      <c r="A197" s="833" t="s">
        <v>1347</v>
      </c>
      <c r="B197" s="833" t="s">
        <v>959</v>
      </c>
      <c r="C197" s="833" t="s">
        <v>1519</v>
      </c>
      <c r="D197" s="866" t="s">
        <v>970</v>
      </c>
      <c r="E197" s="812" t="s">
        <v>206</v>
      </c>
      <c r="F197" s="813"/>
      <c r="G197" s="814"/>
      <c r="H197" s="813" t="s">
        <v>41</v>
      </c>
      <c r="I197" s="813" t="s">
        <v>41</v>
      </c>
      <c r="J197" s="813" t="s">
        <v>41</v>
      </c>
      <c r="K197" s="813" t="s">
        <v>41</v>
      </c>
      <c r="L197" s="813">
        <v>12</v>
      </c>
      <c r="M197" s="813"/>
      <c r="N197" s="813">
        <f t="shared" ref="N197:N201" si="44">SUM(O197:Z197)</f>
        <v>0</v>
      </c>
      <c r="O197" s="813">
        <v>0</v>
      </c>
      <c r="P197" s="813">
        <v>0</v>
      </c>
      <c r="Q197" s="813">
        <v>0</v>
      </c>
      <c r="R197" s="813">
        <v>0</v>
      </c>
      <c r="S197" s="813">
        <v>0</v>
      </c>
      <c r="T197" s="813">
        <v>0</v>
      </c>
      <c r="U197" s="813">
        <v>0</v>
      </c>
      <c r="V197" s="813">
        <v>0</v>
      </c>
      <c r="W197" s="813">
        <v>0</v>
      </c>
      <c r="X197" s="813">
        <v>0</v>
      </c>
      <c r="Y197" s="813">
        <v>0</v>
      </c>
      <c r="Z197" s="813">
        <v>0</v>
      </c>
    </row>
    <row r="198" spans="1:26" ht="15.75" customHeight="1" x14ac:dyDescent="0.25">
      <c r="A198" s="833" t="s">
        <v>1348</v>
      </c>
      <c r="B198" s="833" t="s">
        <v>959</v>
      </c>
      <c r="C198" s="833" t="s">
        <v>1520</v>
      </c>
      <c r="D198" s="833" t="s">
        <v>1518</v>
      </c>
      <c r="E198" s="812" t="s">
        <v>206</v>
      </c>
      <c r="F198" s="813"/>
      <c r="G198" s="814"/>
      <c r="H198" s="813" t="s">
        <v>41</v>
      </c>
      <c r="I198" s="813" t="s">
        <v>41</v>
      </c>
      <c r="J198" s="813" t="s">
        <v>41</v>
      </c>
      <c r="K198" s="813" t="s">
        <v>41</v>
      </c>
      <c r="L198" s="813">
        <v>12</v>
      </c>
      <c r="M198" s="813"/>
      <c r="N198" s="813">
        <f t="shared" si="44"/>
        <v>0</v>
      </c>
      <c r="O198" s="813">
        <v>0</v>
      </c>
      <c r="P198" s="813">
        <v>0</v>
      </c>
      <c r="Q198" s="813">
        <v>0</v>
      </c>
      <c r="R198" s="813">
        <v>0</v>
      </c>
      <c r="S198" s="813">
        <v>0</v>
      </c>
      <c r="T198" s="813">
        <v>0</v>
      </c>
      <c r="U198" s="813">
        <v>0</v>
      </c>
      <c r="V198" s="813">
        <v>0</v>
      </c>
      <c r="W198" s="813">
        <v>0</v>
      </c>
      <c r="X198" s="813">
        <v>0</v>
      </c>
      <c r="Y198" s="813">
        <v>0</v>
      </c>
      <c r="Z198" s="813">
        <v>0</v>
      </c>
    </row>
    <row r="199" spans="1:26" ht="15.75" customHeight="1" x14ac:dyDescent="0.25">
      <c r="A199" s="833" t="s">
        <v>1349</v>
      </c>
      <c r="B199" s="833" t="s">
        <v>959</v>
      </c>
      <c r="C199" s="833" t="s">
        <v>975</v>
      </c>
      <c r="D199" s="866" t="s">
        <v>1521</v>
      </c>
      <c r="E199" s="812" t="s">
        <v>206</v>
      </c>
      <c r="F199" s="813"/>
      <c r="G199" s="814"/>
      <c r="H199" s="813" t="s">
        <v>41</v>
      </c>
      <c r="I199" s="813" t="s">
        <v>41</v>
      </c>
      <c r="J199" s="813" t="s">
        <v>41</v>
      </c>
      <c r="K199" s="813" t="s">
        <v>41</v>
      </c>
      <c r="L199" s="813">
        <v>12</v>
      </c>
      <c r="M199" s="813"/>
      <c r="N199" s="813">
        <f t="shared" si="44"/>
        <v>0</v>
      </c>
      <c r="O199" s="813">
        <v>0</v>
      </c>
      <c r="P199" s="813">
        <v>0</v>
      </c>
      <c r="Q199" s="813">
        <v>0</v>
      </c>
      <c r="R199" s="813">
        <v>0</v>
      </c>
      <c r="S199" s="813">
        <v>0</v>
      </c>
      <c r="T199" s="813">
        <v>0</v>
      </c>
      <c r="U199" s="813">
        <v>0</v>
      </c>
      <c r="V199" s="813">
        <v>0</v>
      </c>
      <c r="W199" s="813">
        <v>0</v>
      </c>
      <c r="X199" s="813">
        <v>0</v>
      </c>
      <c r="Y199" s="813">
        <v>0</v>
      </c>
      <c r="Z199" s="813">
        <v>0</v>
      </c>
    </row>
    <row r="200" spans="1:26" ht="15.75" customHeight="1" x14ac:dyDescent="0.25">
      <c r="A200" s="833" t="s">
        <v>1350</v>
      </c>
      <c r="B200" s="833" t="s">
        <v>959</v>
      </c>
      <c r="C200" s="833" t="s">
        <v>977</v>
      </c>
      <c r="D200" s="833" t="s">
        <v>977</v>
      </c>
      <c r="E200" s="812" t="s">
        <v>206</v>
      </c>
      <c r="F200" s="813"/>
      <c r="G200" s="814"/>
      <c r="H200" s="813" t="s">
        <v>41</v>
      </c>
      <c r="I200" s="813" t="s">
        <v>41</v>
      </c>
      <c r="J200" s="813" t="s">
        <v>41</v>
      </c>
      <c r="K200" s="813" t="s">
        <v>41</v>
      </c>
      <c r="L200" s="813">
        <v>12</v>
      </c>
      <c r="M200" s="813"/>
      <c r="N200" s="813">
        <f t="shared" si="44"/>
        <v>0</v>
      </c>
      <c r="O200" s="813" t="s">
        <v>979</v>
      </c>
      <c r="P200" s="813" t="s">
        <v>979</v>
      </c>
      <c r="Q200" s="813" t="s">
        <v>979</v>
      </c>
      <c r="R200" s="813" t="s">
        <v>979</v>
      </c>
      <c r="S200" s="813" t="s">
        <v>979</v>
      </c>
      <c r="T200" s="813" t="s">
        <v>979</v>
      </c>
      <c r="U200" s="813" t="s">
        <v>979</v>
      </c>
      <c r="V200" s="813" t="s">
        <v>979</v>
      </c>
      <c r="W200" s="813" t="s">
        <v>979</v>
      </c>
      <c r="X200" s="813" t="s">
        <v>979</v>
      </c>
      <c r="Y200" s="813" t="s">
        <v>979</v>
      </c>
      <c r="Z200" s="813" t="s">
        <v>979</v>
      </c>
    </row>
    <row r="201" spans="1:26" ht="15.75" customHeight="1" x14ac:dyDescent="0.25">
      <c r="A201" s="833" t="s">
        <v>1351</v>
      </c>
      <c r="B201" s="833" t="s">
        <v>959</v>
      </c>
      <c r="C201" s="833" t="s">
        <v>1352</v>
      </c>
      <c r="D201" s="866" t="s">
        <v>982</v>
      </c>
      <c r="E201" s="812" t="s">
        <v>206</v>
      </c>
      <c r="F201" s="813"/>
      <c r="G201" s="814"/>
      <c r="H201" s="813" t="s">
        <v>41</v>
      </c>
      <c r="I201" s="813" t="s">
        <v>41</v>
      </c>
      <c r="J201" s="813" t="s">
        <v>41</v>
      </c>
      <c r="K201" s="813" t="s">
        <v>41</v>
      </c>
      <c r="L201" s="813">
        <v>12</v>
      </c>
      <c r="M201" s="813"/>
      <c r="N201" s="813">
        <f t="shared" si="44"/>
        <v>290603.67411764711</v>
      </c>
      <c r="O201" s="813">
        <f t="shared" ref="O201:Z201" si="45">SUM(O183:O200)*0.2-SUM(O193+O194+O195+O196)*0.2</f>
        <v>18250.000000000029</v>
      </c>
      <c r="P201" s="813">
        <f t="shared" si="45"/>
        <v>0</v>
      </c>
      <c r="Q201" s="813">
        <f t="shared" si="45"/>
        <v>0</v>
      </c>
      <c r="R201" s="813">
        <f t="shared" si="45"/>
        <v>772.05882352941217</v>
      </c>
      <c r="S201" s="813">
        <f t="shared" si="45"/>
        <v>228243.38</v>
      </c>
      <c r="T201" s="813">
        <f t="shared" si="45"/>
        <v>43338.23529411765</v>
      </c>
      <c r="U201" s="813">
        <f t="shared" si="45"/>
        <v>0</v>
      </c>
      <c r="V201" s="813">
        <f t="shared" si="45"/>
        <v>0</v>
      </c>
      <c r="W201" s="813">
        <f t="shared" si="45"/>
        <v>0</v>
      </c>
      <c r="X201" s="813">
        <f t="shared" si="45"/>
        <v>0</v>
      </c>
      <c r="Y201" s="813">
        <f t="shared" si="45"/>
        <v>0</v>
      </c>
      <c r="Z201" s="813">
        <f t="shared" si="45"/>
        <v>0</v>
      </c>
    </row>
    <row r="202" spans="1:26" s="872" customFormat="1" ht="22.15" customHeight="1" x14ac:dyDescent="0.25">
      <c r="A202" s="868"/>
      <c r="B202" s="869"/>
      <c r="C202" s="869"/>
      <c r="D202" s="869"/>
      <c r="E202" s="870"/>
      <c r="F202" s="870"/>
      <c r="G202" s="870"/>
      <c r="H202" s="870"/>
      <c r="I202" s="870"/>
      <c r="J202" s="871" t="s">
        <v>20</v>
      </c>
      <c r="K202" s="870"/>
      <c r="L202" s="813">
        <v>12</v>
      </c>
      <c r="M202" s="830">
        <f>SUM(M193:M201)</f>
        <v>0</v>
      </c>
      <c r="N202" s="830">
        <f t="shared" ref="N202:Z202" si="46">SUM(N183:N201)</f>
        <v>3013330.0447058827</v>
      </c>
      <c r="O202" s="830">
        <f>SUM(O183:O201)</f>
        <v>1379208</v>
      </c>
      <c r="P202" s="830">
        <f t="shared" si="46"/>
        <v>0</v>
      </c>
      <c r="Q202" s="830">
        <f t="shared" si="46"/>
        <v>0</v>
      </c>
      <c r="R202" s="830">
        <f t="shared" si="46"/>
        <v>4632.3529411764721</v>
      </c>
      <c r="S202" s="830">
        <f>SUM(S183:S201)</f>
        <v>1369460.2799999998</v>
      </c>
      <c r="T202" s="830">
        <f t="shared" si="46"/>
        <v>260029.4117647059</v>
      </c>
      <c r="U202" s="830">
        <f t="shared" si="46"/>
        <v>0</v>
      </c>
      <c r="V202" s="830">
        <f t="shared" si="46"/>
        <v>0</v>
      </c>
      <c r="W202" s="830">
        <f t="shared" si="46"/>
        <v>0</v>
      </c>
      <c r="X202" s="830">
        <f t="shared" si="46"/>
        <v>0</v>
      </c>
      <c r="Y202" s="830">
        <f t="shared" si="46"/>
        <v>0</v>
      </c>
      <c r="Z202" s="830">
        <f t="shared" si="46"/>
        <v>0</v>
      </c>
    </row>
    <row r="203" spans="1:26" ht="18" x14ac:dyDescent="0.25">
      <c r="A203" s="853" t="str">
        <f>CONCATENATE(B26," ",C26)</f>
        <v xml:space="preserve">Objective 3.6 Otros Predios </v>
      </c>
      <c r="B203" s="853"/>
      <c r="C203" s="854"/>
      <c r="D203" s="854"/>
      <c r="E203" s="855"/>
      <c r="F203" s="855"/>
      <c r="G203" s="855"/>
      <c r="H203" s="855"/>
      <c r="I203" s="855"/>
      <c r="J203" s="855"/>
      <c r="K203" s="855"/>
      <c r="L203" s="855"/>
      <c r="M203" s="855"/>
      <c r="N203" s="855"/>
      <c r="O203" s="855" t="s">
        <v>5</v>
      </c>
      <c r="P203" s="855"/>
      <c r="Q203" s="855"/>
      <c r="R203" s="855"/>
      <c r="S203" s="855"/>
      <c r="T203" s="855"/>
      <c r="U203" s="855"/>
      <c r="V203" s="855"/>
      <c r="W203" s="855"/>
      <c r="X203" s="855"/>
      <c r="Y203" s="855"/>
      <c r="Z203" s="855"/>
    </row>
    <row r="204" spans="1:26" ht="60" x14ac:dyDescent="0.25">
      <c r="A204" s="828" t="s">
        <v>261</v>
      </c>
      <c r="B204" s="828" t="s">
        <v>13</v>
      </c>
      <c r="C204" s="828" t="s">
        <v>14</v>
      </c>
      <c r="D204" s="865" t="s">
        <v>286</v>
      </c>
      <c r="E204" s="830" t="s">
        <v>16</v>
      </c>
      <c r="F204" s="830" t="s">
        <v>295</v>
      </c>
      <c r="G204" s="830" t="s">
        <v>39</v>
      </c>
      <c r="H204" s="830" t="s">
        <v>297</v>
      </c>
      <c r="I204" s="830" t="s">
        <v>298</v>
      </c>
      <c r="J204" s="830" t="s">
        <v>299</v>
      </c>
      <c r="K204" s="830" t="s">
        <v>300</v>
      </c>
      <c r="L204" s="830" t="s">
        <v>17</v>
      </c>
      <c r="M204" s="830" t="s">
        <v>18</v>
      </c>
      <c r="N204" s="830" t="s">
        <v>825</v>
      </c>
      <c r="O204" s="832">
        <v>43101</v>
      </c>
      <c r="P204" s="832">
        <v>43132</v>
      </c>
      <c r="Q204" s="832">
        <v>43160</v>
      </c>
      <c r="R204" s="832">
        <v>43191</v>
      </c>
      <c r="S204" s="832">
        <v>43221</v>
      </c>
      <c r="T204" s="832">
        <v>43252</v>
      </c>
      <c r="U204" s="832">
        <v>43282</v>
      </c>
      <c r="V204" s="832">
        <v>43313</v>
      </c>
      <c r="W204" s="832">
        <v>43344</v>
      </c>
      <c r="X204" s="832">
        <v>43374</v>
      </c>
      <c r="Y204" s="832">
        <v>43405</v>
      </c>
      <c r="Z204" s="832">
        <v>43435</v>
      </c>
    </row>
    <row r="205" spans="1:26" ht="15.75" customHeight="1" x14ac:dyDescent="0.25">
      <c r="A205" s="833" t="s">
        <v>1522</v>
      </c>
      <c r="B205" s="833" t="s">
        <v>1394</v>
      </c>
      <c r="C205" s="833" t="s">
        <v>1395</v>
      </c>
      <c r="D205" s="866" t="s">
        <v>1523</v>
      </c>
      <c r="E205" s="812" t="s">
        <v>206</v>
      </c>
      <c r="F205" s="813"/>
      <c r="G205" s="814"/>
      <c r="H205" s="813" t="s">
        <v>41</v>
      </c>
      <c r="I205" s="813" t="s">
        <v>41</v>
      </c>
      <c r="J205" s="813" t="s">
        <v>41</v>
      </c>
      <c r="K205" s="813" t="s">
        <v>41</v>
      </c>
      <c r="L205" s="813">
        <v>12</v>
      </c>
      <c r="M205" s="813"/>
      <c r="N205" s="813">
        <f t="shared" ref="N205:N206" si="47">SUM(O205:Z205)</f>
        <v>100000</v>
      </c>
      <c r="O205" s="813">
        <v>0</v>
      </c>
      <c r="P205" s="813">
        <v>0</v>
      </c>
      <c r="Q205" s="813">
        <v>0</v>
      </c>
      <c r="R205" s="813">
        <v>20000</v>
      </c>
      <c r="S205" s="813">
        <v>20000</v>
      </c>
      <c r="T205" s="813">
        <v>0</v>
      </c>
      <c r="U205" s="813">
        <v>20000</v>
      </c>
      <c r="V205" s="813">
        <v>0</v>
      </c>
      <c r="W205" s="813">
        <v>0</v>
      </c>
      <c r="X205" s="813">
        <v>20000</v>
      </c>
      <c r="Y205" s="813">
        <v>0</v>
      </c>
      <c r="Z205" s="813">
        <v>20000</v>
      </c>
    </row>
    <row r="206" spans="1:26" ht="15.75" customHeight="1" x14ac:dyDescent="0.25">
      <c r="A206" s="833" t="s">
        <v>1524</v>
      </c>
      <c r="B206" s="833" t="s">
        <v>1394</v>
      </c>
      <c r="C206" s="833" t="s">
        <v>1525</v>
      </c>
      <c r="D206" s="866" t="s">
        <v>1526</v>
      </c>
      <c r="E206" s="812" t="s">
        <v>206</v>
      </c>
      <c r="F206" s="813"/>
      <c r="G206" s="814"/>
      <c r="H206" s="813" t="s">
        <v>41</v>
      </c>
      <c r="I206" s="813" t="s">
        <v>41</v>
      </c>
      <c r="J206" s="813" t="s">
        <v>41</v>
      </c>
      <c r="K206" s="813" t="s">
        <v>41</v>
      </c>
      <c r="L206" s="813">
        <v>12</v>
      </c>
      <c r="M206" s="813"/>
      <c r="N206" s="813">
        <f t="shared" si="47"/>
        <v>0</v>
      </c>
      <c r="O206" s="813">
        <v>0</v>
      </c>
      <c r="P206" s="813">
        <v>0</v>
      </c>
      <c r="Q206" s="813">
        <v>0</v>
      </c>
      <c r="R206" s="813">
        <v>0</v>
      </c>
      <c r="S206" s="813">
        <v>0</v>
      </c>
      <c r="T206" s="813">
        <v>0</v>
      </c>
      <c r="U206" s="813">
        <v>0</v>
      </c>
      <c r="V206" s="813">
        <v>0</v>
      </c>
      <c r="W206" s="813">
        <v>0</v>
      </c>
      <c r="X206" s="813">
        <v>0</v>
      </c>
      <c r="Y206" s="813">
        <v>0</v>
      </c>
      <c r="Z206" s="813">
        <v>0</v>
      </c>
    </row>
    <row r="207" spans="1:26" ht="15.75" customHeight="1" x14ac:dyDescent="0.25">
      <c r="A207" s="833" t="s">
        <v>1527</v>
      </c>
      <c r="B207" s="833" t="s">
        <v>1394</v>
      </c>
      <c r="C207" s="833" t="s">
        <v>1511</v>
      </c>
      <c r="D207" s="866" t="s">
        <v>1528</v>
      </c>
      <c r="E207" s="812" t="s">
        <v>206</v>
      </c>
      <c r="F207" s="813"/>
      <c r="G207" s="814"/>
      <c r="H207" s="813" t="s">
        <v>41</v>
      </c>
      <c r="I207" s="813" t="s">
        <v>41</v>
      </c>
      <c r="J207" s="813" t="s">
        <v>41</v>
      </c>
      <c r="K207" s="813" t="s">
        <v>41</v>
      </c>
      <c r="L207" s="813">
        <v>12</v>
      </c>
      <c r="M207" s="813"/>
      <c r="N207" s="813">
        <f t="shared" ref="N207:N209" si="48">SUM(O207:Z207)</f>
        <v>0</v>
      </c>
      <c r="O207" s="813">
        <v>0</v>
      </c>
      <c r="P207" s="813">
        <v>0</v>
      </c>
      <c r="Q207" s="813">
        <v>0</v>
      </c>
      <c r="R207" s="813">
        <v>0</v>
      </c>
      <c r="S207" s="813">
        <v>0</v>
      </c>
      <c r="T207" s="813">
        <v>0</v>
      </c>
      <c r="U207" s="813">
        <v>0</v>
      </c>
      <c r="V207" s="813">
        <v>0</v>
      </c>
      <c r="W207" s="813">
        <v>0</v>
      </c>
      <c r="X207" s="813">
        <v>0</v>
      </c>
      <c r="Y207" s="813">
        <v>0</v>
      </c>
      <c r="Z207" s="813">
        <v>0</v>
      </c>
    </row>
    <row r="208" spans="1:26" ht="15.75" customHeight="1" x14ac:dyDescent="0.25">
      <c r="A208" s="833" t="s">
        <v>1529</v>
      </c>
      <c r="B208" s="833" t="s">
        <v>1530</v>
      </c>
      <c r="C208" s="833" t="s">
        <v>1530</v>
      </c>
      <c r="D208" s="866" t="s">
        <v>1596</v>
      </c>
      <c r="E208" s="812" t="s">
        <v>206</v>
      </c>
      <c r="F208" s="813"/>
      <c r="G208" s="814"/>
      <c r="H208" s="813" t="s">
        <v>41</v>
      </c>
      <c r="I208" s="813" t="s">
        <v>41</v>
      </c>
      <c r="J208" s="813" t="s">
        <v>41</v>
      </c>
      <c r="K208" s="813" t="s">
        <v>41</v>
      </c>
      <c r="L208" s="813">
        <v>12</v>
      </c>
      <c r="M208" s="813"/>
      <c r="N208" s="813">
        <f t="shared" si="48"/>
        <v>0</v>
      </c>
      <c r="O208" s="813">
        <v>0</v>
      </c>
      <c r="P208" s="813">
        <v>0</v>
      </c>
      <c r="Q208" s="813">
        <v>0</v>
      </c>
      <c r="R208" s="813">
        <v>0</v>
      </c>
      <c r="S208" s="813">
        <v>0</v>
      </c>
      <c r="T208" s="813">
        <v>0</v>
      </c>
      <c r="U208" s="813">
        <v>0</v>
      </c>
      <c r="V208" s="813">
        <v>0</v>
      </c>
      <c r="W208" s="813">
        <v>0</v>
      </c>
      <c r="X208" s="813">
        <v>0</v>
      </c>
      <c r="Y208" s="813">
        <v>0</v>
      </c>
      <c r="Z208" s="813">
        <v>0</v>
      </c>
    </row>
    <row r="209" spans="1:26" ht="27.75" customHeight="1" x14ac:dyDescent="0.25">
      <c r="A209" s="833" t="s">
        <v>1532</v>
      </c>
      <c r="B209" s="833" t="s">
        <v>1533</v>
      </c>
      <c r="C209" s="833" t="s">
        <v>1534</v>
      </c>
      <c r="D209" s="866" t="s">
        <v>1535</v>
      </c>
      <c r="E209" s="812" t="s">
        <v>206</v>
      </c>
      <c r="F209" s="813"/>
      <c r="G209" s="814"/>
      <c r="H209" s="813" t="s">
        <v>41</v>
      </c>
      <c r="I209" s="813" t="s">
        <v>41</v>
      </c>
      <c r="J209" s="813" t="s">
        <v>41</v>
      </c>
      <c r="K209" s="813" t="s">
        <v>41</v>
      </c>
      <c r="L209" s="813">
        <v>12</v>
      </c>
      <c r="M209" s="813"/>
      <c r="N209" s="813">
        <f t="shared" si="48"/>
        <v>1000000</v>
      </c>
      <c r="O209" s="813">
        <v>0</v>
      </c>
      <c r="P209" s="813">
        <v>0</v>
      </c>
      <c r="Q209" s="813">
        <v>0</v>
      </c>
      <c r="R209" s="813">
        <v>0</v>
      </c>
      <c r="S209" s="813">
        <v>1000000</v>
      </c>
      <c r="T209" s="813">
        <v>0</v>
      </c>
      <c r="U209" s="813">
        <v>0</v>
      </c>
      <c r="V209" s="813">
        <v>0</v>
      </c>
      <c r="W209" s="813">
        <v>0</v>
      </c>
      <c r="X209" s="813">
        <v>0</v>
      </c>
      <c r="Y209" s="813">
        <v>0</v>
      </c>
      <c r="Z209" s="813">
        <v>0</v>
      </c>
    </row>
    <row r="210" spans="1:26" ht="15.75" customHeight="1" x14ac:dyDescent="0.25">
      <c r="A210" s="833" t="s">
        <v>1536</v>
      </c>
      <c r="B210" s="833" t="s">
        <v>1537</v>
      </c>
      <c r="C210" s="833" t="s">
        <v>1538</v>
      </c>
      <c r="D210" s="866" t="s">
        <v>982</v>
      </c>
      <c r="E210" s="812" t="s">
        <v>206</v>
      </c>
      <c r="F210" s="813"/>
      <c r="G210" s="814"/>
      <c r="H210" s="813" t="s">
        <v>41</v>
      </c>
      <c r="I210" s="813" t="s">
        <v>41</v>
      </c>
      <c r="J210" s="813" t="s">
        <v>41</v>
      </c>
      <c r="K210" s="813" t="s">
        <v>41</v>
      </c>
      <c r="L210" s="813">
        <v>12</v>
      </c>
      <c r="M210" s="813"/>
      <c r="N210" s="813">
        <f t="shared" ref="N210" si="49">SUM(O210:Z210)</f>
        <v>20000</v>
      </c>
      <c r="O210" s="813">
        <f>SUM(O205:O209)*0.2-O209*0.2</f>
        <v>0</v>
      </c>
      <c r="P210" s="813">
        <f t="shared" ref="P210:Z210" si="50">SUM(P205:P209)*0.2-P209*0.2</f>
        <v>0</v>
      </c>
      <c r="Q210" s="813">
        <f t="shared" si="50"/>
        <v>0</v>
      </c>
      <c r="R210" s="813">
        <f t="shared" si="50"/>
        <v>4000</v>
      </c>
      <c r="S210" s="813">
        <f t="shared" si="50"/>
        <v>4000</v>
      </c>
      <c r="T210" s="813">
        <f t="shared" si="50"/>
        <v>0</v>
      </c>
      <c r="U210" s="813">
        <f t="shared" si="50"/>
        <v>4000</v>
      </c>
      <c r="V210" s="813">
        <f t="shared" si="50"/>
        <v>0</v>
      </c>
      <c r="W210" s="813">
        <f t="shared" si="50"/>
        <v>0</v>
      </c>
      <c r="X210" s="813">
        <f t="shared" si="50"/>
        <v>4000</v>
      </c>
      <c r="Y210" s="813">
        <f t="shared" si="50"/>
        <v>0</v>
      </c>
      <c r="Z210" s="813">
        <f t="shared" si="50"/>
        <v>4000</v>
      </c>
    </row>
    <row r="211" spans="1:26" s="872" customFormat="1" ht="22.5" customHeight="1" x14ac:dyDescent="0.25">
      <c r="A211" s="868"/>
      <c r="B211" s="869"/>
      <c r="C211" s="869"/>
      <c r="D211" s="869"/>
      <c r="E211" s="870"/>
      <c r="F211" s="870"/>
      <c r="G211" s="870"/>
      <c r="H211" s="870"/>
      <c r="I211" s="870"/>
      <c r="J211" s="871" t="s">
        <v>20</v>
      </c>
      <c r="K211" s="870"/>
      <c r="L211" s="813">
        <v>12</v>
      </c>
      <c r="M211" s="830">
        <f t="shared" ref="M211:Z211" si="51">SUM(M205:M210)</f>
        <v>0</v>
      </c>
      <c r="N211" s="830">
        <f t="shared" si="51"/>
        <v>1120000</v>
      </c>
      <c r="O211" s="830">
        <f t="shared" si="51"/>
        <v>0</v>
      </c>
      <c r="P211" s="830">
        <f t="shared" si="51"/>
        <v>0</v>
      </c>
      <c r="Q211" s="830">
        <f t="shared" si="51"/>
        <v>0</v>
      </c>
      <c r="R211" s="830">
        <f t="shared" si="51"/>
        <v>24000</v>
      </c>
      <c r="S211" s="830">
        <f t="shared" si="51"/>
        <v>1024000</v>
      </c>
      <c r="T211" s="830">
        <f t="shared" si="51"/>
        <v>0</v>
      </c>
      <c r="U211" s="830">
        <f t="shared" si="51"/>
        <v>24000</v>
      </c>
      <c r="V211" s="830">
        <f t="shared" si="51"/>
        <v>0</v>
      </c>
      <c r="W211" s="830">
        <f t="shared" si="51"/>
        <v>0</v>
      </c>
      <c r="X211" s="830">
        <f t="shared" si="51"/>
        <v>24000</v>
      </c>
      <c r="Y211" s="830">
        <f t="shared" si="51"/>
        <v>0</v>
      </c>
      <c r="Z211" s="830">
        <f t="shared" si="51"/>
        <v>24000</v>
      </c>
    </row>
    <row r="212" spans="1:26" ht="18" x14ac:dyDescent="0.25">
      <c r="A212" s="853" t="str">
        <f>CONCATENATE(B27," ",C27)</f>
        <v>Objective 4 Agua Construcción</v>
      </c>
      <c r="B212" s="853"/>
      <c r="C212" s="854"/>
      <c r="D212" s="854"/>
      <c r="E212" s="855"/>
      <c r="F212" s="855"/>
      <c r="G212" s="855"/>
      <c r="H212" s="855"/>
      <c r="I212" s="855"/>
      <c r="J212" s="855"/>
      <c r="K212" s="855"/>
      <c r="L212" s="855"/>
      <c r="M212" s="855"/>
      <c r="N212" s="855"/>
      <c r="O212" s="855" t="s">
        <v>5</v>
      </c>
      <c r="P212" s="855"/>
      <c r="Q212" s="855"/>
      <c r="R212" s="855"/>
      <c r="S212" s="855"/>
      <c r="T212" s="855"/>
      <c r="U212" s="855"/>
      <c r="V212" s="855"/>
      <c r="W212" s="855"/>
      <c r="X212" s="855"/>
      <c r="Y212" s="855"/>
      <c r="Z212" s="855"/>
    </row>
    <row r="213" spans="1:26" ht="60" x14ac:dyDescent="0.25">
      <c r="A213" s="828" t="s">
        <v>261</v>
      </c>
      <c r="B213" s="828" t="s">
        <v>13</v>
      </c>
      <c r="C213" s="828" t="s">
        <v>14</v>
      </c>
      <c r="D213" s="865" t="s">
        <v>286</v>
      </c>
      <c r="E213" s="830" t="s">
        <v>16</v>
      </c>
      <c r="F213" s="830" t="s">
        <v>295</v>
      </c>
      <c r="G213" s="830" t="s">
        <v>39</v>
      </c>
      <c r="H213" s="830" t="s">
        <v>297</v>
      </c>
      <c r="I213" s="830" t="s">
        <v>298</v>
      </c>
      <c r="J213" s="830" t="s">
        <v>299</v>
      </c>
      <c r="K213" s="830" t="s">
        <v>300</v>
      </c>
      <c r="L213" s="830" t="s">
        <v>17</v>
      </c>
      <c r="M213" s="830" t="s">
        <v>18</v>
      </c>
      <c r="N213" s="830" t="s">
        <v>825</v>
      </c>
      <c r="O213" s="832">
        <v>43101</v>
      </c>
      <c r="P213" s="832">
        <v>43132</v>
      </c>
      <c r="Q213" s="832">
        <v>43160</v>
      </c>
      <c r="R213" s="832">
        <v>43191</v>
      </c>
      <c r="S213" s="832">
        <v>43221</v>
      </c>
      <c r="T213" s="832">
        <v>43252</v>
      </c>
      <c r="U213" s="832">
        <v>43282</v>
      </c>
      <c r="V213" s="832">
        <v>43313</v>
      </c>
      <c r="W213" s="832">
        <v>43344</v>
      </c>
      <c r="X213" s="832">
        <v>43374</v>
      </c>
      <c r="Y213" s="832">
        <v>43405</v>
      </c>
      <c r="Z213" s="832">
        <v>43435</v>
      </c>
    </row>
    <row r="214" spans="1:26" ht="15.75" customHeight="1" x14ac:dyDescent="0.25">
      <c r="A214" s="833" t="s">
        <v>983</v>
      </c>
      <c r="B214" s="833" t="s">
        <v>1495</v>
      </c>
      <c r="C214" s="833" t="s">
        <v>1539</v>
      </c>
      <c r="D214" s="866" t="s">
        <v>1597</v>
      </c>
      <c r="E214" s="812" t="s">
        <v>206</v>
      </c>
      <c r="F214" s="813"/>
      <c r="G214" s="814"/>
      <c r="H214" s="813" t="s">
        <v>41</v>
      </c>
      <c r="I214" s="813" t="s">
        <v>41</v>
      </c>
      <c r="J214" s="813" t="s">
        <v>41</v>
      </c>
      <c r="K214" s="813" t="s">
        <v>41</v>
      </c>
      <c r="L214" s="813">
        <v>12</v>
      </c>
      <c r="M214" s="813"/>
      <c r="N214" s="813">
        <f>SUM(O214:Z214)</f>
        <v>2308912.3585307132</v>
      </c>
      <c r="O214" s="813">
        <v>2308912.3585307132</v>
      </c>
      <c r="P214" s="813">
        <v>0</v>
      </c>
      <c r="Q214" s="813">
        <v>0</v>
      </c>
      <c r="R214" s="813">
        <v>0</v>
      </c>
      <c r="S214" s="813">
        <v>0</v>
      </c>
      <c r="T214" s="813">
        <v>0</v>
      </c>
      <c r="U214" s="813">
        <v>0</v>
      </c>
      <c r="V214" s="813">
        <v>0</v>
      </c>
      <c r="W214" s="813">
        <v>0</v>
      </c>
      <c r="X214" s="813">
        <v>0</v>
      </c>
      <c r="Y214" s="813">
        <v>0</v>
      </c>
      <c r="Z214" s="813">
        <v>0</v>
      </c>
    </row>
    <row r="215" spans="1:26" ht="15.75" customHeight="1" x14ac:dyDescent="0.25">
      <c r="A215" s="833" t="s">
        <v>1313</v>
      </c>
      <c r="B215" s="833" t="s">
        <v>1495</v>
      </c>
      <c r="C215" s="833" t="s">
        <v>1539</v>
      </c>
      <c r="D215" s="866" t="s">
        <v>1598</v>
      </c>
      <c r="E215" s="812" t="s">
        <v>206</v>
      </c>
      <c r="F215" s="813"/>
      <c r="G215" s="814"/>
      <c r="H215" s="813" t="s">
        <v>41</v>
      </c>
      <c r="I215" s="813" t="s">
        <v>41</v>
      </c>
      <c r="J215" s="813" t="s">
        <v>41</v>
      </c>
      <c r="K215" s="813" t="s">
        <v>41</v>
      </c>
      <c r="L215" s="813">
        <v>12</v>
      </c>
      <c r="M215" s="813"/>
      <c r="N215" s="813">
        <f t="shared" ref="N215:N217" si="52">SUM(O215:Z215)</f>
        <v>0</v>
      </c>
      <c r="O215" s="813">
        <v>0</v>
      </c>
      <c r="P215" s="813">
        <v>0</v>
      </c>
      <c r="Q215" s="813">
        <v>0</v>
      </c>
      <c r="R215" s="813">
        <v>0</v>
      </c>
      <c r="S215" s="813">
        <v>0</v>
      </c>
      <c r="T215" s="813">
        <v>0</v>
      </c>
      <c r="U215" s="813">
        <v>0</v>
      </c>
      <c r="V215" s="813">
        <v>0</v>
      </c>
      <c r="W215" s="813">
        <v>0</v>
      </c>
      <c r="X215" s="813">
        <v>0</v>
      </c>
      <c r="Y215" s="813">
        <v>0</v>
      </c>
      <c r="Z215" s="813">
        <v>0</v>
      </c>
    </row>
    <row r="216" spans="1:26" ht="15.75" customHeight="1" x14ac:dyDescent="0.25">
      <c r="A216" s="833" t="s">
        <v>1314</v>
      </c>
      <c r="B216" s="833" t="s">
        <v>1542</v>
      </c>
      <c r="C216" s="833" t="s">
        <v>1543</v>
      </c>
      <c r="D216" s="866" t="s">
        <v>1544</v>
      </c>
      <c r="E216" s="812" t="s">
        <v>206</v>
      </c>
      <c r="F216" s="813"/>
      <c r="G216" s="814"/>
      <c r="H216" s="813" t="s">
        <v>41</v>
      </c>
      <c r="I216" s="813" t="s">
        <v>41</v>
      </c>
      <c r="J216" s="813" t="s">
        <v>41</v>
      </c>
      <c r="K216" s="813" t="s">
        <v>41</v>
      </c>
      <c r="L216" s="813">
        <v>12</v>
      </c>
      <c r="M216" s="813"/>
      <c r="N216" s="813">
        <f t="shared" si="52"/>
        <v>0</v>
      </c>
      <c r="O216" s="813">
        <v>0</v>
      </c>
      <c r="P216" s="813">
        <v>0</v>
      </c>
      <c r="Q216" s="813">
        <v>0</v>
      </c>
      <c r="R216" s="813">
        <v>0</v>
      </c>
      <c r="S216" s="813">
        <v>0</v>
      </c>
      <c r="T216" s="813">
        <v>0</v>
      </c>
      <c r="U216" s="813">
        <v>0</v>
      </c>
      <c r="V216" s="813">
        <v>0</v>
      </c>
      <c r="W216" s="813">
        <v>0</v>
      </c>
      <c r="X216" s="813">
        <v>0</v>
      </c>
      <c r="Y216" s="813">
        <v>0</v>
      </c>
      <c r="Z216" s="813">
        <v>0</v>
      </c>
    </row>
    <row r="217" spans="1:26" ht="15.75" customHeight="1" x14ac:dyDescent="0.25">
      <c r="A217" s="833" t="s">
        <v>1315</v>
      </c>
      <c r="B217" s="833" t="s">
        <v>1537</v>
      </c>
      <c r="C217" s="833" t="s">
        <v>1538</v>
      </c>
      <c r="D217" s="866" t="s">
        <v>982</v>
      </c>
      <c r="E217" s="812" t="s">
        <v>206</v>
      </c>
      <c r="F217" s="813"/>
      <c r="G217" s="814"/>
      <c r="H217" s="813" t="s">
        <v>41</v>
      </c>
      <c r="I217" s="813" t="s">
        <v>41</v>
      </c>
      <c r="J217" s="813" t="s">
        <v>41</v>
      </c>
      <c r="K217" s="813" t="s">
        <v>41</v>
      </c>
      <c r="L217" s="813">
        <v>12</v>
      </c>
      <c r="M217" s="813"/>
      <c r="N217" s="813">
        <f t="shared" si="52"/>
        <v>461782.47170614265</v>
      </c>
      <c r="O217" s="813">
        <f t="shared" ref="O217:Z217" si="53">SUM(O214:O216)*0.2</f>
        <v>461782.47170614265</v>
      </c>
      <c r="P217" s="813">
        <f t="shared" si="53"/>
        <v>0</v>
      </c>
      <c r="Q217" s="813">
        <f t="shared" si="53"/>
        <v>0</v>
      </c>
      <c r="R217" s="813">
        <f t="shared" si="53"/>
        <v>0</v>
      </c>
      <c r="S217" s="813">
        <f t="shared" si="53"/>
        <v>0</v>
      </c>
      <c r="T217" s="813">
        <f t="shared" si="53"/>
        <v>0</v>
      </c>
      <c r="U217" s="813">
        <f t="shared" si="53"/>
        <v>0</v>
      </c>
      <c r="V217" s="813">
        <f t="shared" si="53"/>
        <v>0</v>
      </c>
      <c r="W217" s="813">
        <f t="shared" si="53"/>
        <v>0</v>
      </c>
      <c r="X217" s="813">
        <f t="shared" si="53"/>
        <v>0</v>
      </c>
      <c r="Y217" s="813">
        <f t="shared" si="53"/>
        <v>0</v>
      </c>
      <c r="Z217" s="813">
        <f t="shared" si="53"/>
        <v>0</v>
      </c>
    </row>
    <row r="218" spans="1:26" s="872" customFormat="1" ht="22.5" customHeight="1" x14ac:dyDescent="0.25">
      <c r="A218" s="868"/>
      <c r="B218" s="869"/>
      <c r="C218" s="869"/>
      <c r="D218" s="869"/>
      <c r="E218" s="870"/>
      <c r="F218" s="870"/>
      <c r="G218" s="870"/>
      <c r="H218" s="870"/>
      <c r="I218" s="870"/>
      <c r="J218" s="871" t="s">
        <v>20</v>
      </c>
      <c r="K218" s="870"/>
      <c r="L218" s="813">
        <v>12</v>
      </c>
      <c r="M218" s="830">
        <f t="shared" ref="M218:Z218" si="54">SUM(M214:M217)</f>
        <v>0</v>
      </c>
      <c r="N218" s="830">
        <f t="shared" si="54"/>
        <v>2770694.8302368559</v>
      </c>
      <c r="O218" s="830">
        <f t="shared" si="54"/>
        <v>2770694.8302368559</v>
      </c>
      <c r="P218" s="830">
        <f t="shared" si="54"/>
        <v>0</v>
      </c>
      <c r="Q218" s="830">
        <f t="shared" si="54"/>
        <v>0</v>
      </c>
      <c r="R218" s="830">
        <f t="shared" si="54"/>
        <v>0</v>
      </c>
      <c r="S218" s="830">
        <f t="shared" si="54"/>
        <v>0</v>
      </c>
      <c r="T218" s="830">
        <f t="shared" si="54"/>
        <v>0</v>
      </c>
      <c r="U218" s="830">
        <f t="shared" si="54"/>
        <v>0</v>
      </c>
      <c r="V218" s="830">
        <f t="shared" si="54"/>
        <v>0</v>
      </c>
      <c r="W218" s="830">
        <f t="shared" si="54"/>
        <v>0</v>
      </c>
      <c r="X218" s="830">
        <f t="shared" si="54"/>
        <v>0</v>
      </c>
      <c r="Y218" s="830">
        <f t="shared" si="54"/>
        <v>0</v>
      </c>
      <c r="Z218" s="830">
        <f t="shared" si="54"/>
        <v>0</v>
      </c>
    </row>
    <row r="219" spans="1:26" ht="18" outlineLevel="1" x14ac:dyDescent="0.25">
      <c r="A219" s="853" t="str">
        <f>CONCATENATE(B28," ",C28)</f>
        <v>Objective 5 Permits Licences</v>
      </c>
      <c r="B219" s="853"/>
      <c r="C219" s="854"/>
      <c r="D219" s="854"/>
      <c r="E219" s="855"/>
      <c r="F219" s="855"/>
      <c r="G219" s="855"/>
      <c r="H219" s="855"/>
      <c r="I219" s="855"/>
      <c r="J219" s="855"/>
      <c r="K219" s="855"/>
      <c r="L219" s="855"/>
      <c r="M219" s="855"/>
      <c r="N219" s="855"/>
      <c r="O219" s="855" t="s">
        <v>5</v>
      </c>
      <c r="P219" s="855"/>
      <c r="Q219" s="855"/>
      <c r="R219" s="855"/>
      <c r="S219" s="855"/>
      <c r="T219" s="855"/>
      <c r="U219" s="855"/>
      <c r="V219" s="855"/>
      <c r="W219" s="855"/>
      <c r="X219" s="855"/>
      <c r="Y219" s="855"/>
      <c r="Z219" s="855"/>
    </row>
    <row r="220" spans="1:26" ht="41.45" customHeight="1" outlineLevel="1" x14ac:dyDescent="0.25">
      <c r="A220" s="828" t="s">
        <v>261</v>
      </c>
      <c r="B220" s="828" t="s">
        <v>13</v>
      </c>
      <c r="C220" s="828" t="s">
        <v>14</v>
      </c>
      <c r="D220" s="865" t="s">
        <v>286</v>
      </c>
      <c r="E220" s="830" t="s">
        <v>16</v>
      </c>
      <c r="F220" s="830" t="s">
        <v>295</v>
      </c>
      <c r="G220" s="830" t="s">
        <v>39</v>
      </c>
      <c r="H220" s="830" t="s">
        <v>297</v>
      </c>
      <c r="I220" s="830" t="s">
        <v>298</v>
      </c>
      <c r="J220" s="830" t="s">
        <v>299</v>
      </c>
      <c r="K220" s="830" t="s">
        <v>300</v>
      </c>
      <c r="L220" s="830" t="s">
        <v>17</v>
      </c>
      <c r="M220" s="830" t="s">
        <v>18</v>
      </c>
      <c r="N220" s="830" t="s">
        <v>825</v>
      </c>
      <c r="O220" s="832">
        <v>43101</v>
      </c>
      <c r="P220" s="832">
        <v>43132</v>
      </c>
      <c r="Q220" s="832">
        <v>43160</v>
      </c>
      <c r="R220" s="832">
        <v>43191</v>
      </c>
      <c r="S220" s="832">
        <v>43221</v>
      </c>
      <c r="T220" s="832">
        <v>43252</v>
      </c>
      <c r="U220" s="832">
        <v>43282</v>
      </c>
      <c r="V220" s="832">
        <v>43313</v>
      </c>
      <c r="W220" s="832">
        <v>43344</v>
      </c>
      <c r="X220" s="832">
        <v>43374</v>
      </c>
      <c r="Y220" s="832">
        <v>43405</v>
      </c>
      <c r="Z220" s="832">
        <v>43435</v>
      </c>
    </row>
    <row r="221" spans="1:26" ht="15" customHeight="1" outlineLevel="1" x14ac:dyDescent="0.25">
      <c r="A221" s="833" t="s">
        <v>1498</v>
      </c>
      <c r="B221" s="833" t="s">
        <v>984</v>
      </c>
      <c r="C221" s="833" t="s">
        <v>1353</v>
      </c>
      <c r="D221" s="866" t="s">
        <v>986</v>
      </c>
      <c r="E221" s="812" t="s">
        <v>209</v>
      </c>
      <c r="F221" s="813"/>
      <c r="G221" s="813"/>
      <c r="H221" s="813" t="s">
        <v>41</v>
      </c>
      <c r="I221" s="813" t="s">
        <v>41</v>
      </c>
      <c r="J221" s="813" t="s">
        <v>41</v>
      </c>
      <c r="K221" s="813" t="s">
        <v>41</v>
      </c>
      <c r="L221" s="813">
        <v>12</v>
      </c>
      <c r="M221" s="813"/>
      <c r="N221" s="813">
        <f t="shared" ref="N221" si="55">SUM(O221:Z221)</f>
        <v>40000</v>
      </c>
      <c r="O221" s="813">
        <v>0</v>
      </c>
      <c r="P221" s="813">
        <v>0</v>
      </c>
      <c r="Q221" s="813">
        <v>0</v>
      </c>
      <c r="R221" s="813">
        <v>10000</v>
      </c>
      <c r="S221" s="813">
        <v>0</v>
      </c>
      <c r="T221" s="813">
        <v>10000</v>
      </c>
      <c r="U221" s="813">
        <v>0</v>
      </c>
      <c r="V221" s="813">
        <v>0</v>
      </c>
      <c r="W221" s="813">
        <v>10000</v>
      </c>
      <c r="X221" s="813">
        <v>0</v>
      </c>
      <c r="Y221" s="813">
        <v>10000</v>
      </c>
      <c r="Z221" s="813">
        <v>0</v>
      </c>
    </row>
    <row r="222" spans="1:26" s="872" customFormat="1" ht="22.5" customHeight="1" x14ac:dyDescent="0.25">
      <c r="A222" s="868"/>
      <c r="B222" s="869"/>
      <c r="C222" s="869"/>
      <c r="D222" s="869"/>
      <c r="E222" s="870"/>
      <c r="F222" s="870"/>
      <c r="G222" s="870"/>
      <c r="H222" s="870"/>
      <c r="I222" s="870"/>
      <c r="J222" s="871" t="s">
        <v>20</v>
      </c>
      <c r="K222" s="870"/>
      <c r="L222" s="813">
        <v>12</v>
      </c>
      <c r="M222" s="830">
        <f>SUM(M143:M221)</f>
        <v>0</v>
      </c>
      <c r="N222" s="830">
        <f t="shared" ref="N222:Z222" si="56">SUM(N221:N221)</f>
        <v>40000</v>
      </c>
      <c r="O222" s="830">
        <f t="shared" si="56"/>
        <v>0</v>
      </c>
      <c r="P222" s="830">
        <f t="shared" si="56"/>
        <v>0</v>
      </c>
      <c r="Q222" s="830">
        <f t="shared" si="56"/>
        <v>0</v>
      </c>
      <c r="R222" s="830">
        <f t="shared" si="56"/>
        <v>10000</v>
      </c>
      <c r="S222" s="830">
        <f t="shared" si="56"/>
        <v>0</v>
      </c>
      <c r="T222" s="830">
        <f t="shared" si="56"/>
        <v>10000</v>
      </c>
      <c r="U222" s="830">
        <f t="shared" si="56"/>
        <v>0</v>
      </c>
      <c r="V222" s="830">
        <f t="shared" si="56"/>
        <v>0</v>
      </c>
      <c r="W222" s="830">
        <f t="shared" si="56"/>
        <v>10000</v>
      </c>
      <c r="X222" s="830">
        <f t="shared" si="56"/>
        <v>0</v>
      </c>
      <c r="Y222" s="830">
        <f t="shared" si="56"/>
        <v>10000</v>
      </c>
      <c r="Z222" s="830">
        <f t="shared" si="56"/>
        <v>0</v>
      </c>
    </row>
    <row r="223" spans="1:26" ht="18" hidden="1" outlineLevel="1" x14ac:dyDescent="0.25">
      <c r="A223" s="853" t="e">
        <f>CONCATENATE(#REF!," ",#REF!)</f>
        <v>#REF!</v>
      </c>
      <c r="B223" s="853"/>
      <c r="C223" s="854"/>
      <c r="D223" s="854"/>
      <c r="E223" s="855"/>
      <c r="F223" s="855"/>
      <c r="G223" s="855"/>
      <c r="H223" s="855"/>
      <c r="I223" s="855"/>
      <c r="J223" s="855"/>
      <c r="K223" s="855"/>
      <c r="L223" s="855"/>
      <c r="M223" s="855"/>
      <c r="N223" s="855"/>
      <c r="O223" s="855" t="s">
        <v>5</v>
      </c>
      <c r="P223" s="855"/>
      <c r="Q223" s="855"/>
      <c r="R223" s="855"/>
      <c r="S223" s="855"/>
      <c r="T223" s="855"/>
      <c r="U223" s="855"/>
      <c r="V223" s="855"/>
      <c r="W223" s="855"/>
      <c r="X223" s="855"/>
      <c r="Y223" s="855"/>
      <c r="Z223" s="855"/>
    </row>
    <row r="224" spans="1:26" ht="41.45" hidden="1" customHeight="1" outlineLevel="1" x14ac:dyDescent="0.25">
      <c r="A224" s="828" t="s">
        <v>261</v>
      </c>
      <c r="B224" s="828" t="s">
        <v>13</v>
      </c>
      <c r="C224" s="828" t="s">
        <v>14</v>
      </c>
      <c r="D224" s="865" t="s">
        <v>286</v>
      </c>
      <c r="E224" s="830" t="s">
        <v>16</v>
      </c>
      <c r="F224" s="830" t="s">
        <v>295</v>
      </c>
      <c r="G224" s="830" t="s">
        <v>39</v>
      </c>
      <c r="H224" s="830" t="s">
        <v>297</v>
      </c>
      <c r="I224" s="830" t="s">
        <v>298</v>
      </c>
      <c r="J224" s="830" t="s">
        <v>299</v>
      </c>
      <c r="K224" s="830" t="s">
        <v>300</v>
      </c>
      <c r="L224" s="830" t="s">
        <v>17</v>
      </c>
      <c r="M224" s="830" t="s">
        <v>18</v>
      </c>
      <c r="N224" s="830" t="s">
        <v>19</v>
      </c>
      <c r="O224" s="832">
        <v>43101</v>
      </c>
      <c r="P224" s="832">
        <v>43132</v>
      </c>
      <c r="Q224" s="832">
        <v>43160</v>
      </c>
      <c r="R224" s="832">
        <v>43191</v>
      </c>
      <c r="S224" s="832">
        <v>43221</v>
      </c>
      <c r="T224" s="832">
        <v>43252</v>
      </c>
      <c r="U224" s="832">
        <v>43282</v>
      </c>
      <c r="V224" s="832">
        <v>43313</v>
      </c>
      <c r="W224" s="832">
        <v>43344</v>
      </c>
      <c r="X224" s="832">
        <v>43374</v>
      </c>
      <c r="Y224" s="832">
        <v>43405</v>
      </c>
      <c r="Z224" s="832">
        <v>43435</v>
      </c>
    </row>
    <row r="225" spans="1:27" ht="15" hidden="1" customHeight="1" outlineLevel="1" x14ac:dyDescent="0.25">
      <c r="A225" s="833" t="s">
        <v>265</v>
      </c>
      <c r="B225" s="833"/>
      <c r="C225" s="833"/>
      <c r="D225" s="866"/>
      <c r="E225" s="813"/>
      <c r="F225" s="813"/>
      <c r="G225" s="813"/>
      <c r="H225" s="813"/>
      <c r="I225" s="813"/>
      <c r="J225" s="813"/>
      <c r="K225" s="813"/>
      <c r="L225" s="813"/>
      <c r="M225" s="813"/>
      <c r="N225" s="813">
        <f t="shared" ref="N225:N228" si="57">SUM(O225:Z225)</f>
        <v>0</v>
      </c>
      <c r="O225" s="813"/>
      <c r="P225" s="813"/>
      <c r="Q225" s="813"/>
      <c r="R225" s="813"/>
      <c r="S225" s="813"/>
      <c r="T225" s="813"/>
      <c r="U225" s="813"/>
      <c r="V225" s="813"/>
      <c r="W225" s="813"/>
      <c r="X225" s="813"/>
      <c r="Y225" s="813"/>
      <c r="Z225" s="813"/>
    </row>
    <row r="226" spans="1:27" ht="15" hidden="1" customHeight="1" outlineLevel="1" x14ac:dyDescent="0.25">
      <c r="A226" s="833" t="s">
        <v>266</v>
      </c>
      <c r="B226" s="833"/>
      <c r="C226" s="833"/>
      <c r="D226" s="866"/>
      <c r="E226" s="813"/>
      <c r="F226" s="813"/>
      <c r="G226" s="813"/>
      <c r="H226" s="813"/>
      <c r="I226" s="813"/>
      <c r="J226" s="813"/>
      <c r="K226" s="813"/>
      <c r="L226" s="813"/>
      <c r="M226" s="813"/>
      <c r="N226" s="813">
        <f t="shared" si="57"/>
        <v>0</v>
      </c>
      <c r="O226" s="813"/>
      <c r="P226" s="813"/>
      <c r="Q226" s="813"/>
      <c r="R226" s="813"/>
      <c r="S226" s="813"/>
      <c r="T226" s="813"/>
      <c r="U226" s="813"/>
      <c r="V226" s="813"/>
      <c r="W226" s="813"/>
      <c r="X226" s="813"/>
      <c r="Y226" s="813"/>
      <c r="Z226" s="813"/>
    </row>
    <row r="227" spans="1:27" ht="15" hidden="1" customHeight="1" outlineLevel="1" x14ac:dyDescent="0.25">
      <c r="A227" s="833" t="s">
        <v>283</v>
      </c>
      <c r="B227" s="833"/>
      <c r="C227" s="833"/>
      <c r="D227" s="866"/>
      <c r="E227" s="813"/>
      <c r="F227" s="813"/>
      <c r="G227" s="813"/>
      <c r="H227" s="813"/>
      <c r="I227" s="813"/>
      <c r="J227" s="813"/>
      <c r="K227" s="813"/>
      <c r="L227" s="813"/>
      <c r="M227" s="813"/>
      <c r="N227" s="813">
        <f t="shared" si="57"/>
        <v>0</v>
      </c>
      <c r="O227" s="813"/>
      <c r="P227" s="813"/>
      <c r="Q227" s="813"/>
      <c r="R227" s="813"/>
      <c r="S227" s="813"/>
      <c r="T227" s="813"/>
      <c r="U227" s="813"/>
      <c r="V227" s="813"/>
      <c r="W227" s="813"/>
      <c r="X227" s="813"/>
      <c r="Y227" s="813"/>
      <c r="Z227" s="813"/>
    </row>
    <row r="228" spans="1:27" ht="15" hidden="1" customHeight="1" outlineLevel="1" x14ac:dyDescent="0.25">
      <c r="A228" s="833" t="s">
        <v>284</v>
      </c>
      <c r="B228" s="833"/>
      <c r="C228" s="833"/>
      <c r="D228" s="866"/>
      <c r="E228" s="813"/>
      <c r="F228" s="813"/>
      <c r="G228" s="813"/>
      <c r="H228" s="813"/>
      <c r="I228" s="813"/>
      <c r="J228" s="813"/>
      <c r="K228" s="813"/>
      <c r="L228" s="813"/>
      <c r="M228" s="813"/>
      <c r="N228" s="813">
        <f t="shared" si="57"/>
        <v>0</v>
      </c>
      <c r="O228" s="813"/>
      <c r="P228" s="813"/>
      <c r="Q228" s="813"/>
      <c r="R228" s="813"/>
      <c r="S228" s="813"/>
      <c r="T228" s="813"/>
      <c r="U228" s="813"/>
      <c r="V228" s="813"/>
      <c r="W228" s="813"/>
      <c r="X228" s="813"/>
      <c r="Y228" s="813"/>
      <c r="Z228" s="813"/>
    </row>
    <row r="229" spans="1:27" ht="21" hidden="1" customHeight="1" outlineLevel="1" x14ac:dyDescent="0.25">
      <c r="A229" s="833" t="s">
        <v>285</v>
      </c>
      <c r="B229" s="833"/>
      <c r="C229" s="833"/>
      <c r="D229" s="866"/>
      <c r="E229" s="813"/>
      <c r="F229" s="813"/>
      <c r="G229" s="876"/>
      <c r="H229" s="813"/>
      <c r="I229" s="813"/>
      <c r="J229" s="813"/>
      <c r="K229" s="877" t="s">
        <v>20</v>
      </c>
      <c r="L229" s="830">
        <f>SUM(L224:L228)</f>
        <v>0</v>
      </c>
      <c r="M229" s="830">
        <f>SUM(M224:M228)</f>
        <v>0</v>
      </c>
      <c r="N229" s="813">
        <f>SUM(N225:N228)</f>
        <v>0</v>
      </c>
      <c r="O229" s="813">
        <f t="shared" ref="O229:Z229" si="58">SUM(O225:O228)</f>
        <v>0</v>
      </c>
      <c r="P229" s="813">
        <f t="shared" si="58"/>
        <v>0</v>
      </c>
      <c r="Q229" s="813">
        <f t="shared" si="58"/>
        <v>0</v>
      </c>
      <c r="R229" s="813">
        <f t="shared" si="58"/>
        <v>0</v>
      </c>
      <c r="S229" s="813">
        <f t="shared" si="58"/>
        <v>0</v>
      </c>
      <c r="T229" s="813">
        <f t="shared" si="58"/>
        <v>0</v>
      </c>
      <c r="U229" s="813">
        <f t="shared" si="58"/>
        <v>0</v>
      </c>
      <c r="V229" s="813">
        <f t="shared" si="58"/>
        <v>0</v>
      </c>
      <c r="W229" s="813">
        <f t="shared" si="58"/>
        <v>0</v>
      </c>
      <c r="X229" s="813">
        <f t="shared" si="58"/>
        <v>0</v>
      </c>
      <c r="Y229" s="813">
        <f t="shared" si="58"/>
        <v>0</v>
      </c>
      <c r="Z229" s="813">
        <f t="shared" si="58"/>
        <v>0</v>
      </c>
      <c r="AA229" s="872"/>
    </row>
    <row r="230" spans="1:27" ht="18" hidden="1" outlineLevel="1" x14ac:dyDescent="0.25">
      <c r="A230" s="853" t="e">
        <f>CONCATENATE(#REF!," ",#REF!)</f>
        <v>#REF!</v>
      </c>
      <c r="B230" s="853"/>
      <c r="C230" s="854"/>
      <c r="D230" s="854"/>
      <c r="E230" s="855"/>
      <c r="F230" s="855"/>
      <c r="G230" s="855"/>
      <c r="H230" s="855"/>
      <c r="I230" s="855"/>
      <c r="J230" s="855"/>
      <c r="K230" s="855"/>
      <c r="L230" s="855"/>
      <c r="M230" s="855"/>
      <c r="N230" s="855"/>
      <c r="O230" s="855" t="s">
        <v>5</v>
      </c>
      <c r="P230" s="855"/>
      <c r="Q230" s="855"/>
      <c r="R230" s="855"/>
      <c r="S230" s="855"/>
      <c r="T230" s="855"/>
      <c r="U230" s="855"/>
      <c r="V230" s="855"/>
      <c r="W230" s="855"/>
      <c r="X230" s="855"/>
      <c r="Y230" s="855"/>
      <c r="Z230" s="855"/>
    </row>
    <row r="231" spans="1:27" ht="41.45" hidden="1" customHeight="1" outlineLevel="1" x14ac:dyDescent="0.25">
      <c r="A231" s="828" t="s">
        <v>261</v>
      </c>
      <c r="B231" s="828" t="s">
        <v>13</v>
      </c>
      <c r="C231" s="828" t="s">
        <v>14</v>
      </c>
      <c r="D231" s="865" t="s">
        <v>286</v>
      </c>
      <c r="E231" s="830" t="s">
        <v>16</v>
      </c>
      <c r="F231" s="830" t="s">
        <v>295</v>
      </c>
      <c r="G231" s="830" t="s">
        <v>39</v>
      </c>
      <c r="H231" s="830" t="s">
        <v>297</v>
      </c>
      <c r="I231" s="830" t="s">
        <v>298</v>
      </c>
      <c r="J231" s="830" t="s">
        <v>299</v>
      </c>
      <c r="K231" s="830" t="s">
        <v>300</v>
      </c>
      <c r="L231" s="830" t="s">
        <v>17</v>
      </c>
      <c r="M231" s="830" t="s">
        <v>18</v>
      </c>
      <c r="N231" s="830" t="s">
        <v>19</v>
      </c>
      <c r="O231" s="832">
        <v>43101</v>
      </c>
      <c r="P231" s="832">
        <v>43132</v>
      </c>
      <c r="Q231" s="832">
        <v>43160</v>
      </c>
      <c r="R231" s="832">
        <v>43191</v>
      </c>
      <c r="S231" s="832">
        <v>43221</v>
      </c>
      <c r="T231" s="832">
        <v>43252</v>
      </c>
      <c r="U231" s="832">
        <v>43282</v>
      </c>
      <c r="V231" s="832">
        <v>43313</v>
      </c>
      <c r="W231" s="832">
        <v>43344</v>
      </c>
      <c r="X231" s="832">
        <v>43374</v>
      </c>
      <c r="Y231" s="832">
        <v>43405</v>
      </c>
      <c r="Z231" s="832">
        <v>43435</v>
      </c>
    </row>
    <row r="232" spans="1:27" ht="15" hidden="1" customHeight="1" outlineLevel="1" x14ac:dyDescent="0.25">
      <c r="A232" s="833" t="s">
        <v>265</v>
      </c>
      <c r="B232" s="833"/>
      <c r="C232" s="833"/>
      <c r="D232" s="866"/>
      <c r="E232" s="813"/>
      <c r="F232" s="813"/>
      <c r="G232" s="813"/>
      <c r="H232" s="813"/>
      <c r="I232" s="813"/>
      <c r="J232" s="813"/>
      <c r="K232" s="813"/>
      <c r="L232" s="813"/>
      <c r="M232" s="813"/>
      <c r="N232" s="813">
        <f t="shared" ref="N232:N235" si="59">SUM(O232:Z232)</f>
        <v>0</v>
      </c>
      <c r="O232" s="813"/>
      <c r="P232" s="813"/>
      <c r="Q232" s="813"/>
      <c r="R232" s="813"/>
      <c r="S232" s="813"/>
      <c r="T232" s="813"/>
      <c r="U232" s="813"/>
      <c r="V232" s="813"/>
      <c r="W232" s="813"/>
      <c r="X232" s="813"/>
      <c r="Y232" s="813"/>
      <c r="Z232" s="813"/>
    </row>
    <row r="233" spans="1:27" ht="15" hidden="1" customHeight="1" outlineLevel="1" x14ac:dyDescent="0.25">
      <c r="A233" s="833" t="s">
        <v>266</v>
      </c>
      <c r="B233" s="833"/>
      <c r="C233" s="833"/>
      <c r="D233" s="866"/>
      <c r="E233" s="813"/>
      <c r="F233" s="813"/>
      <c r="G233" s="813"/>
      <c r="H233" s="813"/>
      <c r="I233" s="813"/>
      <c r="J233" s="813"/>
      <c r="K233" s="813"/>
      <c r="L233" s="813"/>
      <c r="M233" s="813"/>
      <c r="N233" s="813">
        <f t="shared" si="59"/>
        <v>0</v>
      </c>
      <c r="O233" s="813"/>
      <c r="P233" s="813"/>
      <c r="Q233" s="813"/>
      <c r="R233" s="813"/>
      <c r="S233" s="813"/>
      <c r="T233" s="813"/>
      <c r="U233" s="813"/>
      <c r="V233" s="813"/>
      <c r="W233" s="813"/>
      <c r="X233" s="813"/>
      <c r="Y233" s="813"/>
      <c r="Z233" s="813"/>
    </row>
    <row r="234" spans="1:27" ht="15" hidden="1" customHeight="1" outlineLevel="1" x14ac:dyDescent="0.25">
      <c r="A234" s="833" t="s">
        <v>283</v>
      </c>
      <c r="B234" s="833"/>
      <c r="C234" s="833"/>
      <c r="D234" s="866"/>
      <c r="E234" s="813"/>
      <c r="F234" s="813"/>
      <c r="G234" s="813"/>
      <c r="H234" s="813"/>
      <c r="I234" s="813"/>
      <c r="J234" s="813"/>
      <c r="K234" s="813"/>
      <c r="L234" s="813"/>
      <c r="M234" s="813"/>
      <c r="N234" s="813">
        <f t="shared" si="59"/>
        <v>0</v>
      </c>
      <c r="O234" s="813"/>
      <c r="P234" s="813"/>
      <c r="Q234" s="813"/>
      <c r="R234" s="813"/>
      <c r="S234" s="813"/>
      <c r="T234" s="813"/>
      <c r="U234" s="813"/>
      <c r="V234" s="813"/>
      <c r="W234" s="813"/>
      <c r="X234" s="813"/>
      <c r="Y234" s="813"/>
      <c r="Z234" s="813"/>
    </row>
    <row r="235" spans="1:27" ht="15" hidden="1" customHeight="1" outlineLevel="1" x14ac:dyDescent="0.25">
      <c r="A235" s="833" t="s">
        <v>284</v>
      </c>
      <c r="B235" s="833"/>
      <c r="C235" s="833"/>
      <c r="D235" s="866"/>
      <c r="E235" s="813"/>
      <c r="F235" s="813"/>
      <c r="G235" s="813"/>
      <c r="H235" s="813"/>
      <c r="I235" s="813"/>
      <c r="J235" s="813"/>
      <c r="K235" s="813"/>
      <c r="L235" s="813"/>
      <c r="M235" s="813"/>
      <c r="N235" s="813">
        <f t="shared" si="59"/>
        <v>0</v>
      </c>
      <c r="O235" s="813"/>
      <c r="P235" s="813"/>
      <c r="Q235" s="813"/>
      <c r="R235" s="813"/>
      <c r="S235" s="813"/>
      <c r="T235" s="813"/>
      <c r="U235" s="813"/>
      <c r="V235" s="813"/>
      <c r="W235" s="813"/>
      <c r="X235" s="813"/>
      <c r="Y235" s="813"/>
      <c r="Z235" s="813"/>
    </row>
    <row r="236" spans="1:27" ht="21" hidden="1" customHeight="1" outlineLevel="1" x14ac:dyDescent="0.25">
      <c r="A236" s="833" t="s">
        <v>285</v>
      </c>
      <c r="B236" s="833"/>
      <c r="C236" s="833"/>
      <c r="D236" s="866"/>
      <c r="E236" s="813"/>
      <c r="F236" s="813"/>
      <c r="G236" s="876"/>
      <c r="H236" s="813"/>
      <c r="I236" s="813"/>
      <c r="J236" s="813"/>
      <c r="K236" s="877" t="s">
        <v>20</v>
      </c>
      <c r="L236" s="830">
        <f>SUM(L231:L235)</f>
        <v>0</v>
      </c>
      <c r="M236" s="830">
        <f>SUM(M231:M235)</f>
        <v>0</v>
      </c>
      <c r="N236" s="813">
        <f>SUM(N232:N235)</f>
        <v>0</v>
      </c>
      <c r="O236" s="813">
        <f t="shared" ref="O236:Z236" si="60">SUM(O232:O235)</f>
        <v>0</v>
      </c>
      <c r="P236" s="813">
        <f t="shared" si="60"/>
        <v>0</v>
      </c>
      <c r="Q236" s="813">
        <f t="shared" si="60"/>
        <v>0</v>
      </c>
      <c r="R236" s="813">
        <f t="shared" si="60"/>
        <v>0</v>
      </c>
      <c r="S236" s="813">
        <f t="shared" si="60"/>
        <v>0</v>
      </c>
      <c r="T236" s="813">
        <f t="shared" si="60"/>
        <v>0</v>
      </c>
      <c r="U236" s="813">
        <f t="shared" si="60"/>
        <v>0</v>
      </c>
      <c r="V236" s="813">
        <f t="shared" si="60"/>
        <v>0</v>
      </c>
      <c r="W236" s="813">
        <f t="shared" si="60"/>
        <v>0</v>
      </c>
      <c r="X236" s="813">
        <f t="shared" si="60"/>
        <v>0</v>
      </c>
      <c r="Y236" s="813">
        <f t="shared" si="60"/>
        <v>0</v>
      </c>
      <c r="Z236" s="813">
        <f t="shared" si="60"/>
        <v>0</v>
      </c>
      <c r="AA236" s="872"/>
    </row>
    <row r="237" spans="1:27" ht="18" hidden="1" outlineLevel="1" x14ac:dyDescent="0.25">
      <c r="A237" s="853" t="e">
        <f>CONCATENATE(#REF!," ",#REF!)</f>
        <v>#REF!</v>
      </c>
      <c r="B237" s="853"/>
      <c r="C237" s="854"/>
      <c r="D237" s="854"/>
      <c r="E237" s="855"/>
      <c r="F237" s="855"/>
      <c r="G237" s="855"/>
      <c r="H237" s="855"/>
      <c r="I237" s="855"/>
      <c r="J237" s="855"/>
      <c r="K237" s="855"/>
      <c r="L237" s="855"/>
      <c r="M237" s="855"/>
      <c r="N237" s="855"/>
      <c r="O237" s="855" t="s">
        <v>5</v>
      </c>
      <c r="P237" s="855"/>
      <c r="Q237" s="855"/>
      <c r="R237" s="855"/>
      <c r="S237" s="855"/>
      <c r="T237" s="855"/>
      <c r="U237" s="855"/>
      <c r="V237" s="855"/>
      <c r="W237" s="855"/>
      <c r="X237" s="855"/>
      <c r="Y237" s="855"/>
      <c r="Z237" s="855"/>
    </row>
    <row r="238" spans="1:27" ht="41.45" hidden="1" customHeight="1" outlineLevel="1" x14ac:dyDescent="0.25">
      <c r="A238" s="828" t="s">
        <v>261</v>
      </c>
      <c r="B238" s="828" t="s">
        <v>13</v>
      </c>
      <c r="C238" s="828" t="s">
        <v>14</v>
      </c>
      <c r="D238" s="865" t="s">
        <v>286</v>
      </c>
      <c r="E238" s="830" t="s">
        <v>16</v>
      </c>
      <c r="F238" s="830" t="s">
        <v>295</v>
      </c>
      <c r="G238" s="830" t="s">
        <v>39</v>
      </c>
      <c r="H238" s="830" t="s">
        <v>297</v>
      </c>
      <c r="I238" s="830" t="s">
        <v>298</v>
      </c>
      <c r="J238" s="830" t="s">
        <v>299</v>
      </c>
      <c r="K238" s="830" t="s">
        <v>300</v>
      </c>
      <c r="L238" s="830" t="s">
        <v>17</v>
      </c>
      <c r="M238" s="830" t="s">
        <v>18</v>
      </c>
      <c r="N238" s="830" t="s">
        <v>19</v>
      </c>
      <c r="O238" s="832">
        <v>43101</v>
      </c>
      <c r="P238" s="832">
        <v>43132</v>
      </c>
      <c r="Q238" s="832">
        <v>43160</v>
      </c>
      <c r="R238" s="832">
        <v>43191</v>
      </c>
      <c r="S238" s="832">
        <v>43221</v>
      </c>
      <c r="T238" s="832">
        <v>43252</v>
      </c>
      <c r="U238" s="832">
        <v>43282</v>
      </c>
      <c r="V238" s="832">
        <v>43313</v>
      </c>
      <c r="W238" s="832">
        <v>43344</v>
      </c>
      <c r="X238" s="832">
        <v>43374</v>
      </c>
      <c r="Y238" s="832">
        <v>43405</v>
      </c>
      <c r="Z238" s="832">
        <v>43435</v>
      </c>
    </row>
    <row r="239" spans="1:27" ht="15" hidden="1" customHeight="1" outlineLevel="1" x14ac:dyDescent="0.25">
      <c r="A239" s="833" t="s">
        <v>265</v>
      </c>
      <c r="B239" s="833"/>
      <c r="C239" s="833"/>
      <c r="D239" s="866"/>
      <c r="E239" s="813"/>
      <c r="F239" s="813"/>
      <c r="G239" s="813"/>
      <c r="H239" s="813"/>
      <c r="I239" s="813"/>
      <c r="J239" s="813"/>
      <c r="K239" s="813"/>
      <c r="L239" s="813"/>
      <c r="M239" s="813"/>
      <c r="N239" s="813">
        <f t="shared" ref="N239:N242" si="61">SUM(O239:Z239)</f>
        <v>0</v>
      </c>
      <c r="O239" s="813"/>
      <c r="P239" s="813"/>
      <c r="Q239" s="813"/>
      <c r="R239" s="813"/>
      <c r="S239" s="813"/>
      <c r="T239" s="813"/>
      <c r="U239" s="813"/>
      <c r="V239" s="813"/>
      <c r="W239" s="813"/>
      <c r="X239" s="813"/>
      <c r="Y239" s="813"/>
      <c r="Z239" s="813"/>
    </row>
    <row r="240" spans="1:27" ht="15" hidden="1" customHeight="1" outlineLevel="1" x14ac:dyDescent="0.25">
      <c r="A240" s="833" t="s">
        <v>266</v>
      </c>
      <c r="B240" s="833"/>
      <c r="C240" s="833"/>
      <c r="D240" s="866"/>
      <c r="E240" s="813"/>
      <c r="F240" s="813"/>
      <c r="G240" s="813"/>
      <c r="H240" s="813"/>
      <c r="I240" s="813"/>
      <c r="J240" s="813"/>
      <c r="K240" s="813"/>
      <c r="L240" s="813"/>
      <c r="M240" s="813"/>
      <c r="N240" s="813">
        <f t="shared" si="61"/>
        <v>0</v>
      </c>
      <c r="O240" s="813"/>
      <c r="P240" s="813"/>
      <c r="Q240" s="813"/>
      <c r="R240" s="813"/>
      <c r="S240" s="813"/>
      <c r="T240" s="813"/>
      <c r="U240" s="813"/>
      <c r="V240" s="813"/>
      <c r="W240" s="813"/>
      <c r="X240" s="813"/>
      <c r="Y240" s="813"/>
      <c r="Z240" s="813"/>
    </row>
    <row r="241" spans="1:27" ht="15" hidden="1" customHeight="1" outlineLevel="1" x14ac:dyDescent="0.25">
      <c r="A241" s="833" t="s">
        <v>283</v>
      </c>
      <c r="B241" s="833"/>
      <c r="C241" s="833"/>
      <c r="D241" s="866"/>
      <c r="E241" s="813"/>
      <c r="F241" s="813"/>
      <c r="G241" s="813"/>
      <c r="H241" s="813"/>
      <c r="I241" s="813"/>
      <c r="J241" s="813"/>
      <c r="K241" s="813"/>
      <c r="L241" s="813"/>
      <c r="M241" s="813"/>
      <c r="N241" s="813">
        <f t="shared" si="61"/>
        <v>0</v>
      </c>
      <c r="O241" s="813"/>
      <c r="P241" s="813"/>
      <c r="Q241" s="813"/>
      <c r="R241" s="813"/>
      <c r="S241" s="813"/>
      <c r="T241" s="813"/>
      <c r="U241" s="813"/>
      <c r="V241" s="813"/>
      <c r="W241" s="813"/>
      <c r="X241" s="813"/>
      <c r="Y241" s="813"/>
      <c r="Z241" s="813"/>
    </row>
    <row r="242" spans="1:27" ht="15" hidden="1" customHeight="1" outlineLevel="1" x14ac:dyDescent="0.25">
      <c r="A242" s="833" t="s">
        <v>284</v>
      </c>
      <c r="B242" s="833"/>
      <c r="C242" s="833"/>
      <c r="D242" s="866"/>
      <c r="E242" s="813"/>
      <c r="F242" s="813"/>
      <c r="G242" s="813"/>
      <c r="H242" s="813"/>
      <c r="I242" s="813"/>
      <c r="J242" s="813"/>
      <c r="K242" s="813"/>
      <c r="L242" s="813"/>
      <c r="M242" s="813"/>
      <c r="N242" s="813">
        <f t="shared" si="61"/>
        <v>0</v>
      </c>
      <c r="O242" s="813"/>
      <c r="P242" s="813"/>
      <c r="Q242" s="813"/>
      <c r="R242" s="813"/>
      <c r="S242" s="813"/>
      <c r="T242" s="813"/>
      <c r="U242" s="813"/>
      <c r="V242" s="813"/>
      <c r="W242" s="813"/>
      <c r="X242" s="813"/>
      <c r="Y242" s="813"/>
      <c r="Z242" s="813"/>
    </row>
    <row r="243" spans="1:27" ht="21" hidden="1" customHeight="1" outlineLevel="1" x14ac:dyDescent="0.25">
      <c r="A243" s="833" t="s">
        <v>285</v>
      </c>
      <c r="B243" s="833"/>
      <c r="C243" s="833"/>
      <c r="D243" s="866"/>
      <c r="E243" s="813"/>
      <c r="F243" s="813"/>
      <c r="G243" s="876"/>
      <c r="H243" s="813"/>
      <c r="I243" s="813"/>
      <c r="J243" s="813"/>
      <c r="K243" s="877" t="s">
        <v>20</v>
      </c>
      <c r="L243" s="830">
        <f>SUM(L238:L242)</f>
        <v>0</v>
      </c>
      <c r="M243" s="830">
        <f>SUM(M238:M242)</f>
        <v>0</v>
      </c>
      <c r="N243" s="813">
        <f>SUM(N239:N242)</f>
        <v>0</v>
      </c>
      <c r="O243" s="813">
        <f t="shared" ref="O243:Z243" si="62">SUM(O239:O242)</f>
        <v>0</v>
      </c>
      <c r="P243" s="813">
        <f t="shared" si="62"/>
        <v>0</v>
      </c>
      <c r="Q243" s="813">
        <f t="shared" si="62"/>
        <v>0</v>
      </c>
      <c r="R243" s="813">
        <f t="shared" si="62"/>
        <v>0</v>
      </c>
      <c r="S243" s="813">
        <f t="shared" si="62"/>
        <v>0</v>
      </c>
      <c r="T243" s="813">
        <f t="shared" si="62"/>
        <v>0</v>
      </c>
      <c r="U243" s="813">
        <f t="shared" si="62"/>
        <v>0</v>
      </c>
      <c r="V243" s="813">
        <f t="shared" si="62"/>
        <v>0</v>
      </c>
      <c r="W243" s="813">
        <f t="shared" si="62"/>
        <v>0</v>
      </c>
      <c r="X243" s="813">
        <f t="shared" si="62"/>
        <v>0</v>
      </c>
      <c r="Y243" s="813">
        <f t="shared" si="62"/>
        <v>0</v>
      </c>
      <c r="Z243" s="813">
        <f t="shared" si="62"/>
        <v>0</v>
      </c>
      <c r="AA243" s="872"/>
    </row>
    <row r="244" spans="1:27" ht="18" hidden="1" outlineLevel="1" x14ac:dyDescent="0.25">
      <c r="A244" s="853" t="e">
        <f>CONCATENATE(#REF!," ",#REF!)</f>
        <v>#REF!</v>
      </c>
      <c r="B244" s="853"/>
      <c r="C244" s="854"/>
      <c r="D244" s="854"/>
      <c r="E244" s="855"/>
      <c r="F244" s="855"/>
      <c r="G244" s="855"/>
      <c r="H244" s="855"/>
      <c r="I244" s="855"/>
      <c r="J244" s="855"/>
      <c r="K244" s="855"/>
      <c r="L244" s="855"/>
      <c r="M244" s="855"/>
      <c r="N244" s="855"/>
      <c r="O244" s="855" t="s">
        <v>5</v>
      </c>
      <c r="P244" s="855"/>
      <c r="Q244" s="855"/>
      <c r="R244" s="855"/>
      <c r="S244" s="855"/>
      <c r="T244" s="855"/>
      <c r="U244" s="855"/>
      <c r="V244" s="855"/>
      <c r="W244" s="855"/>
      <c r="X244" s="855"/>
      <c r="Y244" s="855"/>
      <c r="Z244" s="855"/>
    </row>
    <row r="245" spans="1:27" ht="41.45" hidden="1" customHeight="1" outlineLevel="1" x14ac:dyDescent="0.25">
      <c r="A245" s="828" t="s">
        <v>261</v>
      </c>
      <c r="B245" s="828" t="s">
        <v>13</v>
      </c>
      <c r="C245" s="828" t="s">
        <v>14</v>
      </c>
      <c r="D245" s="865" t="s">
        <v>286</v>
      </c>
      <c r="E245" s="830" t="s">
        <v>16</v>
      </c>
      <c r="F245" s="830" t="s">
        <v>295</v>
      </c>
      <c r="G245" s="830" t="s">
        <v>39</v>
      </c>
      <c r="H245" s="830" t="s">
        <v>297</v>
      </c>
      <c r="I245" s="830" t="s">
        <v>298</v>
      </c>
      <c r="J245" s="830" t="s">
        <v>299</v>
      </c>
      <c r="K245" s="830" t="s">
        <v>300</v>
      </c>
      <c r="L245" s="830" t="s">
        <v>17</v>
      </c>
      <c r="M245" s="830" t="s">
        <v>18</v>
      </c>
      <c r="N245" s="830" t="s">
        <v>19</v>
      </c>
      <c r="O245" s="832">
        <v>43101</v>
      </c>
      <c r="P245" s="832">
        <v>43132</v>
      </c>
      <c r="Q245" s="832">
        <v>43160</v>
      </c>
      <c r="R245" s="832">
        <v>43191</v>
      </c>
      <c r="S245" s="832">
        <v>43221</v>
      </c>
      <c r="T245" s="832">
        <v>43252</v>
      </c>
      <c r="U245" s="832">
        <v>43282</v>
      </c>
      <c r="V245" s="832">
        <v>43313</v>
      </c>
      <c r="W245" s="832">
        <v>43344</v>
      </c>
      <c r="X245" s="832">
        <v>43374</v>
      </c>
      <c r="Y245" s="832">
        <v>43405</v>
      </c>
      <c r="Z245" s="832">
        <v>43435</v>
      </c>
    </row>
    <row r="246" spans="1:27" ht="15" hidden="1" customHeight="1" outlineLevel="1" x14ac:dyDescent="0.25">
      <c r="A246" s="833" t="s">
        <v>265</v>
      </c>
      <c r="B246" s="833"/>
      <c r="C246" s="833"/>
      <c r="D246" s="866"/>
      <c r="E246" s="813"/>
      <c r="F246" s="813"/>
      <c r="G246" s="813"/>
      <c r="H246" s="813"/>
      <c r="I246" s="813"/>
      <c r="J246" s="813"/>
      <c r="K246" s="813"/>
      <c r="L246" s="813"/>
      <c r="M246" s="813"/>
      <c r="N246" s="813">
        <f t="shared" ref="N246:N249" si="63">SUM(O246:Z246)</f>
        <v>0</v>
      </c>
      <c r="O246" s="813"/>
      <c r="P246" s="813"/>
      <c r="Q246" s="813"/>
      <c r="R246" s="813"/>
      <c r="S246" s="813"/>
      <c r="T246" s="813"/>
      <c r="U246" s="813"/>
      <c r="V246" s="813"/>
      <c r="W246" s="813"/>
      <c r="X246" s="813"/>
      <c r="Y246" s="813"/>
      <c r="Z246" s="813"/>
    </row>
    <row r="247" spans="1:27" ht="15" hidden="1" customHeight="1" outlineLevel="1" x14ac:dyDescent="0.25">
      <c r="A247" s="833" t="s">
        <v>266</v>
      </c>
      <c r="B247" s="833"/>
      <c r="C247" s="833"/>
      <c r="D247" s="866"/>
      <c r="E247" s="813"/>
      <c r="F247" s="813"/>
      <c r="G247" s="813"/>
      <c r="H247" s="813"/>
      <c r="I247" s="813"/>
      <c r="J247" s="813"/>
      <c r="K247" s="813"/>
      <c r="L247" s="813"/>
      <c r="M247" s="813"/>
      <c r="N247" s="813">
        <f t="shared" si="63"/>
        <v>0</v>
      </c>
      <c r="O247" s="813"/>
      <c r="P247" s="813"/>
      <c r="Q247" s="813"/>
      <c r="R247" s="813"/>
      <c r="S247" s="813"/>
      <c r="T247" s="813"/>
      <c r="U247" s="813"/>
      <c r="V247" s="813"/>
      <c r="W247" s="813"/>
      <c r="X247" s="813"/>
      <c r="Y247" s="813"/>
      <c r="Z247" s="813"/>
    </row>
    <row r="248" spans="1:27" ht="15" hidden="1" customHeight="1" outlineLevel="1" x14ac:dyDescent="0.25">
      <c r="A248" s="833" t="s">
        <v>283</v>
      </c>
      <c r="B248" s="833"/>
      <c r="C248" s="833"/>
      <c r="D248" s="866"/>
      <c r="E248" s="813"/>
      <c r="F248" s="813"/>
      <c r="G248" s="813"/>
      <c r="H248" s="813"/>
      <c r="I248" s="813"/>
      <c r="J248" s="813"/>
      <c r="K248" s="813"/>
      <c r="L248" s="813"/>
      <c r="M248" s="813"/>
      <c r="N248" s="813">
        <f t="shared" si="63"/>
        <v>0</v>
      </c>
      <c r="O248" s="813"/>
      <c r="P248" s="813"/>
      <c r="Q248" s="813"/>
      <c r="R248" s="813"/>
      <c r="S248" s="813"/>
      <c r="T248" s="813"/>
      <c r="U248" s="813"/>
      <c r="V248" s="813"/>
      <c r="W248" s="813"/>
      <c r="X248" s="813"/>
      <c r="Y248" s="813"/>
      <c r="Z248" s="813"/>
    </row>
    <row r="249" spans="1:27" ht="15" hidden="1" customHeight="1" outlineLevel="1" x14ac:dyDescent="0.25">
      <c r="A249" s="833" t="s">
        <v>284</v>
      </c>
      <c r="B249" s="833"/>
      <c r="C249" s="833"/>
      <c r="D249" s="866"/>
      <c r="E249" s="813"/>
      <c r="F249" s="813"/>
      <c r="G249" s="813"/>
      <c r="H249" s="813"/>
      <c r="I249" s="813"/>
      <c r="J249" s="813"/>
      <c r="K249" s="813"/>
      <c r="L249" s="813"/>
      <c r="M249" s="813"/>
      <c r="N249" s="813">
        <f t="shared" si="63"/>
        <v>0</v>
      </c>
      <c r="O249" s="813"/>
      <c r="P249" s="813"/>
      <c r="Q249" s="813"/>
      <c r="R249" s="813"/>
      <c r="S249" s="813"/>
      <c r="T249" s="813"/>
      <c r="U249" s="813"/>
      <c r="V249" s="813"/>
      <c r="W249" s="813"/>
      <c r="X249" s="813"/>
      <c r="Y249" s="813"/>
      <c r="Z249" s="813"/>
    </row>
    <row r="250" spans="1:27" ht="21" hidden="1" customHeight="1" outlineLevel="1" x14ac:dyDescent="0.25">
      <c r="A250" s="833" t="s">
        <v>285</v>
      </c>
      <c r="B250" s="833"/>
      <c r="C250" s="833"/>
      <c r="D250" s="866"/>
      <c r="E250" s="813"/>
      <c r="F250" s="813"/>
      <c r="G250" s="876"/>
      <c r="H250" s="813"/>
      <c r="I250" s="813"/>
      <c r="J250" s="813"/>
      <c r="K250" s="877" t="s">
        <v>20</v>
      </c>
      <c r="L250" s="830">
        <f>SUM(L245:L249)</f>
        <v>0</v>
      </c>
      <c r="M250" s="830">
        <f>SUM(M245:M249)</f>
        <v>0</v>
      </c>
      <c r="N250" s="813">
        <f>SUM(N246:N249)</f>
        <v>0</v>
      </c>
      <c r="O250" s="813">
        <f t="shared" ref="O250:Z250" si="64">SUM(O246:O249)</f>
        <v>0</v>
      </c>
      <c r="P250" s="813">
        <f t="shared" si="64"/>
        <v>0</v>
      </c>
      <c r="Q250" s="813">
        <f t="shared" si="64"/>
        <v>0</v>
      </c>
      <c r="R250" s="813">
        <f t="shared" si="64"/>
        <v>0</v>
      </c>
      <c r="S250" s="813">
        <f t="shared" si="64"/>
        <v>0</v>
      </c>
      <c r="T250" s="813">
        <f t="shared" si="64"/>
        <v>0</v>
      </c>
      <c r="U250" s="813">
        <f t="shared" si="64"/>
        <v>0</v>
      </c>
      <c r="V250" s="813">
        <f t="shared" si="64"/>
        <v>0</v>
      </c>
      <c r="W250" s="813">
        <f t="shared" si="64"/>
        <v>0</v>
      </c>
      <c r="X250" s="813">
        <f t="shared" si="64"/>
        <v>0</v>
      </c>
      <c r="Y250" s="813">
        <f t="shared" si="64"/>
        <v>0</v>
      </c>
      <c r="Z250" s="813">
        <f t="shared" si="64"/>
        <v>0</v>
      </c>
      <c r="AA250" s="872"/>
    </row>
    <row r="251" spans="1:27" ht="18" hidden="1" outlineLevel="1" x14ac:dyDescent="0.25">
      <c r="A251" s="853" t="str">
        <f>CONCATENATE(B28," ",C28)</f>
        <v>Objective 5 Permits Licences</v>
      </c>
      <c r="B251" s="853"/>
      <c r="C251" s="854"/>
      <c r="D251" s="854"/>
      <c r="E251" s="855"/>
      <c r="F251" s="855"/>
      <c r="G251" s="855"/>
      <c r="H251" s="855"/>
      <c r="I251" s="855"/>
      <c r="J251" s="855"/>
      <c r="K251" s="855"/>
      <c r="L251" s="855"/>
      <c r="M251" s="855"/>
      <c r="N251" s="855"/>
      <c r="O251" s="855" t="s">
        <v>5</v>
      </c>
      <c r="P251" s="855"/>
      <c r="Q251" s="855"/>
      <c r="R251" s="855"/>
      <c r="S251" s="855"/>
      <c r="T251" s="855"/>
      <c r="U251" s="855"/>
      <c r="V251" s="855"/>
      <c r="W251" s="855"/>
      <c r="X251" s="855"/>
      <c r="Y251" s="855"/>
      <c r="Z251" s="855"/>
    </row>
    <row r="252" spans="1:27" ht="41.45" hidden="1" customHeight="1" outlineLevel="1" x14ac:dyDescent="0.25">
      <c r="A252" s="828" t="s">
        <v>261</v>
      </c>
      <c r="B252" s="828" t="s">
        <v>13</v>
      </c>
      <c r="C252" s="828" t="s">
        <v>14</v>
      </c>
      <c r="D252" s="865" t="s">
        <v>286</v>
      </c>
      <c r="E252" s="830" t="s">
        <v>16</v>
      </c>
      <c r="F252" s="830" t="s">
        <v>295</v>
      </c>
      <c r="G252" s="830" t="s">
        <v>39</v>
      </c>
      <c r="H252" s="830" t="s">
        <v>297</v>
      </c>
      <c r="I252" s="830" t="s">
        <v>298</v>
      </c>
      <c r="J252" s="830" t="s">
        <v>299</v>
      </c>
      <c r="K252" s="830" t="s">
        <v>300</v>
      </c>
      <c r="L252" s="830" t="s">
        <v>17</v>
      </c>
      <c r="M252" s="830" t="s">
        <v>18</v>
      </c>
      <c r="N252" s="830" t="s">
        <v>19</v>
      </c>
      <c r="O252" s="832">
        <v>43101</v>
      </c>
      <c r="P252" s="832">
        <v>43132</v>
      </c>
      <c r="Q252" s="832">
        <v>43160</v>
      </c>
      <c r="R252" s="832">
        <v>43191</v>
      </c>
      <c r="S252" s="832">
        <v>43221</v>
      </c>
      <c r="T252" s="832">
        <v>43252</v>
      </c>
      <c r="U252" s="832">
        <v>43282</v>
      </c>
      <c r="V252" s="832">
        <v>43313</v>
      </c>
      <c r="W252" s="832">
        <v>43344</v>
      </c>
      <c r="X252" s="832">
        <v>43374</v>
      </c>
      <c r="Y252" s="832">
        <v>43405</v>
      </c>
      <c r="Z252" s="832">
        <v>43435</v>
      </c>
    </row>
    <row r="253" spans="1:27" ht="15" hidden="1" customHeight="1" outlineLevel="1" x14ac:dyDescent="0.25">
      <c r="A253" s="833" t="s">
        <v>265</v>
      </c>
      <c r="B253" s="833"/>
      <c r="C253" s="833"/>
      <c r="D253" s="866"/>
      <c r="E253" s="813"/>
      <c r="F253" s="813"/>
      <c r="G253" s="813"/>
      <c r="H253" s="813"/>
      <c r="I253" s="813"/>
      <c r="J253" s="813"/>
      <c r="K253" s="813"/>
      <c r="L253" s="813"/>
      <c r="M253" s="813"/>
      <c r="N253" s="813">
        <f t="shared" ref="N253:N256" si="65">SUM(O253:Z253)</f>
        <v>0</v>
      </c>
      <c r="O253" s="813"/>
      <c r="P253" s="813"/>
      <c r="Q253" s="813"/>
      <c r="R253" s="813"/>
      <c r="S253" s="813"/>
      <c r="T253" s="813"/>
      <c r="U253" s="813"/>
      <c r="V253" s="813"/>
      <c r="W253" s="813"/>
      <c r="X253" s="813"/>
      <c r="Y253" s="813"/>
      <c r="Z253" s="813"/>
    </row>
    <row r="254" spans="1:27" ht="15" hidden="1" customHeight="1" outlineLevel="1" x14ac:dyDescent="0.25">
      <c r="A254" s="833" t="s">
        <v>266</v>
      </c>
      <c r="B254" s="833"/>
      <c r="C254" s="833"/>
      <c r="D254" s="866"/>
      <c r="E254" s="813"/>
      <c r="F254" s="813"/>
      <c r="G254" s="813"/>
      <c r="H254" s="813"/>
      <c r="I254" s="813"/>
      <c r="J254" s="813"/>
      <c r="K254" s="813"/>
      <c r="L254" s="813"/>
      <c r="M254" s="813"/>
      <c r="N254" s="813">
        <f t="shared" si="65"/>
        <v>0</v>
      </c>
      <c r="O254" s="813"/>
      <c r="P254" s="813"/>
      <c r="Q254" s="813"/>
      <c r="R254" s="813"/>
      <c r="S254" s="813"/>
      <c r="T254" s="813"/>
      <c r="U254" s="813"/>
      <c r="V254" s="813"/>
      <c r="W254" s="813"/>
      <c r="X254" s="813"/>
      <c r="Y254" s="813"/>
      <c r="Z254" s="813"/>
    </row>
    <row r="255" spans="1:27" ht="15" hidden="1" customHeight="1" outlineLevel="1" x14ac:dyDescent="0.25">
      <c r="A255" s="833" t="s">
        <v>283</v>
      </c>
      <c r="B255" s="833"/>
      <c r="C255" s="833"/>
      <c r="D255" s="866"/>
      <c r="E255" s="813"/>
      <c r="F255" s="813"/>
      <c r="G255" s="813"/>
      <c r="H255" s="813"/>
      <c r="I255" s="813"/>
      <c r="J255" s="813"/>
      <c r="K255" s="813"/>
      <c r="L255" s="813"/>
      <c r="M255" s="813"/>
      <c r="N255" s="813">
        <f t="shared" si="65"/>
        <v>0</v>
      </c>
      <c r="O255" s="813"/>
      <c r="P255" s="813"/>
      <c r="Q255" s="813"/>
      <c r="R255" s="813"/>
      <c r="S255" s="813"/>
      <c r="T255" s="813"/>
      <c r="U255" s="813"/>
      <c r="V255" s="813"/>
      <c r="W255" s="813"/>
      <c r="X255" s="813"/>
      <c r="Y255" s="813"/>
      <c r="Z255" s="813"/>
    </row>
    <row r="256" spans="1:27" ht="15" hidden="1" customHeight="1" outlineLevel="1" x14ac:dyDescent="0.25">
      <c r="A256" s="833" t="s">
        <v>284</v>
      </c>
      <c r="B256" s="833"/>
      <c r="C256" s="833"/>
      <c r="D256" s="866"/>
      <c r="E256" s="813"/>
      <c r="F256" s="813"/>
      <c r="G256" s="813"/>
      <c r="H256" s="813"/>
      <c r="I256" s="813"/>
      <c r="J256" s="813"/>
      <c r="K256" s="813"/>
      <c r="L256" s="813"/>
      <c r="M256" s="813"/>
      <c r="N256" s="813">
        <f t="shared" si="65"/>
        <v>0</v>
      </c>
      <c r="O256" s="813"/>
      <c r="P256" s="813"/>
      <c r="Q256" s="813"/>
      <c r="R256" s="813"/>
      <c r="S256" s="813"/>
      <c r="T256" s="813"/>
      <c r="U256" s="813"/>
      <c r="V256" s="813"/>
      <c r="W256" s="813"/>
      <c r="X256" s="813"/>
      <c r="Y256" s="813"/>
      <c r="Z256" s="813"/>
    </row>
    <row r="257" spans="1:27" ht="21" hidden="1" customHeight="1" outlineLevel="1" x14ac:dyDescent="0.25">
      <c r="A257" s="833" t="s">
        <v>285</v>
      </c>
      <c r="B257" s="833"/>
      <c r="C257" s="833"/>
      <c r="D257" s="866"/>
      <c r="E257" s="813"/>
      <c r="F257" s="813"/>
      <c r="G257" s="876"/>
      <c r="H257" s="813"/>
      <c r="I257" s="813"/>
      <c r="J257" s="813"/>
      <c r="K257" s="877" t="s">
        <v>20</v>
      </c>
      <c r="L257" s="830">
        <f>SUM(L252:L256)</f>
        <v>0</v>
      </c>
      <c r="M257" s="830">
        <f>SUM(M252:M256)</f>
        <v>0</v>
      </c>
      <c r="N257" s="813">
        <f>SUM(N253:N256)</f>
        <v>0</v>
      </c>
      <c r="O257" s="813">
        <f t="shared" ref="O257:Z257" si="66">SUM(O253:O256)</f>
        <v>0</v>
      </c>
      <c r="P257" s="813">
        <f t="shared" si="66"/>
        <v>0</v>
      </c>
      <c r="Q257" s="813">
        <f t="shared" si="66"/>
        <v>0</v>
      </c>
      <c r="R257" s="813">
        <f t="shared" si="66"/>
        <v>0</v>
      </c>
      <c r="S257" s="813">
        <f t="shared" si="66"/>
        <v>0</v>
      </c>
      <c r="T257" s="813">
        <f t="shared" si="66"/>
        <v>0</v>
      </c>
      <c r="U257" s="813">
        <f t="shared" si="66"/>
        <v>0</v>
      </c>
      <c r="V257" s="813">
        <f t="shared" si="66"/>
        <v>0</v>
      </c>
      <c r="W257" s="813">
        <f t="shared" si="66"/>
        <v>0</v>
      </c>
      <c r="X257" s="813">
        <f t="shared" si="66"/>
        <v>0</v>
      </c>
      <c r="Y257" s="813">
        <f t="shared" si="66"/>
        <v>0</v>
      </c>
      <c r="Z257" s="813">
        <f t="shared" si="66"/>
        <v>0</v>
      </c>
      <c r="AA257" s="872"/>
    </row>
    <row r="258" spans="1:27" ht="18" hidden="1" outlineLevel="1" x14ac:dyDescent="0.25">
      <c r="A258" s="853" t="str">
        <f>CONCATENATE(B29," ",C29)</f>
        <v xml:space="preserve"> </v>
      </c>
      <c r="B258" s="853"/>
      <c r="C258" s="854"/>
      <c r="D258" s="854"/>
      <c r="E258" s="855"/>
      <c r="F258" s="855"/>
      <c r="G258" s="855"/>
      <c r="H258" s="855"/>
      <c r="I258" s="855"/>
      <c r="J258" s="855"/>
      <c r="K258" s="855"/>
      <c r="L258" s="855"/>
      <c r="M258" s="855"/>
      <c r="N258" s="855"/>
      <c r="O258" s="855" t="s">
        <v>5</v>
      </c>
      <c r="P258" s="855"/>
      <c r="Q258" s="855"/>
      <c r="R258" s="855"/>
      <c r="S258" s="855"/>
      <c r="T258" s="855"/>
      <c r="U258" s="855"/>
      <c r="V258" s="855"/>
      <c r="W258" s="855"/>
      <c r="X258" s="855"/>
      <c r="Y258" s="855"/>
      <c r="Z258" s="855"/>
    </row>
    <row r="259" spans="1:27" ht="6.75" hidden="1" customHeight="1" collapsed="1" x14ac:dyDescent="0.25"/>
    <row r="260" spans="1:27" ht="18" x14ac:dyDescent="0.25">
      <c r="A260" s="825" t="s">
        <v>324</v>
      </c>
      <c r="B260" s="825"/>
      <c r="C260" s="826"/>
      <c r="D260" s="826"/>
      <c r="E260" s="824"/>
      <c r="F260" s="824"/>
      <c r="G260" s="824"/>
      <c r="H260" s="827"/>
      <c r="I260" s="827"/>
      <c r="J260" s="824"/>
      <c r="K260" s="824"/>
      <c r="L260" s="824"/>
      <c r="M260" s="824"/>
      <c r="N260" s="824"/>
      <c r="O260" s="824" t="s">
        <v>5</v>
      </c>
      <c r="P260" s="824"/>
      <c r="Q260" s="824"/>
      <c r="R260" s="824"/>
      <c r="S260" s="824"/>
      <c r="T260" s="824"/>
      <c r="U260" s="824"/>
      <c r="V260" s="824"/>
      <c r="W260" s="824"/>
      <c r="X260" s="824"/>
      <c r="Y260" s="824"/>
      <c r="Z260" s="824"/>
    </row>
    <row r="261" spans="1:27" ht="15.75" hidden="1" outlineLevel="1" x14ac:dyDescent="0.25">
      <c r="A261" s="828" t="s">
        <v>261</v>
      </c>
      <c r="B261" s="828" t="s">
        <v>13</v>
      </c>
      <c r="C261" s="828" t="s">
        <v>14</v>
      </c>
      <c r="D261" s="829" t="s">
        <v>15</v>
      </c>
      <c r="E261" s="878"/>
      <c r="F261" s="878"/>
      <c r="G261" s="878"/>
      <c r="H261" s="878"/>
      <c r="I261" s="878"/>
      <c r="J261" s="831"/>
      <c r="K261" s="843"/>
      <c r="L261" s="830" t="s">
        <v>52</v>
      </c>
      <c r="M261" s="830" t="s">
        <v>53</v>
      </c>
      <c r="N261" s="830" t="s">
        <v>54</v>
      </c>
      <c r="O261" s="832">
        <v>43101</v>
      </c>
      <c r="P261" s="832">
        <v>43132</v>
      </c>
      <c r="Q261" s="832">
        <v>43160</v>
      </c>
      <c r="R261" s="832">
        <v>43191</v>
      </c>
      <c r="S261" s="832">
        <v>43221</v>
      </c>
      <c r="T261" s="832">
        <v>43252</v>
      </c>
      <c r="U261" s="832">
        <v>43282</v>
      </c>
      <c r="V261" s="832">
        <v>43313</v>
      </c>
      <c r="W261" s="832">
        <v>43344</v>
      </c>
      <c r="X261" s="832">
        <v>43374</v>
      </c>
      <c r="Y261" s="832">
        <v>43405</v>
      </c>
      <c r="Z261" s="832">
        <v>43435</v>
      </c>
    </row>
    <row r="262" spans="1:27" ht="15" hidden="1" outlineLevel="1" x14ac:dyDescent="0.25">
      <c r="A262" s="833" t="str">
        <f>+A17</f>
        <v>3.1</v>
      </c>
      <c r="B262" s="833" t="s">
        <v>27</v>
      </c>
      <c r="C262" s="833" t="str">
        <f>C17</f>
        <v>RE Mine Property</v>
      </c>
      <c r="D262" s="857" t="str">
        <f>D17</f>
        <v xml:space="preserve">Tramitación, Mantención y Resguardo de la Propiedad Minera Relincho </v>
      </c>
      <c r="E262" s="878"/>
      <c r="F262" s="878"/>
      <c r="G262" s="878"/>
      <c r="H262" s="878"/>
      <c r="I262" s="878"/>
      <c r="J262" s="831"/>
      <c r="K262" s="843" t="s">
        <v>5</v>
      </c>
      <c r="L262" s="813" t="s">
        <v>48</v>
      </c>
      <c r="M262" s="813" t="s">
        <v>55</v>
      </c>
      <c r="N262" s="813">
        <v>6</v>
      </c>
      <c r="O262" s="879">
        <f t="shared" ref="O262:Z262" si="67">+O17/SUM($O17:$Z17)</f>
        <v>2.8161419298660954E-2</v>
      </c>
      <c r="P262" s="879">
        <f t="shared" si="67"/>
        <v>3.1964117145294735E-2</v>
      </c>
      <c r="Q262" s="879">
        <f t="shared" si="67"/>
        <v>0.59629118035626938</v>
      </c>
      <c r="R262" s="879">
        <f t="shared" si="67"/>
        <v>5.0943352119456019E-2</v>
      </c>
      <c r="S262" s="879">
        <f t="shared" si="67"/>
        <v>2.8745071964743952E-2</v>
      </c>
      <c r="T262" s="879">
        <f t="shared" si="67"/>
        <v>5.1019842212446959E-2</v>
      </c>
      <c r="U262" s="879">
        <f t="shared" si="67"/>
        <v>5.1931547109649569E-2</v>
      </c>
      <c r="V262" s="879">
        <f t="shared" si="67"/>
        <v>1.5495182502481242E-2</v>
      </c>
      <c r="W262" s="879">
        <f t="shared" si="67"/>
        <v>6.4143356738463844E-2</v>
      </c>
      <c r="X262" s="879">
        <f t="shared" si="67"/>
        <v>2.4464239772850459E-2</v>
      </c>
      <c r="Y262" s="879">
        <f t="shared" si="67"/>
        <v>3.6821190540849334E-2</v>
      </c>
      <c r="Z262" s="879">
        <f t="shared" si="67"/>
        <v>2.0019500238833563E-2</v>
      </c>
    </row>
    <row r="263" spans="1:27" ht="15" hidden="1" outlineLevel="1" x14ac:dyDescent="0.25">
      <c r="A263" s="833" t="str">
        <f>+A18</f>
        <v>3.2</v>
      </c>
      <c r="B263" s="833" t="s">
        <v>29</v>
      </c>
      <c r="C263" s="833" t="str">
        <f>C18</f>
        <v>EM Mine Property</v>
      </c>
      <c r="D263" s="857" t="str">
        <f>D18</f>
        <v>Tramitación, Mantención y Resguardo de la Propiedad Minera El Morro</v>
      </c>
      <c r="E263" s="878"/>
      <c r="F263" s="878"/>
      <c r="G263" s="878"/>
      <c r="H263" s="878"/>
      <c r="I263" s="878"/>
      <c r="J263" s="831"/>
      <c r="K263" s="843" t="s">
        <v>5</v>
      </c>
      <c r="L263" s="813" t="s">
        <v>48</v>
      </c>
      <c r="M263" s="813" t="s">
        <v>55</v>
      </c>
      <c r="N263" s="813">
        <v>6</v>
      </c>
      <c r="O263" s="879">
        <f t="shared" ref="O263:Z263" si="68">+O18/SUM($O18:$Z18)</f>
        <v>2.1441206376618081E-3</v>
      </c>
      <c r="P263" s="879">
        <f t="shared" si="68"/>
        <v>3.9815906692049884E-3</v>
      </c>
      <c r="Q263" s="879">
        <f t="shared" si="68"/>
        <v>0.78620419440717526</v>
      </c>
      <c r="R263" s="879">
        <f t="shared" si="68"/>
        <v>3.2904574319867486E-2</v>
      </c>
      <c r="S263" s="879">
        <f t="shared" si="68"/>
        <v>2.2979823805701228E-2</v>
      </c>
      <c r="T263" s="879">
        <f t="shared" si="68"/>
        <v>1.9519541456580163E-3</v>
      </c>
      <c r="U263" s="879">
        <f t="shared" si="68"/>
        <v>7.5596722652881462E-2</v>
      </c>
      <c r="V263" s="879">
        <f t="shared" si="68"/>
        <v>4.0985312853112641E-3</v>
      </c>
      <c r="W263" s="879">
        <f t="shared" si="68"/>
        <v>1.9519541456580163E-3</v>
      </c>
      <c r="X263" s="879">
        <f t="shared" si="68"/>
        <v>2.4757189677334082E-3</v>
      </c>
      <c r="Y263" s="879">
        <f t="shared" si="68"/>
        <v>6.3758860817489063E-2</v>
      </c>
      <c r="Z263" s="879">
        <f t="shared" si="68"/>
        <v>1.9519541456580163E-3</v>
      </c>
    </row>
    <row r="264" spans="1:27" ht="15" hidden="1" outlineLevel="1" x14ac:dyDescent="0.25">
      <c r="A264" s="833" t="str">
        <f>+A20</f>
        <v>3.3</v>
      </c>
      <c r="B264" s="833" t="s">
        <v>30</v>
      </c>
      <c r="C264" s="833" t="str">
        <f>C20</f>
        <v>Legal/Consulting Land Access</v>
      </c>
      <c r="D264" s="857" t="str">
        <f>D20</f>
        <v xml:space="preserve">Costo Consultores y gastos varios área legal Land Access </v>
      </c>
      <c r="E264" s="878"/>
      <c r="F264" s="878"/>
      <c r="G264" s="878"/>
      <c r="H264" s="878"/>
      <c r="I264" s="878"/>
      <c r="J264" s="831"/>
      <c r="K264" s="843" t="s">
        <v>5</v>
      </c>
      <c r="L264" s="813"/>
      <c r="M264" s="813"/>
      <c r="N264" s="813"/>
      <c r="O264" s="879">
        <f t="shared" ref="O264:Z264" si="69">+O20/SUM($O20:$Z20)</f>
        <v>0.11384383801107123</v>
      </c>
      <c r="P264" s="879">
        <f t="shared" si="69"/>
        <v>0.11384383801107123</v>
      </c>
      <c r="Q264" s="879">
        <f t="shared" si="69"/>
        <v>0.12705156841798587</v>
      </c>
      <c r="R264" s="879">
        <f t="shared" si="69"/>
        <v>0.11384383801107123</v>
      </c>
      <c r="S264" s="879">
        <f t="shared" si="69"/>
        <v>0.1146693211615034</v>
      </c>
      <c r="T264" s="879">
        <f t="shared" si="69"/>
        <v>0.12622608526755372</v>
      </c>
      <c r="U264" s="879">
        <f t="shared" si="69"/>
        <v>0.1146693211615034</v>
      </c>
      <c r="V264" s="879">
        <f t="shared" si="69"/>
        <v>2.9887345828882212E-2</v>
      </c>
      <c r="W264" s="879">
        <f t="shared" si="69"/>
        <v>4.3095076235796857E-2</v>
      </c>
      <c r="X264" s="879">
        <f t="shared" si="69"/>
        <v>2.9887345828882212E-2</v>
      </c>
      <c r="Y264" s="879">
        <f t="shared" si="69"/>
        <v>3.0712828979314377E-2</v>
      </c>
      <c r="Z264" s="879">
        <f t="shared" si="69"/>
        <v>4.2269593085364689E-2</v>
      </c>
    </row>
    <row r="265" spans="1:27" ht="15" hidden="1" outlineLevel="1" x14ac:dyDescent="0.25">
      <c r="A265" s="833" t="str">
        <f>+A25</f>
        <v>3.3.5</v>
      </c>
      <c r="B265" s="833" t="s">
        <v>31</v>
      </c>
      <c r="C265" s="833" t="str">
        <f>C25</f>
        <v>Land Access (Ingreso EIA)</v>
      </c>
      <c r="D265" s="866" t="str">
        <f>D25</f>
        <v xml:space="preserve">Tramitación e indemnizacion Servidumbres </v>
      </c>
      <c r="E265" s="878"/>
      <c r="F265" s="878"/>
      <c r="G265" s="878"/>
      <c r="H265" s="878"/>
      <c r="I265" s="878"/>
      <c r="J265" s="831"/>
      <c r="K265" s="843" t="s">
        <v>5</v>
      </c>
      <c r="L265" s="813"/>
      <c r="M265" s="813"/>
      <c r="N265" s="813"/>
      <c r="O265" s="879">
        <f t="shared" ref="O265:Z265" si="70">+O25/SUM($O25:$Z25)</f>
        <v>0.45770226942884323</v>
      </c>
      <c r="P265" s="879">
        <f t="shared" si="70"/>
        <v>0</v>
      </c>
      <c r="Q265" s="879">
        <f t="shared" si="70"/>
        <v>0</v>
      </c>
      <c r="R265" s="879">
        <f t="shared" si="70"/>
        <v>1.5372869458209698E-3</v>
      </c>
      <c r="S265" s="879">
        <f t="shared" si="70"/>
        <v>0.45446740306658534</v>
      </c>
      <c r="T265" s="879">
        <f t="shared" si="70"/>
        <v>8.6293040558750422E-2</v>
      </c>
      <c r="U265" s="879">
        <f t="shared" si="70"/>
        <v>0</v>
      </c>
      <c r="V265" s="879">
        <f t="shared" si="70"/>
        <v>0</v>
      </c>
      <c r="W265" s="879">
        <f t="shared" si="70"/>
        <v>0</v>
      </c>
      <c r="X265" s="879">
        <f t="shared" si="70"/>
        <v>0</v>
      </c>
      <c r="Y265" s="879">
        <f t="shared" si="70"/>
        <v>0</v>
      </c>
      <c r="Z265" s="879">
        <f t="shared" si="70"/>
        <v>0</v>
      </c>
    </row>
    <row r="266" spans="1:27" ht="15" hidden="1" outlineLevel="1" x14ac:dyDescent="0.25">
      <c r="A266" s="833" t="e">
        <f>+#REF!</f>
        <v>#REF!</v>
      </c>
      <c r="B266" s="833" t="s">
        <v>32</v>
      </c>
      <c r="C266" s="833" t="e">
        <f>#REF!</f>
        <v>#REF!</v>
      </c>
      <c r="D266" s="866" t="e">
        <f>#REF!</f>
        <v>#REF!</v>
      </c>
      <c r="E266" s="878"/>
      <c r="F266" s="878"/>
      <c r="G266" s="878"/>
      <c r="H266" s="878"/>
      <c r="I266" s="878"/>
      <c r="J266" s="831"/>
      <c r="K266" s="843"/>
      <c r="L266" s="813"/>
      <c r="M266" s="813"/>
      <c r="N266" s="813"/>
      <c r="O266" s="879" t="e">
        <f>+#REF!/SUM(#REF!)</f>
        <v>#REF!</v>
      </c>
      <c r="P266" s="879" t="e">
        <f>+#REF!/SUM(#REF!)</f>
        <v>#REF!</v>
      </c>
      <c r="Q266" s="879" t="e">
        <f>+#REF!/SUM(#REF!)</f>
        <v>#REF!</v>
      </c>
      <c r="R266" s="879" t="e">
        <f>+#REF!/SUM(#REF!)</f>
        <v>#REF!</v>
      </c>
      <c r="S266" s="879" t="e">
        <f>+#REF!/SUM(#REF!)</f>
        <v>#REF!</v>
      </c>
      <c r="T266" s="879" t="e">
        <f>+#REF!/SUM(#REF!)</f>
        <v>#REF!</v>
      </c>
      <c r="U266" s="879" t="e">
        <f>+#REF!/SUM(#REF!)</f>
        <v>#REF!</v>
      </c>
      <c r="V266" s="879" t="e">
        <f>+#REF!/SUM(#REF!)</f>
        <v>#REF!</v>
      </c>
      <c r="W266" s="879" t="e">
        <f>+#REF!/SUM(#REF!)</f>
        <v>#REF!</v>
      </c>
      <c r="X266" s="879" t="e">
        <f>+#REF!/SUM(#REF!)</f>
        <v>#REF!</v>
      </c>
      <c r="Y266" s="879" t="e">
        <f>+#REF!/SUM(#REF!)</f>
        <v>#REF!</v>
      </c>
      <c r="Z266" s="879" t="e">
        <f>+#REF!/SUM(#REF!)</f>
        <v>#REF!</v>
      </c>
    </row>
    <row r="267" spans="1:27" ht="15" hidden="1" outlineLevel="1" x14ac:dyDescent="0.25">
      <c r="A267" s="833" t="e">
        <f>+#REF!</f>
        <v>#REF!</v>
      </c>
      <c r="B267" s="833" t="s">
        <v>256</v>
      </c>
      <c r="C267" s="833" t="e">
        <f>#REF!</f>
        <v>#REF!</v>
      </c>
      <c r="D267" s="866" t="e">
        <f>#REF!</f>
        <v>#REF!</v>
      </c>
      <c r="E267" s="878"/>
      <c r="F267" s="878"/>
      <c r="G267" s="878"/>
      <c r="H267" s="878"/>
      <c r="I267" s="878"/>
      <c r="J267" s="831"/>
      <c r="K267" s="843"/>
      <c r="L267" s="813"/>
      <c r="M267" s="813"/>
      <c r="N267" s="813"/>
      <c r="O267" s="879" t="e">
        <f>+#REF!/SUM(#REF!)</f>
        <v>#REF!</v>
      </c>
      <c r="P267" s="879" t="e">
        <f>+#REF!/SUM(#REF!)</f>
        <v>#REF!</v>
      </c>
      <c r="Q267" s="879" t="e">
        <f>+#REF!/SUM(#REF!)</f>
        <v>#REF!</v>
      </c>
      <c r="R267" s="879" t="e">
        <f>+#REF!/SUM(#REF!)</f>
        <v>#REF!</v>
      </c>
      <c r="S267" s="879" t="e">
        <f>+#REF!/SUM(#REF!)</f>
        <v>#REF!</v>
      </c>
      <c r="T267" s="879" t="e">
        <f>+#REF!/SUM(#REF!)</f>
        <v>#REF!</v>
      </c>
      <c r="U267" s="879" t="e">
        <f>+#REF!/SUM(#REF!)</f>
        <v>#REF!</v>
      </c>
      <c r="V267" s="879" t="e">
        <f>+#REF!/SUM(#REF!)</f>
        <v>#REF!</v>
      </c>
      <c r="W267" s="879" t="e">
        <f>+#REF!/SUM(#REF!)</f>
        <v>#REF!</v>
      </c>
      <c r="X267" s="879" t="e">
        <f>+#REF!/SUM(#REF!)</f>
        <v>#REF!</v>
      </c>
      <c r="Y267" s="879" t="e">
        <f>+#REF!/SUM(#REF!)</f>
        <v>#REF!</v>
      </c>
      <c r="Z267" s="879" t="e">
        <f>+#REF!/SUM(#REF!)</f>
        <v>#REF!</v>
      </c>
    </row>
    <row r="268" spans="1:27" ht="15" hidden="1" outlineLevel="1" x14ac:dyDescent="0.25">
      <c r="A268" s="833" t="e">
        <f>+#REF!</f>
        <v>#REF!</v>
      </c>
      <c r="B268" s="833" t="s">
        <v>257</v>
      </c>
      <c r="C268" s="833" t="e">
        <f>#REF!</f>
        <v>#REF!</v>
      </c>
      <c r="D268" s="866" t="e">
        <f>#REF!</f>
        <v>#REF!</v>
      </c>
      <c r="E268" s="878"/>
      <c r="F268" s="878"/>
      <c r="G268" s="878"/>
      <c r="H268" s="878"/>
      <c r="I268" s="878"/>
      <c r="J268" s="831"/>
      <c r="K268" s="843"/>
      <c r="L268" s="813"/>
      <c r="M268" s="813"/>
      <c r="N268" s="813"/>
      <c r="O268" s="879" t="e">
        <f>+#REF!/SUM(#REF!)</f>
        <v>#REF!</v>
      </c>
      <c r="P268" s="879" t="e">
        <f>+#REF!/SUM(#REF!)</f>
        <v>#REF!</v>
      </c>
      <c r="Q268" s="879" t="e">
        <f>+#REF!/SUM(#REF!)</f>
        <v>#REF!</v>
      </c>
      <c r="R268" s="879" t="e">
        <f>+#REF!/SUM(#REF!)</f>
        <v>#REF!</v>
      </c>
      <c r="S268" s="879" t="e">
        <f>+#REF!/SUM(#REF!)</f>
        <v>#REF!</v>
      </c>
      <c r="T268" s="879" t="e">
        <f>+#REF!/SUM(#REF!)</f>
        <v>#REF!</v>
      </c>
      <c r="U268" s="879" t="e">
        <f>+#REF!/SUM(#REF!)</f>
        <v>#REF!</v>
      </c>
      <c r="V268" s="879" t="e">
        <f>+#REF!/SUM(#REF!)</f>
        <v>#REF!</v>
      </c>
      <c r="W268" s="879" t="e">
        <f>+#REF!/SUM(#REF!)</f>
        <v>#REF!</v>
      </c>
      <c r="X268" s="879" t="e">
        <f>+#REF!/SUM(#REF!)</f>
        <v>#REF!</v>
      </c>
      <c r="Y268" s="879" t="e">
        <f>+#REF!/SUM(#REF!)</f>
        <v>#REF!</v>
      </c>
      <c r="Z268" s="879" t="e">
        <f>+#REF!/SUM(#REF!)</f>
        <v>#REF!</v>
      </c>
    </row>
    <row r="269" spans="1:27" ht="15" hidden="1" outlineLevel="1" x14ac:dyDescent="0.25">
      <c r="A269" s="833" t="e">
        <f>+#REF!</f>
        <v>#REF!</v>
      </c>
      <c r="B269" s="833" t="s">
        <v>258</v>
      </c>
      <c r="C269" s="833" t="e">
        <f>#REF!</f>
        <v>#REF!</v>
      </c>
      <c r="D269" s="866" t="e">
        <f>#REF!</f>
        <v>#REF!</v>
      </c>
      <c r="E269" s="878"/>
      <c r="F269" s="878"/>
      <c r="G269" s="878"/>
      <c r="H269" s="878"/>
      <c r="I269" s="878"/>
      <c r="J269" s="831"/>
      <c r="K269" s="843"/>
      <c r="L269" s="813"/>
      <c r="M269" s="813"/>
      <c r="N269" s="813"/>
      <c r="O269" s="879" t="e">
        <f>+#REF!/SUM(#REF!)</f>
        <v>#REF!</v>
      </c>
      <c r="P269" s="879" t="e">
        <f>+#REF!/SUM(#REF!)</f>
        <v>#REF!</v>
      </c>
      <c r="Q269" s="879" t="e">
        <f>+#REF!/SUM(#REF!)</f>
        <v>#REF!</v>
      </c>
      <c r="R269" s="879" t="e">
        <f>+#REF!/SUM(#REF!)</f>
        <v>#REF!</v>
      </c>
      <c r="S269" s="879" t="e">
        <f>+#REF!/SUM(#REF!)</f>
        <v>#REF!</v>
      </c>
      <c r="T269" s="879" t="e">
        <f>+#REF!/SUM(#REF!)</f>
        <v>#REF!</v>
      </c>
      <c r="U269" s="879" t="e">
        <f>+#REF!/SUM(#REF!)</f>
        <v>#REF!</v>
      </c>
      <c r="V269" s="879" t="e">
        <f>+#REF!/SUM(#REF!)</f>
        <v>#REF!</v>
      </c>
      <c r="W269" s="879" t="e">
        <f>+#REF!/SUM(#REF!)</f>
        <v>#REF!</v>
      </c>
      <c r="X269" s="879" t="e">
        <f>+#REF!/SUM(#REF!)</f>
        <v>#REF!</v>
      </c>
      <c r="Y269" s="879" t="e">
        <f>+#REF!/SUM(#REF!)</f>
        <v>#REF!</v>
      </c>
      <c r="Z269" s="879" t="e">
        <f>+#REF!/SUM(#REF!)</f>
        <v>#REF!</v>
      </c>
    </row>
    <row r="270" spans="1:27" ht="15" hidden="1" outlineLevel="1" x14ac:dyDescent="0.25">
      <c r="A270" s="833" t="str">
        <f>+A28</f>
        <v>3.5</v>
      </c>
      <c r="B270" s="833" t="s">
        <v>259</v>
      </c>
      <c r="C270" s="833" t="str">
        <f>C28</f>
        <v>Permits Licences</v>
      </c>
      <c r="D270" s="866" t="str">
        <f>D28</f>
        <v>Pago de Contribuciones predios superficiales de propiedad del proyecto</v>
      </c>
      <c r="E270" s="878"/>
      <c r="F270" s="878"/>
      <c r="G270" s="878"/>
      <c r="H270" s="878"/>
      <c r="I270" s="878"/>
      <c r="J270" s="831"/>
      <c r="K270" s="843"/>
      <c r="L270" s="813"/>
      <c r="M270" s="813"/>
      <c r="N270" s="813"/>
      <c r="O270" s="879">
        <f t="shared" ref="O270:Z272" si="71">+O28/SUM($O28:$Z28)</f>
        <v>0</v>
      </c>
      <c r="P270" s="879">
        <f t="shared" si="71"/>
        <v>0</v>
      </c>
      <c r="Q270" s="879">
        <f t="shared" si="71"/>
        <v>0</v>
      </c>
      <c r="R270" s="879">
        <f t="shared" si="71"/>
        <v>0.25</v>
      </c>
      <c r="S270" s="879">
        <f t="shared" si="71"/>
        <v>0</v>
      </c>
      <c r="T270" s="879">
        <f t="shared" si="71"/>
        <v>0.25</v>
      </c>
      <c r="U270" s="879">
        <f t="shared" si="71"/>
        <v>0</v>
      </c>
      <c r="V270" s="879">
        <f t="shared" si="71"/>
        <v>0</v>
      </c>
      <c r="W270" s="879">
        <f t="shared" si="71"/>
        <v>0.25</v>
      </c>
      <c r="X270" s="879">
        <f t="shared" si="71"/>
        <v>0</v>
      </c>
      <c r="Y270" s="879">
        <f t="shared" si="71"/>
        <v>0.25</v>
      </c>
      <c r="Z270" s="879">
        <f t="shared" si="71"/>
        <v>0</v>
      </c>
    </row>
    <row r="271" spans="1:27" ht="15" hidden="1" outlineLevel="1" x14ac:dyDescent="0.25">
      <c r="A271" s="833">
        <f>+A29</f>
        <v>0</v>
      </c>
      <c r="B271" s="833" t="s">
        <v>260</v>
      </c>
      <c r="C271" s="833">
        <f>C29</f>
        <v>0</v>
      </c>
      <c r="D271" s="866">
        <f>D29</f>
        <v>0</v>
      </c>
      <c r="E271" s="878"/>
      <c r="F271" s="878"/>
      <c r="G271" s="878"/>
      <c r="H271" s="878"/>
      <c r="I271" s="878"/>
      <c r="J271" s="831"/>
      <c r="K271" s="843" t="s">
        <v>5</v>
      </c>
      <c r="L271" s="813"/>
      <c r="M271" s="813"/>
      <c r="N271" s="813"/>
      <c r="O271" s="879" t="e">
        <f t="shared" si="71"/>
        <v>#VALUE!</v>
      </c>
      <c r="P271" s="879" t="e">
        <f t="shared" si="71"/>
        <v>#DIV/0!</v>
      </c>
      <c r="Q271" s="879" t="e">
        <f t="shared" si="71"/>
        <v>#DIV/0!</v>
      </c>
      <c r="R271" s="879" t="e">
        <f t="shared" si="71"/>
        <v>#DIV/0!</v>
      </c>
      <c r="S271" s="879" t="e">
        <f t="shared" si="71"/>
        <v>#DIV/0!</v>
      </c>
      <c r="T271" s="879" t="e">
        <f t="shared" si="71"/>
        <v>#DIV/0!</v>
      </c>
      <c r="U271" s="879" t="e">
        <f t="shared" si="71"/>
        <v>#DIV/0!</v>
      </c>
      <c r="V271" s="879" t="e">
        <f t="shared" si="71"/>
        <v>#DIV/0!</v>
      </c>
      <c r="W271" s="879" t="e">
        <f t="shared" si="71"/>
        <v>#DIV/0!</v>
      </c>
      <c r="X271" s="879" t="e">
        <f t="shared" si="71"/>
        <v>#DIV/0!</v>
      </c>
      <c r="Y271" s="879" t="e">
        <f t="shared" si="71"/>
        <v>#DIV/0!</v>
      </c>
      <c r="Z271" s="879" t="e">
        <f t="shared" si="71"/>
        <v>#DIV/0!</v>
      </c>
    </row>
    <row r="272" spans="1:27" s="872" customFormat="1" ht="22.5" hidden="1" customHeight="1" outlineLevel="1" x14ac:dyDescent="0.25">
      <c r="A272" s="868"/>
      <c r="B272" s="869"/>
      <c r="C272" s="869"/>
      <c r="D272" s="869"/>
      <c r="E272" s="870"/>
      <c r="F272" s="870"/>
      <c r="G272" s="870"/>
      <c r="H272" s="870"/>
      <c r="I272" s="870"/>
      <c r="J272" s="871" t="s">
        <v>20</v>
      </c>
      <c r="K272" s="877"/>
      <c r="L272" s="830" t="s">
        <v>48</v>
      </c>
      <c r="M272" s="830" t="s">
        <v>55</v>
      </c>
      <c r="N272" s="880">
        <f>SUM(N262:N271)</f>
        <v>12</v>
      </c>
      <c r="O272" s="879">
        <f t="shared" si="71"/>
        <v>0.39412587350013611</v>
      </c>
      <c r="P272" s="879">
        <f t="shared" si="71"/>
        <v>1.5447273007537364E-2</v>
      </c>
      <c r="Q272" s="879">
        <f t="shared" si="71"/>
        <v>9.5388300680468843E-2</v>
      </c>
      <c r="R272" s="879">
        <f t="shared" si="71"/>
        <v>2.0768344090371104E-2</v>
      </c>
      <c r="S272" s="879">
        <f t="shared" si="71"/>
        <v>0.17712327970338271</v>
      </c>
      <c r="T272" s="879">
        <f t="shared" si="71"/>
        <v>3.774754397270081E-2</v>
      </c>
      <c r="U272" s="879">
        <f t="shared" si="71"/>
        <v>2.2560683185732823E-2</v>
      </c>
      <c r="V272" s="879">
        <f t="shared" si="71"/>
        <v>7.0949535380928335E-3</v>
      </c>
      <c r="W272" s="879">
        <f t="shared" si="71"/>
        <v>1.3629456622733956E-2</v>
      </c>
      <c r="X272" s="879">
        <f t="shared" si="71"/>
        <v>9.072522914008797E-3</v>
      </c>
      <c r="Y272" s="879">
        <f t="shared" si="71"/>
        <v>1.2618729631204788E-2</v>
      </c>
      <c r="Z272" s="879">
        <f t="shared" si="71"/>
        <v>0.1944230391536298</v>
      </c>
    </row>
    <row r="273" spans="1:26" collapsed="1" x14ac:dyDescent="0.25"/>
    <row r="274" spans="1:26" x14ac:dyDescent="0.25">
      <c r="B274" s="815" t="s">
        <v>21</v>
      </c>
      <c r="C274" s="816">
        <v>43466</v>
      </c>
      <c r="N274" s="850"/>
      <c r="P274" s="850"/>
    </row>
    <row r="275" spans="1:26" x14ac:dyDescent="0.25">
      <c r="B275" s="815" t="s">
        <v>23</v>
      </c>
      <c r="C275" s="816">
        <v>42917</v>
      </c>
      <c r="N275" s="850"/>
      <c r="O275" s="850"/>
      <c r="P275" s="850"/>
      <c r="Q275" s="850"/>
      <c r="R275" s="850"/>
      <c r="S275" s="850"/>
      <c r="T275" s="850"/>
      <c r="U275" s="850"/>
      <c r="V275" s="850"/>
      <c r="W275" s="850"/>
      <c r="X275" s="850"/>
      <c r="Y275" s="850"/>
      <c r="Z275" s="850"/>
    </row>
    <row r="276" spans="1:26" x14ac:dyDescent="0.25">
      <c r="N276" s="850"/>
      <c r="O276" s="850"/>
      <c r="P276" s="850"/>
      <c r="Q276" s="850"/>
      <c r="R276" s="850"/>
      <c r="S276" s="850"/>
      <c r="T276" s="850"/>
      <c r="U276" s="850"/>
      <c r="V276" s="850"/>
      <c r="W276" s="850"/>
      <c r="X276" s="850"/>
      <c r="Y276" s="850"/>
      <c r="Z276" s="850"/>
    </row>
    <row r="277" spans="1:26" ht="18" x14ac:dyDescent="0.25">
      <c r="A277" s="881" t="s">
        <v>262</v>
      </c>
      <c r="N277" s="850"/>
      <c r="O277" s="850"/>
      <c r="P277" s="850"/>
      <c r="Q277" s="850"/>
      <c r="R277" s="850"/>
      <c r="S277" s="850"/>
      <c r="T277" s="850"/>
      <c r="U277" s="850"/>
      <c r="V277" s="850"/>
      <c r="W277" s="850"/>
      <c r="X277" s="850"/>
      <c r="Y277" s="850"/>
      <c r="Z277" s="850"/>
    </row>
    <row r="278" spans="1:26" ht="18" x14ac:dyDescent="0.25">
      <c r="A278" s="882" t="s">
        <v>1606</v>
      </c>
      <c r="B278" s="883"/>
    </row>
    <row r="279" spans="1:26" ht="18" x14ac:dyDescent="0.25">
      <c r="A279" s="882" t="s">
        <v>323</v>
      </c>
      <c r="B279" s="883"/>
      <c r="N279" s="850"/>
    </row>
    <row r="281" spans="1:26" ht="36" x14ac:dyDescent="0.25">
      <c r="A281" s="884" t="s">
        <v>1607</v>
      </c>
      <c r="B281" s="885" t="s">
        <v>288</v>
      </c>
      <c r="C281" s="885" t="s">
        <v>320</v>
      </c>
    </row>
    <row r="282" spans="1:26" ht="36" x14ac:dyDescent="0.25">
      <c r="A282" s="884" t="s">
        <v>310</v>
      </c>
      <c r="B282" s="885" t="s">
        <v>289</v>
      </c>
      <c r="C282" s="885" t="s">
        <v>321</v>
      </c>
    </row>
    <row r="283" spans="1:26" ht="54" x14ac:dyDescent="0.25">
      <c r="A283" s="884" t="s">
        <v>311</v>
      </c>
      <c r="B283" s="885" t="s">
        <v>290</v>
      </c>
      <c r="C283" s="885" t="s">
        <v>319</v>
      </c>
    </row>
    <row r="284" spans="1:26" ht="54" x14ac:dyDescent="0.25">
      <c r="A284" s="884" t="s">
        <v>312</v>
      </c>
      <c r="B284" s="885" t="s">
        <v>291</v>
      </c>
      <c r="C284" s="885" t="s">
        <v>322</v>
      </c>
    </row>
    <row r="285" spans="1:26" ht="54" x14ac:dyDescent="0.25">
      <c r="A285" s="884" t="s">
        <v>313</v>
      </c>
      <c r="B285" s="885" t="s">
        <v>292</v>
      </c>
      <c r="C285" s="885" t="s">
        <v>327</v>
      </c>
    </row>
    <row r="286" spans="1:26" ht="36" x14ac:dyDescent="0.25">
      <c r="A286" s="884" t="s">
        <v>314</v>
      </c>
      <c r="B286" s="885" t="s">
        <v>293</v>
      </c>
      <c r="C286" s="885" t="s">
        <v>317</v>
      </c>
    </row>
    <row r="287" spans="1:26" ht="54" x14ac:dyDescent="0.25">
      <c r="A287" s="884" t="s">
        <v>315</v>
      </c>
      <c r="B287" s="885" t="s">
        <v>296</v>
      </c>
      <c r="C287" s="885" t="s">
        <v>318</v>
      </c>
    </row>
    <row r="289" spans="1:2" ht="72" x14ac:dyDescent="0.25">
      <c r="A289" s="881" t="s">
        <v>301</v>
      </c>
      <c r="B289" s="883" t="s">
        <v>1608</v>
      </c>
    </row>
    <row r="291" spans="1:2" ht="54" x14ac:dyDescent="0.25">
      <c r="A291" s="881" t="s">
        <v>303</v>
      </c>
      <c r="B291" s="883" t="s">
        <v>1609</v>
      </c>
    </row>
    <row r="292" spans="1:2" ht="18" x14ac:dyDescent="0.25">
      <c r="A292" s="883"/>
    </row>
    <row r="293" spans="1:2" ht="72" x14ac:dyDescent="0.25">
      <c r="A293" s="881" t="s">
        <v>304</v>
      </c>
      <c r="B293" s="817" t="s">
        <v>1610</v>
      </c>
    </row>
    <row r="294" spans="1:2" ht="18" x14ac:dyDescent="0.25">
      <c r="A294" s="883"/>
    </row>
    <row r="295" spans="1:2" ht="54" x14ac:dyDescent="0.25">
      <c r="A295" s="883" t="s">
        <v>308</v>
      </c>
      <c r="B295" s="883" t="s">
        <v>1611</v>
      </c>
    </row>
  </sheetData>
  <mergeCells count="52">
    <mergeCell ref="E42:K42"/>
    <mergeCell ref="E35:K35"/>
    <mergeCell ref="E36:K36"/>
    <mergeCell ref="E38:K38"/>
    <mergeCell ref="E39:K39"/>
    <mergeCell ref="E41:K41"/>
    <mergeCell ref="E59:K59"/>
    <mergeCell ref="E44:K44"/>
    <mergeCell ref="E45:K45"/>
    <mergeCell ref="E46:K46"/>
    <mergeCell ref="E48:K48"/>
    <mergeCell ref="E50:K50"/>
    <mergeCell ref="E52:K52"/>
    <mergeCell ref="E54:K54"/>
    <mergeCell ref="E55:K55"/>
    <mergeCell ref="E56:K56"/>
    <mergeCell ref="E57:K57"/>
    <mergeCell ref="E58:K58"/>
    <mergeCell ref="E80:K80"/>
    <mergeCell ref="E61:K61"/>
    <mergeCell ref="E66:K66"/>
    <mergeCell ref="E67:K67"/>
    <mergeCell ref="E70:K70"/>
    <mergeCell ref="E72:K72"/>
    <mergeCell ref="E73:K73"/>
    <mergeCell ref="E74:K74"/>
    <mergeCell ref="E75:K75"/>
    <mergeCell ref="E76:K76"/>
    <mergeCell ref="E78:K78"/>
    <mergeCell ref="E79:K79"/>
    <mergeCell ref="E94:K94"/>
    <mergeCell ref="E81:K81"/>
    <mergeCell ref="E82:K82"/>
    <mergeCell ref="E84:K84"/>
    <mergeCell ref="E85:K85"/>
    <mergeCell ref="E86:K86"/>
    <mergeCell ref="E87:K87"/>
    <mergeCell ref="E88:K88"/>
    <mergeCell ref="E90:K90"/>
    <mergeCell ref="E91:K91"/>
    <mergeCell ref="E92:K92"/>
    <mergeCell ref="E93:K93"/>
    <mergeCell ref="E103:K103"/>
    <mergeCell ref="E104:K104"/>
    <mergeCell ref="E105:K105"/>
    <mergeCell ref="E106:K106"/>
    <mergeCell ref="E96:K96"/>
    <mergeCell ref="E97:K97"/>
    <mergeCell ref="E98:K98"/>
    <mergeCell ref="E99:K99"/>
    <mergeCell ref="E100:K100"/>
    <mergeCell ref="E102:K102"/>
  </mergeCells>
  <dataValidations count="5">
    <dataValidation type="list" allowBlank="1" showInputMessage="1" showErrorMessage="1" sqref="F253:F257 F246:F250 F239:F243 F232:F236 F225:F229 F167:F173 F163 F177:F179 F149:F151 F205:F210 F214:F217 F133:F136 F183:F201 F155:F157">
      <formula1>$A$3:$A$9</formula1>
    </dataValidation>
    <dataValidation type="list" allowBlank="1" showInputMessage="1" showErrorMessage="1" sqref="M262:M272 L262:L271 H246:K249 H239:K242 H232:K235 H225:K228 H253:K256 H229:I229 H236:J236 H243:J243 H250:J250 H257:J257">
      <formula1>$C$3:$C$15</formula1>
    </dataValidation>
    <dataValidation type="list" allowBlank="1" showInputMessage="1" showErrorMessage="1" sqref="L30">
      <formula1>$D$4:$D$15</formula1>
    </dataValidation>
    <dataValidation type="list" allowBlank="1" showInputMessage="1" showErrorMessage="1" sqref="L272 J229">
      <formula1>$C$3:$C$14</formula1>
    </dataValidation>
    <dataValidation type="list" allowBlank="1" showInputMessage="1" showErrorMessage="1" sqref="L102:L106 L48 L72:L76 L78:L82 L84:L88 L90:L94 L96:L100 L50 L52 L70 L54 L38:L39">
      <formula1>$G$2:$G$8</formula1>
    </dataValidation>
  </dataValidations>
  <printOptions horizontalCentered="1"/>
  <pageMargins left="0.31496062992125984" right="0.31496062992125984" top="1.1811023622047245" bottom="1.1811023622047245" header="0.31496062992125984" footer="0.31496062992125984"/>
  <pageSetup paperSize="17" scale="69"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14:formula1>
            <xm:f>'C:\NuevaUnion\00_AREA LEGAL\COSTOS  AREA LEGAL\Preparacion Presupuesto 2018_jul2017\[Budget Legal 2018_29nov2017.xlsx]CCs &amp; Accounts'!#REF!</xm:f>
          </x14:formula1>
          <xm:sqref>E19:E20</xm:sqref>
        </x14:dataValidation>
        <x14:dataValidation type="list" allowBlank="1" showInputMessage="1" showErrorMessage="1">
          <x14:formula1>
            <xm:f>'C:\NuevaUnion\00_AREA LEGAL\COSTOS  AREA LEGAL\Preparacion Presupuesto 2018_jul2017\[Budget Legal 2018_29nov2017.xlsx]Lists'!#REF!</xm:f>
          </x14:formula1>
          <xm:sqref>L19:L20</xm:sqref>
        </x14:dataValidation>
        <x14:dataValidation type="list" allowBlank="1" showInputMessage="1" showErrorMessage="1">
          <x14:formula1>
            <xm:f>'C:\NuevaUnion\00_AREA LEGAL\COSTOS  AREA LEGAL\Preparacion Presupuesto 2018_jul2017\[Budget Legal 2018_01sep2017.xlsx]CCs &amp; Accounts'!#REF!</xm:f>
          </x14:formula1>
          <xm:sqref>E206:E207 E216</xm:sqref>
        </x14:dataValidation>
        <x14:dataValidation type="list" allowBlank="1" showInputMessage="1" showErrorMessage="1">
          <x14:formula1>
            <xm:f>'C:\NuevaUnion\00_AREA LEGAL\COSTOS  AREA LEGAL\Preparacion Presupuesto 2018_jul2017\[Budget Legal 2018_01sep2017.xlsx]Lists'!#REF!</xm:f>
          </x14:formula1>
          <xm:sqref>H206:M207 H216:M216</xm:sqref>
        </x14:dataValidation>
        <x14:dataValidation type="list" allowBlank="1" showInputMessage="1" showErrorMessage="1">
          <x14:formula1>
            <xm:f>'C:\Users\gineva.alcota\AppData\Local\Microsoft\Windows\INetCache\Content.Outlook\YCN3EFJG\[Budget Legal 2019_29nov2017_mejorado (002).xlsx]Lists'!#REF!</xm:f>
          </x14:formula1>
          <xm:sqref>L253:M256 L221:M221 L225:M228 L232:M235 L239:M242 L246:M249 L111:L114 L222 L140:L152 M167:M173 M163 L163:L164 L167:L174 L177:L180 M177:M179 L214:M215 L21:L28 M210 L205:M205 L208:M209 L210:L211 M217 L217:L218 L118:L122 M125:M129 L125:L137 M131:M136 M140:M151 L17:L18 L196:L202 L183:M195 M196:M201 M155:M159 L155:L160</xm:sqref>
        </x14:dataValidation>
        <x14:dataValidation type="list" allowBlank="1" showInputMessage="1" showErrorMessage="1">
          <x14:formula1>
            <xm:f>'C:\Users\gineva.alcota\AppData\Local\Microsoft\Windows\INetCache\Content.Outlook\YCN3EFJG\[Budget Legal 2019_29nov2017_mejorado (002).xlsx]Lists'!#REF!</xm:f>
          </x14:formula1>
          <xm:sqref>F118:F121 F111:F114 F221 F158:F159 F125:F132 F140:F148</xm:sqref>
        </x14:dataValidation>
        <x14:dataValidation type="list" allowBlank="1" showInputMessage="1" showErrorMessage="1">
          <x14:formula1>
            <xm:f>'C:\Users\gineva.alcota\AppData\Local\Microsoft\Windows\INetCache\Content.Outlook\YCN3EFJG\[Budget Legal 2019_29nov2017_mejorado (002).xlsx]Lists'!#REF!</xm:f>
          </x14:formula1>
          <xm:sqref>H221:K221 H111:K114 H118:K121 M118:M121 H167:K173 H163:K163 H177:K179 H140:K151 H205:K205 H208:K210 H217:K217 H214:K215 H125:K136 H183:K201 H155:K159</xm:sqref>
        </x14:dataValidation>
        <x14:dataValidation type="list" allowBlank="1" showInputMessage="1" showErrorMessage="1">
          <x14:formula1>
            <xm:f>'C:\Users\gineva.alcota\AppData\Local\Microsoft\Windows\INetCache\Content.Outlook\YCN3EFJG\[Budget Legal 2019_29nov2017_mejorado (002).xlsx]Lists'!#REF!</xm:f>
          </x14:formula1>
          <xm:sqref>L35:L36 L44:L45 L47 L56:L67 L41</xm:sqref>
        </x14:dataValidation>
        <x14:dataValidation type="list" allowBlank="1" showInputMessage="1" showErrorMessage="1">
          <x14:formula1>
            <xm:f>'C:\Users\gineva.alcota\AppData\Local\Microsoft\Windows\INetCache\Content.Outlook\YCN3EFJG\[Budget Legal 2019_29nov2017_mejorado (002).xlsx]Lists'!#REF!</xm:f>
          </x14:formula1>
          <xm:sqref>N262:N271</xm:sqref>
        </x14:dataValidation>
        <x14:dataValidation type="list" allowBlank="1" showInputMessage="1" showErrorMessage="1">
          <x14:formula1>
            <xm:f>'C:\Users\gineva.alcota\AppData\Local\Microsoft\Windows\INetCache\Content.Outlook\YCN3EFJG\[Budget Legal 2019_29nov2017_mejorado (002).xlsx]Lists'!#REF!</xm:f>
          </x14:formula1>
          <xm:sqref>B8</xm:sqref>
        </x14:dataValidation>
        <x14:dataValidation type="list" allowBlank="1" showInputMessage="1" showErrorMessage="1">
          <x14:formula1>
            <xm:f>'C:\Users\gineva.alcota\AppData\Local\Microsoft\Windows\INetCache\Content.Outlook\YCN3EFJG\[Budget Legal 2019_29nov2017_mejorado (002).xlsx]CCs &amp; Accounts'!#REF!</xm:f>
          </x14:formula1>
          <xm:sqref>E111:E114 E225:E229 E232:E236 E239:E243 E246:E250 E253:E257 E118:E121 E221 E167:E173 E163 E177:E179 E21:E29 E205 E208:E210 E214:E215 E217 E140:E151 E125:E136 E17:E18 E183:E201 E155:E159</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pageSetUpPr fitToPage="1"/>
  </sheetPr>
  <dimension ref="A1:AA214"/>
  <sheetViews>
    <sheetView showGridLines="0" zoomScale="60" zoomScaleNormal="60" zoomScalePageLayoutView="60" workbookViewId="0">
      <selection activeCell="O199" sqref="O199"/>
    </sheetView>
  </sheetViews>
  <sheetFormatPr baseColWidth="10" defaultColWidth="11.42578125" defaultRowHeight="14.25" outlineLevelRow="1" outlineLevelCol="1" x14ac:dyDescent="0.25"/>
  <cols>
    <col min="1" max="1" width="25.85546875" style="9" customWidth="1"/>
    <col min="2" max="2" width="32" style="9" customWidth="1"/>
    <col min="3" max="3" width="43.7109375" style="9" customWidth="1"/>
    <col min="4" max="4" width="79.42578125" style="9" customWidth="1"/>
    <col min="5" max="5" width="17.5703125" style="9" customWidth="1"/>
    <col min="6" max="6" width="29.85546875" style="9" hidden="1" customWidth="1"/>
    <col min="7" max="8" width="17.5703125" style="9" hidden="1" customWidth="1"/>
    <col min="9" max="10" width="11.5703125" style="9" hidden="1" customWidth="1"/>
    <col min="11" max="11" width="17.5703125" style="9" hidden="1" customWidth="1"/>
    <col min="12" max="13" width="17.7109375" style="9" hidden="1"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249</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VLOOKUP(B8,[32]Lists!E2:G41,3,)</f>
        <v>688 Management</v>
      </c>
      <c r="C10" s="84"/>
      <c r="D10" s="77" t="s">
        <v>1354</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28.5" x14ac:dyDescent="0.25">
      <c r="A17" s="93" t="s">
        <v>154</v>
      </c>
      <c r="B17" s="93" t="s">
        <v>27</v>
      </c>
      <c r="C17" s="93" t="s">
        <v>1355</v>
      </c>
      <c r="D17" s="10" t="s">
        <v>1356</v>
      </c>
      <c r="E17" s="11" t="s">
        <v>248</v>
      </c>
      <c r="F17" s="48"/>
      <c r="G17" s="48"/>
      <c r="H17" s="48"/>
      <c r="I17" s="48"/>
      <c r="J17" s="48"/>
      <c r="K17" s="48"/>
      <c r="L17" s="11">
        <f>+L103</f>
        <v>3</v>
      </c>
      <c r="M17" s="11">
        <f>+M103</f>
        <v>1620</v>
      </c>
      <c r="N17" s="11">
        <f>SUM(O17:Z17)</f>
        <v>45000</v>
      </c>
      <c r="O17" s="52">
        <f t="shared" ref="O17:Z17" si="0">+O103</f>
        <v>15000</v>
      </c>
      <c r="P17" s="52">
        <f t="shared" si="0"/>
        <v>15000</v>
      </c>
      <c r="Q17" s="52">
        <f t="shared" si="0"/>
        <v>15000</v>
      </c>
      <c r="R17" s="52">
        <f t="shared" si="0"/>
        <v>0</v>
      </c>
      <c r="S17" s="52">
        <f t="shared" si="0"/>
        <v>0</v>
      </c>
      <c r="T17" s="52">
        <f t="shared" si="0"/>
        <v>0</v>
      </c>
      <c r="U17" s="52">
        <f t="shared" si="0"/>
        <v>0</v>
      </c>
      <c r="V17" s="52">
        <f t="shared" si="0"/>
        <v>0</v>
      </c>
      <c r="W17" s="52">
        <f t="shared" si="0"/>
        <v>0</v>
      </c>
      <c r="X17" s="52">
        <f t="shared" si="0"/>
        <v>0</v>
      </c>
      <c r="Y17" s="52">
        <f t="shared" si="0"/>
        <v>0</v>
      </c>
      <c r="Z17" s="52">
        <f t="shared" si="0"/>
        <v>0</v>
      </c>
    </row>
    <row r="18" spans="1:26" ht="28.5" x14ac:dyDescent="0.25">
      <c r="A18" s="93" t="s">
        <v>157</v>
      </c>
      <c r="B18" s="93" t="s">
        <v>29</v>
      </c>
      <c r="C18" s="93" t="s">
        <v>1357</v>
      </c>
      <c r="D18" s="10" t="s">
        <v>1358</v>
      </c>
      <c r="E18" s="11" t="s">
        <v>248</v>
      </c>
      <c r="F18" s="48"/>
      <c r="G18" s="48"/>
      <c r="H18" s="48"/>
      <c r="I18" s="48"/>
      <c r="J18" s="48"/>
      <c r="K18" s="48"/>
      <c r="L18" s="11">
        <v>5</v>
      </c>
      <c r="M18" s="53">
        <f>M118</f>
        <v>2250</v>
      </c>
      <c r="N18" s="11">
        <f t="shared" ref="N18:N23" si="1">SUM(O18:Z18)</f>
        <v>100000</v>
      </c>
      <c r="O18" s="52">
        <f t="shared" ref="O18:Z18" si="2">+O118</f>
        <v>0</v>
      </c>
      <c r="P18" s="52">
        <f t="shared" si="2"/>
        <v>0</v>
      </c>
      <c r="Q18" s="52">
        <f t="shared" si="2"/>
        <v>0</v>
      </c>
      <c r="R18" s="52">
        <f t="shared" si="2"/>
        <v>20000</v>
      </c>
      <c r="S18" s="52">
        <f t="shared" si="2"/>
        <v>20000</v>
      </c>
      <c r="T18" s="52">
        <f t="shared" si="2"/>
        <v>20000</v>
      </c>
      <c r="U18" s="52">
        <f t="shared" si="2"/>
        <v>20000</v>
      </c>
      <c r="V18" s="52">
        <f t="shared" si="2"/>
        <v>20000</v>
      </c>
      <c r="W18" s="52">
        <f t="shared" si="2"/>
        <v>0</v>
      </c>
      <c r="X18" s="52">
        <f t="shared" si="2"/>
        <v>0</v>
      </c>
      <c r="Y18" s="52">
        <f t="shared" si="2"/>
        <v>0</v>
      </c>
      <c r="Z18" s="52">
        <f t="shared" si="2"/>
        <v>0</v>
      </c>
    </row>
    <row r="19" spans="1:26" ht="30" x14ac:dyDescent="0.25">
      <c r="A19" s="93" t="s">
        <v>158</v>
      </c>
      <c r="B19" s="93" t="s">
        <v>30</v>
      </c>
      <c r="C19" s="93" t="s">
        <v>1359</v>
      </c>
      <c r="D19" s="10" t="s">
        <v>1360</v>
      </c>
      <c r="E19" s="11" t="s">
        <v>248</v>
      </c>
      <c r="F19" s="48"/>
      <c r="G19" s="48"/>
      <c r="H19" s="48"/>
      <c r="I19" s="48"/>
      <c r="J19" s="48"/>
      <c r="K19" s="48"/>
      <c r="L19" s="11">
        <v>12</v>
      </c>
      <c r="M19" s="53">
        <f>+M134</f>
        <v>600</v>
      </c>
      <c r="N19" s="11">
        <f t="shared" si="1"/>
        <v>44000</v>
      </c>
      <c r="O19" s="52">
        <f>O134</f>
        <v>0</v>
      </c>
      <c r="P19" s="52">
        <f t="shared" ref="P19:Z19" si="3">P134</f>
        <v>4000</v>
      </c>
      <c r="Q19" s="52">
        <f t="shared" si="3"/>
        <v>4000</v>
      </c>
      <c r="R19" s="52">
        <f t="shared" si="3"/>
        <v>4000</v>
      </c>
      <c r="S19" s="52">
        <f t="shared" si="3"/>
        <v>4000</v>
      </c>
      <c r="T19" s="52">
        <f t="shared" si="3"/>
        <v>4000</v>
      </c>
      <c r="U19" s="52">
        <f t="shared" si="3"/>
        <v>4000</v>
      </c>
      <c r="V19" s="52">
        <f t="shared" si="3"/>
        <v>4000</v>
      </c>
      <c r="W19" s="52">
        <f t="shared" si="3"/>
        <v>4000</v>
      </c>
      <c r="X19" s="52">
        <f t="shared" si="3"/>
        <v>4000</v>
      </c>
      <c r="Y19" s="52">
        <f t="shared" si="3"/>
        <v>4000</v>
      </c>
      <c r="Z19" s="52">
        <f t="shared" si="3"/>
        <v>4000</v>
      </c>
    </row>
    <row r="20" spans="1:26" ht="15" x14ac:dyDescent="0.25">
      <c r="A20" s="93" t="s">
        <v>159</v>
      </c>
      <c r="B20" s="93" t="s">
        <v>31</v>
      </c>
      <c r="C20" s="93" t="s">
        <v>1361</v>
      </c>
      <c r="D20" s="10" t="s">
        <v>1362</v>
      </c>
      <c r="E20" s="11" t="s">
        <v>248</v>
      </c>
      <c r="F20" s="48"/>
      <c r="G20" s="48"/>
      <c r="H20" s="48"/>
      <c r="I20" s="48"/>
      <c r="J20" s="48"/>
      <c r="K20" s="48"/>
      <c r="L20" s="11">
        <v>4</v>
      </c>
      <c r="M20" s="53">
        <f>+M141</f>
        <v>2160</v>
      </c>
      <c r="N20" s="11">
        <f t="shared" si="1"/>
        <v>115000</v>
      </c>
      <c r="O20" s="52">
        <f>O141</f>
        <v>0</v>
      </c>
      <c r="P20" s="52">
        <f t="shared" ref="P20:Z20" si="4">P141</f>
        <v>0</v>
      </c>
      <c r="Q20" s="52">
        <f t="shared" si="4"/>
        <v>0</v>
      </c>
      <c r="R20" s="52">
        <f t="shared" si="4"/>
        <v>0</v>
      </c>
      <c r="S20" s="52">
        <f t="shared" si="4"/>
        <v>0</v>
      </c>
      <c r="T20" s="52">
        <f t="shared" si="4"/>
        <v>35000</v>
      </c>
      <c r="U20" s="52">
        <f t="shared" si="4"/>
        <v>35000</v>
      </c>
      <c r="V20" s="52">
        <f t="shared" si="4"/>
        <v>35000</v>
      </c>
      <c r="W20" s="52">
        <f t="shared" si="4"/>
        <v>10000</v>
      </c>
      <c r="X20" s="52">
        <f t="shared" si="4"/>
        <v>0</v>
      </c>
      <c r="Y20" s="52">
        <f t="shared" si="4"/>
        <v>0</v>
      </c>
      <c r="Z20" s="52">
        <f t="shared" si="4"/>
        <v>0</v>
      </c>
    </row>
    <row r="21" spans="1:26" ht="44.25" customHeight="1" x14ac:dyDescent="0.25">
      <c r="A21" s="93" t="s">
        <v>160</v>
      </c>
      <c r="B21" s="93" t="s">
        <v>32</v>
      </c>
      <c r="C21" s="93" t="s">
        <v>1363</v>
      </c>
      <c r="D21" s="10" t="s">
        <v>1364</v>
      </c>
      <c r="E21" s="11" t="s">
        <v>248</v>
      </c>
      <c r="F21" s="48"/>
      <c r="G21" s="48"/>
      <c r="H21" s="48"/>
      <c r="I21" s="48"/>
      <c r="J21" s="48"/>
      <c r="K21" s="48"/>
      <c r="L21" s="11">
        <v>4</v>
      </c>
      <c r="M21" s="53">
        <f>+M148</f>
        <v>2880</v>
      </c>
      <c r="N21" s="11">
        <f t="shared" si="1"/>
        <v>60000</v>
      </c>
      <c r="O21" s="52">
        <f>O148</f>
        <v>0</v>
      </c>
      <c r="P21" s="52">
        <f t="shared" ref="P21:Z21" si="5">P148</f>
        <v>0</v>
      </c>
      <c r="Q21" s="52">
        <f t="shared" si="5"/>
        <v>0</v>
      </c>
      <c r="R21" s="52">
        <f t="shared" si="5"/>
        <v>0</v>
      </c>
      <c r="S21" s="52">
        <f t="shared" si="5"/>
        <v>15000</v>
      </c>
      <c r="T21" s="52">
        <f t="shared" si="5"/>
        <v>15000</v>
      </c>
      <c r="U21" s="52">
        <f t="shared" si="5"/>
        <v>15000</v>
      </c>
      <c r="V21" s="52">
        <f t="shared" si="5"/>
        <v>15000</v>
      </c>
      <c r="W21" s="52">
        <f t="shared" si="5"/>
        <v>0</v>
      </c>
      <c r="X21" s="52">
        <f t="shared" si="5"/>
        <v>0</v>
      </c>
      <c r="Y21" s="52">
        <f t="shared" si="5"/>
        <v>0</v>
      </c>
      <c r="Z21" s="52">
        <f t="shared" si="5"/>
        <v>0</v>
      </c>
    </row>
    <row r="22" spans="1:26" ht="30" x14ac:dyDescent="0.25">
      <c r="A22" s="93" t="s">
        <v>161</v>
      </c>
      <c r="B22" s="93" t="s">
        <v>256</v>
      </c>
      <c r="C22" s="93" t="s">
        <v>1365</v>
      </c>
      <c r="D22" s="10" t="s">
        <v>1366</v>
      </c>
      <c r="E22" s="11" t="s">
        <v>248</v>
      </c>
      <c r="F22" s="48"/>
      <c r="G22" s="48"/>
      <c r="H22" s="48"/>
      <c r="I22" s="48"/>
      <c r="J22" s="48"/>
      <c r="K22" s="48"/>
      <c r="L22" s="11">
        <v>4</v>
      </c>
      <c r="M22" s="53">
        <f>+M155</f>
        <v>1440</v>
      </c>
      <c r="N22" s="11">
        <f t="shared" si="1"/>
        <v>40000</v>
      </c>
      <c r="O22" s="52">
        <f>O155</f>
        <v>10000</v>
      </c>
      <c r="P22" s="52">
        <f>P155</f>
        <v>10000</v>
      </c>
      <c r="Q22" s="52">
        <f t="shared" ref="Q22:Z22" si="6">Q155</f>
        <v>10000</v>
      </c>
      <c r="R22" s="52">
        <f t="shared" si="6"/>
        <v>10000</v>
      </c>
      <c r="S22" s="52">
        <f t="shared" si="6"/>
        <v>0</v>
      </c>
      <c r="T22" s="52">
        <f t="shared" si="6"/>
        <v>0</v>
      </c>
      <c r="U22" s="52">
        <f t="shared" si="6"/>
        <v>0</v>
      </c>
      <c r="V22" s="52">
        <f t="shared" si="6"/>
        <v>0</v>
      </c>
      <c r="W22" s="52">
        <f t="shared" si="6"/>
        <v>0</v>
      </c>
      <c r="X22" s="52">
        <f t="shared" si="6"/>
        <v>0</v>
      </c>
      <c r="Y22" s="52">
        <f t="shared" si="6"/>
        <v>0</v>
      </c>
      <c r="Z22" s="52">
        <f t="shared" si="6"/>
        <v>0</v>
      </c>
    </row>
    <row r="23" spans="1:26" ht="30" x14ac:dyDescent="0.25">
      <c r="A23" s="93" t="s">
        <v>163</v>
      </c>
      <c r="B23" s="93" t="s">
        <v>257</v>
      </c>
      <c r="C23" s="93" t="s">
        <v>1367</v>
      </c>
      <c r="D23" s="10" t="s">
        <v>1368</v>
      </c>
      <c r="E23" s="11" t="s">
        <v>248</v>
      </c>
      <c r="F23" s="48"/>
      <c r="G23" s="48"/>
      <c r="H23" s="48"/>
      <c r="I23" s="48"/>
      <c r="J23" s="48"/>
      <c r="K23" s="48"/>
      <c r="L23" s="11">
        <v>8</v>
      </c>
      <c r="M23" s="53">
        <f>+M144</f>
        <v>2880</v>
      </c>
      <c r="N23" s="11">
        <f t="shared" si="1"/>
        <v>64000</v>
      </c>
      <c r="O23" s="52">
        <f>O158</f>
        <v>0</v>
      </c>
      <c r="P23" s="52">
        <f t="shared" ref="P23:Z23" si="7">P158</f>
        <v>0</v>
      </c>
      <c r="Q23" s="52">
        <f t="shared" si="7"/>
        <v>0</v>
      </c>
      <c r="R23" s="52">
        <f t="shared" si="7"/>
        <v>0</v>
      </c>
      <c r="S23" s="52">
        <f t="shared" si="7"/>
        <v>8000</v>
      </c>
      <c r="T23" s="52">
        <f t="shared" si="7"/>
        <v>8000</v>
      </c>
      <c r="U23" s="52">
        <f t="shared" si="7"/>
        <v>8000</v>
      </c>
      <c r="V23" s="52">
        <f t="shared" si="7"/>
        <v>8000</v>
      </c>
      <c r="W23" s="52">
        <f t="shared" si="7"/>
        <v>8000</v>
      </c>
      <c r="X23" s="52">
        <f t="shared" si="7"/>
        <v>8000</v>
      </c>
      <c r="Y23" s="52">
        <f t="shared" si="7"/>
        <v>8000</v>
      </c>
      <c r="Z23" s="52">
        <f t="shared" si="7"/>
        <v>8000</v>
      </c>
    </row>
    <row r="24" spans="1:26" ht="15" x14ac:dyDescent="0.25">
      <c r="A24" s="93"/>
      <c r="B24" s="93"/>
      <c r="C24" s="93"/>
      <c r="D24" s="10"/>
      <c r="E24" s="11"/>
      <c r="F24" s="48"/>
      <c r="G24" s="48"/>
      <c r="H24" s="48"/>
      <c r="I24" s="48"/>
      <c r="J24" s="48"/>
      <c r="K24" s="48"/>
      <c r="L24" s="11"/>
      <c r="M24" s="48"/>
      <c r="N24" s="12"/>
      <c r="O24" s="12"/>
      <c r="P24" s="12"/>
      <c r="Q24" s="12"/>
      <c r="R24" s="12"/>
      <c r="S24" s="12"/>
      <c r="T24" s="12"/>
      <c r="U24" s="12"/>
      <c r="V24" s="12"/>
      <c r="W24" s="12"/>
      <c r="X24" s="12"/>
      <c r="Y24" s="12"/>
      <c r="Z24" s="12"/>
    </row>
    <row r="25" spans="1:26" ht="15" x14ac:dyDescent="0.25">
      <c r="A25" s="93"/>
      <c r="B25" s="93"/>
      <c r="C25" s="93"/>
      <c r="D25" s="10"/>
      <c r="E25" s="11"/>
      <c r="F25" s="48"/>
      <c r="G25" s="48"/>
      <c r="H25" s="48"/>
      <c r="I25" s="48"/>
      <c r="J25" s="48"/>
      <c r="K25" s="48"/>
      <c r="L25" s="11"/>
      <c r="M25" s="48"/>
      <c r="N25" s="12"/>
      <c r="O25" s="12"/>
      <c r="P25" s="12"/>
      <c r="Q25" s="12"/>
      <c r="R25" s="12"/>
      <c r="S25" s="12"/>
      <c r="T25" s="12"/>
      <c r="U25" s="12"/>
      <c r="V25" s="12"/>
      <c r="W25" s="12"/>
      <c r="X25" s="12"/>
      <c r="Y25" s="12"/>
      <c r="Z25" s="12"/>
    </row>
    <row r="26" spans="1:26" ht="15" x14ac:dyDescent="0.25">
      <c r="A26" s="93"/>
      <c r="B26" s="93"/>
      <c r="C26" s="93"/>
      <c r="D26" s="10"/>
      <c r="E26" s="11"/>
      <c r="F26" s="48"/>
      <c r="G26" s="48"/>
      <c r="H26" s="48"/>
      <c r="I26" s="48"/>
      <c r="J26" s="48"/>
      <c r="K26" s="48"/>
      <c r="L26" s="11"/>
      <c r="M26" s="48"/>
      <c r="N26" s="12"/>
      <c r="O26" s="12" t="s">
        <v>5</v>
      </c>
      <c r="P26" s="12"/>
      <c r="Q26" s="12"/>
      <c r="R26" s="12"/>
      <c r="S26" s="12"/>
      <c r="T26" s="12"/>
      <c r="U26" s="12"/>
      <c r="V26" s="12"/>
      <c r="W26" s="12"/>
      <c r="X26" s="12"/>
      <c r="Y26" s="12"/>
      <c r="Z26" s="12"/>
    </row>
    <row r="27" spans="1:26" ht="15" x14ac:dyDescent="0.25">
      <c r="A27" s="69"/>
      <c r="B27" s="70"/>
      <c r="C27" s="70"/>
      <c r="D27" s="71"/>
      <c r="E27" s="72"/>
      <c r="F27" s="72"/>
      <c r="G27" s="72"/>
      <c r="H27" s="72"/>
      <c r="I27" s="72"/>
      <c r="J27" s="74" t="s">
        <v>20</v>
      </c>
      <c r="K27" s="73"/>
      <c r="L27" s="32">
        <v>12</v>
      </c>
      <c r="M27" s="32">
        <f>SUM(M2:M26)</f>
        <v>13830</v>
      </c>
      <c r="N27" s="32">
        <f>SUM(N16:N26)</f>
        <v>468000</v>
      </c>
      <c r="O27" s="32">
        <f t="shared" ref="O27:Z27" si="8">SUM(O16:O26)</f>
        <v>68101</v>
      </c>
      <c r="P27" s="32">
        <f t="shared" si="8"/>
        <v>72132</v>
      </c>
      <c r="Q27" s="32">
        <f t="shared" si="8"/>
        <v>72160</v>
      </c>
      <c r="R27" s="32">
        <f t="shared" si="8"/>
        <v>77191</v>
      </c>
      <c r="S27" s="32">
        <f t="shared" si="8"/>
        <v>90221</v>
      </c>
      <c r="T27" s="32">
        <f t="shared" si="8"/>
        <v>125252</v>
      </c>
      <c r="U27" s="32">
        <f t="shared" si="8"/>
        <v>125282</v>
      </c>
      <c r="V27" s="32">
        <f t="shared" si="8"/>
        <v>125313</v>
      </c>
      <c r="W27" s="32">
        <f t="shared" si="8"/>
        <v>65344</v>
      </c>
      <c r="X27" s="32">
        <f t="shared" si="8"/>
        <v>55374</v>
      </c>
      <c r="Y27" s="32">
        <f t="shared" si="8"/>
        <v>55405</v>
      </c>
      <c r="Z27" s="32">
        <f t="shared" si="8"/>
        <v>55435</v>
      </c>
    </row>
    <row r="28" spans="1:26" ht="6.75" customHeight="1" x14ac:dyDescent="0.25">
      <c r="A28" s="71"/>
      <c r="B28" s="71"/>
      <c r="C28" s="71"/>
      <c r="D28" s="71"/>
      <c r="E28" s="71"/>
      <c r="F28" s="71"/>
      <c r="G28" s="71"/>
      <c r="H28" s="71"/>
      <c r="I28" s="71"/>
      <c r="J28" s="71"/>
      <c r="K28" s="71"/>
    </row>
    <row r="29" spans="1:26" ht="18" hidden="1" x14ac:dyDescent="0.25">
      <c r="A29" s="41" t="s">
        <v>33</v>
      </c>
      <c r="B29" s="41"/>
      <c r="C29" s="42"/>
      <c r="D29" s="42"/>
      <c r="E29" s="43"/>
      <c r="F29" s="43"/>
      <c r="G29" s="43"/>
      <c r="H29" s="44"/>
      <c r="I29" s="44"/>
      <c r="J29" s="43"/>
      <c r="K29" s="43"/>
      <c r="L29" s="43"/>
      <c r="M29" s="43"/>
      <c r="N29" s="43"/>
      <c r="O29" s="43" t="s">
        <v>5</v>
      </c>
      <c r="P29" s="43"/>
      <c r="Q29" s="43"/>
      <c r="R29" s="43"/>
      <c r="S29" s="43"/>
      <c r="T29" s="43"/>
      <c r="U29" s="43"/>
      <c r="V29" s="43"/>
      <c r="W29" s="43"/>
      <c r="X29" s="43"/>
      <c r="Y29" s="43"/>
      <c r="Z29" s="43"/>
    </row>
    <row r="30" spans="1:26" ht="15.75" hidden="1" x14ac:dyDescent="0.25">
      <c r="A30" s="92" t="s">
        <v>261</v>
      </c>
      <c r="B30" s="6" t="s">
        <v>13</v>
      </c>
      <c r="C30" s="6" t="s">
        <v>14</v>
      </c>
      <c r="D30" s="8" t="s">
        <v>15</v>
      </c>
      <c r="E30" s="48" t="s">
        <v>5</v>
      </c>
      <c r="F30" s="48" t="s">
        <v>5</v>
      </c>
      <c r="G30" s="48" t="s">
        <v>5</v>
      </c>
      <c r="H30" s="48"/>
      <c r="I30" s="48"/>
      <c r="J30" s="48"/>
      <c r="K30" s="48" t="s">
        <v>5</v>
      </c>
      <c r="L30" s="125" t="s">
        <v>287</v>
      </c>
      <c r="M30" s="48"/>
      <c r="N30" s="12"/>
      <c r="O30" s="12" t="s">
        <v>5</v>
      </c>
      <c r="P30" s="12"/>
      <c r="Q30" s="12"/>
      <c r="R30" s="12"/>
      <c r="S30" s="12"/>
      <c r="T30" s="12"/>
      <c r="U30" s="12"/>
      <c r="V30" s="12"/>
      <c r="W30" s="12"/>
      <c r="X30" s="12"/>
      <c r="Y30" s="12"/>
      <c r="Z30" s="12"/>
    </row>
    <row r="31" spans="1:26" ht="18" hidden="1" x14ac:dyDescent="0.25">
      <c r="A31" s="30" t="str">
        <f>CONCATENATE(B17," ",C17)</f>
        <v>Objective 1 Base Datos Proveedores</v>
      </c>
      <c r="B31" s="30"/>
      <c r="C31" s="31"/>
      <c r="D31" s="31"/>
      <c r="E31" s="29"/>
      <c r="F31" s="29"/>
      <c r="G31" s="29"/>
      <c r="H31" s="29"/>
      <c r="I31" s="29"/>
      <c r="J31" s="29"/>
      <c r="K31" s="29"/>
      <c r="L31" s="29"/>
      <c r="M31" s="29"/>
      <c r="N31" s="29"/>
      <c r="O31" s="29" t="s">
        <v>5</v>
      </c>
      <c r="P31" s="29"/>
      <c r="Q31" s="29"/>
      <c r="R31" s="29"/>
      <c r="S31" s="29"/>
      <c r="T31" s="29"/>
      <c r="U31" s="29"/>
      <c r="V31" s="29"/>
      <c r="W31" s="29"/>
      <c r="X31" s="29"/>
      <c r="Y31" s="29"/>
      <c r="Z31" s="29"/>
    </row>
    <row r="32" spans="1:26" ht="15" hidden="1" x14ac:dyDescent="0.25">
      <c r="A32" s="93" t="s">
        <v>250</v>
      </c>
      <c r="B32" s="7"/>
      <c r="C32" s="7"/>
      <c r="D32" s="10"/>
      <c r="E32" s="1001"/>
      <c r="F32" s="1001"/>
      <c r="G32" s="1001"/>
      <c r="H32" s="1001"/>
      <c r="I32" s="1001"/>
      <c r="J32" s="1001"/>
      <c r="K32" s="1002"/>
      <c r="L32" s="11" t="s">
        <v>60</v>
      </c>
      <c r="M32" s="48"/>
      <c r="N32" s="12"/>
      <c r="O32" s="12" t="s">
        <v>5</v>
      </c>
      <c r="P32" s="12"/>
      <c r="Q32" s="12"/>
      <c r="R32" s="12"/>
      <c r="S32" s="12"/>
      <c r="T32" s="12"/>
      <c r="U32" s="12"/>
      <c r="V32" s="12"/>
      <c r="W32" s="12"/>
      <c r="X32" s="12"/>
      <c r="Y32" s="12"/>
      <c r="Z32" s="12"/>
    </row>
    <row r="33" spans="1:26" ht="15" hidden="1" x14ac:dyDescent="0.25">
      <c r="A33" s="93" t="s">
        <v>263</v>
      </c>
      <c r="B33" s="7"/>
      <c r="C33" s="7"/>
      <c r="D33" s="10"/>
      <c r="E33" s="1001"/>
      <c r="F33" s="1001"/>
      <c r="G33" s="1001"/>
      <c r="H33" s="1001"/>
      <c r="I33" s="1001"/>
      <c r="J33" s="1001"/>
      <c r="K33" s="1002"/>
      <c r="L33" s="11"/>
      <c r="M33" s="48"/>
      <c r="N33" s="12"/>
      <c r="O33" s="12" t="s">
        <v>5</v>
      </c>
      <c r="P33" s="12"/>
      <c r="Q33" s="12"/>
      <c r="R33" s="12"/>
      <c r="S33" s="12"/>
      <c r="T33" s="12"/>
      <c r="U33" s="12"/>
      <c r="V33" s="12"/>
      <c r="W33" s="12"/>
      <c r="X33" s="12"/>
      <c r="Y33" s="12"/>
      <c r="Z33" s="12"/>
    </row>
    <row r="34" spans="1:26" ht="15" hidden="1" x14ac:dyDescent="0.25">
      <c r="A34" s="93"/>
      <c r="B34" s="7"/>
      <c r="C34" s="7"/>
      <c r="D34" s="10"/>
      <c r="E34" s="1001" t="s">
        <v>5</v>
      </c>
      <c r="F34" s="1001" t="s">
        <v>5</v>
      </c>
      <c r="G34" s="1001" t="s">
        <v>5</v>
      </c>
      <c r="H34" s="1001"/>
      <c r="I34" s="1001"/>
      <c r="J34" s="1001"/>
      <c r="K34" s="1002" t="s">
        <v>5</v>
      </c>
      <c r="L34" s="11"/>
      <c r="M34" s="48"/>
      <c r="N34" s="12"/>
      <c r="O34" s="12" t="s">
        <v>5</v>
      </c>
      <c r="P34" s="12"/>
      <c r="Q34" s="12"/>
      <c r="R34" s="12"/>
      <c r="S34" s="12"/>
      <c r="T34" s="12"/>
      <c r="U34" s="12"/>
      <c r="V34" s="12"/>
      <c r="W34" s="12"/>
      <c r="X34" s="12"/>
      <c r="Y34" s="12"/>
      <c r="Z34" s="12"/>
    </row>
    <row r="35" spans="1:26" ht="15" hidden="1"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5" hidden="1" x14ac:dyDescent="0.25">
      <c r="A36" s="93"/>
      <c r="B36" s="7"/>
      <c r="C36" s="7"/>
      <c r="D36" s="10"/>
      <c r="E36" s="1001" t="s">
        <v>5</v>
      </c>
      <c r="F36" s="1001" t="s">
        <v>5</v>
      </c>
      <c r="G36" s="1001" t="s">
        <v>5</v>
      </c>
      <c r="H36" s="1001"/>
      <c r="I36" s="1001"/>
      <c r="J36" s="1001"/>
      <c r="K36" s="1002" t="s">
        <v>5</v>
      </c>
      <c r="L36" s="11"/>
      <c r="M36" s="48"/>
      <c r="N36" s="12"/>
      <c r="O36" s="12" t="s">
        <v>5</v>
      </c>
      <c r="P36" s="12"/>
      <c r="Q36" s="12"/>
      <c r="R36" s="12"/>
      <c r="S36" s="12"/>
      <c r="T36" s="12"/>
      <c r="U36" s="12"/>
      <c r="V36" s="12"/>
      <c r="W36" s="12"/>
      <c r="X36" s="12"/>
      <c r="Y36" s="12"/>
      <c r="Z36" s="12"/>
    </row>
    <row r="37" spans="1:26" ht="18" hidden="1" x14ac:dyDescent="0.25">
      <c r="A37" s="30" t="str">
        <f>CONCATENATE(B18," ",C18)</f>
        <v>Objective 2 Desarrollo Procedimientos</v>
      </c>
      <c r="B37" s="30"/>
      <c r="C37" s="31"/>
      <c r="D37" s="31"/>
      <c r="E37" s="29"/>
      <c r="F37" s="29"/>
      <c r="G37" s="29"/>
      <c r="H37" s="29"/>
      <c r="I37" s="29"/>
      <c r="J37" s="29"/>
      <c r="K37" s="29"/>
      <c r="L37" s="29"/>
      <c r="M37" s="29"/>
      <c r="N37" s="29"/>
      <c r="O37" s="29" t="s">
        <v>5</v>
      </c>
      <c r="P37" s="29"/>
      <c r="Q37" s="29"/>
      <c r="R37" s="29"/>
      <c r="S37" s="29"/>
      <c r="T37" s="29"/>
      <c r="U37" s="29"/>
      <c r="V37" s="29"/>
      <c r="W37" s="29"/>
      <c r="X37" s="29"/>
      <c r="Y37" s="29"/>
      <c r="Z37" s="29"/>
    </row>
    <row r="38" spans="1:26" ht="15" hidden="1" x14ac:dyDescent="0.25">
      <c r="A38" s="93" t="s">
        <v>264</v>
      </c>
      <c r="B38" s="7"/>
      <c r="C38" s="7"/>
      <c r="D38" s="10"/>
      <c r="E38" s="1001"/>
      <c r="F38" s="1001"/>
      <c r="G38" s="1001"/>
      <c r="H38" s="1001"/>
      <c r="I38" s="1001"/>
      <c r="J38" s="1001"/>
      <c r="K38" s="1002"/>
      <c r="L38" s="11" t="s">
        <v>60</v>
      </c>
      <c r="M38" s="48"/>
      <c r="N38" s="12"/>
      <c r="O38" s="12" t="s">
        <v>5</v>
      </c>
      <c r="P38" s="12"/>
      <c r="Q38" s="12"/>
      <c r="R38" s="12"/>
      <c r="S38" s="12"/>
      <c r="T38" s="12"/>
      <c r="U38" s="12"/>
      <c r="V38" s="12"/>
      <c r="W38" s="12"/>
      <c r="X38" s="12"/>
      <c r="Y38" s="12"/>
      <c r="Z38" s="12"/>
    </row>
    <row r="39" spans="1:26" ht="15" hidden="1" x14ac:dyDescent="0.25">
      <c r="A39" s="93" t="s">
        <v>253</v>
      </c>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5" hidden="1" x14ac:dyDescent="0.25">
      <c r="A40" s="93"/>
      <c r="B40" s="7"/>
      <c r="C40" s="7"/>
      <c r="D40" s="10"/>
      <c r="E40" s="1001" t="s">
        <v>5</v>
      </c>
      <c r="F40" s="1001" t="s">
        <v>5</v>
      </c>
      <c r="G40" s="1001" t="s">
        <v>5</v>
      </c>
      <c r="H40" s="1001"/>
      <c r="I40" s="1001"/>
      <c r="J40" s="1001"/>
      <c r="K40" s="1002" t="s">
        <v>5</v>
      </c>
      <c r="L40" s="11"/>
      <c r="M40" s="48"/>
      <c r="N40" s="12"/>
      <c r="O40" s="12" t="s">
        <v>5</v>
      </c>
      <c r="P40" s="12"/>
      <c r="Q40" s="12"/>
      <c r="R40" s="12"/>
      <c r="S40" s="12"/>
      <c r="T40" s="12"/>
      <c r="U40" s="12"/>
      <c r="V40" s="12"/>
      <c r="W40" s="12"/>
      <c r="X40" s="12"/>
      <c r="Y40" s="12"/>
      <c r="Z40" s="12"/>
    </row>
    <row r="41" spans="1:26" ht="15" hidden="1" x14ac:dyDescent="0.25">
      <c r="A41" s="93"/>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5" hidden="1" x14ac:dyDescent="0.25">
      <c r="A42" s="93"/>
      <c r="B42" s="7"/>
      <c r="C42" s="7"/>
      <c r="D42" s="10"/>
      <c r="E42" s="1001" t="s">
        <v>5</v>
      </c>
      <c r="F42" s="1001" t="s">
        <v>5</v>
      </c>
      <c r="G42" s="1001" t="s">
        <v>5</v>
      </c>
      <c r="H42" s="1001"/>
      <c r="I42" s="1001"/>
      <c r="J42" s="1001"/>
      <c r="K42" s="1002" t="s">
        <v>5</v>
      </c>
      <c r="L42" s="11"/>
      <c r="M42" s="48"/>
      <c r="N42" s="12"/>
      <c r="O42" s="12" t="s">
        <v>5</v>
      </c>
      <c r="P42" s="12"/>
      <c r="Q42" s="12"/>
      <c r="R42" s="12"/>
      <c r="S42" s="12"/>
      <c r="T42" s="12"/>
      <c r="U42" s="12"/>
      <c r="V42" s="12"/>
      <c r="W42" s="12"/>
      <c r="X42" s="12"/>
      <c r="Y42" s="12"/>
      <c r="Z42" s="12"/>
    </row>
    <row r="43" spans="1:26" ht="18" hidden="1" x14ac:dyDescent="0.25">
      <c r="A43" s="30" t="str">
        <f>CONCATENATE(B19," ",C19)</f>
        <v>Objective 3 Auditorías Contratistas y Auditorías Internas</v>
      </c>
      <c r="B43" s="30"/>
      <c r="C43" s="31"/>
      <c r="D43" s="31"/>
      <c r="E43" s="29"/>
      <c r="F43" s="29"/>
      <c r="G43" s="29"/>
      <c r="H43" s="29"/>
      <c r="I43" s="29"/>
      <c r="J43" s="29"/>
      <c r="K43" s="29"/>
      <c r="L43" s="29"/>
      <c r="M43" s="29"/>
      <c r="N43" s="29"/>
      <c r="O43" s="29" t="s">
        <v>5</v>
      </c>
      <c r="P43" s="29"/>
      <c r="Q43" s="29"/>
      <c r="R43" s="29"/>
      <c r="S43" s="29"/>
      <c r="T43" s="29"/>
      <c r="U43" s="29"/>
      <c r="V43" s="29"/>
      <c r="W43" s="29"/>
      <c r="X43" s="29"/>
      <c r="Y43" s="29"/>
      <c r="Z43" s="29"/>
    </row>
    <row r="44" spans="1:26" ht="15" hidden="1" x14ac:dyDescent="0.25">
      <c r="A44" s="93" t="s">
        <v>265</v>
      </c>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x14ac:dyDescent="0.25">
      <c r="A45" s="93" t="s">
        <v>266</v>
      </c>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5" hidden="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5" hidden="1" x14ac:dyDescent="0.25">
      <c r="A47" s="93"/>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5" hidden="1" x14ac:dyDescent="0.25">
      <c r="A48" s="93"/>
      <c r="B48" s="7"/>
      <c r="C48" s="7"/>
      <c r="D48" s="10"/>
      <c r="E48" s="1001" t="s">
        <v>5</v>
      </c>
      <c r="F48" s="1001" t="s">
        <v>5</v>
      </c>
      <c r="G48" s="1001" t="s">
        <v>5</v>
      </c>
      <c r="H48" s="1001"/>
      <c r="I48" s="1001"/>
      <c r="J48" s="1001"/>
      <c r="K48" s="1002" t="s">
        <v>5</v>
      </c>
      <c r="L48" s="11"/>
      <c r="M48" s="48"/>
      <c r="N48" s="12"/>
      <c r="O48" s="12" t="s">
        <v>5</v>
      </c>
      <c r="P48" s="12"/>
      <c r="Q48" s="12"/>
      <c r="R48" s="12"/>
      <c r="S48" s="12"/>
      <c r="T48" s="12"/>
      <c r="U48" s="12"/>
      <c r="V48" s="12"/>
      <c r="W48" s="12"/>
      <c r="X48" s="12"/>
      <c r="Y48" s="12"/>
      <c r="Z48" s="12"/>
    </row>
    <row r="49" spans="1:26" ht="18" hidden="1" outlineLevel="1" x14ac:dyDescent="0.25">
      <c r="A49" s="30" t="str">
        <f>CONCATENATE(B20," ",C20)</f>
        <v>Objective 4 Desarrollo Contrato EPCM</v>
      </c>
      <c r="B49" s="30"/>
      <c r="C49" s="31"/>
      <c r="D49" s="31"/>
      <c r="E49" s="29"/>
      <c r="F49" s="29"/>
      <c r="G49" s="29"/>
      <c r="H49" s="29"/>
      <c r="I49" s="29"/>
      <c r="J49" s="29"/>
      <c r="K49" s="29"/>
      <c r="L49" s="29"/>
      <c r="M49" s="29"/>
      <c r="N49" s="29"/>
      <c r="O49" s="29" t="s">
        <v>5</v>
      </c>
      <c r="P49" s="29"/>
      <c r="Q49" s="29"/>
      <c r="R49" s="29"/>
      <c r="S49" s="29"/>
      <c r="T49" s="29"/>
      <c r="U49" s="29"/>
      <c r="V49" s="29"/>
      <c r="W49" s="29"/>
      <c r="X49" s="29"/>
      <c r="Y49" s="29"/>
      <c r="Z49" s="29"/>
    </row>
    <row r="50" spans="1:26" ht="15" hidden="1" outlineLevel="1" x14ac:dyDescent="0.25">
      <c r="A50" s="93" t="s">
        <v>267</v>
      </c>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t="s">
        <v>268</v>
      </c>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hidden="1"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5" hidden="1" outlineLevel="1" x14ac:dyDescent="0.25">
      <c r="A54" s="93"/>
      <c r="B54" s="7"/>
      <c r="C54" s="7"/>
      <c r="D54" s="10"/>
      <c r="E54" s="1001" t="s">
        <v>5</v>
      </c>
      <c r="F54" s="1001" t="s">
        <v>5</v>
      </c>
      <c r="G54" s="1001" t="s">
        <v>5</v>
      </c>
      <c r="H54" s="1001"/>
      <c r="I54" s="1001"/>
      <c r="J54" s="1001"/>
      <c r="K54" s="1002" t="s">
        <v>5</v>
      </c>
      <c r="L54" s="11"/>
      <c r="M54" s="48"/>
      <c r="N54" s="12"/>
      <c r="O54" s="12" t="s">
        <v>5</v>
      </c>
      <c r="P54" s="12"/>
      <c r="Q54" s="12"/>
      <c r="R54" s="12"/>
      <c r="S54" s="12"/>
      <c r="T54" s="12"/>
      <c r="U54" s="12"/>
      <c r="V54" s="12"/>
      <c r="W54" s="12"/>
      <c r="X54" s="12"/>
      <c r="Y54" s="12"/>
      <c r="Z54" s="12"/>
    </row>
    <row r="55" spans="1:26" ht="18" hidden="1" outlineLevel="1" x14ac:dyDescent="0.25">
      <c r="A55" s="30" t="str">
        <f>CONCATENATE(B21," ",C21)</f>
        <v>Objective 5 Portal de Proveedores (EDP, Licitaciones, Otros)</v>
      </c>
      <c r="B55" s="30"/>
      <c r="C55" s="31"/>
      <c r="D55" s="31"/>
      <c r="E55" s="29"/>
      <c r="F55" s="29"/>
      <c r="G55" s="29"/>
      <c r="H55" s="29"/>
      <c r="I55" s="29"/>
      <c r="J55" s="29"/>
      <c r="K55" s="29"/>
      <c r="L55" s="29"/>
      <c r="M55" s="29"/>
      <c r="N55" s="29"/>
      <c r="O55" s="29" t="s">
        <v>5</v>
      </c>
      <c r="P55" s="29"/>
      <c r="Q55" s="29"/>
      <c r="R55" s="29"/>
      <c r="S55" s="29"/>
      <c r="T55" s="29"/>
      <c r="U55" s="29"/>
      <c r="V55" s="29"/>
      <c r="W55" s="29"/>
      <c r="X55" s="29"/>
      <c r="Y55" s="29"/>
      <c r="Z55" s="29"/>
    </row>
    <row r="56" spans="1:26" ht="15" hidden="1" outlineLevel="1" x14ac:dyDescent="0.25">
      <c r="A56" s="93" t="s">
        <v>269</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t="s">
        <v>270</v>
      </c>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5" hidden="1" outlineLevel="1" x14ac:dyDescent="0.25">
      <c r="A60" s="93"/>
      <c r="B60" s="7"/>
      <c r="C60" s="7"/>
      <c r="D60" s="10"/>
      <c r="E60" s="1001" t="s">
        <v>5</v>
      </c>
      <c r="F60" s="1001" t="s">
        <v>5</v>
      </c>
      <c r="G60" s="1001" t="s">
        <v>5</v>
      </c>
      <c r="H60" s="1001"/>
      <c r="I60" s="1001"/>
      <c r="J60" s="1001"/>
      <c r="K60" s="1002" t="s">
        <v>5</v>
      </c>
      <c r="L60" s="11"/>
      <c r="M60" s="48"/>
      <c r="N60" s="12"/>
      <c r="O60" s="12" t="s">
        <v>5</v>
      </c>
      <c r="P60" s="12"/>
      <c r="Q60" s="12"/>
      <c r="R60" s="12"/>
      <c r="S60" s="12"/>
      <c r="T60" s="12"/>
      <c r="U60" s="12"/>
      <c r="V60" s="12"/>
      <c r="W60" s="12"/>
      <c r="X60" s="12"/>
      <c r="Y60" s="12"/>
      <c r="Z60" s="12"/>
    </row>
    <row r="61" spans="1:26" ht="18" hidden="1" outlineLevel="1" x14ac:dyDescent="0.25">
      <c r="A61" s="30" t="str">
        <f>CONCATENATE(B22," ",C22)</f>
        <v>Objective 6 Reportabilidad Contratos en línea (medición de desempeño)</v>
      </c>
      <c r="B61" s="30"/>
      <c r="C61" s="31"/>
      <c r="D61" s="31"/>
      <c r="E61" s="29"/>
      <c r="F61" s="29"/>
      <c r="G61" s="29"/>
      <c r="H61" s="29"/>
      <c r="I61" s="29"/>
      <c r="J61" s="29"/>
      <c r="K61" s="29"/>
      <c r="L61" s="29"/>
      <c r="M61" s="29"/>
      <c r="N61" s="29"/>
      <c r="O61" s="29" t="s">
        <v>5</v>
      </c>
      <c r="P61" s="29"/>
      <c r="Q61" s="29"/>
      <c r="R61" s="29"/>
      <c r="S61" s="29"/>
      <c r="T61" s="29"/>
      <c r="U61" s="29"/>
      <c r="V61" s="29"/>
      <c r="W61" s="29"/>
      <c r="X61" s="29"/>
      <c r="Y61" s="29"/>
      <c r="Z61" s="29"/>
    </row>
    <row r="62" spans="1:26" ht="15" hidden="1" outlineLevel="1" x14ac:dyDescent="0.25">
      <c r="A62" s="93" t="s">
        <v>271</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t="s">
        <v>272</v>
      </c>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5" hidden="1" outlineLevel="1" x14ac:dyDescent="0.25">
      <c r="A66" s="93"/>
      <c r="B66" s="7"/>
      <c r="C66" s="7"/>
      <c r="D66" s="10"/>
      <c r="E66" s="1001" t="s">
        <v>5</v>
      </c>
      <c r="F66" s="1001" t="s">
        <v>5</v>
      </c>
      <c r="G66" s="1001" t="s">
        <v>5</v>
      </c>
      <c r="H66" s="1001"/>
      <c r="I66" s="1001"/>
      <c r="J66" s="1001"/>
      <c r="K66" s="1002" t="s">
        <v>5</v>
      </c>
      <c r="L66" s="11"/>
      <c r="M66" s="48"/>
      <c r="N66" s="12"/>
      <c r="O66" s="12" t="s">
        <v>5</v>
      </c>
      <c r="P66" s="12"/>
      <c r="Q66" s="12"/>
      <c r="R66" s="12"/>
      <c r="S66" s="12"/>
      <c r="T66" s="12"/>
      <c r="U66" s="12"/>
      <c r="V66" s="12"/>
      <c r="W66" s="12"/>
      <c r="X66" s="12"/>
      <c r="Y66" s="12"/>
      <c r="Z66" s="12"/>
    </row>
    <row r="67" spans="1:26" ht="18" hidden="1" outlineLevel="1" x14ac:dyDescent="0.25">
      <c r="A67" s="30" t="str">
        <f>CONCATENATE(B23," ",C23)</f>
        <v>Objective 7 Gestion de Proveedores y Contratistas Locales (capacitación)</v>
      </c>
      <c r="B67" s="30"/>
      <c r="C67" s="31"/>
      <c r="D67" s="31"/>
      <c r="E67" s="29"/>
      <c r="F67" s="29"/>
      <c r="G67" s="29"/>
      <c r="H67" s="29"/>
      <c r="I67" s="29"/>
      <c r="J67" s="29"/>
      <c r="K67" s="29"/>
      <c r="L67" s="29"/>
      <c r="M67" s="29"/>
      <c r="N67" s="29"/>
      <c r="O67" s="29" t="s">
        <v>5</v>
      </c>
      <c r="P67" s="29"/>
      <c r="Q67" s="29"/>
      <c r="R67" s="29"/>
      <c r="S67" s="29"/>
      <c r="T67" s="29"/>
      <c r="U67" s="29"/>
      <c r="V67" s="29"/>
      <c r="W67" s="29"/>
      <c r="X67" s="29"/>
      <c r="Y67" s="29"/>
      <c r="Z67" s="29"/>
    </row>
    <row r="68" spans="1:26" ht="15" hidden="1" outlineLevel="1" x14ac:dyDescent="0.25">
      <c r="A68" s="93" t="s">
        <v>273</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t="s">
        <v>274</v>
      </c>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5" hidden="1" outlineLevel="1" x14ac:dyDescent="0.25">
      <c r="A72" s="93"/>
      <c r="B72" s="7"/>
      <c r="C72" s="7"/>
      <c r="D72" s="10"/>
      <c r="E72" s="1001" t="s">
        <v>5</v>
      </c>
      <c r="F72" s="1001" t="s">
        <v>5</v>
      </c>
      <c r="G72" s="1001" t="s">
        <v>5</v>
      </c>
      <c r="H72" s="1001"/>
      <c r="I72" s="1001"/>
      <c r="J72" s="1001"/>
      <c r="K72" s="1002" t="s">
        <v>5</v>
      </c>
      <c r="L72" s="11"/>
      <c r="M72" s="48"/>
      <c r="N72" s="12"/>
      <c r="O72" s="12" t="s">
        <v>5</v>
      </c>
      <c r="P72" s="12"/>
      <c r="Q72" s="12"/>
      <c r="R72" s="12"/>
      <c r="S72" s="12"/>
      <c r="T72" s="12"/>
      <c r="U72" s="12"/>
      <c r="V72" s="12"/>
      <c r="W72" s="12"/>
      <c r="X72" s="12"/>
      <c r="Y72" s="12"/>
      <c r="Z72" s="12"/>
    </row>
    <row r="73" spans="1:26" ht="18" hidden="1" outlineLevel="1" x14ac:dyDescent="0.25">
      <c r="A73" s="30" t="str">
        <f>CONCATENATE(B24," ",C24)</f>
        <v xml:space="preserve"> </v>
      </c>
      <c r="B73" s="30"/>
      <c r="C73" s="31"/>
      <c r="D73" s="31"/>
      <c r="E73" s="29"/>
      <c r="F73" s="29"/>
      <c r="G73" s="29"/>
      <c r="H73" s="29"/>
      <c r="I73" s="29"/>
      <c r="J73" s="29"/>
      <c r="K73" s="29"/>
      <c r="L73" s="29"/>
      <c r="M73" s="29"/>
      <c r="N73" s="29"/>
      <c r="O73" s="29" t="s">
        <v>5</v>
      </c>
      <c r="P73" s="29"/>
      <c r="Q73" s="29"/>
      <c r="R73" s="29"/>
      <c r="S73" s="29"/>
      <c r="T73" s="29"/>
      <c r="U73" s="29"/>
      <c r="V73" s="29"/>
      <c r="W73" s="29"/>
      <c r="X73" s="29"/>
      <c r="Y73" s="29"/>
      <c r="Z73" s="29"/>
    </row>
    <row r="74" spans="1:26" ht="15" hidden="1" outlineLevel="1" x14ac:dyDescent="0.25">
      <c r="A74" s="93" t="s">
        <v>275</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t="s">
        <v>276</v>
      </c>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5" hidden="1" outlineLevel="1" x14ac:dyDescent="0.25">
      <c r="A78" s="93"/>
      <c r="B78" s="7"/>
      <c r="C78" s="7"/>
      <c r="D78" s="10"/>
      <c r="E78" s="1001" t="s">
        <v>5</v>
      </c>
      <c r="F78" s="1001" t="s">
        <v>5</v>
      </c>
      <c r="G78" s="1001" t="s">
        <v>5</v>
      </c>
      <c r="H78" s="1001"/>
      <c r="I78" s="1001"/>
      <c r="J78" s="1001"/>
      <c r="K78" s="1002" t="s">
        <v>5</v>
      </c>
      <c r="L78" s="11"/>
      <c r="M78" s="48"/>
      <c r="N78" s="12"/>
      <c r="O78" s="12" t="s">
        <v>5</v>
      </c>
      <c r="P78" s="12"/>
      <c r="Q78" s="12"/>
      <c r="R78" s="12"/>
      <c r="S78" s="12"/>
      <c r="T78" s="12"/>
      <c r="U78" s="12"/>
      <c r="V78" s="12"/>
      <c r="W78" s="12"/>
      <c r="X78" s="12"/>
      <c r="Y78" s="12"/>
      <c r="Z78" s="12"/>
    </row>
    <row r="79" spans="1:26" ht="18" hidden="1" outlineLevel="1" x14ac:dyDescent="0.25">
      <c r="A79" s="30" t="str">
        <f>CONCATENATE(B25," ",C25)</f>
        <v xml:space="preserve"> </v>
      </c>
      <c r="B79" s="30"/>
      <c r="C79" s="31"/>
      <c r="D79" s="31"/>
      <c r="E79" s="29"/>
      <c r="F79" s="29"/>
      <c r="G79" s="29"/>
      <c r="H79" s="29"/>
      <c r="I79" s="29"/>
      <c r="J79" s="29"/>
      <c r="K79" s="29"/>
      <c r="L79" s="29"/>
      <c r="M79" s="29"/>
      <c r="N79" s="29"/>
      <c r="O79" s="29" t="s">
        <v>5</v>
      </c>
      <c r="P79" s="29"/>
      <c r="Q79" s="29"/>
      <c r="R79" s="29"/>
      <c r="S79" s="29"/>
      <c r="T79" s="29"/>
      <c r="U79" s="29"/>
      <c r="V79" s="29"/>
      <c r="W79" s="29"/>
      <c r="X79" s="29"/>
      <c r="Y79" s="29"/>
      <c r="Z79" s="29"/>
    </row>
    <row r="80" spans="1:26" ht="15" hidden="1" outlineLevel="1" x14ac:dyDescent="0.25">
      <c r="A80" s="93" t="s">
        <v>277</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t="s">
        <v>278</v>
      </c>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15" hidden="1" outlineLevel="1" x14ac:dyDescent="0.25">
      <c r="A84" s="93"/>
      <c r="B84" s="7"/>
      <c r="C84" s="7"/>
      <c r="D84" s="10"/>
      <c r="E84" s="1001" t="s">
        <v>5</v>
      </c>
      <c r="F84" s="1001" t="s">
        <v>5</v>
      </c>
      <c r="G84" s="1001" t="s">
        <v>5</v>
      </c>
      <c r="H84" s="1001"/>
      <c r="I84" s="1001"/>
      <c r="J84" s="1001"/>
      <c r="K84" s="1002" t="s">
        <v>5</v>
      </c>
      <c r="L84" s="11"/>
      <c r="M84" s="48"/>
      <c r="N84" s="12"/>
      <c r="O84" s="12" t="s">
        <v>5</v>
      </c>
      <c r="P84" s="12"/>
      <c r="Q84" s="12"/>
      <c r="R84" s="12"/>
      <c r="S84" s="12"/>
      <c r="T84" s="12"/>
      <c r="U84" s="12"/>
      <c r="V84" s="12"/>
      <c r="W84" s="12"/>
      <c r="X84" s="12"/>
      <c r="Y84" s="12"/>
      <c r="Z84" s="12"/>
    </row>
    <row r="85" spans="1:26" ht="18" hidden="1" outlineLevel="1" x14ac:dyDescent="0.25">
      <c r="A85" s="30" t="str">
        <f>CONCATENATE(B26," ",C26)</f>
        <v xml:space="preserve"> </v>
      </c>
      <c r="B85" s="30"/>
      <c r="C85" s="31"/>
      <c r="D85" s="31"/>
      <c r="E85" s="29"/>
      <c r="F85" s="29"/>
      <c r="G85" s="29"/>
      <c r="H85" s="29"/>
      <c r="I85" s="29"/>
      <c r="J85" s="29"/>
      <c r="K85" s="29"/>
      <c r="L85" s="29"/>
      <c r="M85" s="29"/>
      <c r="N85" s="29"/>
      <c r="O85" s="29" t="s">
        <v>5</v>
      </c>
      <c r="P85" s="29"/>
      <c r="Q85" s="29"/>
      <c r="R85" s="29"/>
      <c r="S85" s="29"/>
      <c r="T85" s="29"/>
      <c r="U85" s="29"/>
      <c r="V85" s="29"/>
      <c r="W85" s="29"/>
      <c r="X85" s="29"/>
      <c r="Y85" s="29"/>
      <c r="Z85" s="29"/>
    </row>
    <row r="86" spans="1:26" ht="15" hidden="1" outlineLevel="1" x14ac:dyDescent="0.25">
      <c r="A86" s="93" t="s">
        <v>279</v>
      </c>
      <c r="B86" s="7"/>
      <c r="C86" s="7"/>
      <c r="D86" s="10"/>
      <c r="E86" s="1001" t="s">
        <v>5</v>
      </c>
      <c r="F86" s="1001" t="s">
        <v>5</v>
      </c>
      <c r="G86" s="1001" t="s">
        <v>5</v>
      </c>
      <c r="H86" s="1001"/>
      <c r="I86" s="1001"/>
      <c r="J86" s="1001"/>
      <c r="K86" s="1002" t="s">
        <v>5</v>
      </c>
      <c r="L86" s="11"/>
      <c r="M86" s="48"/>
      <c r="N86" s="12"/>
      <c r="O86" s="12" t="s">
        <v>5</v>
      </c>
      <c r="P86" s="12"/>
      <c r="Q86" s="12"/>
      <c r="R86" s="12"/>
      <c r="S86" s="12"/>
      <c r="T86" s="12"/>
      <c r="U86" s="12"/>
      <c r="V86" s="12"/>
      <c r="W86" s="12"/>
      <c r="X86" s="12"/>
      <c r="Y86" s="12"/>
      <c r="Z86" s="12"/>
    </row>
    <row r="87" spans="1:26" ht="15" hidden="1" outlineLevel="1" x14ac:dyDescent="0.25">
      <c r="A87" s="93" t="s">
        <v>280</v>
      </c>
      <c r="B87" s="7"/>
      <c r="C87" s="7"/>
      <c r="D87" s="10"/>
      <c r="E87" s="1001" t="s">
        <v>5</v>
      </c>
      <c r="F87" s="1001" t="s">
        <v>5</v>
      </c>
      <c r="G87" s="1001" t="s">
        <v>5</v>
      </c>
      <c r="H87" s="1001"/>
      <c r="I87" s="1001"/>
      <c r="J87" s="1001"/>
      <c r="K87" s="1002" t="s">
        <v>5</v>
      </c>
      <c r="L87" s="11"/>
      <c r="M87" s="48"/>
      <c r="N87" s="12"/>
      <c r="O87" s="12" t="s">
        <v>5</v>
      </c>
      <c r="P87" s="12"/>
      <c r="Q87" s="12"/>
      <c r="R87" s="12"/>
      <c r="S87" s="12"/>
      <c r="T87" s="12"/>
      <c r="U87" s="12"/>
      <c r="V87" s="12"/>
      <c r="W87" s="12"/>
      <c r="X87" s="12"/>
      <c r="Y87" s="12"/>
      <c r="Z87" s="12"/>
    </row>
    <row r="88" spans="1:26" ht="15" hidden="1" outlineLevel="1" x14ac:dyDescent="0.25">
      <c r="A88" s="93"/>
      <c r="B88" s="7"/>
      <c r="C88" s="7"/>
      <c r="D88" s="10"/>
      <c r="E88" s="1001" t="s">
        <v>5</v>
      </c>
      <c r="F88" s="1001" t="s">
        <v>5</v>
      </c>
      <c r="G88" s="1001" t="s">
        <v>5</v>
      </c>
      <c r="H88" s="1001"/>
      <c r="I88" s="1001"/>
      <c r="J88" s="1001"/>
      <c r="K88" s="1002" t="s">
        <v>5</v>
      </c>
      <c r="L88" s="11"/>
      <c r="M88" s="48"/>
      <c r="N88" s="12"/>
      <c r="O88" s="12" t="s">
        <v>5</v>
      </c>
      <c r="P88" s="12"/>
      <c r="Q88" s="12"/>
      <c r="R88" s="12"/>
      <c r="S88" s="12"/>
      <c r="T88" s="12"/>
      <c r="U88" s="12"/>
      <c r="V88" s="12"/>
      <c r="W88" s="12"/>
      <c r="X88" s="12"/>
      <c r="Y88" s="12"/>
      <c r="Z88" s="12"/>
    </row>
    <row r="89" spans="1:26" ht="15" hidden="1" outlineLevel="1" x14ac:dyDescent="0.25">
      <c r="A89" s="93"/>
      <c r="B89" s="7"/>
      <c r="C89" s="7"/>
      <c r="D89" s="10"/>
      <c r="E89" s="1001" t="s">
        <v>5</v>
      </c>
      <c r="F89" s="1001" t="s">
        <v>5</v>
      </c>
      <c r="G89" s="1001" t="s">
        <v>5</v>
      </c>
      <c r="H89" s="1001"/>
      <c r="I89" s="1001"/>
      <c r="J89" s="1001"/>
      <c r="K89" s="1002" t="s">
        <v>5</v>
      </c>
      <c r="L89" s="11"/>
      <c r="M89" s="48"/>
      <c r="N89" s="12"/>
      <c r="O89" s="12" t="s">
        <v>5</v>
      </c>
      <c r="P89" s="12"/>
      <c r="Q89" s="12"/>
      <c r="R89" s="12"/>
      <c r="S89" s="12"/>
      <c r="T89" s="12"/>
      <c r="U89" s="12"/>
      <c r="V89" s="12"/>
      <c r="W89" s="12"/>
      <c r="X89" s="12"/>
      <c r="Y89" s="12"/>
      <c r="Z89" s="12"/>
    </row>
    <row r="90" spans="1:26" ht="15" hidden="1" outlineLevel="1" x14ac:dyDescent="0.25">
      <c r="A90" s="93"/>
      <c r="B90" s="7"/>
      <c r="C90" s="7"/>
      <c r="D90" s="10"/>
      <c r="E90" s="1001" t="s">
        <v>5</v>
      </c>
      <c r="F90" s="1001" t="s">
        <v>5</v>
      </c>
      <c r="G90" s="1001" t="s">
        <v>5</v>
      </c>
      <c r="H90" s="1001"/>
      <c r="I90" s="1001"/>
      <c r="J90" s="1001"/>
      <c r="K90" s="1002" t="s">
        <v>5</v>
      </c>
      <c r="L90" s="11"/>
      <c r="M90" s="48"/>
      <c r="N90" s="12"/>
      <c r="O90" s="12" t="s">
        <v>5</v>
      </c>
      <c r="P90" s="12"/>
      <c r="Q90" s="12"/>
      <c r="R90" s="12"/>
      <c r="S90" s="12"/>
      <c r="T90" s="12"/>
      <c r="U90" s="12"/>
      <c r="V90" s="12"/>
      <c r="W90" s="12"/>
      <c r="X90" s="12"/>
      <c r="Y90" s="12"/>
      <c r="Z90" s="12"/>
    </row>
    <row r="91" spans="1:26" ht="6.75" customHeight="1" collapsed="1" x14ac:dyDescent="0.25"/>
    <row r="92" spans="1:26" ht="18" x14ac:dyDescent="0.25">
      <c r="A92" s="41" t="s">
        <v>37</v>
      </c>
      <c r="B92" s="41"/>
      <c r="C92" s="42"/>
      <c r="D92" s="42"/>
      <c r="E92" s="43"/>
      <c r="F92" s="43"/>
      <c r="G92" s="43"/>
      <c r="H92" s="44"/>
      <c r="I92" s="44"/>
      <c r="J92" s="43"/>
      <c r="K92" s="43"/>
      <c r="L92" s="43"/>
      <c r="M92" s="43"/>
      <c r="N92" s="43"/>
      <c r="O92" s="43" t="s">
        <v>5</v>
      </c>
      <c r="P92" s="43"/>
      <c r="Q92" s="43"/>
      <c r="R92" s="43"/>
      <c r="S92" s="43"/>
      <c r="T92" s="43"/>
      <c r="U92" s="43"/>
      <c r="V92" s="43"/>
      <c r="W92" s="43"/>
      <c r="X92" s="43"/>
      <c r="Y92" s="43"/>
      <c r="Z92" s="43"/>
    </row>
    <row r="93" spans="1:26" ht="18" x14ac:dyDescent="0.25">
      <c r="A93" s="30" t="str">
        <f>CONCATENATE(B17," ",C17)</f>
        <v>Objective 1 Base Datos Proveedores</v>
      </c>
      <c r="B93" s="30"/>
      <c r="C93" s="31"/>
      <c r="D93" s="31"/>
      <c r="E93" s="29"/>
      <c r="F93" s="29"/>
      <c r="G93" s="29"/>
      <c r="H93" s="29"/>
      <c r="I93" s="29"/>
      <c r="J93" s="29"/>
      <c r="K93" s="29"/>
      <c r="L93" s="29"/>
      <c r="M93" s="29"/>
      <c r="N93" s="29"/>
      <c r="O93" s="29" t="s">
        <v>5</v>
      </c>
      <c r="P93" s="29"/>
      <c r="Q93" s="29"/>
      <c r="R93" s="29"/>
      <c r="S93" s="29"/>
      <c r="T93" s="29"/>
      <c r="U93" s="29"/>
      <c r="V93" s="29"/>
      <c r="W93" s="29"/>
      <c r="X93" s="29"/>
      <c r="Y93" s="29"/>
      <c r="Z93" s="29"/>
    </row>
    <row r="94" spans="1:26" ht="60" x14ac:dyDescent="0.25">
      <c r="A94" s="92" t="s">
        <v>261</v>
      </c>
      <c r="B94" s="92" t="s">
        <v>13</v>
      </c>
      <c r="C94" s="92" t="s">
        <v>14</v>
      </c>
      <c r="D94" s="133" t="s">
        <v>286</v>
      </c>
      <c r="E94" s="32" t="s">
        <v>16</v>
      </c>
      <c r="F94" s="32" t="s">
        <v>295</v>
      </c>
      <c r="G94" s="32" t="s">
        <v>39</v>
      </c>
      <c r="H94" s="32" t="s">
        <v>297</v>
      </c>
      <c r="I94" s="32" t="s">
        <v>298</v>
      </c>
      <c r="J94" s="32" t="s">
        <v>299</v>
      </c>
      <c r="K94" s="32" t="s">
        <v>300</v>
      </c>
      <c r="L94" s="32" t="s">
        <v>17</v>
      </c>
      <c r="M94" s="32" t="s">
        <v>18</v>
      </c>
      <c r="N94" s="32" t="s">
        <v>19</v>
      </c>
      <c r="O94" s="66">
        <v>43101</v>
      </c>
      <c r="P94" s="66">
        <v>43132</v>
      </c>
      <c r="Q94" s="66">
        <v>43160</v>
      </c>
      <c r="R94" s="66">
        <v>43191</v>
      </c>
      <c r="S94" s="66">
        <v>43221</v>
      </c>
      <c r="T94" s="66">
        <v>43252</v>
      </c>
      <c r="U94" s="66">
        <v>43282</v>
      </c>
      <c r="V94" s="66">
        <v>43313</v>
      </c>
      <c r="W94" s="66">
        <v>43344</v>
      </c>
      <c r="X94" s="66">
        <v>43374</v>
      </c>
      <c r="Y94" s="66">
        <v>43405</v>
      </c>
      <c r="Z94" s="66">
        <v>43435</v>
      </c>
    </row>
    <row r="95" spans="1:26" ht="28.5" customHeight="1" x14ac:dyDescent="0.25">
      <c r="A95" s="93" t="s">
        <v>2277</v>
      </c>
      <c r="B95" s="93">
        <v>1</v>
      </c>
      <c r="C95" s="93" t="s">
        <v>1369</v>
      </c>
      <c r="D95" s="353" t="s">
        <v>1356</v>
      </c>
      <c r="E95" s="11" t="s">
        <v>248</v>
      </c>
      <c r="F95" s="11" t="s">
        <v>293</v>
      </c>
      <c r="G95" s="11"/>
      <c r="H95" s="136"/>
      <c r="I95" s="11"/>
      <c r="J95" s="11"/>
      <c r="K95" s="11"/>
      <c r="L95" s="11">
        <v>3</v>
      </c>
      <c r="M95" s="11">
        <v>1620</v>
      </c>
      <c r="N95" s="137">
        <f t="shared" ref="N95:N102" si="9">SUM(O95:Z95)</f>
        <v>45000</v>
      </c>
      <c r="O95" s="11">
        <v>15000</v>
      </c>
      <c r="P95" s="11">
        <v>15000</v>
      </c>
      <c r="Q95" s="11">
        <v>15000</v>
      </c>
      <c r="R95" s="11"/>
      <c r="S95" s="11"/>
      <c r="T95" s="11"/>
      <c r="U95" s="11"/>
      <c r="V95" s="11"/>
      <c r="W95" s="11"/>
      <c r="X95" s="11"/>
      <c r="Y95" s="11"/>
      <c r="Z95" s="11"/>
    </row>
    <row r="96" spans="1:26" ht="15" x14ac:dyDescent="0.25">
      <c r="A96" s="93"/>
      <c r="B96" s="93"/>
      <c r="C96" s="93"/>
      <c r="D96" s="353"/>
      <c r="E96" s="11"/>
      <c r="F96" s="11"/>
      <c r="G96" s="11"/>
      <c r="H96" s="11"/>
      <c r="I96" s="11"/>
      <c r="J96" s="11"/>
      <c r="K96" s="11"/>
      <c r="L96" s="11"/>
      <c r="M96" s="11"/>
      <c r="N96" s="137">
        <f t="shared" si="9"/>
        <v>0</v>
      </c>
      <c r="O96" s="11"/>
      <c r="P96" s="11"/>
      <c r="Q96" s="11"/>
      <c r="R96" s="11"/>
      <c r="S96" s="11"/>
      <c r="T96" s="11"/>
      <c r="U96" s="11"/>
      <c r="V96" s="11"/>
      <c r="W96" s="11"/>
      <c r="X96" s="11"/>
      <c r="Y96" s="11"/>
      <c r="Z96" s="11"/>
    </row>
    <row r="97" spans="1:26" ht="15" x14ac:dyDescent="0.25">
      <c r="A97" s="93"/>
      <c r="B97" s="93"/>
      <c r="C97" s="93"/>
      <c r="D97" s="353"/>
      <c r="E97" s="11"/>
      <c r="F97" s="11"/>
      <c r="G97" s="11"/>
      <c r="H97" s="11"/>
      <c r="I97" s="11"/>
      <c r="J97" s="11"/>
      <c r="K97" s="11"/>
      <c r="L97" s="11"/>
      <c r="M97" s="11"/>
      <c r="N97" s="137">
        <f t="shared" si="9"/>
        <v>0</v>
      </c>
      <c r="O97" s="11"/>
      <c r="P97" s="11"/>
      <c r="Q97" s="11"/>
      <c r="R97" s="11"/>
      <c r="S97" s="11"/>
      <c r="T97" s="11"/>
      <c r="U97" s="11"/>
      <c r="V97" s="11"/>
      <c r="W97" s="11"/>
      <c r="X97" s="11"/>
      <c r="Y97" s="11"/>
      <c r="Z97" s="11"/>
    </row>
    <row r="98" spans="1:26" ht="15" hidden="1" x14ac:dyDescent="0.25">
      <c r="A98" s="93"/>
      <c r="B98" s="93"/>
      <c r="C98" s="93"/>
      <c r="D98" s="353"/>
      <c r="E98" s="11"/>
      <c r="F98" s="11"/>
      <c r="G98" s="11"/>
      <c r="H98" s="11"/>
      <c r="I98" s="11"/>
      <c r="J98" s="11"/>
      <c r="K98" s="11"/>
      <c r="L98" s="11"/>
      <c r="M98" s="11"/>
      <c r="N98" s="137">
        <f t="shared" si="9"/>
        <v>0</v>
      </c>
      <c r="O98" s="11"/>
      <c r="P98" s="11"/>
      <c r="Q98" s="11"/>
      <c r="R98" s="11"/>
      <c r="S98" s="11"/>
      <c r="T98" s="11"/>
      <c r="U98" s="11"/>
      <c r="V98" s="11"/>
      <c r="W98" s="11"/>
      <c r="X98" s="11"/>
      <c r="Y98" s="11"/>
      <c r="Z98" s="11"/>
    </row>
    <row r="99" spans="1:26" ht="15" hidden="1" x14ac:dyDescent="0.25">
      <c r="A99" s="93"/>
      <c r="B99" s="93"/>
      <c r="C99" s="93"/>
      <c r="D99" s="353"/>
      <c r="E99" s="11"/>
      <c r="F99" s="11"/>
      <c r="G99" s="11"/>
      <c r="H99" s="11"/>
      <c r="I99" s="11"/>
      <c r="J99" s="11"/>
      <c r="K99" s="11"/>
      <c r="L99" s="11"/>
      <c r="M99" s="11"/>
      <c r="N99" s="11">
        <f t="shared" si="9"/>
        <v>0</v>
      </c>
      <c r="O99" s="11"/>
      <c r="P99" s="11"/>
      <c r="Q99" s="11"/>
      <c r="R99" s="11"/>
      <c r="S99" s="11"/>
      <c r="T99" s="11"/>
      <c r="U99" s="11"/>
      <c r="V99" s="11"/>
      <c r="W99" s="11"/>
      <c r="X99" s="11"/>
      <c r="Y99" s="11"/>
      <c r="Z99" s="11"/>
    </row>
    <row r="100" spans="1:26" ht="15" hidden="1" x14ac:dyDescent="0.25">
      <c r="A100" s="93"/>
      <c r="B100" s="93"/>
      <c r="C100" s="93"/>
      <c r="D100" s="353"/>
      <c r="E100" s="11"/>
      <c r="F100" s="11"/>
      <c r="G100" s="11"/>
      <c r="H100" s="11"/>
      <c r="I100" s="11"/>
      <c r="J100" s="11"/>
      <c r="K100" s="11"/>
      <c r="L100" s="11"/>
      <c r="M100" s="11"/>
      <c r="N100" s="11">
        <f t="shared" si="9"/>
        <v>0</v>
      </c>
      <c r="O100" s="11"/>
      <c r="P100" s="11"/>
      <c r="Q100" s="11"/>
      <c r="R100" s="11"/>
      <c r="S100" s="11"/>
      <c r="T100" s="11"/>
      <c r="U100" s="11"/>
      <c r="V100" s="11"/>
      <c r="W100" s="11"/>
      <c r="X100" s="11"/>
      <c r="Y100" s="11"/>
      <c r="Z100" s="11"/>
    </row>
    <row r="101" spans="1:26" ht="4.1500000000000004" hidden="1" customHeight="1" x14ac:dyDescent="0.25">
      <c r="A101" s="93"/>
      <c r="B101" s="93"/>
      <c r="C101" s="93"/>
      <c r="D101" s="353"/>
      <c r="E101" s="11"/>
      <c r="F101" s="11"/>
      <c r="G101" s="11"/>
      <c r="H101" s="11"/>
      <c r="I101" s="11"/>
      <c r="J101" s="11"/>
      <c r="K101" s="11"/>
      <c r="L101" s="11"/>
      <c r="M101" s="11"/>
      <c r="N101" s="11">
        <f t="shared" si="9"/>
        <v>0</v>
      </c>
      <c r="O101" s="11"/>
      <c r="P101" s="11"/>
      <c r="Q101" s="11"/>
      <c r="R101" s="11"/>
      <c r="S101" s="11"/>
      <c r="T101" s="11"/>
      <c r="U101" s="11"/>
      <c r="V101" s="11"/>
      <c r="W101" s="11"/>
      <c r="X101" s="11"/>
      <c r="Y101" s="11"/>
      <c r="Z101" s="11"/>
    </row>
    <row r="102" spans="1:26" ht="15" hidden="1" x14ac:dyDescent="0.25">
      <c r="A102" s="93" t="s">
        <v>282</v>
      </c>
      <c r="B102" s="93"/>
      <c r="C102" s="93"/>
      <c r="D102" s="353"/>
      <c r="E102" s="11"/>
      <c r="F102" s="11"/>
      <c r="G102" s="11"/>
      <c r="H102" s="11"/>
      <c r="I102" s="11"/>
      <c r="J102" s="11"/>
      <c r="K102" s="11"/>
      <c r="L102" s="11"/>
      <c r="M102" s="11"/>
      <c r="N102" s="11">
        <f t="shared" si="9"/>
        <v>0</v>
      </c>
      <c r="O102" s="11"/>
      <c r="P102" s="11"/>
      <c r="Q102" s="11"/>
      <c r="R102" s="11"/>
      <c r="S102" s="11"/>
      <c r="T102" s="11"/>
      <c r="U102" s="11"/>
      <c r="V102" s="11"/>
      <c r="W102" s="11"/>
      <c r="X102" s="11"/>
      <c r="Y102" s="11"/>
      <c r="Z102" s="11"/>
    </row>
    <row r="103" spans="1:26" s="35" customFormat="1" ht="22.5" customHeight="1" x14ac:dyDescent="0.25">
      <c r="A103" s="33"/>
      <c r="B103" s="34"/>
      <c r="C103" s="34"/>
      <c r="D103" s="34"/>
      <c r="E103" s="50"/>
      <c r="F103" s="50"/>
      <c r="G103" s="50"/>
      <c r="H103" s="50"/>
      <c r="I103" s="50"/>
      <c r="J103" s="51" t="s">
        <v>20</v>
      </c>
      <c r="K103" s="50"/>
      <c r="L103" s="32">
        <f t="shared" ref="L103:Z103" si="10">SUM(L95:L102)</f>
        <v>3</v>
      </c>
      <c r="M103" s="32">
        <f t="shared" si="10"/>
        <v>1620</v>
      </c>
      <c r="N103" s="32">
        <f t="shared" si="10"/>
        <v>45000</v>
      </c>
      <c r="O103" s="32">
        <f t="shared" si="10"/>
        <v>15000</v>
      </c>
      <c r="P103" s="32">
        <f t="shared" si="10"/>
        <v>15000</v>
      </c>
      <c r="Q103" s="32">
        <f t="shared" si="10"/>
        <v>15000</v>
      </c>
      <c r="R103" s="32">
        <f t="shared" si="10"/>
        <v>0</v>
      </c>
      <c r="S103" s="32">
        <f t="shared" si="10"/>
        <v>0</v>
      </c>
      <c r="T103" s="32">
        <f t="shared" si="10"/>
        <v>0</v>
      </c>
      <c r="U103" s="32">
        <f t="shared" si="10"/>
        <v>0</v>
      </c>
      <c r="V103" s="32">
        <f t="shared" si="10"/>
        <v>0</v>
      </c>
      <c r="W103" s="32">
        <f t="shared" si="10"/>
        <v>0</v>
      </c>
      <c r="X103" s="32">
        <f t="shared" si="10"/>
        <v>0</v>
      </c>
      <c r="Y103" s="32">
        <f t="shared" si="10"/>
        <v>0</v>
      </c>
      <c r="Z103" s="32">
        <f t="shared" si="10"/>
        <v>0</v>
      </c>
    </row>
    <row r="104" spans="1:26" ht="18" x14ac:dyDescent="0.25">
      <c r="A104" s="30" t="str">
        <f>CONCATENATE(B18," ",C18)</f>
        <v>Objective 2 Desarrollo Procedimientos</v>
      </c>
      <c r="B104" s="30"/>
      <c r="C104" s="31"/>
      <c r="D104" s="31"/>
      <c r="E104" s="29"/>
      <c r="F104" s="29"/>
      <c r="G104" s="29"/>
      <c r="H104" s="29"/>
      <c r="I104" s="29"/>
      <c r="J104" s="29"/>
      <c r="K104" s="29"/>
      <c r="L104" s="29"/>
      <c r="M104" s="29"/>
      <c r="N104" s="29"/>
      <c r="O104" s="29" t="s">
        <v>5</v>
      </c>
      <c r="P104" s="29"/>
      <c r="Q104" s="29"/>
      <c r="R104" s="29"/>
      <c r="S104" s="29"/>
      <c r="T104" s="29"/>
      <c r="U104" s="29"/>
      <c r="V104" s="29"/>
      <c r="W104" s="29"/>
      <c r="X104" s="29"/>
      <c r="Y104" s="29"/>
      <c r="Z104" s="29"/>
    </row>
    <row r="105" spans="1:26" ht="60" x14ac:dyDescent="0.25">
      <c r="A105" s="92" t="s">
        <v>261</v>
      </c>
      <c r="B105" s="92" t="s">
        <v>13</v>
      </c>
      <c r="C105" s="92" t="s">
        <v>14</v>
      </c>
      <c r="D105" s="133" t="s">
        <v>286</v>
      </c>
      <c r="E105" s="32" t="s">
        <v>16</v>
      </c>
      <c r="F105" s="32" t="s">
        <v>295</v>
      </c>
      <c r="G105" s="32" t="s">
        <v>39</v>
      </c>
      <c r="H105" s="32" t="s">
        <v>297</v>
      </c>
      <c r="I105" s="32" t="s">
        <v>298</v>
      </c>
      <c r="J105" s="32" t="s">
        <v>299</v>
      </c>
      <c r="K105" s="32" t="s">
        <v>300</v>
      </c>
      <c r="L105" s="32" t="s">
        <v>17</v>
      </c>
      <c r="M105" s="32" t="s">
        <v>18</v>
      </c>
      <c r="N105" s="32" t="s">
        <v>19</v>
      </c>
      <c r="O105" s="66">
        <v>43101</v>
      </c>
      <c r="P105" s="66">
        <v>43132</v>
      </c>
      <c r="Q105" s="66">
        <v>43160</v>
      </c>
      <c r="R105" s="66">
        <v>43191</v>
      </c>
      <c r="S105" s="66">
        <v>43221</v>
      </c>
      <c r="T105" s="66">
        <v>43252</v>
      </c>
      <c r="U105" s="66">
        <v>43282</v>
      </c>
      <c r="V105" s="66">
        <v>43313</v>
      </c>
      <c r="W105" s="66">
        <v>43344</v>
      </c>
      <c r="X105" s="66">
        <v>43374</v>
      </c>
      <c r="Y105" s="66">
        <v>43405</v>
      </c>
      <c r="Z105" s="66">
        <v>43435</v>
      </c>
    </row>
    <row r="106" spans="1:26" ht="30" x14ac:dyDescent="0.25">
      <c r="A106" s="93" t="s">
        <v>2280</v>
      </c>
      <c r="B106" s="93">
        <v>2</v>
      </c>
      <c r="C106" s="93" t="s">
        <v>1370</v>
      </c>
      <c r="D106" s="353" t="s">
        <v>1358</v>
      </c>
      <c r="E106" s="11" t="s">
        <v>248</v>
      </c>
      <c r="F106" s="11" t="s">
        <v>288</v>
      </c>
      <c r="G106" s="11" t="s">
        <v>493</v>
      </c>
      <c r="H106" s="362"/>
      <c r="I106" s="362" t="s">
        <v>1371</v>
      </c>
      <c r="J106" s="362">
        <v>43174</v>
      </c>
      <c r="K106" s="362">
        <v>43191</v>
      </c>
      <c r="L106" s="11">
        <v>5</v>
      </c>
      <c r="M106" s="11">
        <f>2.5*5*180</f>
        <v>2250</v>
      </c>
      <c r="N106" s="137">
        <f>SUM(O106:Z106)</f>
        <v>100000</v>
      </c>
      <c r="O106" s="11"/>
      <c r="P106" s="11"/>
      <c r="Q106" s="11"/>
      <c r="R106" s="11">
        <v>20000</v>
      </c>
      <c r="S106" s="11">
        <v>20000</v>
      </c>
      <c r="T106" s="11">
        <v>20000</v>
      </c>
      <c r="U106" s="11">
        <v>20000</v>
      </c>
      <c r="V106" s="11">
        <v>20000</v>
      </c>
      <c r="W106" s="11"/>
      <c r="X106" s="11"/>
      <c r="Y106" s="11"/>
      <c r="Z106" s="11"/>
    </row>
    <row r="107" spans="1:26" ht="15" x14ac:dyDescent="0.25">
      <c r="A107" s="93"/>
      <c r="B107" s="93"/>
      <c r="C107" s="93"/>
      <c r="D107" s="353"/>
      <c r="E107" s="11"/>
      <c r="F107" s="11"/>
      <c r="G107" s="11"/>
      <c r="H107" s="11"/>
      <c r="I107" s="11"/>
      <c r="J107" s="11"/>
      <c r="K107" s="11"/>
      <c r="L107" s="11"/>
      <c r="M107" s="11"/>
      <c r="N107" s="137">
        <f>SUM(O107:Z107)</f>
        <v>0</v>
      </c>
      <c r="O107" s="11"/>
      <c r="P107" s="11"/>
      <c r="Q107" s="11"/>
      <c r="R107" s="11"/>
      <c r="S107" s="11"/>
      <c r="T107" s="11"/>
      <c r="U107" s="11"/>
      <c r="V107" s="11"/>
      <c r="W107" s="11"/>
      <c r="X107" s="11"/>
      <c r="Y107" s="11"/>
      <c r="Z107" s="11"/>
    </row>
    <row r="108" spans="1:26" ht="15" hidden="1" x14ac:dyDescent="0.25">
      <c r="A108" s="93"/>
      <c r="B108" s="93"/>
      <c r="C108" s="93"/>
      <c r="D108" s="353"/>
      <c r="E108" s="11"/>
      <c r="F108" s="11"/>
      <c r="G108" s="11"/>
      <c r="H108" s="11"/>
      <c r="I108" s="11"/>
      <c r="J108" s="11"/>
      <c r="K108" s="11"/>
      <c r="L108" s="11"/>
      <c r="M108" s="11"/>
      <c r="N108" s="137">
        <f>SUM(O108:Z108)</f>
        <v>0</v>
      </c>
      <c r="O108" s="11"/>
      <c r="P108" s="11"/>
      <c r="Q108" s="11"/>
      <c r="R108" s="11"/>
      <c r="S108" s="11"/>
      <c r="T108" s="11"/>
      <c r="U108" s="11"/>
      <c r="V108" s="11"/>
      <c r="W108" s="11"/>
      <c r="X108" s="11"/>
      <c r="Y108" s="11"/>
      <c r="Z108" s="11"/>
    </row>
    <row r="109" spans="1:26" ht="15" hidden="1" x14ac:dyDescent="0.25">
      <c r="A109" s="93"/>
      <c r="B109" s="93"/>
      <c r="C109" s="93"/>
      <c r="D109" s="353"/>
      <c r="E109" s="11"/>
      <c r="F109" s="11"/>
      <c r="G109" s="353"/>
      <c r="H109" s="11"/>
      <c r="I109" s="11"/>
      <c r="J109" s="11"/>
      <c r="K109" s="11"/>
      <c r="L109" s="11"/>
      <c r="M109" s="11"/>
      <c r="N109" s="137">
        <f t="shared" ref="N109:N116" si="11">SUM(O109:Z109)</f>
        <v>0</v>
      </c>
      <c r="O109" s="11"/>
      <c r="P109" s="11"/>
      <c r="Q109" s="11"/>
      <c r="R109" s="11"/>
      <c r="S109" s="11"/>
      <c r="T109" s="11"/>
      <c r="U109" s="11"/>
      <c r="V109" s="11"/>
      <c r="W109" s="11"/>
      <c r="X109" s="11"/>
      <c r="Y109" s="11"/>
      <c r="Z109" s="11"/>
    </row>
    <row r="110" spans="1:26" ht="15" hidden="1" x14ac:dyDescent="0.25">
      <c r="A110" s="93"/>
      <c r="B110" s="93"/>
      <c r="C110" s="93"/>
      <c r="D110" s="353"/>
      <c r="E110" s="11"/>
      <c r="F110" s="11"/>
      <c r="G110" s="353"/>
      <c r="H110" s="11"/>
      <c r="I110" s="11"/>
      <c r="J110" s="11"/>
      <c r="K110" s="11"/>
      <c r="L110" s="11"/>
      <c r="M110" s="11"/>
      <c r="N110" s="137">
        <f t="shared" si="11"/>
        <v>0</v>
      </c>
      <c r="O110" s="11"/>
      <c r="P110" s="11"/>
      <c r="Q110" s="11"/>
      <c r="R110" s="11"/>
      <c r="S110" s="11"/>
      <c r="T110" s="11"/>
      <c r="U110" s="11"/>
      <c r="V110" s="11"/>
      <c r="W110" s="11"/>
      <c r="X110" s="11"/>
      <c r="Y110" s="11"/>
      <c r="Z110" s="11"/>
    </row>
    <row r="111" spans="1:26" ht="15" hidden="1" x14ac:dyDescent="0.25">
      <c r="A111" s="93"/>
      <c r="B111" s="93"/>
      <c r="C111" s="93"/>
      <c r="D111" s="353"/>
      <c r="E111" s="11"/>
      <c r="F111" s="11"/>
      <c r="G111" s="11"/>
      <c r="H111" s="11"/>
      <c r="I111" s="11"/>
      <c r="J111" s="11"/>
      <c r="K111" s="11"/>
      <c r="L111" s="11"/>
      <c r="M111" s="11"/>
      <c r="N111" s="137">
        <f t="shared" si="11"/>
        <v>0</v>
      </c>
      <c r="O111" s="11"/>
      <c r="P111" s="11"/>
      <c r="Q111" s="11"/>
      <c r="R111" s="11"/>
      <c r="S111" s="11"/>
      <c r="T111" s="11"/>
      <c r="U111" s="11"/>
      <c r="V111" s="11"/>
      <c r="W111" s="11"/>
      <c r="X111" s="11"/>
      <c r="Y111" s="11"/>
      <c r="Z111" s="11"/>
    </row>
    <row r="112" spans="1:26" ht="15" hidden="1" x14ac:dyDescent="0.25">
      <c r="A112" s="93"/>
      <c r="B112" s="93"/>
      <c r="C112" s="93"/>
      <c r="D112" s="353"/>
      <c r="E112" s="11"/>
      <c r="F112" s="11"/>
      <c r="G112" s="11"/>
      <c r="H112" s="11"/>
      <c r="I112" s="11"/>
      <c r="J112" s="11"/>
      <c r="K112" s="11"/>
      <c r="L112" s="11"/>
      <c r="M112" s="11"/>
      <c r="N112" s="137">
        <f>SUM(O112:Z112)</f>
        <v>0</v>
      </c>
      <c r="O112" s="11"/>
      <c r="P112" s="11"/>
      <c r="Q112" s="11"/>
      <c r="R112" s="11"/>
      <c r="S112" s="11"/>
      <c r="T112" s="11"/>
      <c r="U112" s="11"/>
      <c r="V112" s="11"/>
      <c r="W112" s="11"/>
      <c r="X112" s="11"/>
      <c r="Y112" s="11"/>
      <c r="Z112" s="11"/>
    </row>
    <row r="113" spans="1:26" ht="15" hidden="1" x14ac:dyDescent="0.25">
      <c r="A113" s="93"/>
      <c r="B113" s="93"/>
      <c r="C113" s="93"/>
      <c r="D113" s="353"/>
      <c r="E113" s="11"/>
      <c r="F113" s="11"/>
      <c r="G113" s="11"/>
      <c r="H113" s="11"/>
      <c r="I113" s="11"/>
      <c r="J113" s="11"/>
      <c r="K113" s="11"/>
      <c r="L113" s="11"/>
      <c r="M113" s="11"/>
      <c r="N113" s="137">
        <f t="shared" si="11"/>
        <v>0</v>
      </c>
      <c r="O113" s="11"/>
      <c r="P113" s="11"/>
      <c r="Q113" s="11"/>
      <c r="R113" s="11"/>
      <c r="S113" s="11"/>
      <c r="T113" s="11"/>
      <c r="U113" s="11"/>
      <c r="V113" s="11"/>
      <c r="W113" s="11"/>
      <c r="X113" s="11"/>
      <c r="Y113" s="11"/>
      <c r="Z113" s="11"/>
    </row>
    <row r="114" spans="1:26" ht="15" hidden="1" x14ac:dyDescent="0.25">
      <c r="A114" s="93"/>
      <c r="B114" s="93"/>
      <c r="C114" s="93"/>
      <c r="D114" s="353"/>
      <c r="E114" s="11"/>
      <c r="F114" s="11"/>
      <c r="G114" s="11"/>
      <c r="H114" s="11"/>
      <c r="I114" s="11"/>
      <c r="J114" s="11"/>
      <c r="K114" s="11"/>
      <c r="L114" s="11"/>
      <c r="M114" s="11"/>
      <c r="N114" s="137">
        <f t="shared" si="11"/>
        <v>0</v>
      </c>
      <c r="O114" s="11"/>
      <c r="P114" s="11"/>
      <c r="Q114" s="11"/>
      <c r="R114" s="11"/>
      <c r="S114" s="11"/>
      <c r="T114" s="11"/>
      <c r="U114" s="11"/>
      <c r="V114" s="11"/>
      <c r="W114" s="11"/>
      <c r="X114" s="11"/>
      <c r="Y114" s="11"/>
      <c r="Z114" s="11"/>
    </row>
    <row r="115" spans="1:26" ht="15" hidden="1" x14ac:dyDescent="0.25">
      <c r="A115" s="93"/>
      <c r="B115" s="93"/>
      <c r="C115" s="93"/>
      <c r="D115" s="353"/>
      <c r="E115" s="11"/>
      <c r="F115" s="11"/>
      <c r="G115" s="11"/>
      <c r="H115" s="11"/>
      <c r="I115" s="11"/>
      <c r="J115" s="11"/>
      <c r="K115" s="11"/>
      <c r="L115" s="11"/>
      <c r="M115" s="11"/>
      <c r="N115" s="137">
        <f t="shared" si="11"/>
        <v>0</v>
      </c>
      <c r="O115" s="11"/>
      <c r="P115" s="11"/>
      <c r="Q115" s="11"/>
      <c r="R115" s="11"/>
      <c r="S115" s="11"/>
      <c r="T115" s="11"/>
      <c r="U115" s="11"/>
      <c r="V115" s="11"/>
      <c r="W115" s="11"/>
      <c r="X115" s="11"/>
      <c r="Y115" s="11"/>
      <c r="Z115" s="11"/>
    </row>
    <row r="116" spans="1:26" ht="15" hidden="1" x14ac:dyDescent="0.25">
      <c r="A116" s="93"/>
      <c r="B116" s="93"/>
      <c r="C116" s="93"/>
      <c r="D116" s="353"/>
      <c r="E116" s="11"/>
      <c r="F116" s="11"/>
      <c r="G116" s="11"/>
      <c r="H116" s="11"/>
      <c r="I116" s="11"/>
      <c r="J116" s="11"/>
      <c r="K116" s="11"/>
      <c r="L116" s="11"/>
      <c r="M116" s="11"/>
      <c r="N116" s="137">
        <f t="shared" si="11"/>
        <v>0</v>
      </c>
      <c r="O116" s="11"/>
      <c r="P116" s="11"/>
      <c r="Q116" s="11"/>
      <c r="R116" s="11"/>
      <c r="S116" s="11"/>
      <c r="T116" s="11"/>
      <c r="U116" s="11"/>
      <c r="V116" s="11"/>
      <c r="W116" s="11"/>
      <c r="X116" s="11"/>
      <c r="Y116" s="11"/>
      <c r="Z116" s="11"/>
    </row>
    <row r="117" spans="1:26" ht="27.6" customHeight="1" x14ac:dyDescent="0.25">
      <c r="A117" s="93"/>
      <c r="B117" s="93"/>
      <c r="C117" s="93"/>
      <c r="D117" s="353"/>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s="35" customFormat="1" ht="22.5" customHeight="1" x14ac:dyDescent="0.25">
      <c r="A118" s="33"/>
      <c r="B118" s="34"/>
      <c r="C118" s="34"/>
      <c r="D118" s="34"/>
      <c r="E118" s="50"/>
      <c r="F118" s="50"/>
      <c r="G118" s="50"/>
      <c r="H118" s="50"/>
      <c r="I118" s="50"/>
      <c r="J118" s="51" t="s">
        <v>20</v>
      </c>
      <c r="K118" s="50"/>
      <c r="L118" s="32">
        <f>SUM(L117:L117)</f>
        <v>0</v>
      </c>
      <c r="M118" s="32">
        <f>SUM(M106:M117)</f>
        <v>2250</v>
      </c>
      <c r="N118" s="32">
        <f>SUM(N106:N117)</f>
        <v>100000</v>
      </c>
      <c r="O118" s="32">
        <f>SUM(O106:O117)</f>
        <v>0</v>
      </c>
      <c r="P118" s="32">
        <f t="shared" ref="P118:Z118" si="12">SUM(P106:P117)</f>
        <v>0</v>
      </c>
      <c r="Q118" s="32">
        <f t="shared" si="12"/>
        <v>0</v>
      </c>
      <c r="R118" s="32">
        <f t="shared" si="12"/>
        <v>20000</v>
      </c>
      <c r="S118" s="32">
        <f t="shared" si="12"/>
        <v>20000</v>
      </c>
      <c r="T118" s="32">
        <f t="shared" si="12"/>
        <v>20000</v>
      </c>
      <c r="U118" s="32">
        <f t="shared" si="12"/>
        <v>20000</v>
      </c>
      <c r="V118" s="32">
        <f t="shared" si="12"/>
        <v>20000</v>
      </c>
      <c r="W118" s="32">
        <f t="shared" si="12"/>
        <v>0</v>
      </c>
      <c r="X118" s="32">
        <f t="shared" si="12"/>
        <v>0</v>
      </c>
      <c r="Y118" s="32">
        <f t="shared" si="12"/>
        <v>0</v>
      </c>
      <c r="Z118" s="32">
        <f t="shared" si="12"/>
        <v>0</v>
      </c>
    </row>
    <row r="119" spans="1:26" ht="18" x14ac:dyDescent="0.25">
      <c r="A119" s="30" t="str">
        <f>CONCATENATE(B19," ",C19)</f>
        <v>Objective 3 Auditorías Contratistas y Auditorías Internas</v>
      </c>
      <c r="B119" s="30"/>
      <c r="C119" s="31"/>
      <c r="D119" s="31"/>
      <c r="E119" s="29"/>
      <c r="F119" s="29"/>
      <c r="G119" s="29"/>
      <c r="H119" s="29"/>
      <c r="I119" s="29"/>
      <c r="J119" s="29"/>
      <c r="K119" s="29"/>
      <c r="L119" s="29"/>
      <c r="M119" s="29"/>
      <c r="N119" s="29"/>
      <c r="O119" s="29" t="s">
        <v>5</v>
      </c>
      <c r="P119" s="29"/>
      <c r="Q119" s="29"/>
      <c r="R119" s="29"/>
      <c r="S119" s="29"/>
      <c r="T119" s="29"/>
      <c r="U119" s="29"/>
      <c r="V119" s="29"/>
      <c r="W119" s="29"/>
      <c r="X119" s="29"/>
      <c r="Y119" s="29"/>
      <c r="Z119" s="29"/>
    </row>
    <row r="120" spans="1:26" ht="60" x14ac:dyDescent="0.25">
      <c r="A120" s="92" t="s">
        <v>261</v>
      </c>
      <c r="B120" s="92" t="s">
        <v>13</v>
      </c>
      <c r="C120" s="92" t="s">
        <v>14</v>
      </c>
      <c r="D120" s="133" t="s">
        <v>286</v>
      </c>
      <c r="E120" s="32" t="s">
        <v>16</v>
      </c>
      <c r="F120" s="32" t="s">
        <v>295</v>
      </c>
      <c r="G120" s="32" t="s">
        <v>39</v>
      </c>
      <c r="H120" s="32" t="s">
        <v>297</v>
      </c>
      <c r="I120" s="32" t="s">
        <v>298</v>
      </c>
      <c r="J120" s="32" t="s">
        <v>299</v>
      </c>
      <c r="K120" s="32" t="s">
        <v>300</v>
      </c>
      <c r="L120" s="32" t="s">
        <v>17</v>
      </c>
      <c r="M120" s="32" t="s">
        <v>18</v>
      </c>
      <c r="N120" s="32" t="s">
        <v>19</v>
      </c>
      <c r="O120" s="66">
        <v>43101</v>
      </c>
      <c r="P120" s="66">
        <v>43132</v>
      </c>
      <c r="Q120" s="66">
        <v>43160</v>
      </c>
      <c r="R120" s="66">
        <v>43191</v>
      </c>
      <c r="S120" s="66">
        <v>43221</v>
      </c>
      <c r="T120" s="66">
        <v>43252</v>
      </c>
      <c r="U120" s="66">
        <v>43282</v>
      </c>
      <c r="V120" s="66">
        <v>43313</v>
      </c>
      <c r="W120" s="66">
        <v>43344</v>
      </c>
      <c r="X120" s="66">
        <v>43374</v>
      </c>
      <c r="Y120" s="66">
        <v>43405</v>
      </c>
      <c r="Z120" s="66">
        <v>43435</v>
      </c>
    </row>
    <row r="121" spans="1:26" ht="30" x14ac:dyDescent="0.25">
      <c r="A121" s="93" t="s">
        <v>2281</v>
      </c>
      <c r="B121" s="93">
        <v>3</v>
      </c>
      <c r="C121" s="93" t="s">
        <v>1372</v>
      </c>
      <c r="D121" s="353" t="s">
        <v>1360</v>
      </c>
      <c r="E121" s="11" t="s">
        <v>248</v>
      </c>
      <c r="F121" s="11" t="s">
        <v>288</v>
      </c>
      <c r="G121" s="11"/>
      <c r="H121" s="362"/>
      <c r="I121" s="362">
        <v>43101</v>
      </c>
      <c r="J121" s="362">
        <v>43120</v>
      </c>
      <c r="K121" s="362">
        <v>43141</v>
      </c>
      <c r="L121" s="11">
        <v>11</v>
      </c>
      <c r="M121" s="11">
        <f>3*5*4*8+3*1*5*8</f>
        <v>600</v>
      </c>
      <c r="N121" s="137">
        <f t="shared" ref="N121:N131" si="13">SUM(O121:Z121)</f>
        <v>44000</v>
      </c>
      <c r="O121" s="11"/>
      <c r="P121" s="11">
        <v>4000</v>
      </c>
      <c r="Q121" s="11">
        <v>4000</v>
      </c>
      <c r="R121" s="11">
        <v>4000</v>
      </c>
      <c r="S121" s="11">
        <v>4000</v>
      </c>
      <c r="T121" s="11">
        <v>4000</v>
      </c>
      <c r="U121" s="11">
        <v>4000</v>
      </c>
      <c r="V121" s="11">
        <v>4000</v>
      </c>
      <c r="W121" s="11">
        <v>4000</v>
      </c>
      <c r="X121" s="11">
        <v>4000</v>
      </c>
      <c r="Y121" s="11">
        <v>4000</v>
      </c>
      <c r="Z121" s="11">
        <v>4000</v>
      </c>
    </row>
    <row r="122" spans="1:26" ht="15" x14ac:dyDescent="0.25">
      <c r="A122" s="93"/>
      <c r="B122" s="93"/>
      <c r="C122" s="93"/>
      <c r="D122" s="353"/>
      <c r="E122" s="11"/>
      <c r="F122" s="11"/>
      <c r="G122" s="11"/>
      <c r="H122" s="11"/>
      <c r="I122" s="11"/>
      <c r="J122" s="11"/>
      <c r="K122" s="11"/>
      <c r="L122" s="11"/>
      <c r="M122" s="11"/>
      <c r="N122" s="137">
        <f t="shared" si="13"/>
        <v>0</v>
      </c>
      <c r="O122" s="11"/>
      <c r="P122" s="11"/>
      <c r="Q122" s="11"/>
      <c r="R122" s="11"/>
      <c r="S122" s="11"/>
      <c r="T122" s="11"/>
      <c r="U122" s="11"/>
      <c r="V122" s="11"/>
      <c r="W122" s="11"/>
      <c r="X122" s="11"/>
      <c r="Y122" s="11"/>
      <c r="Z122" s="11"/>
    </row>
    <row r="123" spans="1:26" ht="15" hidden="1" x14ac:dyDescent="0.25">
      <c r="A123" s="93"/>
      <c r="B123" s="93"/>
      <c r="C123" s="93"/>
      <c r="D123" s="353"/>
      <c r="E123" s="11"/>
      <c r="F123" s="11"/>
      <c r="G123" s="11"/>
      <c r="H123" s="11"/>
      <c r="I123" s="11"/>
      <c r="J123" s="11"/>
      <c r="K123" s="11"/>
      <c r="L123" s="11"/>
      <c r="M123" s="11"/>
      <c r="N123" s="137">
        <f t="shared" si="13"/>
        <v>0</v>
      </c>
      <c r="O123" s="11"/>
      <c r="P123" s="11"/>
      <c r="Q123" s="11"/>
      <c r="R123" s="11"/>
      <c r="S123" s="11"/>
      <c r="T123" s="11"/>
      <c r="U123" s="11"/>
      <c r="V123" s="11"/>
      <c r="W123" s="11"/>
      <c r="X123" s="11"/>
      <c r="Y123" s="11"/>
      <c r="Z123" s="11"/>
    </row>
    <row r="124" spans="1:26" ht="15" hidden="1" x14ac:dyDescent="0.25">
      <c r="A124" s="93"/>
      <c r="B124" s="93"/>
      <c r="C124" s="93"/>
      <c r="D124" s="353"/>
      <c r="E124" s="11"/>
      <c r="F124" s="11"/>
      <c r="G124" s="11"/>
      <c r="H124" s="11"/>
      <c r="I124" s="11"/>
      <c r="J124" s="11"/>
      <c r="K124" s="11"/>
      <c r="L124" s="11"/>
      <c r="M124" s="11"/>
      <c r="N124" s="137">
        <f t="shared" si="13"/>
        <v>0</v>
      </c>
      <c r="O124" s="11"/>
      <c r="P124" s="11"/>
      <c r="Q124" s="11"/>
      <c r="R124" s="11"/>
      <c r="S124" s="11"/>
      <c r="T124" s="11"/>
      <c r="U124" s="11"/>
      <c r="V124" s="11"/>
      <c r="W124" s="11"/>
      <c r="X124" s="11"/>
      <c r="Y124" s="11"/>
      <c r="Z124" s="11"/>
    </row>
    <row r="125" spans="1:26" ht="15" hidden="1" x14ac:dyDescent="0.25">
      <c r="A125" s="93"/>
      <c r="B125" s="93"/>
      <c r="C125" s="93"/>
      <c r="D125" s="353"/>
      <c r="E125" s="11"/>
      <c r="F125" s="11"/>
      <c r="G125" s="53"/>
      <c r="H125" s="11"/>
      <c r="I125" s="11"/>
      <c r="J125" s="11"/>
      <c r="K125" s="11"/>
      <c r="L125" s="11"/>
      <c r="M125" s="11"/>
      <c r="N125" s="137">
        <f t="shared" si="13"/>
        <v>0</v>
      </c>
      <c r="O125" s="11"/>
      <c r="P125" s="11"/>
      <c r="Q125" s="11"/>
      <c r="R125" s="11"/>
      <c r="S125" s="11"/>
      <c r="T125" s="11"/>
      <c r="U125" s="11"/>
      <c r="V125" s="11"/>
      <c r="W125" s="11"/>
      <c r="X125" s="11"/>
      <c r="Y125" s="11"/>
      <c r="Z125" s="11"/>
    </row>
    <row r="126" spans="1:26" ht="15" hidden="1" x14ac:dyDescent="0.25">
      <c r="A126" s="93"/>
      <c r="B126" s="93"/>
      <c r="C126" s="93"/>
      <c r="D126" s="353"/>
      <c r="E126" s="11"/>
      <c r="F126" s="11"/>
      <c r="G126" s="53"/>
      <c r="H126" s="11"/>
      <c r="I126" s="11"/>
      <c r="J126" s="11"/>
      <c r="K126" s="11"/>
      <c r="L126" s="11"/>
      <c r="M126" s="11"/>
      <c r="N126" s="137">
        <f t="shared" si="13"/>
        <v>0</v>
      </c>
      <c r="O126" s="11"/>
      <c r="P126" s="11"/>
      <c r="Q126" s="11"/>
      <c r="R126" s="11"/>
      <c r="S126" s="11"/>
      <c r="T126" s="11"/>
      <c r="U126" s="11"/>
      <c r="V126" s="11"/>
      <c r="W126" s="11"/>
      <c r="X126" s="11"/>
      <c r="Y126" s="11"/>
      <c r="Z126" s="11"/>
    </row>
    <row r="127" spans="1:26" ht="15" hidden="1" x14ac:dyDescent="0.25">
      <c r="A127" s="93"/>
      <c r="B127" s="93"/>
      <c r="C127" s="93"/>
      <c r="D127" s="353"/>
      <c r="E127" s="11"/>
      <c r="F127" s="11"/>
      <c r="G127" s="53"/>
      <c r="H127" s="11"/>
      <c r="I127" s="11"/>
      <c r="J127" s="11"/>
      <c r="K127" s="11"/>
      <c r="L127" s="11"/>
      <c r="M127" s="11"/>
      <c r="N127" s="137">
        <f t="shared" si="13"/>
        <v>0</v>
      </c>
      <c r="O127" s="11"/>
      <c r="P127" s="11"/>
      <c r="Q127" s="11"/>
      <c r="R127" s="11"/>
      <c r="S127" s="11"/>
      <c r="T127" s="11"/>
      <c r="U127" s="11"/>
      <c r="V127" s="11"/>
      <c r="W127" s="11"/>
      <c r="X127" s="11"/>
      <c r="Y127" s="11"/>
      <c r="Z127" s="11"/>
    </row>
    <row r="128" spans="1:26" ht="19.149999999999999" hidden="1" customHeight="1" x14ac:dyDescent="0.25">
      <c r="A128" s="93"/>
      <c r="B128" s="93"/>
      <c r="C128" s="93"/>
      <c r="D128" s="353"/>
      <c r="E128" s="11"/>
      <c r="F128" s="11"/>
      <c r="G128" s="53"/>
      <c r="H128" s="11"/>
      <c r="I128" s="11"/>
      <c r="J128" s="11"/>
      <c r="K128" s="11"/>
      <c r="L128" s="11"/>
      <c r="M128" s="11"/>
      <c r="N128" s="137">
        <f t="shared" si="13"/>
        <v>0</v>
      </c>
      <c r="O128" s="11"/>
      <c r="P128" s="11"/>
      <c r="Q128" s="11"/>
      <c r="R128" s="11"/>
      <c r="S128" s="11"/>
      <c r="T128" s="11"/>
      <c r="U128" s="11"/>
      <c r="V128" s="11"/>
      <c r="W128" s="11"/>
      <c r="X128" s="11"/>
      <c r="Y128" s="11"/>
      <c r="Z128" s="11"/>
    </row>
    <row r="129" spans="1:27" ht="15" hidden="1" x14ac:dyDescent="0.25">
      <c r="A129" s="93"/>
      <c r="B129" s="93"/>
      <c r="C129" s="93"/>
      <c r="D129" s="353"/>
      <c r="E129" s="11"/>
      <c r="F129" s="11"/>
      <c r="G129" s="53"/>
      <c r="H129" s="11"/>
      <c r="I129" s="11"/>
      <c r="J129" s="11"/>
      <c r="K129" s="11"/>
      <c r="L129" s="11"/>
      <c r="M129" s="11"/>
      <c r="N129" s="137">
        <f t="shared" si="13"/>
        <v>0</v>
      </c>
      <c r="O129" s="11"/>
      <c r="P129" s="11"/>
      <c r="Q129" s="11"/>
      <c r="R129" s="11"/>
      <c r="S129" s="11"/>
      <c r="T129" s="11"/>
      <c r="U129" s="11"/>
      <c r="V129" s="11"/>
      <c r="W129" s="11"/>
      <c r="X129" s="11"/>
      <c r="Y129" s="11"/>
      <c r="Z129" s="11"/>
    </row>
    <row r="130" spans="1:27" ht="15" hidden="1" x14ac:dyDescent="0.25">
      <c r="A130" s="93"/>
      <c r="B130" s="93"/>
      <c r="C130" s="93"/>
      <c r="D130" s="353"/>
      <c r="E130" s="11"/>
      <c r="F130" s="11"/>
      <c r="G130" s="53"/>
      <c r="H130" s="11"/>
      <c r="I130" s="11"/>
      <c r="J130" s="11"/>
      <c r="K130" s="11"/>
      <c r="L130" s="11"/>
      <c r="M130" s="11"/>
      <c r="N130" s="137">
        <f t="shared" si="13"/>
        <v>0</v>
      </c>
      <c r="O130" s="11"/>
      <c r="P130" s="11"/>
      <c r="Q130" s="11"/>
      <c r="R130" s="11"/>
      <c r="S130" s="11"/>
      <c r="T130" s="11"/>
      <c r="U130" s="11"/>
      <c r="V130" s="11"/>
      <c r="W130" s="11"/>
      <c r="X130" s="11"/>
      <c r="Y130" s="11"/>
      <c r="Z130" s="11"/>
    </row>
    <row r="131" spans="1:27" ht="15" hidden="1" x14ac:dyDescent="0.25">
      <c r="A131" s="93"/>
      <c r="B131" s="93"/>
      <c r="C131" s="93"/>
      <c r="D131" s="353"/>
      <c r="E131" s="11"/>
      <c r="F131" s="11"/>
      <c r="G131" s="53"/>
      <c r="H131" s="11"/>
      <c r="I131" s="11"/>
      <c r="J131" s="11"/>
      <c r="K131" s="11"/>
      <c r="L131" s="11"/>
      <c r="M131" s="11"/>
      <c r="N131" s="137">
        <f t="shared" si="13"/>
        <v>0</v>
      </c>
      <c r="O131" s="11"/>
      <c r="P131" s="11"/>
      <c r="Q131" s="11"/>
      <c r="R131" s="11"/>
      <c r="S131" s="11"/>
      <c r="T131" s="11"/>
      <c r="U131" s="11"/>
      <c r="V131" s="11"/>
      <c r="W131" s="11"/>
      <c r="X131" s="11"/>
      <c r="Y131" s="11"/>
      <c r="Z131" s="11"/>
    </row>
    <row r="132" spans="1:27" ht="15" hidden="1" x14ac:dyDescent="0.25">
      <c r="A132" s="93"/>
      <c r="B132" s="93"/>
      <c r="C132" s="93"/>
      <c r="D132" s="353"/>
      <c r="E132" s="11"/>
      <c r="F132" s="11"/>
      <c r="G132" s="53"/>
      <c r="H132" s="11"/>
      <c r="I132" s="11"/>
      <c r="J132" s="11"/>
      <c r="K132" s="11"/>
      <c r="L132" s="11"/>
      <c r="M132" s="11"/>
      <c r="N132" s="11"/>
      <c r="O132" s="11"/>
      <c r="P132" s="11"/>
      <c r="Q132" s="11"/>
      <c r="R132" s="11"/>
      <c r="S132" s="11"/>
      <c r="T132" s="11"/>
      <c r="U132" s="11"/>
      <c r="V132" s="11"/>
      <c r="W132" s="11"/>
      <c r="X132" s="11"/>
      <c r="Y132" s="11"/>
      <c r="Z132" s="11"/>
    </row>
    <row r="133" spans="1:27" ht="15" hidden="1" x14ac:dyDescent="0.25">
      <c r="A133" s="93"/>
      <c r="B133" s="93"/>
      <c r="C133" s="93"/>
      <c r="D133" s="353"/>
      <c r="E133" s="11"/>
      <c r="F133" s="11"/>
      <c r="G133" s="53"/>
      <c r="H133" s="11"/>
      <c r="I133" s="11"/>
      <c r="J133" s="11"/>
      <c r="K133" s="11"/>
      <c r="L133" s="11"/>
      <c r="M133" s="11"/>
      <c r="N133" s="11"/>
      <c r="O133" s="11"/>
      <c r="P133" s="11"/>
      <c r="Q133" s="11"/>
      <c r="R133" s="11"/>
      <c r="S133" s="11"/>
      <c r="T133" s="11"/>
      <c r="U133" s="11"/>
      <c r="V133" s="11"/>
      <c r="W133" s="11"/>
      <c r="X133" s="11"/>
      <c r="Y133" s="11"/>
      <c r="Z133" s="11"/>
    </row>
    <row r="134" spans="1:27" ht="20.25" x14ac:dyDescent="0.25">
      <c r="A134" s="93"/>
      <c r="B134" s="93"/>
      <c r="C134" s="93"/>
      <c r="D134" s="353"/>
      <c r="E134" s="11"/>
      <c r="F134" s="11"/>
      <c r="G134" s="45"/>
      <c r="H134" s="11"/>
      <c r="I134" s="11"/>
      <c r="J134" s="11"/>
      <c r="K134" s="68" t="s">
        <v>20</v>
      </c>
      <c r="L134" s="32">
        <f>SUM(L120:L124)</f>
        <v>11</v>
      </c>
      <c r="M134" s="32">
        <f>SUM(M121:M133)</f>
        <v>600</v>
      </c>
      <c r="N134" s="11">
        <f>SUM(N121:N133)</f>
        <v>44000</v>
      </c>
      <c r="O134" s="137">
        <f>SUM(O121:O133)</f>
        <v>0</v>
      </c>
      <c r="P134" s="137">
        <f>SUM(P121:P133)</f>
        <v>4000</v>
      </c>
      <c r="Q134" s="137">
        <f t="shared" ref="Q134:Z134" si="14">SUM(Q121:Q133)</f>
        <v>4000</v>
      </c>
      <c r="R134" s="137">
        <f t="shared" si="14"/>
        <v>4000</v>
      </c>
      <c r="S134" s="137">
        <f t="shared" si="14"/>
        <v>4000</v>
      </c>
      <c r="T134" s="137">
        <f t="shared" si="14"/>
        <v>4000</v>
      </c>
      <c r="U134" s="137">
        <f t="shared" si="14"/>
        <v>4000</v>
      </c>
      <c r="V134" s="137">
        <f t="shared" si="14"/>
        <v>4000</v>
      </c>
      <c r="W134" s="137">
        <f t="shared" si="14"/>
        <v>4000</v>
      </c>
      <c r="X134" s="137">
        <f t="shared" si="14"/>
        <v>4000</v>
      </c>
      <c r="Y134" s="137">
        <f t="shared" si="14"/>
        <v>4000</v>
      </c>
      <c r="Z134" s="137">
        <f t="shared" si="14"/>
        <v>4000</v>
      </c>
      <c r="AA134" s="35"/>
    </row>
    <row r="135" spans="1:27" ht="18" outlineLevel="1" x14ac:dyDescent="0.25">
      <c r="A135" s="30" t="str">
        <f>CONCATENATE(B20," ",C20)</f>
        <v>Objective 4 Desarrollo Contrato EPCM</v>
      </c>
      <c r="B135" s="30"/>
      <c r="C135" s="31"/>
      <c r="D135" s="31"/>
      <c r="E135" s="29"/>
      <c r="F135" s="29"/>
      <c r="G135" s="29"/>
      <c r="H135" s="29"/>
      <c r="I135" s="29"/>
      <c r="J135" s="29"/>
      <c r="K135" s="29"/>
      <c r="L135" s="29"/>
      <c r="M135" s="29"/>
      <c r="N135" s="29"/>
      <c r="O135" s="29" t="s">
        <v>5</v>
      </c>
      <c r="P135" s="29"/>
      <c r="Q135" s="29"/>
      <c r="R135" s="29"/>
      <c r="S135" s="29"/>
      <c r="T135" s="29"/>
      <c r="U135" s="29"/>
      <c r="V135" s="29"/>
      <c r="W135" s="29"/>
      <c r="X135" s="29"/>
      <c r="Y135" s="29"/>
      <c r="Z135" s="29"/>
    </row>
    <row r="136" spans="1:27" ht="41.45" customHeight="1" outlineLevel="1" x14ac:dyDescent="0.25">
      <c r="A136" s="92" t="s">
        <v>261</v>
      </c>
      <c r="B136" s="92" t="s">
        <v>13</v>
      </c>
      <c r="C136" s="92" t="s">
        <v>14</v>
      </c>
      <c r="D136" s="133" t="s">
        <v>286</v>
      </c>
      <c r="E136" s="32" t="s">
        <v>16</v>
      </c>
      <c r="F136" s="32" t="s">
        <v>295</v>
      </c>
      <c r="G136" s="32" t="s">
        <v>39</v>
      </c>
      <c r="H136" s="32" t="s">
        <v>297</v>
      </c>
      <c r="I136" s="32" t="s">
        <v>298</v>
      </c>
      <c r="J136" s="32" t="s">
        <v>299</v>
      </c>
      <c r="K136" s="32" t="s">
        <v>300</v>
      </c>
      <c r="L136" s="32" t="s">
        <v>17</v>
      </c>
      <c r="M136" s="32" t="s">
        <v>18</v>
      </c>
      <c r="N136" s="32" t="s">
        <v>19</v>
      </c>
      <c r="O136" s="66">
        <v>43101</v>
      </c>
      <c r="P136" s="66">
        <v>43132</v>
      </c>
      <c r="Q136" s="66">
        <v>43160</v>
      </c>
      <c r="R136" s="66">
        <v>43191</v>
      </c>
      <c r="S136" s="66">
        <v>43221</v>
      </c>
      <c r="T136" s="66">
        <v>43252</v>
      </c>
      <c r="U136" s="66">
        <v>43282</v>
      </c>
      <c r="V136" s="66">
        <v>43313</v>
      </c>
      <c r="W136" s="66">
        <v>43344</v>
      </c>
      <c r="X136" s="66">
        <v>43374</v>
      </c>
      <c r="Y136" s="66">
        <v>43405</v>
      </c>
      <c r="Z136" s="66">
        <v>43435</v>
      </c>
    </row>
    <row r="137" spans="1:27" ht="15" customHeight="1" outlineLevel="1" x14ac:dyDescent="0.25">
      <c r="A137" s="93" t="s">
        <v>2282</v>
      </c>
      <c r="B137" s="93">
        <v>4</v>
      </c>
      <c r="C137" s="93" t="s">
        <v>1373</v>
      </c>
      <c r="D137" s="353" t="s">
        <v>1362</v>
      </c>
      <c r="E137" s="11" t="s">
        <v>248</v>
      </c>
      <c r="F137" s="11" t="s">
        <v>288</v>
      </c>
      <c r="G137" s="11"/>
      <c r="H137" s="362"/>
      <c r="I137" s="362">
        <v>43160</v>
      </c>
      <c r="J137" s="362">
        <v>43235</v>
      </c>
      <c r="K137" s="362">
        <v>43252</v>
      </c>
      <c r="L137" s="11">
        <v>4</v>
      </c>
      <c r="M137" s="11">
        <f>3*180*4</f>
        <v>2160</v>
      </c>
      <c r="N137" s="11">
        <f t="shared" ref="N137:N140" si="15">SUM(O137:Z137)</f>
        <v>115000</v>
      </c>
      <c r="O137" s="11"/>
      <c r="P137" s="11"/>
      <c r="Q137" s="11"/>
      <c r="R137" s="11"/>
      <c r="S137" s="11"/>
      <c r="T137" s="11">
        <v>35000</v>
      </c>
      <c r="U137" s="11">
        <v>35000</v>
      </c>
      <c r="V137" s="11">
        <v>35000</v>
      </c>
      <c r="W137" s="11">
        <v>10000</v>
      </c>
      <c r="X137" s="11"/>
      <c r="Y137" s="11"/>
      <c r="Z137" s="11"/>
    </row>
    <row r="138" spans="1:27" ht="15" customHeight="1" outlineLevel="1" x14ac:dyDescent="0.25">
      <c r="A138" s="93"/>
      <c r="B138" s="93"/>
      <c r="C138" s="93"/>
      <c r="D138" s="353"/>
      <c r="E138" s="11"/>
      <c r="F138" s="11"/>
      <c r="G138" s="11"/>
      <c r="H138" s="11"/>
      <c r="I138" s="11"/>
      <c r="J138" s="11"/>
      <c r="K138" s="11"/>
      <c r="L138" s="11"/>
      <c r="M138" s="11"/>
      <c r="N138" s="11">
        <f t="shared" si="15"/>
        <v>0</v>
      </c>
      <c r="O138" s="11"/>
      <c r="P138" s="11"/>
      <c r="Q138" s="11"/>
      <c r="R138" s="11"/>
      <c r="S138" s="11"/>
      <c r="T138" s="11"/>
      <c r="U138" s="11"/>
      <c r="V138" s="11"/>
      <c r="W138" s="11"/>
      <c r="X138" s="11"/>
      <c r="Y138" s="11"/>
      <c r="Z138" s="11"/>
    </row>
    <row r="139" spans="1:27" ht="15" hidden="1" customHeight="1" outlineLevel="1" x14ac:dyDescent="0.25">
      <c r="A139" s="93"/>
      <c r="B139" s="93"/>
      <c r="C139" s="93"/>
      <c r="D139" s="353"/>
      <c r="E139" s="11"/>
      <c r="F139" s="11"/>
      <c r="G139" s="11"/>
      <c r="H139" s="11"/>
      <c r="I139" s="11"/>
      <c r="J139" s="11"/>
      <c r="K139" s="11"/>
      <c r="L139" s="11"/>
      <c r="M139" s="11"/>
      <c r="N139" s="11">
        <f t="shared" si="15"/>
        <v>0</v>
      </c>
      <c r="O139" s="11"/>
      <c r="P139" s="11"/>
      <c r="Q139" s="11"/>
      <c r="R139" s="11"/>
      <c r="S139" s="11"/>
      <c r="T139" s="11"/>
      <c r="U139" s="11"/>
      <c r="V139" s="11"/>
      <c r="W139" s="11"/>
      <c r="X139" s="11"/>
      <c r="Y139" s="11"/>
      <c r="Z139" s="11"/>
    </row>
    <row r="140" spans="1:27" ht="15" hidden="1" customHeight="1" outlineLevel="1" x14ac:dyDescent="0.25">
      <c r="A140" s="93"/>
      <c r="B140" s="93"/>
      <c r="C140" s="93"/>
      <c r="D140" s="353"/>
      <c r="E140" s="11"/>
      <c r="F140" s="11"/>
      <c r="G140" s="11"/>
      <c r="H140" s="11"/>
      <c r="I140" s="11"/>
      <c r="J140" s="11"/>
      <c r="K140" s="11"/>
      <c r="L140" s="11"/>
      <c r="M140" s="11"/>
      <c r="N140" s="11">
        <f t="shared" si="15"/>
        <v>0</v>
      </c>
      <c r="O140" s="11"/>
      <c r="P140" s="11"/>
      <c r="Q140" s="11"/>
      <c r="R140" s="11"/>
      <c r="S140" s="11"/>
      <c r="T140" s="11"/>
      <c r="U140" s="11"/>
      <c r="V140" s="11"/>
      <c r="W140" s="11"/>
      <c r="X140" s="11"/>
      <c r="Y140" s="11"/>
      <c r="Z140" s="11"/>
    </row>
    <row r="141" spans="1:27" ht="21" customHeight="1" outlineLevel="1" x14ac:dyDescent="0.25">
      <c r="A141" s="93"/>
      <c r="B141" s="93"/>
      <c r="C141" s="93"/>
      <c r="D141" s="353"/>
      <c r="E141" s="11"/>
      <c r="F141" s="11"/>
      <c r="G141" s="45"/>
      <c r="H141" s="11"/>
      <c r="I141" s="11"/>
      <c r="J141" s="11"/>
      <c r="K141" s="68" t="s">
        <v>20</v>
      </c>
      <c r="L141" s="32">
        <f>SUM(L136:L140)</f>
        <v>4</v>
      </c>
      <c r="M141" s="32">
        <f>SUM(M137:M140)</f>
        <v>2160</v>
      </c>
      <c r="N141" s="11">
        <f>SUM(N137:N140)</f>
        <v>115000</v>
      </c>
      <c r="O141" s="11">
        <f t="shared" ref="O141:Z141" si="16">SUM(O137:O140)</f>
        <v>0</v>
      </c>
      <c r="P141" s="11">
        <f t="shared" si="16"/>
        <v>0</v>
      </c>
      <c r="Q141" s="11">
        <f t="shared" si="16"/>
        <v>0</v>
      </c>
      <c r="R141" s="11">
        <f t="shared" si="16"/>
        <v>0</v>
      </c>
      <c r="S141" s="11">
        <f t="shared" si="16"/>
        <v>0</v>
      </c>
      <c r="T141" s="11">
        <f t="shared" si="16"/>
        <v>35000</v>
      </c>
      <c r="U141" s="11">
        <f t="shared" si="16"/>
        <v>35000</v>
      </c>
      <c r="V141" s="11">
        <f t="shared" si="16"/>
        <v>35000</v>
      </c>
      <c r="W141" s="11">
        <f t="shared" si="16"/>
        <v>10000</v>
      </c>
      <c r="X141" s="11">
        <f t="shared" si="16"/>
        <v>0</v>
      </c>
      <c r="Y141" s="11">
        <f t="shared" si="16"/>
        <v>0</v>
      </c>
      <c r="Z141" s="11">
        <f t="shared" si="16"/>
        <v>0</v>
      </c>
      <c r="AA141" s="35"/>
    </row>
    <row r="142" spans="1:27" ht="18" outlineLevel="1" x14ac:dyDescent="0.25">
      <c r="A142" s="30" t="str">
        <f>CONCATENATE(B21," ",C21)</f>
        <v>Objective 5 Portal de Proveedores (EDP, Licitaciones, Otros)</v>
      </c>
      <c r="B142" s="30"/>
      <c r="C142" s="31"/>
      <c r="D142" s="31"/>
      <c r="E142" s="29"/>
      <c r="F142" s="29"/>
      <c r="G142" s="29"/>
      <c r="H142" s="29"/>
      <c r="I142" s="29"/>
      <c r="J142" s="29"/>
      <c r="K142" s="29"/>
      <c r="L142" s="29"/>
      <c r="M142" s="29"/>
      <c r="N142" s="29"/>
      <c r="O142" s="29" t="s">
        <v>5</v>
      </c>
      <c r="P142" s="29"/>
      <c r="Q142" s="29"/>
      <c r="R142" s="29"/>
      <c r="S142" s="29"/>
      <c r="T142" s="29"/>
      <c r="U142" s="29"/>
      <c r="V142" s="29"/>
      <c r="W142" s="29"/>
      <c r="X142" s="29"/>
      <c r="Y142" s="29"/>
      <c r="Z142" s="29"/>
    </row>
    <row r="143" spans="1:27" ht="41.45" customHeight="1" outlineLevel="1" x14ac:dyDescent="0.25">
      <c r="A143" s="92" t="s">
        <v>261</v>
      </c>
      <c r="B143" s="92" t="s">
        <v>13</v>
      </c>
      <c r="C143" s="92" t="s">
        <v>14</v>
      </c>
      <c r="D143" s="133" t="s">
        <v>286</v>
      </c>
      <c r="E143" s="32" t="s">
        <v>16</v>
      </c>
      <c r="F143" s="32" t="s">
        <v>295</v>
      </c>
      <c r="G143" s="32" t="s">
        <v>39</v>
      </c>
      <c r="H143" s="32" t="s">
        <v>297</v>
      </c>
      <c r="I143" s="32" t="s">
        <v>298</v>
      </c>
      <c r="J143" s="32" t="s">
        <v>299</v>
      </c>
      <c r="K143" s="32" t="s">
        <v>300</v>
      </c>
      <c r="L143" s="32" t="s">
        <v>17</v>
      </c>
      <c r="M143" s="32" t="s">
        <v>18</v>
      </c>
      <c r="N143" s="32" t="s">
        <v>19</v>
      </c>
      <c r="O143" s="66">
        <v>43101</v>
      </c>
      <c r="P143" s="66">
        <v>43132</v>
      </c>
      <c r="Q143" s="66">
        <v>43160</v>
      </c>
      <c r="R143" s="66">
        <v>43191</v>
      </c>
      <c r="S143" s="66">
        <v>43221</v>
      </c>
      <c r="T143" s="66">
        <v>43252</v>
      </c>
      <c r="U143" s="66">
        <v>43282</v>
      </c>
      <c r="V143" s="66">
        <v>43313</v>
      </c>
      <c r="W143" s="66">
        <v>43344</v>
      </c>
      <c r="X143" s="66">
        <v>43374</v>
      </c>
      <c r="Y143" s="66">
        <v>43405</v>
      </c>
      <c r="Z143" s="66">
        <v>43435</v>
      </c>
    </row>
    <row r="144" spans="1:27" ht="24.75" customHeight="1" outlineLevel="1" x14ac:dyDescent="0.25">
      <c r="A144" s="93" t="s">
        <v>2283</v>
      </c>
      <c r="B144" s="93">
        <v>5</v>
      </c>
      <c r="C144" s="93" t="s">
        <v>1374</v>
      </c>
      <c r="D144" s="353" t="s">
        <v>1364</v>
      </c>
      <c r="E144" s="11" t="s">
        <v>248</v>
      </c>
      <c r="F144" s="11" t="s">
        <v>293</v>
      </c>
      <c r="G144" s="11" t="s">
        <v>1375</v>
      </c>
      <c r="H144" s="362"/>
      <c r="I144" s="362"/>
      <c r="J144" s="362"/>
      <c r="K144" s="362"/>
      <c r="L144" s="11">
        <v>4</v>
      </c>
      <c r="M144" s="11">
        <f>4*4*180</f>
        <v>2880</v>
      </c>
      <c r="N144" s="11">
        <f t="shared" ref="N144:N147" si="17">SUM(O144:Z144)</f>
        <v>60000</v>
      </c>
      <c r="O144" s="11"/>
      <c r="P144" s="11"/>
      <c r="Q144" s="11"/>
      <c r="R144" s="11"/>
      <c r="S144" s="11">
        <v>15000</v>
      </c>
      <c r="T144" s="11">
        <v>15000</v>
      </c>
      <c r="U144" s="11">
        <v>15000</v>
      </c>
      <c r="V144" s="11">
        <v>15000</v>
      </c>
      <c r="W144" s="11"/>
      <c r="X144" s="11"/>
      <c r="Y144" s="11"/>
      <c r="Z144" s="11"/>
    </row>
    <row r="145" spans="1:27" ht="15" customHeight="1" outlineLevel="1" x14ac:dyDescent="0.25">
      <c r="A145" s="93"/>
      <c r="B145" s="93"/>
      <c r="C145" s="93"/>
      <c r="D145" s="353"/>
      <c r="E145" s="11"/>
      <c r="F145" s="11"/>
      <c r="G145" s="11"/>
      <c r="H145" s="11"/>
      <c r="I145" s="11"/>
      <c r="J145" s="11"/>
      <c r="K145" s="11"/>
      <c r="L145" s="11"/>
      <c r="M145" s="11"/>
      <c r="N145" s="11">
        <f t="shared" si="17"/>
        <v>0</v>
      </c>
      <c r="O145" s="11"/>
      <c r="P145" s="11"/>
      <c r="Q145" s="11"/>
      <c r="R145" s="11"/>
      <c r="S145" s="11"/>
      <c r="T145" s="11"/>
      <c r="U145" s="11"/>
      <c r="V145" s="11"/>
      <c r="W145" s="11"/>
      <c r="X145" s="11"/>
      <c r="Y145" s="11"/>
      <c r="Z145" s="11"/>
    </row>
    <row r="146" spans="1:27" ht="15" hidden="1" customHeight="1" outlineLevel="1" x14ac:dyDescent="0.25">
      <c r="A146" s="93"/>
      <c r="B146" s="93"/>
      <c r="C146" s="93"/>
      <c r="D146" s="353"/>
      <c r="E146" s="11"/>
      <c r="F146" s="11"/>
      <c r="G146" s="11"/>
      <c r="H146" s="11"/>
      <c r="I146" s="11"/>
      <c r="J146" s="11"/>
      <c r="K146" s="11"/>
      <c r="L146" s="11"/>
      <c r="M146" s="11"/>
      <c r="N146" s="11">
        <f t="shared" si="17"/>
        <v>0</v>
      </c>
      <c r="O146" s="11"/>
      <c r="P146" s="11"/>
      <c r="Q146" s="11"/>
      <c r="R146" s="11"/>
      <c r="S146" s="11"/>
      <c r="T146" s="11"/>
      <c r="U146" s="11"/>
      <c r="V146" s="11"/>
      <c r="W146" s="11"/>
      <c r="X146" s="11"/>
      <c r="Y146" s="11"/>
      <c r="Z146" s="11"/>
    </row>
    <row r="147" spans="1:27" ht="15" hidden="1" customHeight="1" outlineLevel="1" x14ac:dyDescent="0.25">
      <c r="A147" s="93"/>
      <c r="B147" s="93"/>
      <c r="C147" s="93"/>
      <c r="D147" s="353"/>
      <c r="E147" s="11"/>
      <c r="F147" s="11"/>
      <c r="G147" s="11"/>
      <c r="H147" s="11"/>
      <c r="I147" s="11"/>
      <c r="J147" s="11"/>
      <c r="K147" s="11"/>
      <c r="L147" s="11"/>
      <c r="M147" s="11"/>
      <c r="N147" s="11">
        <f t="shared" si="17"/>
        <v>0</v>
      </c>
      <c r="O147" s="11"/>
      <c r="P147" s="11"/>
      <c r="Q147" s="11"/>
      <c r="R147" s="11"/>
      <c r="S147" s="11"/>
      <c r="T147" s="11"/>
      <c r="U147" s="11"/>
      <c r="V147" s="11"/>
      <c r="W147" s="11"/>
      <c r="X147" s="11"/>
      <c r="Y147" s="11"/>
      <c r="Z147" s="11"/>
    </row>
    <row r="148" spans="1:27" ht="21" customHeight="1" outlineLevel="1" x14ac:dyDescent="0.25">
      <c r="A148" s="93"/>
      <c r="B148" s="93"/>
      <c r="C148" s="93"/>
      <c r="D148" s="353"/>
      <c r="E148" s="11"/>
      <c r="F148" s="11"/>
      <c r="G148" s="45"/>
      <c r="H148" s="11"/>
      <c r="I148" s="11"/>
      <c r="J148" s="11"/>
      <c r="K148" s="68" t="s">
        <v>20</v>
      </c>
      <c r="L148" s="32">
        <f>SUM(L143:L147)</f>
        <v>4</v>
      </c>
      <c r="M148" s="32">
        <f>SUM(M143:M147)</f>
        <v>2880</v>
      </c>
      <c r="N148" s="11">
        <f>SUM(N144:N147)</f>
        <v>60000</v>
      </c>
      <c r="O148" s="11">
        <f t="shared" ref="O148:Z148" si="18">SUM(O144:O147)</f>
        <v>0</v>
      </c>
      <c r="P148" s="11">
        <f t="shared" si="18"/>
        <v>0</v>
      </c>
      <c r="Q148" s="11">
        <f t="shared" si="18"/>
        <v>0</v>
      </c>
      <c r="R148" s="11">
        <f t="shared" si="18"/>
        <v>0</v>
      </c>
      <c r="S148" s="11">
        <f t="shared" si="18"/>
        <v>15000</v>
      </c>
      <c r="T148" s="11">
        <f t="shared" si="18"/>
        <v>15000</v>
      </c>
      <c r="U148" s="11">
        <f t="shared" si="18"/>
        <v>15000</v>
      </c>
      <c r="V148" s="11">
        <f t="shared" si="18"/>
        <v>15000</v>
      </c>
      <c r="W148" s="11">
        <f t="shared" si="18"/>
        <v>0</v>
      </c>
      <c r="X148" s="11">
        <f t="shared" si="18"/>
        <v>0</v>
      </c>
      <c r="Y148" s="11">
        <f t="shared" si="18"/>
        <v>0</v>
      </c>
      <c r="Z148" s="11">
        <f t="shared" si="18"/>
        <v>0</v>
      </c>
      <c r="AA148" s="35"/>
    </row>
    <row r="149" spans="1:27" ht="18" outlineLevel="1" x14ac:dyDescent="0.25">
      <c r="A149" s="30" t="str">
        <f>CONCATENATE(B22," ",C22)</f>
        <v>Objective 6 Reportabilidad Contratos en línea (medición de desempeño)</v>
      </c>
      <c r="B149" s="30"/>
      <c r="C149" s="31"/>
      <c r="D149" s="31"/>
      <c r="E149" s="29"/>
      <c r="F149" s="29"/>
      <c r="G149" s="29"/>
      <c r="H149" s="29"/>
      <c r="I149" s="29"/>
      <c r="J149" s="29"/>
      <c r="K149" s="29"/>
      <c r="L149" s="29"/>
      <c r="M149" s="29"/>
      <c r="N149" s="29"/>
      <c r="O149" s="29" t="s">
        <v>5</v>
      </c>
      <c r="P149" s="29"/>
      <c r="Q149" s="29"/>
      <c r="R149" s="29"/>
      <c r="S149" s="29"/>
      <c r="T149" s="29"/>
      <c r="U149" s="29"/>
      <c r="V149" s="29"/>
      <c r="W149" s="29"/>
      <c r="X149" s="29"/>
      <c r="Y149" s="29"/>
      <c r="Z149" s="29"/>
    </row>
    <row r="150" spans="1:27" ht="41.25" customHeight="1" outlineLevel="1" x14ac:dyDescent="0.25">
      <c r="A150" s="92" t="s">
        <v>261</v>
      </c>
      <c r="B150" s="92" t="s">
        <v>13</v>
      </c>
      <c r="C150" s="92" t="s">
        <v>14</v>
      </c>
      <c r="D150" s="133" t="s">
        <v>286</v>
      </c>
      <c r="E150" s="32" t="s">
        <v>16</v>
      </c>
      <c r="F150" s="32" t="s">
        <v>295</v>
      </c>
      <c r="G150" s="32" t="s">
        <v>39</v>
      </c>
      <c r="H150" s="32" t="s">
        <v>297</v>
      </c>
      <c r="I150" s="32" t="s">
        <v>298</v>
      </c>
      <c r="J150" s="32" t="s">
        <v>299</v>
      </c>
      <c r="K150" s="32" t="s">
        <v>300</v>
      </c>
      <c r="L150" s="32" t="s">
        <v>17</v>
      </c>
      <c r="M150" s="32" t="s">
        <v>18</v>
      </c>
      <c r="N150" s="32" t="s">
        <v>19</v>
      </c>
      <c r="O150" s="66">
        <v>43101</v>
      </c>
      <c r="P150" s="66">
        <v>43132</v>
      </c>
      <c r="Q150" s="66">
        <v>43160</v>
      </c>
      <c r="R150" s="66">
        <v>43191</v>
      </c>
      <c r="S150" s="66">
        <v>43221</v>
      </c>
      <c r="T150" s="66">
        <v>43252</v>
      </c>
      <c r="U150" s="66">
        <v>43282</v>
      </c>
      <c r="V150" s="66">
        <v>43313</v>
      </c>
      <c r="W150" s="66">
        <v>43344</v>
      </c>
      <c r="X150" s="66">
        <v>43374</v>
      </c>
      <c r="Y150" s="66">
        <v>43405</v>
      </c>
      <c r="Z150" s="66">
        <v>43435</v>
      </c>
    </row>
    <row r="151" spans="1:27" ht="26.25" customHeight="1" outlineLevel="1" x14ac:dyDescent="0.25">
      <c r="A151" s="93" t="s">
        <v>2285</v>
      </c>
      <c r="B151" s="93">
        <v>6</v>
      </c>
      <c r="C151" s="93" t="s">
        <v>1374</v>
      </c>
      <c r="D151" s="353" t="s">
        <v>1366</v>
      </c>
      <c r="E151" s="11" t="s">
        <v>248</v>
      </c>
      <c r="F151" s="11" t="s">
        <v>291</v>
      </c>
      <c r="G151" s="11" t="s">
        <v>1376</v>
      </c>
      <c r="H151" s="362"/>
      <c r="I151" s="362"/>
      <c r="J151" s="362"/>
      <c r="K151" s="362"/>
      <c r="L151" s="11">
        <v>4</v>
      </c>
      <c r="M151" s="11">
        <f>2*4*180</f>
        <v>1440</v>
      </c>
      <c r="N151" s="11">
        <f t="shared" ref="N151:N154" si="19">SUM(O151:Z151)</f>
        <v>40000</v>
      </c>
      <c r="O151" s="11">
        <v>10000</v>
      </c>
      <c r="P151" s="11">
        <v>10000</v>
      </c>
      <c r="Q151" s="11">
        <v>10000</v>
      </c>
      <c r="R151" s="11">
        <v>10000</v>
      </c>
      <c r="S151" s="11"/>
      <c r="T151" s="11"/>
      <c r="U151" s="11"/>
      <c r="V151" s="11"/>
      <c r="W151" s="11"/>
      <c r="X151" s="11"/>
      <c r="Y151" s="11"/>
      <c r="Z151" s="11"/>
    </row>
    <row r="152" spans="1:27" ht="15" customHeight="1" outlineLevel="1" x14ac:dyDescent="0.25">
      <c r="A152" s="93"/>
      <c r="B152" s="93"/>
      <c r="C152" s="93"/>
      <c r="D152" s="353"/>
      <c r="E152" s="11"/>
      <c r="F152" s="11"/>
      <c r="G152" s="11"/>
      <c r="H152" s="11"/>
      <c r="I152" s="11"/>
      <c r="J152" s="11"/>
      <c r="K152" s="11"/>
      <c r="L152" s="11"/>
      <c r="M152" s="11"/>
      <c r="N152" s="11">
        <f t="shared" si="19"/>
        <v>0</v>
      </c>
      <c r="O152" s="11"/>
      <c r="P152" s="11"/>
      <c r="Q152" s="11"/>
      <c r="R152" s="11"/>
      <c r="S152" s="11"/>
      <c r="T152" s="11"/>
      <c r="U152" s="11"/>
      <c r="V152" s="11"/>
      <c r="W152" s="11"/>
      <c r="X152" s="11"/>
      <c r="Y152" s="11"/>
      <c r="Z152" s="11"/>
    </row>
    <row r="153" spans="1:27" ht="15" hidden="1" customHeight="1" outlineLevel="1" x14ac:dyDescent="0.25">
      <c r="A153" s="93"/>
      <c r="B153" s="93"/>
      <c r="C153" s="93"/>
      <c r="D153" s="353"/>
      <c r="E153" s="11"/>
      <c r="F153" s="11"/>
      <c r="G153" s="11"/>
      <c r="H153" s="11"/>
      <c r="I153" s="11"/>
      <c r="J153" s="11"/>
      <c r="K153" s="11"/>
      <c r="L153" s="11"/>
      <c r="M153" s="11"/>
      <c r="N153" s="11">
        <f t="shared" si="19"/>
        <v>0</v>
      </c>
      <c r="O153" s="11"/>
      <c r="P153" s="11"/>
      <c r="Q153" s="11"/>
      <c r="R153" s="11"/>
      <c r="S153" s="11"/>
      <c r="T153" s="11"/>
      <c r="U153" s="11"/>
      <c r="V153" s="11"/>
      <c r="W153" s="11"/>
      <c r="X153" s="11"/>
      <c r="Y153" s="11"/>
      <c r="Z153" s="11"/>
    </row>
    <row r="154" spans="1:27" ht="15" hidden="1" customHeight="1" outlineLevel="1" x14ac:dyDescent="0.25">
      <c r="A154" s="93"/>
      <c r="B154" s="93"/>
      <c r="C154" s="93"/>
      <c r="D154" s="353"/>
      <c r="E154" s="11"/>
      <c r="F154" s="11"/>
      <c r="G154" s="11"/>
      <c r="H154" s="11"/>
      <c r="I154" s="11"/>
      <c r="J154" s="11"/>
      <c r="K154" s="11"/>
      <c r="L154" s="11"/>
      <c r="M154" s="11"/>
      <c r="N154" s="11">
        <f t="shared" si="19"/>
        <v>0</v>
      </c>
      <c r="O154" s="11"/>
      <c r="P154" s="11"/>
      <c r="Q154" s="11"/>
      <c r="R154" s="11"/>
      <c r="S154" s="11"/>
      <c r="T154" s="11"/>
      <c r="U154" s="11"/>
      <c r="V154" s="11"/>
      <c r="W154" s="11"/>
      <c r="X154" s="11"/>
      <c r="Y154" s="11"/>
      <c r="Z154" s="11"/>
    </row>
    <row r="155" spans="1:27" ht="21" customHeight="1" outlineLevel="1" x14ac:dyDescent="0.25">
      <c r="A155" s="93"/>
      <c r="B155" s="93"/>
      <c r="C155" s="93"/>
      <c r="D155" s="353"/>
      <c r="E155" s="11"/>
      <c r="F155" s="11"/>
      <c r="G155" s="45"/>
      <c r="H155" s="11"/>
      <c r="I155" s="11"/>
      <c r="J155" s="11"/>
      <c r="K155" s="68" t="s">
        <v>20</v>
      </c>
      <c r="L155" s="32">
        <f>SUM(L150:L154)</f>
        <v>4</v>
      </c>
      <c r="M155" s="32">
        <f>SUM(M150:M154)</f>
        <v>1440</v>
      </c>
      <c r="N155" s="11">
        <f>SUM(N151:N154)</f>
        <v>40000</v>
      </c>
      <c r="O155" s="11">
        <f t="shared" ref="O155:Z155" si="20">SUM(O151:O154)</f>
        <v>10000</v>
      </c>
      <c r="P155" s="11">
        <f t="shared" si="20"/>
        <v>10000</v>
      </c>
      <c r="Q155" s="11">
        <f t="shared" si="20"/>
        <v>10000</v>
      </c>
      <c r="R155" s="11">
        <f t="shared" si="20"/>
        <v>10000</v>
      </c>
      <c r="S155" s="11">
        <f t="shared" si="20"/>
        <v>0</v>
      </c>
      <c r="T155" s="11">
        <f t="shared" si="20"/>
        <v>0</v>
      </c>
      <c r="U155" s="11">
        <f t="shared" si="20"/>
        <v>0</v>
      </c>
      <c r="V155" s="11">
        <f t="shared" si="20"/>
        <v>0</v>
      </c>
      <c r="W155" s="11">
        <f t="shared" si="20"/>
        <v>0</v>
      </c>
      <c r="X155" s="11">
        <f t="shared" si="20"/>
        <v>0</v>
      </c>
      <c r="Y155" s="11">
        <f t="shared" si="20"/>
        <v>0</v>
      </c>
      <c r="Z155" s="11">
        <f t="shared" si="20"/>
        <v>0</v>
      </c>
      <c r="AA155" s="35"/>
    </row>
    <row r="156" spans="1:27" ht="18" outlineLevel="1" x14ac:dyDescent="0.25">
      <c r="A156" s="30" t="str">
        <f>CONCATENATE(B23," ",C23)</f>
        <v>Objective 7 Gestion de Proveedores y Contratistas Locales (capacitación)</v>
      </c>
      <c r="B156" s="30"/>
      <c r="C156" s="31"/>
      <c r="D156" s="31"/>
      <c r="E156" s="29"/>
      <c r="F156" s="29"/>
      <c r="G156" s="29"/>
      <c r="H156" s="29"/>
      <c r="I156" s="29"/>
      <c r="J156" s="29"/>
      <c r="K156" s="29"/>
      <c r="L156" s="29"/>
      <c r="M156" s="29"/>
      <c r="N156" s="29"/>
      <c r="O156" s="29" t="s">
        <v>5</v>
      </c>
      <c r="P156" s="29"/>
      <c r="Q156" s="29"/>
      <c r="R156" s="29"/>
      <c r="S156" s="29"/>
      <c r="T156" s="29"/>
      <c r="U156" s="29"/>
      <c r="V156" s="29"/>
      <c r="W156" s="29"/>
      <c r="X156" s="29"/>
      <c r="Y156" s="29"/>
      <c r="Z156" s="29"/>
    </row>
    <row r="157" spans="1:27" ht="41.45" customHeight="1" outlineLevel="1" x14ac:dyDescent="0.25">
      <c r="A157" s="92" t="s">
        <v>261</v>
      </c>
      <c r="B157" s="92" t="s">
        <v>13</v>
      </c>
      <c r="C157" s="92" t="s">
        <v>14</v>
      </c>
      <c r="D157" s="133" t="s">
        <v>286</v>
      </c>
      <c r="E157" s="32" t="s">
        <v>16</v>
      </c>
      <c r="F157" s="32" t="s">
        <v>295</v>
      </c>
      <c r="G157" s="32" t="s">
        <v>39</v>
      </c>
      <c r="H157" s="32" t="s">
        <v>297</v>
      </c>
      <c r="I157" s="32" t="s">
        <v>298</v>
      </c>
      <c r="J157" s="32" t="s">
        <v>299</v>
      </c>
      <c r="K157" s="32" t="s">
        <v>300</v>
      </c>
      <c r="L157" s="32" t="s">
        <v>17</v>
      </c>
      <c r="M157" s="32" t="s">
        <v>18</v>
      </c>
      <c r="N157" s="32" t="s">
        <v>19</v>
      </c>
      <c r="O157" s="66">
        <v>43101</v>
      </c>
      <c r="P157" s="66">
        <v>43132</v>
      </c>
      <c r="Q157" s="66">
        <v>43160</v>
      </c>
      <c r="R157" s="66">
        <v>43191</v>
      </c>
      <c r="S157" s="66">
        <v>43221</v>
      </c>
      <c r="T157" s="66">
        <v>43252</v>
      </c>
      <c r="U157" s="66">
        <v>43282</v>
      </c>
      <c r="V157" s="66">
        <v>43313</v>
      </c>
      <c r="W157" s="66">
        <v>43344</v>
      </c>
      <c r="X157" s="66">
        <v>43374</v>
      </c>
      <c r="Y157" s="66">
        <v>43405</v>
      </c>
      <c r="Z157" s="66">
        <v>43435</v>
      </c>
    </row>
    <row r="158" spans="1:27" ht="35.25" customHeight="1" outlineLevel="1" x14ac:dyDescent="0.25">
      <c r="A158" s="93" t="s">
        <v>2287</v>
      </c>
      <c r="B158" s="93">
        <v>7</v>
      </c>
      <c r="C158" s="93" t="s">
        <v>1377</v>
      </c>
      <c r="D158" s="353" t="s">
        <v>1368</v>
      </c>
      <c r="E158" s="11" t="s">
        <v>248</v>
      </c>
      <c r="F158" s="11" t="s">
        <v>288</v>
      </c>
      <c r="G158" s="11"/>
      <c r="H158" s="362"/>
      <c r="I158" s="362">
        <v>43132</v>
      </c>
      <c r="J158" s="362">
        <v>43205</v>
      </c>
      <c r="K158" s="362">
        <v>43221</v>
      </c>
      <c r="L158" s="11">
        <v>8</v>
      </c>
      <c r="M158" s="11">
        <f>5*8*180</f>
        <v>7200</v>
      </c>
      <c r="N158" s="11">
        <f t="shared" ref="N158:N161" si="21">SUM(O158:Z158)</f>
        <v>64000</v>
      </c>
      <c r="O158" s="11"/>
      <c r="P158" s="11"/>
      <c r="Q158" s="11"/>
      <c r="R158" s="11"/>
      <c r="S158" s="11">
        <v>8000</v>
      </c>
      <c r="T158" s="11">
        <v>8000</v>
      </c>
      <c r="U158" s="11">
        <v>8000</v>
      </c>
      <c r="V158" s="11">
        <v>8000</v>
      </c>
      <c r="W158" s="11">
        <v>8000</v>
      </c>
      <c r="X158" s="11">
        <v>8000</v>
      </c>
      <c r="Y158" s="11">
        <v>8000</v>
      </c>
      <c r="Z158" s="11">
        <v>8000</v>
      </c>
    </row>
    <row r="159" spans="1:27" ht="15" customHeight="1" outlineLevel="1" x14ac:dyDescent="0.25">
      <c r="A159" s="93" t="s">
        <v>2288</v>
      </c>
      <c r="B159" s="93">
        <v>8</v>
      </c>
      <c r="C159" s="93"/>
      <c r="D159" s="11" t="s">
        <v>2310</v>
      </c>
      <c r="E159" s="11"/>
      <c r="F159" s="11"/>
      <c r="G159" s="11"/>
      <c r="H159" s="11"/>
      <c r="I159" s="11"/>
      <c r="J159" s="11"/>
      <c r="K159" s="11"/>
      <c r="L159" s="11"/>
      <c r="M159" s="11"/>
      <c r="N159" s="11">
        <v>532000</v>
      </c>
      <c r="O159" s="11"/>
      <c r="P159" s="11"/>
      <c r="Q159" s="11"/>
      <c r="R159" s="11"/>
      <c r="S159" s="11"/>
      <c r="T159" s="11"/>
      <c r="U159" s="11"/>
      <c r="V159" s="11"/>
      <c r="W159" s="11"/>
      <c r="X159" s="11"/>
      <c r="Y159" s="11"/>
      <c r="Z159" s="11"/>
    </row>
    <row r="160" spans="1:27" ht="15" hidden="1" customHeight="1" outlineLevel="1" x14ac:dyDescent="0.25">
      <c r="A160" s="93" t="s">
        <v>283</v>
      </c>
      <c r="B160" s="93"/>
      <c r="C160" s="93"/>
      <c r="D160" s="353"/>
      <c r="E160" s="11"/>
      <c r="F160" s="11"/>
      <c r="G160" s="11"/>
      <c r="H160" s="11"/>
      <c r="I160" s="11"/>
      <c r="J160" s="11"/>
      <c r="K160" s="11"/>
      <c r="L160" s="11"/>
      <c r="M160" s="11"/>
      <c r="N160" s="11">
        <f t="shared" si="21"/>
        <v>0</v>
      </c>
      <c r="O160" s="11"/>
      <c r="P160" s="11"/>
      <c r="Q160" s="11"/>
      <c r="R160" s="11"/>
      <c r="S160" s="11"/>
      <c r="T160" s="11"/>
      <c r="U160" s="11"/>
      <c r="V160" s="11"/>
      <c r="W160" s="11"/>
      <c r="X160" s="11"/>
      <c r="Y160" s="11"/>
      <c r="Z160" s="11"/>
    </row>
    <row r="161" spans="1:27" ht="15" hidden="1" customHeight="1" outlineLevel="1" x14ac:dyDescent="0.25">
      <c r="A161" s="93" t="s">
        <v>284</v>
      </c>
      <c r="B161" s="93"/>
      <c r="C161" s="93"/>
      <c r="D161" s="353"/>
      <c r="E161" s="11"/>
      <c r="F161" s="11"/>
      <c r="G161" s="11"/>
      <c r="H161" s="11"/>
      <c r="I161" s="11"/>
      <c r="J161" s="11"/>
      <c r="K161" s="11"/>
      <c r="L161" s="11"/>
      <c r="M161" s="11"/>
      <c r="N161" s="11">
        <f t="shared" si="21"/>
        <v>0</v>
      </c>
      <c r="O161" s="11"/>
      <c r="P161" s="11"/>
      <c r="Q161" s="11"/>
      <c r="R161" s="11"/>
      <c r="S161" s="11"/>
      <c r="T161" s="11"/>
      <c r="U161" s="11"/>
      <c r="V161" s="11"/>
      <c r="W161" s="11"/>
      <c r="X161" s="11"/>
      <c r="Y161" s="11"/>
      <c r="Z161" s="11"/>
    </row>
    <row r="162" spans="1:27" ht="21" customHeight="1" outlineLevel="1" x14ac:dyDescent="0.25">
      <c r="A162" s="93"/>
      <c r="B162" s="93"/>
      <c r="C162" s="93"/>
      <c r="D162" s="353"/>
      <c r="E162" s="11"/>
      <c r="F162" s="11"/>
      <c r="G162" s="45"/>
      <c r="H162" s="11"/>
      <c r="I162" s="11"/>
      <c r="J162" s="11"/>
      <c r="K162" s="68" t="s">
        <v>20</v>
      </c>
      <c r="L162" s="32">
        <f>SUM(L157:L161)</f>
        <v>8</v>
      </c>
      <c r="M162" s="32">
        <f>SUM(M157:M161)</f>
        <v>7200</v>
      </c>
      <c r="N162" s="11">
        <f>SUM(N158:N161)</f>
        <v>596000</v>
      </c>
      <c r="O162" s="11">
        <f t="shared" ref="O162:Z162" si="22">SUM(O158:O161)</f>
        <v>0</v>
      </c>
      <c r="P162" s="11">
        <f t="shared" si="22"/>
        <v>0</v>
      </c>
      <c r="Q162" s="11">
        <f t="shared" si="22"/>
        <v>0</v>
      </c>
      <c r="R162" s="11">
        <f t="shared" si="22"/>
        <v>0</v>
      </c>
      <c r="S162" s="11">
        <f t="shared" si="22"/>
        <v>8000</v>
      </c>
      <c r="T162" s="11">
        <f t="shared" si="22"/>
        <v>8000</v>
      </c>
      <c r="U162" s="11">
        <f t="shared" si="22"/>
        <v>8000</v>
      </c>
      <c r="V162" s="11">
        <f t="shared" si="22"/>
        <v>8000</v>
      </c>
      <c r="W162" s="11">
        <f t="shared" si="22"/>
        <v>8000</v>
      </c>
      <c r="X162" s="11">
        <f t="shared" si="22"/>
        <v>8000</v>
      </c>
      <c r="Y162" s="11">
        <f t="shared" si="22"/>
        <v>8000</v>
      </c>
      <c r="Z162" s="11">
        <f t="shared" si="22"/>
        <v>8000</v>
      </c>
      <c r="AA162" s="35"/>
    </row>
    <row r="163" spans="1:27" ht="18" hidden="1" outlineLevel="1" x14ac:dyDescent="0.25">
      <c r="A163" s="30" t="str">
        <f>CONCATENATE(B24," ",C24)</f>
        <v xml:space="preserve"> </v>
      </c>
      <c r="B163" s="30"/>
      <c r="C163" s="31"/>
      <c r="D163" s="31"/>
      <c r="E163" s="29"/>
      <c r="F163" s="29"/>
      <c r="G163" s="29"/>
      <c r="H163" s="29"/>
      <c r="I163" s="29"/>
      <c r="J163" s="29"/>
      <c r="K163" s="29"/>
      <c r="L163" s="29"/>
      <c r="M163" s="29"/>
      <c r="N163" s="29"/>
      <c r="O163" s="29" t="s">
        <v>5</v>
      </c>
      <c r="P163" s="29"/>
      <c r="Q163" s="29"/>
      <c r="R163" s="29"/>
      <c r="S163" s="29"/>
      <c r="T163" s="29"/>
      <c r="U163" s="29"/>
      <c r="V163" s="29"/>
      <c r="W163" s="29"/>
      <c r="X163" s="29"/>
      <c r="Y163" s="29"/>
      <c r="Z163" s="29"/>
    </row>
    <row r="164" spans="1:27" ht="41.45" hidden="1" customHeight="1" outlineLevel="1" x14ac:dyDescent="0.25">
      <c r="A164" s="92" t="s">
        <v>261</v>
      </c>
      <c r="B164" s="92" t="s">
        <v>13</v>
      </c>
      <c r="C164" s="92" t="s">
        <v>14</v>
      </c>
      <c r="D164" s="133" t="s">
        <v>286</v>
      </c>
      <c r="E164" s="32" t="s">
        <v>16</v>
      </c>
      <c r="F164" s="32" t="s">
        <v>295</v>
      </c>
      <c r="G164" s="32" t="s">
        <v>39</v>
      </c>
      <c r="H164" s="32" t="s">
        <v>297</v>
      </c>
      <c r="I164" s="32" t="s">
        <v>298</v>
      </c>
      <c r="J164" s="32" t="s">
        <v>299</v>
      </c>
      <c r="K164" s="32" t="s">
        <v>300</v>
      </c>
      <c r="L164" s="32" t="s">
        <v>17</v>
      </c>
      <c r="M164" s="32" t="s">
        <v>18</v>
      </c>
      <c r="N164" s="32" t="s">
        <v>19</v>
      </c>
      <c r="O164" s="66">
        <v>43101</v>
      </c>
      <c r="P164" s="66">
        <v>43132</v>
      </c>
      <c r="Q164" s="66">
        <v>43160</v>
      </c>
      <c r="R164" s="66">
        <v>43191</v>
      </c>
      <c r="S164" s="66">
        <v>43221</v>
      </c>
      <c r="T164" s="66">
        <v>43252</v>
      </c>
      <c r="U164" s="66">
        <v>43282</v>
      </c>
      <c r="V164" s="66">
        <v>43313</v>
      </c>
      <c r="W164" s="66">
        <v>43344</v>
      </c>
      <c r="X164" s="66">
        <v>43374</v>
      </c>
      <c r="Y164" s="66">
        <v>43405</v>
      </c>
      <c r="Z164" s="66">
        <v>43435</v>
      </c>
    </row>
    <row r="165" spans="1:27" ht="15" hidden="1" customHeight="1" outlineLevel="1" x14ac:dyDescent="0.25">
      <c r="A165" s="93" t="s">
        <v>265</v>
      </c>
      <c r="B165" s="93"/>
      <c r="C165" s="93"/>
      <c r="D165" s="353"/>
      <c r="E165" s="11"/>
      <c r="F165" s="11"/>
      <c r="G165" s="11"/>
      <c r="H165" s="11"/>
      <c r="I165" s="11"/>
      <c r="J165" s="11"/>
      <c r="K165" s="11"/>
      <c r="L165" s="11"/>
      <c r="M165" s="11"/>
      <c r="N165" s="11">
        <f t="shared" ref="N165:N168" si="23">SUM(O165:Z165)</f>
        <v>0</v>
      </c>
      <c r="O165" s="11"/>
      <c r="P165" s="11"/>
      <c r="Q165" s="11"/>
      <c r="R165" s="11"/>
      <c r="S165" s="11"/>
      <c r="T165" s="11"/>
      <c r="U165" s="11"/>
      <c r="V165" s="11"/>
      <c r="W165" s="11"/>
      <c r="X165" s="11"/>
      <c r="Y165" s="11"/>
      <c r="Z165" s="11"/>
    </row>
    <row r="166" spans="1:27" ht="15" hidden="1" customHeight="1" outlineLevel="1" x14ac:dyDescent="0.25">
      <c r="A166" s="93" t="s">
        <v>266</v>
      </c>
      <c r="B166" s="93"/>
      <c r="C166" s="93"/>
      <c r="D166" s="353"/>
      <c r="E166" s="11"/>
      <c r="F166" s="11"/>
      <c r="G166" s="11"/>
      <c r="H166" s="11"/>
      <c r="I166" s="11"/>
      <c r="J166" s="11"/>
      <c r="K166" s="11"/>
      <c r="L166" s="11"/>
      <c r="M166" s="11"/>
      <c r="N166" s="11">
        <f t="shared" si="23"/>
        <v>0</v>
      </c>
      <c r="O166" s="11"/>
      <c r="P166" s="11"/>
      <c r="Q166" s="11"/>
      <c r="R166" s="11"/>
      <c r="S166" s="11"/>
      <c r="T166" s="11"/>
      <c r="U166" s="11"/>
      <c r="V166" s="11"/>
      <c r="W166" s="11"/>
      <c r="X166" s="11"/>
      <c r="Y166" s="11"/>
      <c r="Z166" s="11"/>
    </row>
    <row r="167" spans="1:27" ht="15" hidden="1" customHeight="1" outlineLevel="1" x14ac:dyDescent="0.25">
      <c r="A167" s="93" t="s">
        <v>283</v>
      </c>
      <c r="B167" s="93"/>
      <c r="C167" s="93"/>
      <c r="D167" s="353"/>
      <c r="E167" s="11"/>
      <c r="F167" s="11"/>
      <c r="G167" s="11"/>
      <c r="H167" s="11"/>
      <c r="I167" s="11"/>
      <c r="J167" s="11"/>
      <c r="K167" s="11"/>
      <c r="L167" s="11"/>
      <c r="M167" s="11"/>
      <c r="N167" s="11">
        <f t="shared" si="23"/>
        <v>0</v>
      </c>
      <c r="O167" s="11"/>
      <c r="P167" s="11"/>
      <c r="Q167" s="11"/>
      <c r="R167" s="11"/>
      <c r="S167" s="11"/>
      <c r="T167" s="11"/>
      <c r="U167" s="11"/>
      <c r="V167" s="11"/>
      <c r="W167" s="11"/>
      <c r="X167" s="11"/>
      <c r="Y167" s="11"/>
      <c r="Z167" s="11"/>
    </row>
    <row r="168" spans="1:27" ht="15" hidden="1" customHeight="1" outlineLevel="1" x14ac:dyDescent="0.25">
      <c r="A168" s="93" t="s">
        <v>284</v>
      </c>
      <c r="B168" s="93"/>
      <c r="C168" s="93"/>
      <c r="D168" s="353"/>
      <c r="E168" s="11"/>
      <c r="F168" s="11"/>
      <c r="G168" s="11"/>
      <c r="H168" s="11"/>
      <c r="I168" s="11"/>
      <c r="J168" s="11"/>
      <c r="K168" s="11"/>
      <c r="L168" s="11"/>
      <c r="M168" s="11"/>
      <c r="N168" s="11">
        <f t="shared" si="23"/>
        <v>0</v>
      </c>
      <c r="O168" s="11"/>
      <c r="P168" s="11"/>
      <c r="Q168" s="11"/>
      <c r="R168" s="11"/>
      <c r="S168" s="11"/>
      <c r="T168" s="11"/>
      <c r="U168" s="11"/>
      <c r="V168" s="11"/>
      <c r="W168" s="11"/>
      <c r="X168" s="11"/>
      <c r="Y168" s="11"/>
      <c r="Z168" s="11"/>
    </row>
    <row r="169" spans="1:27" ht="21" hidden="1" customHeight="1" outlineLevel="1" x14ac:dyDescent="0.25">
      <c r="A169" s="93" t="s">
        <v>285</v>
      </c>
      <c r="B169" s="93"/>
      <c r="C169" s="93"/>
      <c r="D169" s="353"/>
      <c r="E169" s="11"/>
      <c r="F169" s="11"/>
      <c r="G169" s="45"/>
      <c r="H169" s="11"/>
      <c r="I169" s="11"/>
      <c r="J169" s="11"/>
      <c r="K169" s="68" t="s">
        <v>20</v>
      </c>
      <c r="L169" s="32">
        <f>SUM(L164:L168)</f>
        <v>0</v>
      </c>
      <c r="M169" s="32">
        <f>SUM(M164:M168)</f>
        <v>0</v>
      </c>
      <c r="N169" s="11">
        <f>SUM(N165:N168)</f>
        <v>0</v>
      </c>
      <c r="O169" s="11">
        <f t="shared" ref="O169:R169" si="24">SUM(O165:O168)</f>
        <v>0</v>
      </c>
      <c r="P169" s="11">
        <f t="shared" si="24"/>
        <v>0</v>
      </c>
      <c r="Q169" s="11">
        <f t="shared" si="24"/>
        <v>0</v>
      </c>
      <c r="R169" s="11">
        <f t="shared" si="24"/>
        <v>0</v>
      </c>
      <c r="S169" s="11">
        <f t="shared" ref="S169" si="25">SUM(S165:S168)</f>
        <v>0</v>
      </c>
      <c r="T169" s="11">
        <f t="shared" ref="T169:Z169" si="26">SUM(T165:T168)</f>
        <v>0</v>
      </c>
      <c r="U169" s="11">
        <f t="shared" si="26"/>
        <v>0</v>
      </c>
      <c r="V169" s="11">
        <f t="shared" si="26"/>
        <v>0</v>
      </c>
      <c r="W169" s="11">
        <f t="shared" si="26"/>
        <v>0</v>
      </c>
      <c r="X169" s="11">
        <f t="shared" si="26"/>
        <v>0</v>
      </c>
      <c r="Y169" s="11">
        <f t="shared" si="26"/>
        <v>0</v>
      </c>
      <c r="Z169" s="11">
        <f t="shared" si="26"/>
        <v>0</v>
      </c>
      <c r="AA169" s="35"/>
    </row>
    <row r="170" spans="1:27" ht="18" hidden="1" outlineLevel="1" x14ac:dyDescent="0.25">
      <c r="A170" s="30" t="str">
        <f>CONCATENATE(B25," ",C25)</f>
        <v xml:space="preserve"> </v>
      </c>
      <c r="B170" s="30"/>
      <c r="C170" s="31"/>
      <c r="D170" s="31"/>
      <c r="E170" s="29"/>
      <c r="F170" s="29"/>
      <c r="G170" s="29"/>
      <c r="H170" s="29"/>
      <c r="I170" s="29"/>
      <c r="J170" s="29"/>
      <c r="K170" s="29"/>
      <c r="L170" s="29"/>
      <c r="M170" s="29"/>
      <c r="N170" s="29"/>
      <c r="O170" s="29" t="s">
        <v>5</v>
      </c>
      <c r="P170" s="29"/>
      <c r="Q170" s="29"/>
      <c r="R170" s="29"/>
      <c r="S170" s="29"/>
      <c r="T170" s="29"/>
      <c r="U170" s="29"/>
      <c r="V170" s="29"/>
      <c r="W170" s="29"/>
      <c r="X170" s="29"/>
      <c r="Y170" s="29"/>
      <c r="Z170" s="29"/>
    </row>
    <row r="171" spans="1:27" ht="41.45" hidden="1" customHeight="1" outlineLevel="1" x14ac:dyDescent="0.25">
      <c r="A171" s="92" t="s">
        <v>261</v>
      </c>
      <c r="B171" s="92" t="s">
        <v>13</v>
      </c>
      <c r="C171" s="92" t="s">
        <v>14</v>
      </c>
      <c r="D171" s="133" t="s">
        <v>286</v>
      </c>
      <c r="E171" s="32" t="s">
        <v>16</v>
      </c>
      <c r="F171" s="32" t="s">
        <v>295</v>
      </c>
      <c r="G171" s="32" t="s">
        <v>39</v>
      </c>
      <c r="H171" s="32" t="s">
        <v>297</v>
      </c>
      <c r="I171" s="32" t="s">
        <v>298</v>
      </c>
      <c r="J171" s="32" t="s">
        <v>299</v>
      </c>
      <c r="K171" s="32" t="s">
        <v>300</v>
      </c>
      <c r="L171" s="32" t="s">
        <v>17</v>
      </c>
      <c r="M171" s="32" t="s">
        <v>18</v>
      </c>
      <c r="N171" s="32" t="s">
        <v>19</v>
      </c>
      <c r="O171" s="66">
        <v>43101</v>
      </c>
      <c r="P171" s="66">
        <v>43132</v>
      </c>
      <c r="Q171" s="66">
        <v>43160</v>
      </c>
      <c r="R171" s="66">
        <v>43191</v>
      </c>
      <c r="S171" s="66">
        <v>43221</v>
      </c>
      <c r="T171" s="66">
        <v>43252</v>
      </c>
      <c r="U171" s="66">
        <v>43282</v>
      </c>
      <c r="V171" s="66">
        <v>43313</v>
      </c>
      <c r="W171" s="66">
        <v>43344</v>
      </c>
      <c r="X171" s="66">
        <v>43374</v>
      </c>
      <c r="Y171" s="66">
        <v>43405</v>
      </c>
      <c r="Z171" s="66">
        <v>43435</v>
      </c>
    </row>
    <row r="172" spans="1:27" ht="15" hidden="1" customHeight="1" outlineLevel="1" x14ac:dyDescent="0.25">
      <c r="A172" s="93" t="s">
        <v>265</v>
      </c>
      <c r="B172" s="93"/>
      <c r="C172" s="93"/>
      <c r="D172" s="353"/>
      <c r="E172" s="11"/>
      <c r="F172" s="11"/>
      <c r="G172" s="11"/>
      <c r="H172" s="11"/>
      <c r="I172" s="11"/>
      <c r="J172" s="11"/>
      <c r="K172" s="11"/>
      <c r="L172" s="11"/>
      <c r="M172" s="11"/>
      <c r="N172" s="11">
        <f t="shared" ref="N172:N175" si="27">SUM(O172:Z172)</f>
        <v>0</v>
      </c>
      <c r="O172" s="11"/>
      <c r="P172" s="11"/>
      <c r="Q172" s="11"/>
      <c r="R172" s="11"/>
      <c r="S172" s="11"/>
      <c r="T172" s="11"/>
      <c r="U172" s="11"/>
      <c r="V172" s="11"/>
      <c r="W172" s="11"/>
      <c r="X172" s="11"/>
      <c r="Y172" s="11"/>
      <c r="Z172" s="11"/>
    </row>
    <row r="173" spans="1:27" ht="15" hidden="1" customHeight="1" outlineLevel="1" x14ac:dyDescent="0.25">
      <c r="A173" s="93" t="s">
        <v>266</v>
      </c>
      <c r="B173" s="93"/>
      <c r="C173" s="93"/>
      <c r="D173" s="353"/>
      <c r="E173" s="11"/>
      <c r="F173" s="11"/>
      <c r="G173" s="11"/>
      <c r="H173" s="11"/>
      <c r="I173" s="11"/>
      <c r="J173" s="11"/>
      <c r="K173" s="11"/>
      <c r="L173" s="11"/>
      <c r="M173" s="11"/>
      <c r="N173" s="11">
        <f t="shared" si="27"/>
        <v>0</v>
      </c>
      <c r="O173" s="11"/>
      <c r="P173" s="11"/>
      <c r="Q173" s="11"/>
      <c r="R173" s="11"/>
      <c r="S173" s="11"/>
      <c r="T173" s="11"/>
      <c r="U173" s="11"/>
      <c r="V173" s="11"/>
      <c r="W173" s="11"/>
      <c r="X173" s="11"/>
      <c r="Y173" s="11"/>
      <c r="Z173" s="11"/>
    </row>
    <row r="174" spans="1:27" ht="15" hidden="1" customHeight="1" outlineLevel="1" x14ac:dyDescent="0.25">
      <c r="A174" s="93" t="s">
        <v>283</v>
      </c>
      <c r="B174" s="93"/>
      <c r="C174" s="93"/>
      <c r="D174" s="353"/>
      <c r="E174" s="11"/>
      <c r="F174" s="11"/>
      <c r="G174" s="11"/>
      <c r="H174" s="11"/>
      <c r="I174" s="11"/>
      <c r="J174" s="11"/>
      <c r="K174" s="11"/>
      <c r="L174" s="11"/>
      <c r="M174" s="11"/>
      <c r="N174" s="11">
        <f t="shared" si="27"/>
        <v>0</v>
      </c>
      <c r="O174" s="11"/>
      <c r="P174" s="11"/>
      <c r="Q174" s="11"/>
      <c r="R174" s="11"/>
      <c r="S174" s="11"/>
      <c r="T174" s="11"/>
      <c r="U174" s="11"/>
      <c r="V174" s="11"/>
      <c r="W174" s="11"/>
      <c r="X174" s="11"/>
      <c r="Y174" s="11"/>
      <c r="Z174" s="11"/>
    </row>
    <row r="175" spans="1:27" ht="15" hidden="1" customHeight="1" outlineLevel="1" x14ac:dyDescent="0.25">
      <c r="A175" s="93" t="s">
        <v>284</v>
      </c>
      <c r="B175" s="93"/>
      <c r="C175" s="93"/>
      <c r="D175" s="353"/>
      <c r="E175" s="11"/>
      <c r="F175" s="11"/>
      <c r="G175" s="11"/>
      <c r="H175" s="11"/>
      <c r="I175" s="11"/>
      <c r="J175" s="11"/>
      <c r="K175" s="11"/>
      <c r="L175" s="11"/>
      <c r="M175" s="11"/>
      <c r="N175" s="11">
        <f t="shared" si="27"/>
        <v>0</v>
      </c>
      <c r="O175" s="11"/>
      <c r="P175" s="11"/>
      <c r="Q175" s="11"/>
      <c r="R175" s="11"/>
      <c r="S175" s="11"/>
      <c r="T175" s="11"/>
      <c r="U175" s="11"/>
      <c r="V175" s="11"/>
      <c r="W175" s="11"/>
      <c r="X175" s="11"/>
      <c r="Y175" s="11"/>
      <c r="Z175" s="11"/>
    </row>
    <row r="176" spans="1:27" ht="21" hidden="1" customHeight="1" outlineLevel="1" x14ac:dyDescent="0.25">
      <c r="A176" s="93" t="s">
        <v>285</v>
      </c>
      <c r="B176" s="93"/>
      <c r="C176" s="93"/>
      <c r="D176" s="353"/>
      <c r="E176" s="11"/>
      <c r="F176" s="11"/>
      <c r="G176" s="45"/>
      <c r="H176" s="11"/>
      <c r="I176" s="11"/>
      <c r="J176" s="11"/>
      <c r="K176" s="68" t="s">
        <v>20</v>
      </c>
      <c r="L176" s="32">
        <f>SUM(L171:L175)</f>
        <v>0</v>
      </c>
      <c r="M176" s="32">
        <f>SUM(M171:M175)</f>
        <v>0</v>
      </c>
      <c r="N176" s="11">
        <f>SUM(N172:N175)</f>
        <v>0</v>
      </c>
      <c r="O176" s="11">
        <f t="shared" ref="O176:Z176" si="28">SUM(O172:O175)</f>
        <v>0</v>
      </c>
      <c r="P176" s="11">
        <f t="shared" si="28"/>
        <v>0</v>
      </c>
      <c r="Q176" s="11">
        <f t="shared" si="28"/>
        <v>0</v>
      </c>
      <c r="R176" s="11">
        <f t="shared" si="28"/>
        <v>0</v>
      </c>
      <c r="S176" s="11">
        <f t="shared" si="28"/>
        <v>0</v>
      </c>
      <c r="T176" s="11">
        <f t="shared" si="28"/>
        <v>0</v>
      </c>
      <c r="U176" s="11">
        <f t="shared" si="28"/>
        <v>0</v>
      </c>
      <c r="V176" s="11">
        <f t="shared" si="28"/>
        <v>0</v>
      </c>
      <c r="W176" s="11">
        <f t="shared" si="28"/>
        <v>0</v>
      </c>
      <c r="X176" s="11">
        <f t="shared" si="28"/>
        <v>0</v>
      </c>
      <c r="Y176" s="11">
        <f t="shared" si="28"/>
        <v>0</v>
      </c>
      <c r="Z176" s="11">
        <f t="shared" si="28"/>
        <v>0</v>
      </c>
      <c r="AA176" s="35"/>
    </row>
    <row r="177" spans="1:26" ht="18" hidden="1" outlineLevel="1" x14ac:dyDescent="0.25">
      <c r="A177" s="30" t="str">
        <f>CONCATENATE(B26," ",C26)</f>
        <v xml:space="preserve"> </v>
      </c>
      <c r="B177" s="30"/>
      <c r="C177" s="31"/>
      <c r="D177" s="31"/>
      <c r="E177" s="29"/>
      <c r="F177" s="29"/>
      <c r="G177" s="29"/>
      <c r="H177" s="29"/>
      <c r="I177" s="29"/>
      <c r="J177" s="29"/>
      <c r="K177" s="29"/>
      <c r="L177" s="29"/>
      <c r="M177" s="29"/>
      <c r="N177" s="29"/>
      <c r="O177" s="29" t="s">
        <v>5</v>
      </c>
      <c r="P177" s="29"/>
      <c r="Q177" s="29"/>
      <c r="R177" s="29"/>
      <c r="S177" s="29"/>
      <c r="T177" s="29"/>
      <c r="U177" s="29"/>
      <c r="V177" s="29"/>
      <c r="W177" s="29"/>
      <c r="X177" s="29"/>
      <c r="Y177" s="29"/>
      <c r="Z177" s="29"/>
    </row>
    <row r="178" spans="1:26" ht="6.75" hidden="1" customHeight="1" x14ac:dyDescent="0.25"/>
    <row r="179" spans="1:26" ht="18" x14ac:dyDescent="0.25">
      <c r="A179" s="41" t="s">
        <v>324</v>
      </c>
      <c r="B179" s="41"/>
      <c r="C179" s="42"/>
      <c r="D179" s="42"/>
      <c r="E179" s="43"/>
      <c r="F179" s="43"/>
      <c r="G179" s="43"/>
      <c r="H179" s="44"/>
      <c r="I179" s="44"/>
      <c r="J179" s="43"/>
      <c r="K179" s="43"/>
      <c r="L179" s="43"/>
      <c r="M179" s="43"/>
      <c r="N179" s="43"/>
      <c r="O179" s="43" t="s">
        <v>5</v>
      </c>
      <c r="P179" s="43"/>
      <c r="Q179" s="43"/>
      <c r="R179" s="43"/>
      <c r="S179" s="43"/>
      <c r="T179" s="43"/>
      <c r="U179" s="43"/>
      <c r="V179" s="43"/>
      <c r="W179" s="43"/>
      <c r="X179" s="43"/>
      <c r="Y179" s="43"/>
      <c r="Z179" s="43"/>
    </row>
    <row r="180" spans="1:26" ht="15.75" outlineLevel="1" x14ac:dyDescent="0.25">
      <c r="A180" s="92" t="s">
        <v>261</v>
      </c>
      <c r="B180" s="92" t="s">
        <v>13</v>
      </c>
      <c r="C180" s="92" t="s">
        <v>14</v>
      </c>
      <c r="D180" s="8" t="s">
        <v>15</v>
      </c>
      <c r="E180" s="49"/>
      <c r="F180" s="49"/>
      <c r="G180" s="49"/>
      <c r="H180" s="49"/>
      <c r="I180" s="49"/>
      <c r="J180" s="48"/>
      <c r="K180" s="12"/>
      <c r="L180" s="32" t="s">
        <v>52</v>
      </c>
      <c r="M180" s="32" t="s">
        <v>53</v>
      </c>
      <c r="N180" s="32" t="s">
        <v>54</v>
      </c>
      <c r="O180" s="66">
        <v>43101</v>
      </c>
      <c r="P180" s="66">
        <v>43132</v>
      </c>
      <c r="Q180" s="66">
        <v>43160</v>
      </c>
      <c r="R180" s="66">
        <v>43191</v>
      </c>
      <c r="S180" s="66">
        <v>43221</v>
      </c>
      <c r="T180" s="66">
        <v>43252</v>
      </c>
      <c r="U180" s="66">
        <v>43282</v>
      </c>
      <c r="V180" s="66">
        <v>43313</v>
      </c>
      <c r="W180" s="66">
        <v>43344</v>
      </c>
      <c r="X180" s="66">
        <v>43374</v>
      </c>
      <c r="Y180" s="66">
        <v>43405</v>
      </c>
      <c r="Z180" s="66">
        <v>43435</v>
      </c>
    </row>
    <row r="181" spans="1:26" ht="38.25" hidden="1" customHeight="1" outlineLevel="1" x14ac:dyDescent="0.25">
      <c r="A181" s="93" t="str">
        <f>+A17</f>
        <v>5.1</v>
      </c>
      <c r="B181" s="93" t="s">
        <v>27</v>
      </c>
      <c r="C181" s="93" t="str">
        <f t="shared" ref="C181:D190" si="29">C17</f>
        <v>Base Datos Proveedores</v>
      </c>
      <c r="D181" s="7" t="str">
        <f t="shared" si="29"/>
        <v>Creación de Base de Datos y Sistema de autoingreso de información para Proveedores que permita la clasificación de proveedores</v>
      </c>
      <c r="E181" s="49"/>
      <c r="F181" s="49"/>
      <c r="G181" s="49"/>
      <c r="H181" s="49"/>
      <c r="I181" s="49"/>
      <c r="J181" s="48"/>
      <c r="K181" s="12" t="s">
        <v>5</v>
      </c>
      <c r="L181" s="11" t="s">
        <v>48</v>
      </c>
      <c r="M181" s="11" t="s">
        <v>55</v>
      </c>
      <c r="N181" s="11">
        <v>6</v>
      </c>
      <c r="O181" s="54">
        <f t="shared" ref="O181:Z181" si="30">+O17/SUM($O17:$Z17)</f>
        <v>0.33333333333333331</v>
      </c>
      <c r="P181" s="54">
        <f t="shared" si="30"/>
        <v>0.33333333333333331</v>
      </c>
      <c r="Q181" s="54">
        <f t="shared" si="30"/>
        <v>0.33333333333333331</v>
      </c>
      <c r="R181" s="54">
        <f t="shared" si="30"/>
        <v>0</v>
      </c>
      <c r="S181" s="54">
        <f t="shared" si="30"/>
        <v>0</v>
      </c>
      <c r="T181" s="54">
        <f t="shared" si="30"/>
        <v>0</v>
      </c>
      <c r="U181" s="54">
        <f t="shared" si="30"/>
        <v>0</v>
      </c>
      <c r="V181" s="54">
        <f t="shared" si="30"/>
        <v>0</v>
      </c>
      <c r="W181" s="54">
        <f t="shared" si="30"/>
        <v>0</v>
      </c>
      <c r="X181" s="54">
        <f t="shared" si="30"/>
        <v>0</v>
      </c>
      <c r="Y181" s="54">
        <f t="shared" si="30"/>
        <v>0</v>
      </c>
      <c r="Z181" s="54">
        <f t="shared" si="30"/>
        <v>0</v>
      </c>
    </row>
    <row r="182" spans="1:26" ht="38.25" hidden="1" customHeight="1" outlineLevel="1" x14ac:dyDescent="0.25">
      <c r="A182" s="93" t="str">
        <f>+A18</f>
        <v>5.2</v>
      </c>
      <c r="B182" s="93" t="s">
        <v>29</v>
      </c>
      <c r="C182" s="93" t="str">
        <f t="shared" si="29"/>
        <v>Desarrollo Procedimientos</v>
      </c>
      <c r="D182" s="7" t="str">
        <f t="shared" si="29"/>
        <v>Desarrollo de los Procedimientos de Administración de Contratos y configuración de Herramientas en línea para su aplicación</v>
      </c>
      <c r="E182" s="49"/>
      <c r="F182" s="49"/>
      <c r="G182" s="49"/>
      <c r="H182" s="49"/>
      <c r="I182" s="49"/>
      <c r="J182" s="48"/>
      <c r="K182" s="12" t="s">
        <v>5</v>
      </c>
      <c r="L182" s="11" t="s">
        <v>48</v>
      </c>
      <c r="M182" s="11" t="s">
        <v>55</v>
      </c>
      <c r="N182" s="11">
        <v>6</v>
      </c>
      <c r="O182" s="54">
        <f t="shared" ref="O182:Z182" si="31">+O18/SUM($O18:$Z18)</f>
        <v>0</v>
      </c>
      <c r="P182" s="54">
        <f t="shared" si="31"/>
        <v>0</v>
      </c>
      <c r="Q182" s="54">
        <f t="shared" si="31"/>
        <v>0</v>
      </c>
      <c r="R182" s="54">
        <f t="shared" si="31"/>
        <v>0.2</v>
      </c>
      <c r="S182" s="54">
        <f t="shared" si="31"/>
        <v>0.2</v>
      </c>
      <c r="T182" s="54">
        <f t="shared" si="31"/>
        <v>0.2</v>
      </c>
      <c r="U182" s="54">
        <f t="shared" si="31"/>
        <v>0.2</v>
      </c>
      <c r="V182" s="54">
        <f t="shared" si="31"/>
        <v>0.2</v>
      </c>
      <c r="W182" s="54">
        <f t="shared" si="31"/>
        <v>0</v>
      </c>
      <c r="X182" s="54">
        <f t="shared" si="31"/>
        <v>0</v>
      </c>
      <c r="Y182" s="54">
        <f t="shared" si="31"/>
        <v>0</v>
      </c>
      <c r="Z182" s="54">
        <f t="shared" si="31"/>
        <v>0</v>
      </c>
    </row>
    <row r="183" spans="1:26" ht="38.25" hidden="1" customHeight="1" outlineLevel="1" x14ac:dyDescent="0.25">
      <c r="A183" s="93" t="str">
        <f>+A19</f>
        <v>5.3</v>
      </c>
      <c r="B183" s="93" t="s">
        <v>30</v>
      </c>
      <c r="C183" s="93" t="str">
        <f t="shared" si="29"/>
        <v>Auditorías Contratistas y Auditorías Internas</v>
      </c>
      <c r="D183" s="7" t="str">
        <f t="shared" si="29"/>
        <v>Auditorías y Medición de desempeño a Contratistas y Auditorías internas.</v>
      </c>
      <c r="E183" s="49"/>
      <c r="F183" s="49"/>
      <c r="G183" s="49"/>
      <c r="H183" s="49"/>
      <c r="I183" s="49"/>
      <c r="J183" s="48"/>
      <c r="K183" s="12" t="s">
        <v>5</v>
      </c>
      <c r="L183" s="11"/>
      <c r="M183" s="11"/>
      <c r="N183" s="11"/>
      <c r="O183" s="54">
        <f t="shared" ref="O183:Z191" si="32">+O19/SUM($O19:$Z19)</f>
        <v>0</v>
      </c>
      <c r="P183" s="54">
        <f t="shared" si="32"/>
        <v>9.0909090909090912E-2</v>
      </c>
      <c r="Q183" s="54">
        <f t="shared" si="32"/>
        <v>9.0909090909090912E-2</v>
      </c>
      <c r="R183" s="54">
        <f t="shared" si="32"/>
        <v>9.0909090909090912E-2</v>
      </c>
      <c r="S183" s="54">
        <f t="shared" si="32"/>
        <v>9.0909090909090912E-2</v>
      </c>
      <c r="T183" s="54">
        <f t="shared" si="32"/>
        <v>9.0909090909090912E-2</v>
      </c>
      <c r="U183" s="54">
        <f t="shared" si="32"/>
        <v>9.0909090909090912E-2</v>
      </c>
      <c r="V183" s="54">
        <f t="shared" si="32"/>
        <v>9.0909090909090912E-2</v>
      </c>
      <c r="W183" s="54">
        <f t="shared" si="32"/>
        <v>9.0909090909090912E-2</v>
      </c>
      <c r="X183" s="54">
        <f t="shared" si="32"/>
        <v>9.0909090909090912E-2</v>
      </c>
      <c r="Y183" s="54">
        <f t="shared" si="32"/>
        <v>9.0909090909090912E-2</v>
      </c>
      <c r="Z183" s="54">
        <f t="shared" si="32"/>
        <v>9.0909090909090912E-2</v>
      </c>
    </row>
    <row r="184" spans="1:26" ht="38.25" hidden="1" customHeight="1" outlineLevel="1" x14ac:dyDescent="0.25">
      <c r="A184" s="93" t="str">
        <f>+A20</f>
        <v>5.4</v>
      </c>
      <c r="B184" s="93" t="s">
        <v>31</v>
      </c>
      <c r="C184" s="93" t="str">
        <f t="shared" si="29"/>
        <v>Desarrollo Contrato EPCM</v>
      </c>
      <c r="D184" s="353" t="str">
        <f t="shared" si="29"/>
        <v>Formación de Contrato para EPCM</v>
      </c>
      <c r="E184" s="49"/>
      <c r="F184" s="49"/>
      <c r="G184" s="49"/>
      <c r="H184" s="49"/>
      <c r="I184" s="49"/>
      <c r="J184" s="48"/>
      <c r="K184" s="12" t="s">
        <v>5</v>
      </c>
      <c r="L184" s="11"/>
      <c r="M184" s="11"/>
      <c r="N184" s="11"/>
      <c r="O184" s="54">
        <f t="shared" si="32"/>
        <v>0</v>
      </c>
      <c r="P184" s="54">
        <f t="shared" si="32"/>
        <v>0</v>
      </c>
      <c r="Q184" s="54">
        <f t="shared" si="32"/>
        <v>0</v>
      </c>
      <c r="R184" s="54">
        <f t="shared" si="32"/>
        <v>0</v>
      </c>
      <c r="S184" s="54">
        <f t="shared" si="32"/>
        <v>0</v>
      </c>
      <c r="T184" s="54">
        <f t="shared" si="32"/>
        <v>0.30434782608695654</v>
      </c>
      <c r="U184" s="54">
        <f t="shared" si="32"/>
        <v>0.30434782608695654</v>
      </c>
      <c r="V184" s="54">
        <f t="shared" si="32"/>
        <v>0.30434782608695654</v>
      </c>
      <c r="W184" s="54">
        <f t="shared" si="32"/>
        <v>8.6956521739130432E-2</v>
      </c>
      <c r="X184" s="54">
        <f t="shared" si="32"/>
        <v>0</v>
      </c>
      <c r="Y184" s="54">
        <f t="shared" si="32"/>
        <v>0</v>
      </c>
      <c r="Z184" s="54">
        <f t="shared" si="32"/>
        <v>0</v>
      </c>
    </row>
    <row r="185" spans="1:26" ht="38.25" hidden="1" customHeight="1" outlineLevel="1" x14ac:dyDescent="0.25">
      <c r="A185" s="93" t="str">
        <f t="shared" ref="A185:A190" si="33">+A21</f>
        <v>5.5</v>
      </c>
      <c r="B185" s="93" t="s">
        <v>32</v>
      </c>
      <c r="C185" s="93" t="str">
        <f t="shared" si="29"/>
        <v>Portal de Proveedores (EDP, Licitaciones, Otros)</v>
      </c>
      <c r="D185" s="353" t="str">
        <f t="shared" si="29"/>
        <v>Creación de Portal de Proveedores que permita realizar procesos en línea, Gestión de Aprobación de Estados de Pago, Procesos de cotización y licitación.</v>
      </c>
      <c r="E185" s="49"/>
      <c r="F185" s="49"/>
      <c r="G185" s="49"/>
      <c r="H185" s="49"/>
      <c r="I185" s="49"/>
      <c r="J185" s="48"/>
      <c r="K185" s="12"/>
      <c r="L185" s="11"/>
      <c r="M185" s="11"/>
      <c r="N185" s="11"/>
      <c r="O185" s="54">
        <f t="shared" si="32"/>
        <v>0</v>
      </c>
      <c r="P185" s="54">
        <f t="shared" si="32"/>
        <v>0</v>
      </c>
      <c r="Q185" s="54">
        <f t="shared" si="32"/>
        <v>0</v>
      </c>
      <c r="R185" s="54">
        <f t="shared" si="32"/>
        <v>0</v>
      </c>
      <c r="S185" s="54">
        <f t="shared" si="32"/>
        <v>0.25</v>
      </c>
      <c r="T185" s="54">
        <f t="shared" si="32"/>
        <v>0.25</v>
      </c>
      <c r="U185" s="54">
        <f t="shared" si="32"/>
        <v>0.25</v>
      </c>
      <c r="V185" s="54">
        <f t="shared" si="32"/>
        <v>0.25</v>
      </c>
      <c r="W185" s="54">
        <f t="shared" si="32"/>
        <v>0</v>
      </c>
      <c r="X185" s="54">
        <f t="shared" si="32"/>
        <v>0</v>
      </c>
      <c r="Y185" s="54">
        <f t="shared" si="32"/>
        <v>0</v>
      </c>
      <c r="Z185" s="54">
        <f t="shared" si="32"/>
        <v>0</v>
      </c>
    </row>
    <row r="186" spans="1:26" ht="38.25" hidden="1" customHeight="1" outlineLevel="1" x14ac:dyDescent="0.25">
      <c r="A186" s="93" t="str">
        <f t="shared" si="33"/>
        <v>5.6</v>
      </c>
      <c r="B186" s="93" t="s">
        <v>256</v>
      </c>
      <c r="C186" s="93" t="str">
        <f t="shared" si="29"/>
        <v>Reportabilidad Contratos en línea (medición de desempeño)</v>
      </c>
      <c r="D186" s="353" t="str">
        <f t="shared" si="29"/>
        <v>Creación de Reportabilidad en línea sobre estatus de Contratos y medición de desempeños, ( Power BI)</v>
      </c>
      <c r="E186" s="49"/>
      <c r="F186" s="49"/>
      <c r="G186" s="49"/>
      <c r="H186" s="49"/>
      <c r="I186" s="49"/>
      <c r="J186" s="48"/>
      <c r="K186" s="12"/>
      <c r="L186" s="11"/>
      <c r="M186" s="11"/>
      <c r="N186" s="11"/>
      <c r="O186" s="54">
        <f t="shared" si="32"/>
        <v>0.25</v>
      </c>
      <c r="P186" s="54">
        <f t="shared" si="32"/>
        <v>0.25</v>
      </c>
      <c r="Q186" s="54">
        <f t="shared" si="32"/>
        <v>0.25</v>
      </c>
      <c r="R186" s="54">
        <f t="shared" si="32"/>
        <v>0.25</v>
      </c>
      <c r="S186" s="54">
        <f t="shared" si="32"/>
        <v>0</v>
      </c>
      <c r="T186" s="54">
        <f t="shared" si="32"/>
        <v>0</v>
      </c>
      <c r="U186" s="54">
        <f t="shared" si="32"/>
        <v>0</v>
      </c>
      <c r="V186" s="54">
        <f t="shared" si="32"/>
        <v>0</v>
      </c>
      <c r="W186" s="54">
        <f t="shared" si="32"/>
        <v>0</v>
      </c>
      <c r="X186" s="54">
        <f t="shared" si="32"/>
        <v>0</v>
      </c>
      <c r="Y186" s="54">
        <f t="shared" si="32"/>
        <v>0</v>
      </c>
      <c r="Z186" s="54">
        <f t="shared" si="32"/>
        <v>0</v>
      </c>
    </row>
    <row r="187" spans="1:26" ht="38.25" hidden="1" customHeight="1" outlineLevel="1" x14ac:dyDescent="0.25">
      <c r="A187" s="93" t="str">
        <f t="shared" si="33"/>
        <v>5.7</v>
      </c>
      <c r="B187" s="93" t="s">
        <v>257</v>
      </c>
      <c r="C187" s="93" t="str">
        <f t="shared" si="29"/>
        <v>Gestion de Proveedores y Contratistas Locales (capacitación)</v>
      </c>
      <c r="D187" s="353" t="str">
        <f t="shared" si="29"/>
        <v>Capacitación de Proveedores locales en temas Administrativos-Comerciales por medio de desarrollo de talleres y cursos</v>
      </c>
      <c r="E187" s="49"/>
      <c r="F187" s="49"/>
      <c r="G187" s="49"/>
      <c r="H187" s="49"/>
      <c r="I187" s="49"/>
      <c r="J187" s="48"/>
      <c r="K187" s="12"/>
      <c r="L187" s="11"/>
      <c r="M187" s="11"/>
      <c r="N187" s="11"/>
      <c r="O187" s="54">
        <f t="shared" si="32"/>
        <v>0</v>
      </c>
      <c r="P187" s="54">
        <f t="shared" si="32"/>
        <v>0</v>
      </c>
      <c r="Q187" s="54">
        <f t="shared" si="32"/>
        <v>0</v>
      </c>
      <c r="R187" s="54">
        <f t="shared" si="32"/>
        <v>0</v>
      </c>
      <c r="S187" s="54">
        <f t="shared" si="32"/>
        <v>0.125</v>
      </c>
      <c r="T187" s="54">
        <f t="shared" si="32"/>
        <v>0.125</v>
      </c>
      <c r="U187" s="54">
        <f t="shared" si="32"/>
        <v>0.125</v>
      </c>
      <c r="V187" s="54">
        <f t="shared" si="32"/>
        <v>0.125</v>
      </c>
      <c r="W187" s="54">
        <f t="shared" si="32"/>
        <v>0.125</v>
      </c>
      <c r="X187" s="54">
        <f t="shared" si="32"/>
        <v>0.125</v>
      </c>
      <c r="Y187" s="54">
        <f t="shared" si="32"/>
        <v>0.125</v>
      </c>
      <c r="Z187" s="54">
        <f t="shared" si="32"/>
        <v>0.125</v>
      </c>
    </row>
    <row r="188" spans="1:26" ht="38.25" hidden="1" customHeight="1" outlineLevel="1" x14ac:dyDescent="0.25">
      <c r="A188" s="93">
        <f t="shared" si="33"/>
        <v>0</v>
      </c>
      <c r="B188" s="93" t="s">
        <v>258</v>
      </c>
      <c r="C188" s="93">
        <f t="shared" si="29"/>
        <v>0</v>
      </c>
      <c r="D188" s="353">
        <f t="shared" si="29"/>
        <v>0</v>
      </c>
      <c r="E188" s="49"/>
      <c r="F188" s="49"/>
      <c r="G188" s="49"/>
      <c r="H188" s="49"/>
      <c r="I188" s="49"/>
      <c r="J188" s="48"/>
      <c r="K188" s="12"/>
      <c r="L188" s="11"/>
      <c r="M188" s="11"/>
      <c r="N188" s="11"/>
      <c r="O188" s="54" t="e">
        <f t="shared" si="32"/>
        <v>#DIV/0!</v>
      </c>
      <c r="P188" s="54" t="e">
        <f t="shared" si="32"/>
        <v>#DIV/0!</v>
      </c>
      <c r="Q188" s="54" t="e">
        <f t="shared" si="32"/>
        <v>#DIV/0!</v>
      </c>
      <c r="R188" s="54" t="e">
        <f t="shared" si="32"/>
        <v>#DIV/0!</v>
      </c>
      <c r="S188" s="54" t="e">
        <f t="shared" si="32"/>
        <v>#DIV/0!</v>
      </c>
      <c r="T188" s="54" t="e">
        <f t="shared" si="32"/>
        <v>#DIV/0!</v>
      </c>
      <c r="U188" s="54" t="e">
        <f t="shared" si="32"/>
        <v>#DIV/0!</v>
      </c>
      <c r="V188" s="54" t="e">
        <f t="shared" si="32"/>
        <v>#DIV/0!</v>
      </c>
      <c r="W188" s="54" t="e">
        <f t="shared" si="32"/>
        <v>#DIV/0!</v>
      </c>
      <c r="X188" s="54" t="e">
        <f t="shared" si="32"/>
        <v>#DIV/0!</v>
      </c>
      <c r="Y188" s="54" t="e">
        <f t="shared" si="32"/>
        <v>#DIV/0!</v>
      </c>
      <c r="Z188" s="54" t="e">
        <f t="shared" si="32"/>
        <v>#DIV/0!</v>
      </c>
    </row>
    <row r="189" spans="1:26" ht="38.25" hidden="1" customHeight="1" outlineLevel="1" x14ac:dyDescent="0.25">
      <c r="A189" s="93">
        <f t="shared" si="33"/>
        <v>0</v>
      </c>
      <c r="B189" s="93" t="s">
        <v>259</v>
      </c>
      <c r="C189" s="93">
        <f t="shared" si="29"/>
        <v>0</v>
      </c>
      <c r="D189" s="353">
        <f t="shared" si="29"/>
        <v>0</v>
      </c>
      <c r="E189" s="49"/>
      <c r="F189" s="49"/>
      <c r="G189" s="49"/>
      <c r="H189" s="49"/>
      <c r="I189" s="49"/>
      <c r="J189" s="48"/>
      <c r="K189" s="12"/>
      <c r="L189" s="11"/>
      <c r="M189" s="11"/>
      <c r="N189" s="11"/>
      <c r="O189" s="54" t="e">
        <f t="shared" si="32"/>
        <v>#DIV/0!</v>
      </c>
      <c r="P189" s="54" t="e">
        <f t="shared" si="32"/>
        <v>#DIV/0!</v>
      </c>
      <c r="Q189" s="54" t="e">
        <f t="shared" si="32"/>
        <v>#DIV/0!</v>
      </c>
      <c r="R189" s="54" t="e">
        <f t="shared" si="32"/>
        <v>#DIV/0!</v>
      </c>
      <c r="S189" s="54" t="e">
        <f t="shared" si="32"/>
        <v>#DIV/0!</v>
      </c>
      <c r="T189" s="54" t="e">
        <f t="shared" si="32"/>
        <v>#DIV/0!</v>
      </c>
      <c r="U189" s="54" t="e">
        <f t="shared" si="32"/>
        <v>#DIV/0!</v>
      </c>
      <c r="V189" s="54" t="e">
        <f t="shared" si="32"/>
        <v>#DIV/0!</v>
      </c>
      <c r="W189" s="54" t="e">
        <f t="shared" si="32"/>
        <v>#DIV/0!</v>
      </c>
      <c r="X189" s="54" t="e">
        <f t="shared" si="32"/>
        <v>#DIV/0!</v>
      </c>
      <c r="Y189" s="54" t="e">
        <f t="shared" si="32"/>
        <v>#DIV/0!</v>
      </c>
      <c r="Z189" s="54" t="e">
        <f t="shared" si="32"/>
        <v>#DIV/0!</v>
      </c>
    </row>
    <row r="190" spans="1:26" ht="38.25" hidden="1" customHeight="1" outlineLevel="1" x14ac:dyDescent="0.25">
      <c r="A190" s="93">
        <f t="shared" si="33"/>
        <v>0</v>
      </c>
      <c r="B190" s="93" t="s">
        <v>260</v>
      </c>
      <c r="C190" s="93">
        <f t="shared" si="29"/>
        <v>0</v>
      </c>
      <c r="D190" s="353">
        <f t="shared" si="29"/>
        <v>0</v>
      </c>
      <c r="E190" s="49"/>
      <c r="F190" s="49"/>
      <c r="G190" s="49"/>
      <c r="H190" s="49"/>
      <c r="I190" s="49"/>
      <c r="J190" s="48"/>
      <c r="K190" s="12" t="s">
        <v>5</v>
      </c>
      <c r="L190" s="11"/>
      <c r="M190" s="11"/>
      <c r="N190" s="11"/>
      <c r="O190" s="54" t="e">
        <f t="shared" si="32"/>
        <v>#VALUE!</v>
      </c>
      <c r="P190" s="54" t="e">
        <f t="shared" si="32"/>
        <v>#DIV/0!</v>
      </c>
      <c r="Q190" s="54" t="e">
        <f t="shared" si="32"/>
        <v>#DIV/0!</v>
      </c>
      <c r="R190" s="54" t="e">
        <f t="shared" si="32"/>
        <v>#DIV/0!</v>
      </c>
      <c r="S190" s="54" t="e">
        <f t="shared" si="32"/>
        <v>#DIV/0!</v>
      </c>
      <c r="T190" s="54" t="e">
        <f t="shared" si="32"/>
        <v>#DIV/0!</v>
      </c>
      <c r="U190" s="54" t="e">
        <f t="shared" si="32"/>
        <v>#DIV/0!</v>
      </c>
      <c r="V190" s="54" t="e">
        <f t="shared" si="32"/>
        <v>#DIV/0!</v>
      </c>
      <c r="W190" s="54" t="e">
        <f t="shared" si="32"/>
        <v>#DIV/0!</v>
      </c>
      <c r="X190" s="54" t="e">
        <f t="shared" si="32"/>
        <v>#DIV/0!</v>
      </c>
      <c r="Y190" s="54" t="e">
        <f t="shared" si="32"/>
        <v>#DIV/0!</v>
      </c>
      <c r="Z190" s="54" t="e">
        <f t="shared" si="32"/>
        <v>#DIV/0!</v>
      </c>
    </row>
    <row r="191" spans="1:26" s="35" customFormat="1" ht="22.5" hidden="1" customHeight="1" outlineLevel="1" x14ac:dyDescent="0.25">
      <c r="A191" s="33"/>
      <c r="B191" s="34"/>
      <c r="C191" s="34"/>
      <c r="D191" s="34"/>
      <c r="E191" s="50"/>
      <c r="F191" s="50"/>
      <c r="G191" s="50"/>
      <c r="H191" s="50"/>
      <c r="I191" s="50"/>
      <c r="J191" s="51" t="s">
        <v>20</v>
      </c>
      <c r="K191" s="68"/>
      <c r="L191" s="32" t="s">
        <v>48</v>
      </c>
      <c r="M191" s="32" t="s">
        <v>55</v>
      </c>
      <c r="N191" s="126">
        <f>SUM(N181:N190)</f>
        <v>12</v>
      </c>
      <c r="O191" s="54">
        <f t="shared" si="32"/>
        <v>6.8983296360450155E-2</v>
      </c>
      <c r="P191" s="54">
        <f t="shared" si="32"/>
        <v>7.3066520801045365E-2</v>
      </c>
      <c r="Q191" s="54">
        <f t="shared" si="32"/>
        <v>7.3094883560741883E-2</v>
      </c>
      <c r="R191" s="54">
        <f t="shared" si="32"/>
        <v>7.8191063704784194E-2</v>
      </c>
      <c r="S191" s="54">
        <f t="shared" si="32"/>
        <v>9.1389876520699756E-2</v>
      </c>
      <c r="T191" s="54">
        <f t="shared" si="32"/>
        <v>0.1268747277681547</v>
      </c>
      <c r="U191" s="54">
        <f t="shared" si="32"/>
        <v>0.12690511643925811</v>
      </c>
      <c r="V191" s="54">
        <f t="shared" si="32"/>
        <v>0.12693651806606496</v>
      </c>
      <c r="W191" s="54">
        <f t="shared" si="32"/>
        <v>6.6190577486046537E-2</v>
      </c>
      <c r="X191" s="54">
        <f t="shared" si="32"/>
        <v>5.6091409122679063E-2</v>
      </c>
      <c r="Y191" s="54">
        <f t="shared" si="32"/>
        <v>5.6122810749485927E-2</v>
      </c>
      <c r="Z191" s="54">
        <f t="shared" si="32"/>
        <v>5.6153199420589335E-2</v>
      </c>
    </row>
    <row r="193" spans="1:3" x14ac:dyDescent="0.25">
      <c r="B193" s="27" t="s">
        <v>21</v>
      </c>
      <c r="C193" s="28">
        <v>43102</v>
      </c>
    </row>
    <row r="194" spans="1:3" x14ac:dyDescent="0.25">
      <c r="B194" s="27" t="s">
        <v>23</v>
      </c>
      <c r="C194" s="28">
        <v>42917</v>
      </c>
    </row>
    <row r="196" spans="1:3" ht="18" x14ac:dyDescent="0.25">
      <c r="A196" s="132" t="s">
        <v>262</v>
      </c>
    </row>
    <row r="197" spans="1:3" ht="18" x14ac:dyDescent="0.25">
      <c r="A197" s="127" t="s">
        <v>302</v>
      </c>
      <c r="B197" s="128"/>
    </row>
    <row r="198" spans="1:3" ht="18" x14ac:dyDescent="0.25">
      <c r="A198" s="127" t="s">
        <v>323</v>
      </c>
      <c r="B198" s="128"/>
    </row>
    <row r="200" spans="1:3" ht="18" x14ac:dyDescent="0.25">
      <c r="A200" s="128" t="s">
        <v>316</v>
      </c>
      <c r="B200" s="131" t="s">
        <v>288</v>
      </c>
      <c r="C200" s="131" t="s">
        <v>320</v>
      </c>
    </row>
    <row r="201" spans="1:3" ht="36" x14ac:dyDescent="0.25">
      <c r="A201" s="130" t="s">
        <v>310</v>
      </c>
      <c r="B201" s="131" t="s">
        <v>289</v>
      </c>
      <c r="C201" s="131" t="s">
        <v>321</v>
      </c>
    </row>
    <row r="202" spans="1:3" ht="54" x14ac:dyDescent="0.25">
      <c r="A202" s="130" t="s">
        <v>311</v>
      </c>
      <c r="B202" s="131" t="s">
        <v>290</v>
      </c>
      <c r="C202" s="131" t="s">
        <v>319</v>
      </c>
    </row>
    <row r="203" spans="1:3" ht="54" x14ac:dyDescent="0.25">
      <c r="A203" s="130" t="s">
        <v>312</v>
      </c>
      <c r="B203" s="131" t="s">
        <v>291</v>
      </c>
      <c r="C203" s="131" t="s">
        <v>322</v>
      </c>
    </row>
    <row r="204" spans="1:3" ht="54" x14ac:dyDescent="0.25">
      <c r="A204" s="130" t="s">
        <v>313</v>
      </c>
      <c r="B204" s="131" t="s">
        <v>292</v>
      </c>
      <c r="C204" s="131" t="s">
        <v>327</v>
      </c>
    </row>
    <row r="205" spans="1:3" ht="36" x14ac:dyDescent="0.25">
      <c r="A205" s="130" t="s">
        <v>314</v>
      </c>
      <c r="B205" s="131" t="s">
        <v>293</v>
      </c>
      <c r="C205" s="131" t="s">
        <v>317</v>
      </c>
    </row>
    <row r="206" spans="1:3" ht="54" x14ac:dyDescent="0.25">
      <c r="A206" s="130" t="s">
        <v>315</v>
      </c>
      <c r="B206" s="131" t="s">
        <v>296</v>
      </c>
      <c r="C206" s="131" t="s">
        <v>318</v>
      </c>
    </row>
    <row r="208" spans="1:3" ht="72" x14ac:dyDescent="0.25">
      <c r="A208" s="129" t="s">
        <v>301</v>
      </c>
      <c r="B208" s="128" t="s">
        <v>305</v>
      </c>
    </row>
    <row r="210" spans="1:2" ht="54" x14ac:dyDescent="0.25">
      <c r="A210" s="129" t="s">
        <v>303</v>
      </c>
      <c r="B210" s="128" t="s">
        <v>306</v>
      </c>
    </row>
    <row r="211" spans="1:2" ht="18" x14ac:dyDescent="0.25">
      <c r="A211" s="128"/>
    </row>
    <row r="212" spans="1:2" ht="72" x14ac:dyDescent="0.25">
      <c r="A212" s="129" t="s">
        <v>304</v>
      </c>
      <c r="B212" s="9" t="s">
        <v>307</v>
      </c>
    </row>
    <row r="213" spans="1:2" ht="18" x14ac:dyDescent="0.25">
      <c r="A213" s="128"/>
    </row>
    <row r="214" spans="1:2" ht="54" x14ac:dyDescent="0.25">
      <c r="A214" s="128" t="s">
        <v>308</v>
      </c>
      <c r="B214" s="128" t="s">
        <v>309</v>
      </c>
    </row>
  </sheetData>
  <mergeCells count="50">
    <mergeCell ref="E38:K38"/>
    <mergeCell ref="E32:K32"/>
    <mergeCell ref="E33:K33"/>
    <mergeCell ref="E34:K34"/>
    <mergeCell ref="E35:K35"/>
    <mergeCell ref="E36:K36"/>
    <mergeCell ref="E52:K52"/>
    <mergeCell ref="E39:K39"/>
    <mergeCell ref="E40:K40"/>
    <mergeCell ref="E41:K41"/>
    <mergeCell ref="E42:K42"/>
    <mergeCell ref="E44:K44"/>
    <mergeCell ref="E45:K45"/>
    <mergeCell ref="E46:K46"/>
    <mergeCell ref="E47:K47"/>
    <mergeCell ref="E48:K48"/>
    <mergeCell ref="E50:K50"/>
    <mergeCell ref="E51:K51"/>
    <mergeCell ref="E66:K66"/>
    <mergeCell ref="E53:K53"/>
    <mergeCell ref="E54:K54"/>
    <mergeCell ref="E56:K56"/>
    <mergeCell ref="E57:K57"/>
    <mergeCell ref="E58:K58"/>
    <mergeCell ref="E59:K59"/>
    <mergeCell ref="E60:K60"/>
    <mergeCell ref="E62:K62"/>
    <mergeCell ref="E63:K63"/>
    <mergeCell ref="E64:K64"/>
    <mergeCell ref="E65:K65"/>
    <mergeCell ref="E81:K81"/>
    <mergeCell ref="E68:K68"/>
    <mergeCell ref="E69:K69"/>
    <mergeCell ref="E70:K70"/>
    <mergeCell ref="E71:K71"/>
    <mergeCell ref="E72:K72"/>
    <mergeCell ref="E74:K74"/>
    <mergeCell ref="E75:K75"/>
    <mergeCell ref="E76:K76"/>
    <mergeCell ref="E77:K77"/>
    <mergeCell ref="E78:K78"/>
    <mergeCell ref="E80:K80"/>
    <mergeCell ref="E89:K89"/>
    <mergeCell ref="E90:K90"/>
    <mergeCell ref="E82:K82"/>
    <mergeCell ref="E83:K83"/>
    <mergeCell ref="E84:K84"/>
    <mergeCell ref="E86:K86"/>
    <mergeCell ref="E87:K87"/>
    <mergeCell ref="E88:K88"/>
  </mergeCells>
  <dataValidations count="5">
    <dataValidation type="list" allowBlank="1" showInputMessage="1" showErrorMessage="1" sqref="F117 F172:F176 F165:F169 F158:F162 F145:F148 F138:F141 F122:F134 F152:F155">
      <formula1>$A$3:$A$9</formula1>
    </dataValidation>
    <dataValidation type="list" allowBlank="1" showInputMessage="1" showErrorMessage="1" sqref="M181:M191 L181:L190 H165:K168 H152:K154 H145:K147 H138:K140 H141:J141 H122:H134 K96:K102 I134:J134 H148:I148 I122:K133 H155:J155 H162:J162 H169:J169 H176:J176 H172:K175 H159:K161">
      <formula1>$C$3:$C$15</formula1>
    </dataValidation>
    <dataValidation type="list" allowBlank="1" showInputMessage="1" showErrorMessage="1" sqref="L27">
      <formula1>$D$4:$D$15</formula1>
    </dataValidation>
    <dataValidation type="list" allowBlank="1" showInputMessage="1" showErrorMessage="1" sqref="J96:J102 J148 L191">
      <formula1>$C$3:$C$14</formula1>
    </dataValidation>
    <dataValidation type="list" allowBlank="1" showInputMessage="1" showErrorMessage="1" sqref="L38:L42 L44:L48 L50:L54 L56:L60 L62:L66 L68:L72 L74:L78 L80:L84 L86:L90">
      <formula1>$G$2:$G$8</formula1>
    </dataValidation>
  </dataValidations>
  <printOptions horizontalCentered="1"/>
  <pageMargins left="0.31496062992125984" right="0.31496062992125984" top="1.1811023622047245" bottom="1.1811023622047245" header="0.31496062992125984" footer="0.31496062992125984"/>
  <pageSetup paperSize="17" scale="16" orientation="landscape" r:id="rId1"/>
  <headerFooter>
    <oddHeader>&amp;R&amp;10&amp;G</oddHeader>
    <oddFooter>&amp;L&amp;"Arial,Normal"&amp;8NuveaUnión - Scope of Approval
&amp;F&amp;C&amp;8&amp;P / &amp;N
&amp;RRev B</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'C:\Users\gineva.alcota\AppData\Local\Microsoft\Windows\INetCache\Content.Outlook\ZG6HJCZN\[1002-40303-PS-SOA-0001_Contratos.xlsx]Lists'!#REF!</xm:f>
          </x14:formula1>
          <xm:sqref>L95:L102 L106:L117 L172:M175 M125:M133 M138:M140 M145:M147 M152:M154 L165:M168 L121:L133 L137:L140 L144:L147 L151:L154 L158:L161 M159:M161</xm:sqref>
        </x14:dataValidation>
        <x14:dataValidation type="list" allowBlank="1" showInputMessage="1" showErrorMessage="1">
          <x14:formula1>
            <xm:f>'C:\Users\gineva.alcota\AppData\Local\Microsoft\Windows\INetCache\Content.Outlook\ZG6HJCZN\[1002-40303-PS-SOA-0001_Contratos.xlsx]Lists'!#REF!</xm:f>
          </x14:formula1>
          <xm:sqref>H96:I102</xm:sqref>
        </x14:dataValidation>
        <x14:dataValidation type="list" allowBlank="1" showInputMessage="1" showErrorMessage="1">
          <x14:formula1>
            <xm:f>'C:\Users\gineva.alcota\AppData\Local\Microsoft\Windows\INetCache\Content.Outlook\ZG6HJCZN\[1002-40303-PS-SOA-0001_Contratos.xlsx]Lists'!#REF!</xm:f>
          </x14:formula1>
          <xm:sqref>F106:F116 F95:F102 F121 F137 F144 F151</xm:sqref>
        </x14:dataValidation>
        <x14:dataValidation type="list" allowBlank="1" showInputMessage="1" showErrorMessage="1">
          <x14:formula1>
            <xm:f>'C:\Users\gineva.alcota\AppData\Local\Microsoft\Windows\INetCache\Content.Outlook\ZG6HJCZN\[1002-40303-PS-SOA-0001_Contratos.xlsx]Lists'!#REF!</xm:f>
          </x14:formula1>
          <xm:sqref>H95:K95 M106:M117 H107:K117</xm:sqref>
        </x14:dataValidation>
        <x14:dataValidation type="list" allowBlank="1" showInputMessage="1" showErrorMessage="1">
          <x14:formula1>
            <xm:f>'C:\Users\gineva.alcota\AppData\Local\Microsoft\Windows\INetCache\Content.Outlook\ZG6HJCZN\[1002-40303-PS-SOA-0001_Contratos.xlsx]Lists'!#REF!</xm:f>
          </x14:formula1>
          <xm:sqref>L32:L36</xm:sqref>
        </x14:dataValidation>
        <x14:dataValidation type="list" allowBlank="1" showInputMessage="1" showErrorMessage="1">
          <x14:formula1>
            <xm:f>'C:\Users\gineva.alcota\AppData\Local\Microsoft\Windows\INetCache\Content.Outlook\ZG6HJCZN\[1002-40303-PS-SOA-0001_Contratos.xlsx]Lists'!#REF!</xm:f>
          </x14:formula1>
          <xm:sqref>N181:N190</xm:sqref>
        </x14:dataValidation>
        <x14:dataValidation type="list" allowBlank="1" showInputMessage="1" showErrorMessage="1">
          <x14:formula1>
            <xm:f>'C:\Users\gineva.alcota\AppData\Local\Microsoft\Windows\INetCache\Content.Outlook\ZG6HJCZN\[1002-40303-PS-SOA-0001_Contratos.xlsx]Lists'!#REF!</xm:f>
          </x14:formula1>
          <xm:sqref>B8</xm:sqref>
        </x14:dataValidation>
        <x14:dataValidation type="list" allowBlank="1" showInputMessage="1" showErrorMessage="1">
          <x14:formula1>
            <xm:f>'C:\Users\gineva.alcota\AppData\Local\Microsoft\Windows\INetCache\Content.Outlook\ZG6HJCZN\[1002-40303-PS-SOA-0001_Contratos.xlsx]CCs &amp; Accounts'!#REF!</xm:f>
          </x14:formula1>
          <xm:sqref>E17:E26 E106:E117 E137:E141 E144:E148 E151:E155 E158:E162 E165:E169 E172:E176 E121:E134 E95:E102 D159</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dimension ref="A1:AA165"/>
  <sheetViews>
    <sheetView topLeftCell="B4" zoomScale="70" zoomScaleNormal="70" workbookViewId="0">
      <selection activeCell="D99" sqref="D99"/>
    </sheetView>
  </sheetViews>
  <sheetFormatPr baseColWidth="10" defaultColWidth="11.42578125" defaultRowHeight="14.25" outlineLevelRow="1" outlineLevelCol="1" x14ac:dyDescent="0.25"/>
  <cols>
    <col min="1" max="1" width="10.85546875" style="9" customWidth="1"/>
    <col min="2" max="2" width="32" style="9" customWidth="1"/>
    <col min="3" max="3" width="43.7109375" style="9" customWidth="1"/>
    <col min="4" max="4" width="79.42578125" style="9" customWidth="1"/>
    <col min="5" max="5" width="17.5703125" style="9" customWidth="1"/>
    <col min="6" max="6" width="29.85546875" style="9" customWidth="1"/>
    <col min="7" max="8" width="17.5703125" style="9" customWidth="1"/>
    <col min="9" max="10" width="11.5703125" style="9" customWidth="1"/>
    <col min="11" max="11" width="17.5703125" style="9" customWidth="1"/>
    <col min="12" max="13" width="17.7109375" style="9" customWidth="1"/>
    <col min="14" max="14" width="13.5703125" style="9" customWidth="1"/>
    <col min="15" max="15" width="11.5703125" style="9" customWidth="1" outlineLevel="1"/>
    <col min="16" max="17" width="16.42578125" style="9" customWidth="1" outlineLevel="1"/>
    <col min="18" max="18" width="16.85546875" style="9" customWidth="1" outlineLevel="1"/>
    <col min="19" max="19" width="16.42578125" style="9" customWidth="1" outlineLevel="1"/>
    <col min="20" max="23" width="16.85546875" style="9" customWidth="1" outlineLevel="1"/>
    <col min="24" max="25" width="16.42578125" style="9" customWidth="1" outlineLevel="1"/>
    <col min="26" max="26" width="16.85546875" style="9" customWidth="1" outlineLevel="1"/>
    <col min="27" max="16384" width="11.42578125" style="9"/>
  </cols>
  <sheetData>
    <row r="1" spans="1:26" ht="24.75" customHeight="1" x14ac:dyDescent="0.25"/>
    <row r="2" spans="1:26" s="1" customFormat="1" ht="24.75" customHeight="1" x14ac:dyDescent="0.2">
      <c r="B2" s="2"/>
    </row>
    <row r="3" spans="1:26" s="1" customFormat="1" ht="24.75" customHeight="1" x14ac:dyDescent="0.25">
      <c r="B3" s="3"/>
    </row>
    <row r="4" spans="1:26" s="1" customFormat="1" ht="36.6" customHeight="1" x14ac:dyDescent="0.2"/>
    <row r="5" spans="1:26" ht="24.75" customHeight="1" x14ac:dyDescent="0.25"/>
    <row r="6" spans="1:26" ht="36.6" customHeight="1" x14ac:dyDescent="0.25">
      <c r="A6" s="40" t="s">
        <v>25</v>
      </c>
      <c r="B6" s="36"/>
      <c r="C6" s="37"/>
      <c r="D6" s="38"/>
      <c r="E6" s="38"/>
      <c r="F6" s="38"/>
      <c r="G6" s="38"/>
      <c r="H6" s="39"/>
      <c r="I6" s="39"/>
      <c r="J6" s="46"/>
      <c r="K6" s="38"/>
      <c r="L6" s="43"/>
      <c r="M6" s="43"/>
      <c r="N6" s="43"/>
      <c r="O6" s="43" t="s">
        <v>5</v>
      </c>
      <c r="P6" s="43"/>
      <c r="Q6" s="43"/>
      <c r="R6" s="43"/>
      <c r="S6" s="43"/>
      <c r="T6" s="43"/>
      <c r="U6" s="43"/>
      <c r="V6" s="43"/>
      <c r="W6" s="43"/>
      <c r="X6" s="43"/>
      <c r="Y6" s="43"/>
      <c r="Z6" s="43"/>
    </row>
    <row r="7" spans="1:26" ht="18" x14ac:dyDescent="0.25">
      <c r="A7" s="17"/>
      <c r="B7" s="75" t="s">
        <v>6</v>
      </c>
      <c r="C7" s="75"/>
      <c r="D7" s="75"/>
      <c r="E7" s="75"/>
      <c r="F7" s="75"/>
      <c r="G7" s="75"/>
      <c r="H7" s="75"/>
      <c r="I7" s="75"/>
      <c r="J7" s="75"/>
      <c r="K7" s="75"/>
      <c r="L7" s="75"/>
      <c r="M7" s="75"/>
      <c r="N7" s="76"/>
      <c r="O7" s="16"/>
      <c r="P7" s="16"/>
      <c r="Q7" s="16"/>
      <c r="R7" s="16"/>
      <c r="S7" s="16"/>
      <c r="T7" s="16"/>
      <c r="U7" s="16"/>
      <c r="V7" s="16"/>
      <c r="W7" s="16"/>
      <c r="X7" s="16"/>
      <c r="Y7" s="16"/>
      <c r="Z7" s="18"/>
    </row>
    <row r="8" spans="1:26" ht="18" x14ac:dyDescent="0.25">
      <c r="A8" s="19"/>
      <c r="B8" s="77" t="s">
        <v>249</v>
      </c>
      <c r="C8" s="78"/>
      <c r="D8" s="78"/>
      <c r="E8" s="79"/>
      <c r="F8" s="79"/>
      <c r="G8" s="79"/>
      <c r="H8" s="79"/>
      <c r="I8" s="79"/>
      <c r="J8" s="79"/>
      <c r="K8" s="79"/>
      <c r="L8" s="79"/>
      <c r="M8" s="79"/>
      <c r="N8" s="80" t="s">
        <v>7</v>
      </c>
      <c r="O8" s="13"/>
      <c r="P8" s="13"/>
      <c r="Q8" s="13"/>
      <c r="R8" s="13"/>
      <c r="S8" s="13"/>
      <c r="T8" s="13"/>
      <c r="U8" s="13"/>
      <c r="V8" s="13"/>
      <c r="W8" s="13"/>
      <c r="X8" s="13"/>
      <c r="Y8" s="13"/>
      <c r="Z8" s="25"/>
    </row>
    <row r="9" spans="1:26" ht="18" x14ac:dyDescent="0.25">
      <c r="A9" s="19"/>
      <c r="B9" s="81" t="s">
        <v>8</v>
      </c>
      <c r="C9" s="79"/>
      <c r="D9" s="81" t="s">
        <v>9</v>
      </c>
      <c r="E9" s="81"/>
      <c r="F9" s="81"/>
      <c r="G9" s="81"/>
      <c r="H9" s="81"/>
      <c r="I9" s="81"/>
      <c r="J9" s="81"/>
      <c r="K9" s="81"/>
      <c r="L9" s="81"/>
      <c r="M9" s="81"/>
      <c r="N9" s="82">
        <v>43102</v>
      </c>
      <c r="O9" s="14"/>
      <c r="P9" s="14"/>
      <c r="Q9" s="14"/>
      <c r="R9" s="14"/>
      <c r="S9" s="14"/>
      <c r="T9" s="14"/>
      <c r="U9" s="14"/>
      <c r="V9" s="14"/>
      <c r="W9" s="14"/>
      <c r="X9" s="14"/>
      <c r="Y9" s="14"/>
      <c r="Z9" s="26"/>
    </row>
    <row r="10" spans="1:26" ht="18" x14ac:dyDescent="0.25">
      <c r="A10" s="20"/>
      <c r="B10" s="83" t="str">
        <f>VLOOKUP(B8,[32]Lists!E2:G41,3,)</f>
        <v>688 Management</v>
      </c>
      <c r="C10" s="84"/>
      <c r="D10" s="77" t="s">
        <v>1354</v>
      </c>
      <c r="E10" s="79"/>
      <c r="F10" s="79"/>
      <c r="G10" s="79"/>
      <c r="H10" s="79"/>
      <c r="I10" s="79"/>
      <c r="J10" s="79"/>
      <c r="K10" s="79"/>
      <c r="L10" s="79"/>
      <c r="M10" s="79"/>
      <c r="N10" s="85"/>
      <c r="O10" s="13"/>
      <c r="P10" s="13"/>
      <c r="Q10" s="13"/>
      <c r="R10" s="13"/>
      <c r="S10" s="13"/>
      <c r="T10" s="13"/>
      <c r="U10" s="13"/>
      <c r="V10" s="13"/>
      <c r="W10" s="13"/>
      <c r="X10" s="13"/>
      <c r="Y10" s="13"/>
      <c r="Z10" s="25"/>
    </row>
    <row r="11" spans="1:26" ht="18" x14ac:dyDescent="0.25">
      <c r="A11" s="20"/>
      <c r="B11" s="86" t="s">
        <v>10</v>
      </c>
      <c r="C11" s="84"/>
      <c r="D11" s="86"/>
      <c r="E11" s="86"/>
      <c r="F11" s="86"/>
      <c r="G11" s="86"/>
      <c r="H11" s="86"/>
      <c r="I11" s="86"/>
      <c r="J11" s="86"/>
      <c r="K11" s="86"/>
      <c r="L11" s="86"/>
      <c r="M11" s="86"/>
      <c r="N11" s="87" t="s">
        <v>11</v>
      </c>
      <c r="O11" s="15"/>
      <c r="P11" s="15"/>
      <c r="Q11" s="15"/>
      <c r="R11" s="15"/>
      <c r="S11" s="15"/>
      <c r="T11" s="15"/>
      <c r="U11" s="15"/>
      <c r="V11" s="15"/>
      <c r="W11" s="15"/>
      <c r="X11" s="15"/>
      <c r="Y11" s="15"/>
      <c r="Z11" s="24"/>
    </row>
    <row r="12" spans="1:26" ht="18" x14ac:dyDescent="0.25">
      <c r="A12" s="20"/>
      <c r="B12" s="88">
        <v>43313</v>
      </c>
      <c r="C12" s="84"/>
      <c r="D12" s="86"/>
      <c r="E12" s="79"/>
      <c r="F12" s="79"/>
      <c r="G12" s="79"/>
      <c r="H12" s="79"/>
      <c r="I12" s="79"/>
      <c r="J12" s="79"/>
      <c r="K12" s="79"/>
      <c r="L12" s="79"/>
      <c r="M12" s="79"/>
      <c r="N12" s="82">
        <v>43465</v>
      </c>
      <c r="O12" s="13"/>
      <c r="P12" s="13"/>
      <c r="Q12" s="13"/>
      <c r="R12" s="13"/>
      <c r="S12" s="13"/>
      <c r="T12" s="13"/>
      <c r="U12" s="13"/>
      <c r="V12" s="13"/>
      <c r="W12" s="13"/>
      <c r="X12" s="13"/>
      <c r="Y12" s="13"/>
      <c r="Z12" s="24"/>
    </row>
    <row r="13" spans="1:26" ht="18" x14ac:dyDescent="0.25">
      <c r="A13" s="21"/>
      <c r="B13" s="89"/>
      <c r="C13" s="90"/>
      <c r="D13" s="90"/>
      <c r="E13" s="90"/>
      <c r="F13" s="90"/>
      <c r="G13" s="90"/>
      <c r="H13" s="90"/>
      <c r="I13" s="90"/>
      <c r="J13" s="90"/>
      <c r="K13" s="90"/>
      <c r="L13" s="90"/>
      <c r="M13" s="90"/>
      <c r="N13" s="91"/>
      <c r="O13" s="22"/>
      <c r="P13" s="22"/>
      <c r="Q13" s="22"/>
      <c r="R13" s="22"/>
      <c r="S13" s="22"/>
      <c r="T13" s="22"/>
      <c r="U13" s="22"/>
      <c r="V13" s="22"/>
      <c r="W13" s="22"/>
      <c r="X13" s="22"/>
      <c r="Y13" s="22"/>
      <c r="Z13" s="23"/>
    </row>
    <row r="14" spans="1:26" ht="6.75" customHeight="1" x14ac:dyDescent="0.25"/>
    <row r="15" spans="1:26" ht="18" x14ac:dyDescent="0.25">
      <c r="A15" s="41" t="s">
        <v>12</v>
      </c>
      <c r="B15" s="41"/>
      <c r="C15" s="42"/>
      <c r="D15" s="42"/>
      <c r="E15" s="43"/>
      <c r="F15" s="43"/>
      <c r="G15" s="43"/>
      <c r="H15" s="44"/>
      <c r="I15" s="44"/>
      <c r="J15" s="46"/>
      <c r="K15" s="43"/>
      <c r="L15" s="43"/>
      <c r="M15" s="43"/>
      <c r="N15" s="43"/>
      <c r="O15" s="43" t="s">
        <v>5</v>
      </c>
      <c r="P15" s="43"/>
      <c r="Q15" s="43"/>
      <c r="R15" s="43"/>
      <c r="S15" s="43"/>
      <c r="T15" s="43"/>
      <c r="U15" s="43"/>
      <c r="V15" s="43"/>
      <c r="W15" s="43"/>
      <c r="X15" s="43"/>
      <c r="Y15" s="43"/>
      <c r="Z15" s="43"/>
    </row>
    <row r="16" spans="1:26" ht="30" x14ac:dyDescent="0.25">
      <c r="A16" s="92" t="s">
        <v>261</v>
      </c>
      <c r="B16" s="92" t="s">
        <v>13</v>
      </c>
      <c r="C16" s="92" t="s">
        <v>14</v>
      </c>
      <c r="D16" s="8" t="s">
        <v>15</v>
      </c>
      <c r="E16" s="32" t="s">
        <v>16</v>
      </c>
      <c r="F16" s="48"/>
      <c r="G16" s="48"/>
      <c r="H16" s="48"/>
      <c r="I16" s="48"/>
      <c r="J16" s="48"/>
      <c r="K16" s="48"/>
      <c r="L16" s="32" t="s">
        <v>17</v>
      </c>
      <c r="M16" s="32" t="s">
        <v>18</v>
      </c>
      <c r="N16" s="32" t="s">
        <v>19</v>
      </c>
      <c r="O16" s="66">
        <v>43101</v>
      </c>
      <c r="P16" s="66">
        <v>43132</v>
      </c>
      <c r="Q16" s="66">
        <v>43160</v>
      </c>
      <c r="R16" s="66">
        <v>43191</v>
      </c>
      <c r="S16" s="66">
        <v>43221</v>
      </c>
      <c r="T16" s="66">
        <v>43252</v>
      </c>
      <c r="U16" s="66">
        <v>43282</v>
      </c>
      <c r="V16" s="66">
        <v>43313</v>
      </c>
      <c r="W16" s="66">
        <v>43344</v>
      </c>
      <c r="X16" s="66">
        <v>43374</v>
      </c>
      <c r="Y16" s="66">
        <v>43405</v>
      </c>
      <c r="Z16" s="66">
        <v>43435</v>
      </c>
    </row>
    <row r="17" spans="1:26" ht="30" x14ac:dyDescent="0.25">
      <c r="A17" s="93" t="s">
        <v>154</v>
      </c>
      <c r="B17" s="93" t="s">
        <v>27</v>
      </c>
      <c r="C17" s="93" t="s">
        <v>1487</v>
      </c>
      <c r="D17" s="93" t="s">
        <v>1487</v>
      </c>
      <c r="E17" s="11" t="s">
        <v>248</v>
      </c>
      <c r="F17" s="48"/>
      <c r="G17" s="48"/>
      <c r="H17" s="48"/>
      <c r="I17" s="48"/>
      <c r="J17" s="48"/>
      <c r="K17" s="48"/>
      <c r="L17" s="11">
        <f>+L97</f>
        <v>3</v>
      </c>
      <c r="M17" s="11">
        <f>+M97</f>
        <v>52.5</v>
      </c>
      <c r="N17" s="11">
        <f>SUM(O17:Z17)</f>
        <v>10314</v>
      </c>
      <c r="O17" s="52">
        <f>+O97</f>
        <v>625.08333333333337</v>
      </c>
      <c r="P17" s="52">
        <f t="shared" ref="P17:Z17" si="0">+P97</f>
        <v>625.08333333333337</v>
      </c>
      <c r="Q17" s="52">
        <f t="shared" si="0"/>
        <v>625.08333333333337</v>
      </c>
      <c r="R17" s="52">
        <f t="shared" si="0"/>
        <v>625.08333333333337</v>
      </c>
      <c r="S17" s="52">
        <f t="shared" si="0"/>
        <v>976.70833333333337</v>
      </c>
      <c r="T17" s="52">
        <f t="shared" si="0"/>
        <v>976.70833333333337</v>
      </c>
      <c r="U17" s="52">
        <f t="shared" si="0"/>
        <v>976.70833333333337</v>
      </c>
      <c r="V17" s="52">
        <f t="shared" si="0"/>
        <v>976.70833333333337</v>
      </c>
      <c r="W17" s="52">
        <f t="shared" si="0"/>
        <v>976.70833333333337</v>
      </c>
      <c r="X17" s="52">
        <f t="shared" si="0"/>
        <v>976.70833333333337</v>
      </c>
      <c r="Y17" s="52">
        <f t="shared" si="0"/>
        <v>976.70833333333337</v>
      </c>
      <c r="Z17" s="52">
        <f t="shared" si="0"/>
        <v>976.70833333333337</v>
      </c>
    </row>
    <row r="18" spans="1:26" ht="15" x14ac:dyDescent="0.25">
      <c r="A18" s="93"/>
      <c r="B18" s="93"/>
      <c r="C18" s="93"/>
      <c r="D18" s="10"/>
      <c r="E18" s="11"/>
      <c r="F18" s="48"/>
      <c r="G18" s="48"/>
      <c r="H18" s="48"/>
      <c r="I18" s="48"/>
      <c r="J18" s="48"/>
      <c r="K18" s="48"/>
      <c r="L18" s="11"/>
      <c r="M18" s="48"/>
      <c r="N18" s="12"/>
      <c r="O18" s="12"/>
      <c r="P18" s="12"/>
      <c r="Q18" s="12"/>
      <c r="R18" s="12"/>
      <c r="S18" s="12"/>
      <c r="T18" s="12"/>
      <c r="U18" s="12"/>
      <c r="V18" s="12"/>
      <c r="W18" s="12"/>
      <c r="X18" s="12"/>
      <c r="Y18" s="12"/>
      <c r="Z18" s="12"/>
    </row>
    <row r="19" spans="1:26" ht="15" x14ac:dyDescent="0.25">
      <c r="A19" s="93"/>
      <c r="B19" s="93"/>
      <c r="C19" s="93"/>
      <c r="D19" s="10"/>
      <c r="E19" s="11"/>
      <c r="F19" s="48"/>
      <c r="G19" s="48"/>
      <c r="H19" s="48"/>
      <c r="I19" s="48"/>
      <c r="J19" s="48"/>
      <c r="K19" s="48"/>
      <c r="L19" s="11"/>
      <c r="M19" s="48"/>
      <c r="N19" s="12"/>
      <c r="O19" s="12" t="s">
        <v>5</v>
      </c>
      <c r="P19" s="12"/>
      <c r="Q19" s="12"/>
      <c r="R19" s="12"/>
      <c r="S19" s="12"/>
      <c r="T19" s="12"/>
      <c r="U19" s="12"/>
      <c r="V19" s="12"/>
      <c r="W19" s="12"/>
      <c r="X19" s="12"/>
      <c r="Y19" s="12"/>
      <c r="Z19" s="12"/>
    </row>
    <row r="20" spans="1:26" ht="15" x14ac:dyDescent="0.25">
      <c r="A20" s="69"/>
      <c r="B20" s="70"/>
      <c r="C20" s="70"/>
      <c r="D20" s="71"/>
      <c r="E20" s="72"/>
      <c r="F20" s="72"/>
      <c r="G20" s="72"/>
      <c r="H20" s="72"/>
      <c r="I20" s="72"/>
      <c r="J20" s="74" t="s">
        <v>20</v>
      </c>
      <c r="K20" s="73"/>
      <c r="L20" s="32">
        <v>12</v>
      </c>
      <c r="M20" s="32">
        <f>SUM(M2:M19)</f>
        <v>52.5</v>
      </c>
      <c r="N20" s="32">
        <f t="shared" ref="N20:Z20" si="1">SUM(N16:N19)</f>
        <v>10314</v>
      </c>
      <c r="O20" s="32">
        <f t="shared" si="1"/>
        <v>43726.083333333336</v>
      </c>
      <c r="P20" s="32">
        <f t="shared" si="1"/>
        <v>43757.083333333336</v>
      </c>
      <c r="Q20" s="32">
        <f t="shared" si="1"/>
        <v>43785.083333333336</v>
      </c>
      <c r="R20" s="32">
        <f t="shared" si="1"/>
        <v>43816.083333333336</v>
      </c>
      <c r="S20" s="32">
        <f t="shared" si="1"/>
        <v>44197.708333333336</v>
      </c>
      <c r="T20" s="32">
        <f t="shared" si="1"/>
        <v>44228.708333333336</v>
      </c>
      <c r="U20" s="32">
        <f t="shared" si="1"/>
        <v>44258.708333333336</v>
      </c>
      <c r="V20" s="32">
        <f t="shared" si="1"/>
        <v>44289.708333333336</v>
      </c>
      <c r="W20" s="32">
        <f t="shared" si="1"/>
        <v>44320.708333333336</v>
      </c>
      <c r="X20" s="32">
        <f t="shared" si="1"/>
        <v>44350.708333333336</v>
      </c>
      <c r="Y20" s="32">
        <f t="shared" si="1"/>
        <v>44381.708333333336</v>
      </c>
      <c r="Z20" s="32">
        <f t="shared" si="1"/>
        <v>44411.708333333336</v>
      </c>
    </row>
    <row r="21" spans="1:26" ht="6.75" customHeight="1" x14ac:dyDescent="0.25">
      <c r="A21" s="71"/>
      <c r="B21" s="71"/>
      <c r="C21" s="71"/>
      <c r="D21" s="71"/>
      <c r="E21" s="71"/>
      <c r="F21" s="71"/>
      <c r="G21" s="71"/>
      <c r="H21" s="71"/>
      <c r="I21" s="71"/>
      <c r="J21" s="71"/>
      <c r="K21" s="71"/>
    </row>
    <row r="22" spans="1:26" ht="18" hidden="1" x14ac:dyDescent="0.25">
      <c r="A22" s="41" t="s">
        <v>33</v>
      </c>
      <c r="B22" s="41"/>
      <c r="C22" s="42"/>
      <c r="D22" s="42"/>
      <c r="E22" s="43"/>
      <c r="F22" s="43"/>
      <c r="G22" s="43"/>
      <c r="H22" s="44"/>
      <c r="I22" s="44"/>
      <c r="J22" s="43"/>
      <c r="K22" s="43"/>
      <c r="L22" s="43"/>
      <c r="M22" s="43"/>
      <c r="N22" s="43"/>
      <c r="O22" s="43" t="s">
        <v>5</v>
      </c>
      <c r="P22" s="43"/>
      <c r="Q22" s="43"/>
      <c r="R22" s="43"/>
      <c r="S22" s="43"/>
      <c r="T22" s="43"/>
      <c r="U22" s="43"/>
      <c r="V22" s="43"/>
      <c r="W22" s="43"/>
      <c r="X22" s="43"/>
      <c r="Y22" s="43"/>
      <c r="Z22" s="43"/>
    </row>
    <row r="23" spans="1:26" ht="15.75" hidden="1" x14ac:dyDescent="0.25">
      <c r="A23" s="92" t="s">
        <v>261</v>
      </c>
      <c r="B23" s="6" t="s">
        <v>13</v>
      </c>
      <c r="C23" s="6" t="s">
        <v>14</v>
      </c>
      <c r="D23" s="8" t="s">
        <v>15</v>
      </c>
      <c r="E23" s="48" t="s">
        <v>5</v>
      </c>
      <c r="F23" s="48" t="s">
        <v>5</v>
      </c>
      <c r="G23" s="48" t="s">
        <v>5</v>
      </c>
      <c r="H23" s="48"/>
      <c r="I23" s="48"/>
      <c r="J23" s="48"/>
      <c r="K23" s="48" t="s">
        <v>5</v>
      </c>
      <c r="L23" s="125" t="s">
        <v>287</v>
      </c>
      <c r="M23" s="48"/>
      <c r="N23" s="12"/>
      <c r="O23" s="12" t="s">
        <v>5</v>
      </c>
      <c r="P23" s="12"/>
      <c r="Q23" s="12"/>
      <c r="R23" s="12"/>
      <c r="S23" s="12"/>
      <c r="T23" s="12"/>
      <c r="U23" s="12"/>
      <c r="V23" s="12"/>
      <c r="W23" s="12"/>
      <c r="X23" s="12"/>
      <c r="Y23" s="12"/>
      <c r="Z23" s="12"/>
    </row>
    <row r="24" spans="1:26" ht="18" hidden="1" x14ac:dyDescent="0.25">
      <c r="A24" s="30" t="str">
        <f>CONCATENATE(B17," ",C17)</f>
        <v>Objective 1 Prism Setup support of cost &amp; contract Module and Prism of new users</v>
      </c>
      <c r="B24" s="30"/>
      <c r="C24" s="31"/>
      <c r="D24" s="31"/>
      <c r="E24" s="29"/>
      <c r="F24" s="29"/>
      <c r="G24" s="29"/>
      <c r="H24" s="29"/>
      <c r="I24" s="29"/>
      <c r="J24" s="29"/>
      <c r="K24" s="29"/>
      <c r="L24" s="29"/>
      <c r="M24" s="29"/>
      <c r="N24" s="29"/>
      <c r="O24" s="29" t="s">
        <v>5</v>
      </c>
      <c r="P24" s="29"/>
      <c r="Q24" s="29"/>
      <c r="R24" s="29"/>
      <c r="S24" s="29"/>
      <c r="T24" s="29"/>
      <c r="U24" s="29"/>
      <c r="V24" s="29"/>
      <c r="W24" s="29"/>
      <c r="X24" s="29"/>
      <c r="Y24" s="29"/>
      <c r="Z24" s="29"/>
    </row>
    <row r="25" spans="1:26" ht="15" hidden="1" x14ac:dyDescent="0.25">
      <c r="A25" s="93" t="s">
        <v>250</v>
      </c>
      <c r="B25" s="7"/>
      <c r="C25" s="7"/>
      <c r="D25" s="10"/>
      <c r="E25" s="1001"/>
      <c r="F25" s="1001"/>
      <c r="G25" s="1001"/>
      <c r="H25" s="1001"/>
      <c r="I25" s="1001"/>
      <c r="J25" s="1001"/>
      <c r="K25" s="1002"/>
      <c r="L25" s="11" t="s">
        <v>60</v>
      </c>
      <c r="M25" s="48"/>
      <c r="N25" s="12"/>
      <c r="O25" s="12" t="s">
        <v>5</v>
      </c>
      <c r="P25" s="12"/>
      <c r="Q25" s="12"/>
      <c r="R25" s="12"/>
      <c r="S25" s="12"/>
      <c r="T25" s="12"/>
      <c r="U25" s="12"/>
      <c r="V25" s="12"/>
      <c r="W25" s="12"/>
      <c r="X25" s="12"/>
      <c r="Y25" s="12"/>
      <c r="Z25" s="12"/>
    </row>
    <row r="26" spans="1:26" ht="15" hidden="1" x14ac:dyDescent="0.25">
      <c r="A26" s="93" t="s">
        <v>263</v>
      </c>
      <c r="B26" s="7"/>
      <c r="C26" s="7"/>
      <c r="D26" s="10"/>
      <c r="E26" s="1001"/>
      <c r="F26" s="1001"/>
      <c r="G26" s="1001"/>
      <c r="H26" s="1001"/>
      <c r="I26" s="1001"/>
      <c r="J26" s="1001"/>
      <c r="K26" s="1002"/>
      <c r="L26" s="11"/>
      <c r="M26" s="48"/>
      <c r="N26" s="12"/>
      <c r="O26" s="12" t="s">
        <v>5</v>
      </c>
      <c r="P26" s="12"/>
      <c r="Q26" s="12"/>
      <c r="R26" s="12"/>
      <c r="S26" s="12"/>
      <c r="T26" s="12"/>
      <c r="U26" s="12"/>
      <c r="V26" s="12"/>
      <c r="W26" s="12"/>
      <c r="X26" s="12"/>
      <c r="Y26" s="12"/>
      <c r="Z26" s="12"/>
    </row>
    <row r="27" spans="1:26" ht="15" hidden="1" x14ac:dyDescent="0.25">
      <c r="A27" s="93"/>
      <c r="B27" s="7"/>
      <c r="C27" s="7"/>
      <c r="D27" s="10"/>
      <c r="E27" s="1001" t="s">
        <v>5</v>
      </c>
      <c r="F27" s="1001" t="s">
        <v>5</v>
      </c>
      <c r="G27" s="1001" t="s">
        <v>5</v>
      </c>
      <c r="H27" s="1001"/>
      <c r="I27" s="1001"/>
      <c r="J27" s="1001"/>
      <c r="K27" s="1002" t="s">
        <v>5</v>
      </c>
      <c r="L27" s="11"/>
      <c r="M27" s="48"/>
      <c r="N27" s="12"/>
      <c r="O27" s="12" t="s">
        <v>5</v>
      </c>
      <c r="P27" s="12"/>
      <c r="Q27" s="12"/>
      <c r="R27" s="12"/>
      <c r="S27" s="12"/>
      <c r="T27" s="12"/>
      <c r="U27" s="12"/>
      <c r="V27" s="12"/>
      <c r="W27" s="12"/>
      <c r="X27" s="12"/>
      <c r="Y27" s="12"/>
      <c r="Z27" s="12"/>
    </row>
    <row r="28" spans="1:26" ht="15" hidden="1" x14ac:dyDescent="0.25">
      <c r="A28" s="93"/>
      <c r="B28" s="7"/>
      <c r="C28" s="7"/>
      <c r="D28" s="10"/>
      <c r="E28" s="1001" t="s">
        <v>5</v>
      </c>
      <c r="F28" s="1001" t="s">
        <v>5</v>
      </c>
      <c r="G28" s="1001" t="s">
        <v>5</v>
      </c>
      <c r="H28" s="1001"/>
      <c r="I28" s="1001"/>
      <c r="J28" s="1001"/>
      <c r="K28" s="1002" t="s">
        <v>5</v>
      </c>
      <c r="L28" s="11"/>
      <c r="M28" s="48"/>
      <c r="N28" s="12"/>
      <c r="O28" s="12" t="s">
        <v>5</v>
      </c>
      <c r="P28" s="12"/>
      <c r="Q28" s="12"/>
      <c r="R28" s="12"/>
      <c r="S28" s="12"/>
      <c r="T28" s="12"/>
      <c r="U28" s="12"/>
      <c r="V28" s="12"/>
      <c r="W28" s="12"/>
      <c r="X28" s="12"/>
      <c r="Y28" s="12"/>
      <c r="Z28" s="12"/>
    </row>
    <row r="29" spans="1:26" ht="15" hidden="1" x14ac:dyDescent="0.25">
      <c r="A29" s="93"/>
      <c r="B29" s="7"/>
      <c r="C29" s="7"/>
      <c r="D29" s="10"/>
      <c r="E29" s="1001" t="s">
        <v>5</v>
      </c>
      <c r="F29" s="1001" t="s">
        <v>5</v>
      </c>
      <c r="G29" s="1001" t="s">
        <v>5</v>
      </c>
      <c r="H29" s="1001"/>
      <c r="I29" s="1001"/>
      <c r="J29" s="1001"/>
      <c r="K29" s="1002" t="s">
        <v>5</v>
      </c>
      <c r="L29" s="11"/>
      <c r="M29" s="48"/>
      <c r="N29" s="12"/>
      <c r="O29" s="12" t="s">
        <v>5</v>
      </c>
      <c r="P29" s="12"/>
      <c r="Q29" s="12"/>
      <c r="R29" s="12"/>
      <c r="S29" s="12"/>
      <c r="T29" s="12"/>
      <c r="U29" s="12"/>
      <c r="V29" s="12"/>
      <c r="W29" s="12"/>
      <c r="X29" s="12"/>
      <c r="Y29" s="12"/>
      <c r="Z29" s="12"/>
    </row>
    <row r="30" spans="1:26" ht="18" hidden="1" x14ac:dyDescent="0.25">
      <c r="A30" s="30" t="e">
        <f>CONCATENATE(#REF!," ",#REF!)</f>
        <v>#REF!</v>
      </c>
      <c r="B30" s="30"/>
      <c r="C30" s="31"/>
      <c r="D30" s="31"/>
      <c r="E30" s="29"/>
      <c r="F30" s="29"/>
      <c r="G30" s="29"/>
      <c r="H30" s="29"/>
      <c r="I30" s="29"/>
      <c r="J30" s="29"/>
      <c r="K30" s="29"/>
      <c r="L30" s="29"/>
      <c r="M30" s="29"/>
      <c r="N30" s="29"/>
      <c r="O30" s="29" t="s">
        <v>5</v>
      </c>
      <c r="P30" s="29"/>
      <c r="Q30" s="29"/>
      <c r="R30" s="29"/>
      <c r="S30" s="29"/>
      <c r="T30" s="29"/>
      <c r="U30" s="29"/>
      <c r="V30" s="29"/>
      <c r="W30" s="29"/>
      <c r="X30" s="29"/>
      <c r="Y30" s="29"/>
      <c r="Z30" s="29"/>
    </row>
    <row r="31" spans="1:26" ht="15" hidden="1" x14ac:dyDescent="0.25">
      <c r="A31" s="93" t="s">
        <v>264</v>
      </c>
      <c r="B31" s="7"/>
      <c r="C31" s="7"/>
      <c r="D31" s="10"/>
      <c r="E31" s="1001"/>
      <c r="F31" s="1001"/>
      <c r="G31" s="1001"/>
      <c r="H31" s="1001"/>
      <c r="I31" s="1001"/>
      <c r="J31" s="1001"/>
      <c r="K31" s="1002"/>
      <c r="L31" s="11" t="s">
        <v>60</v>
      </c>
      <c r="M31" s="48"/>
      <c r="N31" s="12"/>
      <c r="O31" s="12" t="s">
        <v>5</v>
      </c>
      <c r="P31" s="12"/>
      <c r="Q31" s="12"/>
      <c r="R31" s="12"/>
      <c r="S31" s="12"/>
      <c r="T31" s="12"/>
      <c r="U31" s="12"/>
      <c r="V31" s="12"/>
      <c r="W31" s="12"/>
      <c r="X31" s="12"/>
      <c r="Y31" s="12"/>
      <c r="Z31" s="12"/>
    </row>
    <row r="32" spans="1:26" ht="15" hidden="1" x14ac:dyDescent="0.25">
      <c r="A32" s="93" t="s">
        <v>253</v>
      </c>
      <c r="B32" s="7"/>
      <c r="C32" s="7"/>
      <c r="D32" s="10"/>
      <c r="E32" s="1001" t="s">
        <v>5</v>
      </c>
      <c r="F32" s="1001" t="s">
        <v>5</v>
      </c>
      <c r="G32" s="1001" t="s">
        <v>5</v>
      </c>
      <c r="H32" s="1001"/>
      <c r="I32" s="1001"/>
      <c r="J32" s="1001"/>
      <c r="K32" s="1002" t="s">
        <v>5</v>
      </c>
      <c r="L32" s="11"/>
      <c r="M32" s="48"/>
      <c r="N32" s="12"/>
      <c r="O32" s="12" t="s">
        <v>5</v>
      </c>
      <c r="P32" s="12"/>
      <c r="Q32" s="12"/>
      <c r="R32" s="12"/>
      <c r="S32" s="12"/>
      <c r="T32" s="12"/>
      <c r="U32" s="12"/>
      <c r="V32" s="12"/>
      <c r="W32" s="12"/>
      <c r="X32" s="12"/>
      <c r="Y32" s="12"/>
      <c r="Z32" s="12"/>
    </row>
    <row r="33" spans="1:26" ht="15" hidden="1" x14ac:dyDescent="0.25">
      <c r="A33" s="93"/>
      <c r="B33" s="7"/>
      <c r="C33" s="7"/>
      <c r="D33" s="10"/>
      <c r="E33" s="1001" t="s">
        <v>5</v>
      </c>
      <c r="F33" s="1001" t="s">
        <v>5</v>
      </c>
      <c r="G33" s="1001" t="s">
        <v>5</v>
      </c>
      <c r="H33" s="1001"/>
      <c r="I33" s="1001"/>
      <c r="J33" s="1001"/>
      <c r="K33" s="1002" t="s">
        <v>5</v>
      </c>
      <c r="L33" s="11"/>
      <c r="M33" s="48"/>
      <c r="N33" s="12"/>
      <c r="O33" s="12" t="s">
        <v>5</v>
      </c>
      <c r="P33" s="12"/>
      <c r="Q33" s="12"/>
      <c r="R33" s="12"/>
      <c r="S33" s="12"/>
      <c r="T33" s="12"/>
      <c r="U33" s="12"/>
      <c r="V33" s="12"/>
      <c r="W33" s="12"/>
      <c r="X33" s="12"/>
      <c r="Y33" s="12"/>
      <c r="Z33" s="12"/>
    </row>
    <row r="34" spans="1:26" ht="15" hidden="1" x14ac:dyDescent="0.25">
      <c r="A34" s="93"/>
      <c r="B34" s="7"/>
      <c r="C34" s="7"/>
      <c r="D34" s="10"/>
      <c r="E34" s="1001" t="s">
        <v>5</v>
      </c>
      <c r="F34" s="1001" t="s">
        <v>5</v>
      </c>
      <c r="G34" s="1001" t="s">
        <v>5</v>
      </c>
      <c r="H34" s="1001"/>
      <c r="I34" s="1001"/>
      <c r="J34" s="1001"/>
      <c r="K34" s="1002" t="s">
        <v>5</v>
      </c>
      <c r="L34" s="11"/>
      <c r="M34" s="48"/>
      <c r="N34" s="12"/>
      <c r="O34" s="12" t="s">
        <v>5</v>
      </c>
      <c r="P34" s="12"/>
      <c r="Q34" s="12"/>
      <c r="R34" s="12"/>
      <c r="S34" s="12"/>
      <c r="T34" s="12"/>
      <c r="U34" s="12"/>
      <c r="V34" s="12"/>
      <c r="W34" s="12"/>
      <c r="X34" s="12"/>
      <c r="Y34" s="12"/>
      <c r="Z34" s="12"/>
    </row>
    <row r="35" spans="1:26" ht="15" hidden="1" x14ac:dyDescent="0.25">
      <c r="A35" s="93"/>
      <c r="B35" s="7"/>
      <c r="C35" s="7"/>
      <c r="D35" s="10"/>
      <c r="E35" s="1001" t="s">
        <v>5</v>
      </c>
      <c r="F35" s="1001" t="s">
        <v>5</v>
      </c>
      <c r="G35" s="1001" t="s">
        <v>5</v>
      </c>
      <c r="H35" s="1001"/>
      <c r="I35" s="1001"/>
      <c r="J35" s="1001"/>
      <c r="K35" s="1002" t="s">
        <v>5</v>
      </c>
      <c r="L35" s="11"/>
      <c r="M35" s="48"/>
      <c r="N35" s="12"/>
      <c r="O35" s="12" t="s">
        <v>5</v>
      </c>
      <c r="P35" s="12"/>
      <c r="Q35" s="12"/>
      <c r="R35" s="12"/>
      <c r="S35" s="12"/>
      <c r="T35" s="12"/>
      <c r="U35" s="12"/>
      <c r="V35" s="12"/>
      <c r="W35" s="12"/>
      <c r="X35" s="12"/>
      <c r="Y35" s="12"/>
      <c r="Z35" s="12"/>
    </row>
    <row r="36" spans="1:26" ht="18" hidden="1" x14ac:dyDescent="0.25">
      <c r="A36" s="30" t="e">
        <f>CONCATENATE(#REF!," ",#REF!)</f>
        <v>#REF!</v>
      </c>
      <c r="B36" s="30"/>
      <c r="C36" s="31"/>
      <c r="D36" s="31"/>
      <c r="E36" s="29"/>
      <c r="F36" s="29"/>
      <c r="G36" s="29"/>
      <c r="H36" s="29"/>
      <c r="I36" s="29"/>
      <c r="J36" s="29"/>
      <c r="K36" s="29"/>
      <c r="L36" s="29"/>
      <c r="M36" s="29"/>
      <c r="N36" s="29"/>
      <c r="O36" s="29" t="s">
        <v>5</v>
      </c>
      <c r="P36" s="29"/>
      <c r="Q36" s="29"/>
      <c r="R36" s="29"/>
      <c r="S36" s="29"/>
      <c r="T36" s="29"/>
      <c r="U36" s="29"/>
      <c r="V36" s="29"/>
      <c r="W36" s="29"/>
      <c r="X36" s="29"/>
      <c r="Y36" s="29"/>
      <c r="Z36" s="29"/>
    </row>
    <row r="37" spans="1:26" ht="15" hidden="1" x14ac:dyDescent="0.25">
      <c r="A37" s="93" t="s">
        <v>265</v>
      </c>
      <c r="B37" s="7"/>
      <c r="C37" s="7"/>
      <c r="D37" s="10"/>
      <c r="E37" s="1001" t="s">
        <v>5</v>
      </c>
      <c r="F37" s="1001" t="s">
        <v>5</v>
      </c>
      <c r="G37" s="1001" t="s">
        <v>5</v>
      </c>
      <c r="H37" s="1001"/>
      <c r="I37" s="1001"/>
      <c r="J37" s="1001"/>
      <c r="K37" s="1002" t="s">
        <v>5</v>
      </c>
      <c r="L37" s="11"/>
      <c r="M37" s="48"/>
      <c r="N37" s="12"/>
      <c r="O37" s="12" t="s">
        <v>5</v>
      </c>
      <c r="P37" s="12"/>
      <c r="Q37" s="12"/>
      <c r="R37" s="12"/>
      <c r="S37" s="12"/>
      <c r="T37" s="12"/>
      <c r="U37" s="12"/>
      <c r="V37" s="12"/>
      <c r="W37" s="12"/>
      <c r="X37" s="12"/>
      <c r="Y37" s="12"/>
      <c r="Z37" s="12"/>
    </row>
    <row r="38" spans="1:26" ht="15" hidden="1" x14ac:dyDescent="0.25">
      <c r="A38" s="93" t="s">
        <v>266</v>
      </c>
      <c r="B38" s="7"/>
      <c r="C38" s="7"/>
      <c r="D38" s="10"/>
      <c r="E38" s="1001" t="s">
        <v>5</v>
      </c>
      <c r="F38" s="1001" t="s">
        <v>5</v>
      </c>
      <c r="G38" s="1001" t="s">
        <v>5</v>
      </c>
      <c r="H38" s="1001"/>
      <c r="I38" s="1001"/>
      <c r="J38" s="1001"/>
      <c r="K38" s="1002" t="s">
        <v>5</v>
      </c>
      <c r="L38" s="11"/>
      <c r="M38" s="48"/>
      <c r="N38" s="12"/>
      <c r="O38" s="12" t="s">
        <v>5</v>
      </c>
      <c r="P38" s="12"/>
      <c r="Q38" s="12"/>
      <c r="R38" s="12"/>
      <c r="S38" s="12"/>
      <c r="T38" s="12"/>
      <c r="U38" s="12"/>
      <c r="V38" s="12"/>
      <c r="W38" s="12"/>
      <c r="X38" s="12"/>
      <c r="Y38" s="12"/>
      <c r="Z38" s="12"/>
    </row>
    <row r="39" spans="1:26" ht="15" hidden="1" x14ac:dyDescent="0.25">
      <c r="A39" s="93"/>
      <c r="B39" s="7"/>
      <c r="C39" s="7"/>
      <c r="D39" s="10"/>
      <c r="E39" s="1001" t="s">
        <v>5</v>
      </c>
      <c r="F39" s="1001" t="s">
        <v>5</v>
      </c>
      <c r="G39" s="1001" t="s">
        <v>5</v>
      </c>
      <c r="H39" s="1001"/>
      <c r="I39" s="1001"/>
      <c r="J39" s="1001"/>
      <c r="K39" s="1002" t="s">
        <v>5</v>
      </c>
      <c r="L39" s="11"/>
      <c r="M39" s="48"/>
      <c r="N39" s="12"/>
      <c r="O39" s="12" t="s">
        <v>5</v>
      </c>
      <c r="P39" s="12"/>
      <c r="Q39" s="12"/>
      <c r="R39" s="12"/>
      <c r="S39" s="12"/>
      <c r="T39" s="12"/>
      <c r="U39" s="12"/>
      <c r="V39" s="12"/>
      <c r="W39" s="12"/>
      <c r="X39" s="12"/>
      <c r="Y39" s="12"/>
      <c r="Z39" s="12"/>
    </row>
    <row r="40" spans="1:26" ht="15" hidden="1" x14ac:dyDescent="0.25">
      <c r="A40" s="93"/>
      <c r="B40" s="7"/>
      <c r="C40" s="7"/>
      <c r="D40" s="10"/>
      <c r="E40" s="1001" t="s">
        <v>5</v>
      </c>
      <c r="F40" s="1001" t="s">
        <v>5</v>
      </c>
      <c r="G40" s="1001" t="s">
        <v>5</v>
      </c>
      <c r="H40" s="1001"/>
      <c r="I40" s="1001"/>
      <c r="J40" s="1001"/>
      <c r="K40" s="1002" t="s">
        <v>5</v>
      </c>
      <c r="L40" s="11"/>
      <c r="M40" s="48"/>
      <c r="N40" s="12"/>
      <c r="O40" s="12" t="s">
        <v>5</v>
      </c>
      <c r="P40" s="12"/>
      <c r="Q40" s="12"/>
      <c r="R40" s="12"/>
      <c r="S40" s="12"/>
      <c r="T40" s="12"/>
      <c r="U40" s="12"/>
      <c r="V40" s="12"/>
      <c r="W40" s="12"/>
      <c r="X40" s="12"/>
      <c r="Y40" s="12"/>
      <c r="Z40" s="12"/>
    </row>
    <row r="41" spans="1:26" ht="15" hidden="1" x14ac:dyDescent="0.25">
      <c r="A41" s="93"/>
      <c r="B41" s="7"/>
      <c r="C41" s="7"/>
      <c r="D41" s="10"/>
      <c r="E41" s="1001" t="s">
        <v>5</v>
      </c>
      <c r="F41" s="1001" t="s">
        <v>5</v>
      </c>
      <c r="G41" s="1001" t="s">
        <v>5</v>
      </c>
      <c r="H41" s="1001"/>
      <c r="I41" s="1001"/>
      <c r="J41" s="1001"/>
      <c r="K41" s="1002" t="s">
        <v>5</v>
      </c>
      <c r="L41" s="11"/>
      <c r="M41" s="48"/>
      <c r="N41" s="12"/>
      <c r="O41" s="12" t="s">
        <v>5</v>
      </c>
      <c r="P41" s="12"/>
      <c r="Q41" s="12"/>
      <c r="R41" s="12"/>
      <c r="S41" s="12"/>
      <c r="T41" s="12"/>
      <c r="U41" s="12"/>
      <c r="V41" s="12"/>
      <c r="W41" s="12"/>
      <c r="X41" s="12"/>
      <c r="Y41" s="12"/>
      <c r="Z41" s="12"/>
    </row>
    <row r="42" spans="1:26" ht="18" hidden="1" outlineLevel="1" x14ac:dyDescent="0.25">
      <c r="A42" s="30" t="e">
        <f>CONCATENATE(#REF!," ",#REF!)</f>
        <v>#REF!</v>
      </c>
      <c r="B42" s="30"/>
      <c r="C42" s="31"/>
      <c r="D42" s="31"/>
      <c r="E42" s="29"/>
      <c r="F42" s="29"/>
      <c r="G42" s="29"/>
      <c r="H42" s="29"/>
      <c r="I42" s="29"/>
      <c r="J42" s="29"/>
      <c r="K42" s="29"/>
      <c r="L42" s="29"/>
      <c r="M42" s="29"/>
      <c r="N42" s="29"/>
      <c r="O42" s="29" t="s">
        <v>5</v>
      </c>
      <c r="P42" s="29"/>
      <c r="Q42" s="29"/>
      <c r="R42" s="29"/>
      <c r="S42" s="29"/>
      <c r="T42" s="29"/>
      <c r="U42" s="29"/>
      <c r="V42" s="29"/>
      <c r="W42" s="29"/>
      <c r="X42" s="29"/>
      <c r="Y42" s="29"/>
      <c r="Z42" s="29"/>
    </row>
    <row r="43" spans="1:26" ht="15" hidden="1" outlineLevel="1" x14ac:dyDescent="0.25">
      <c r="A43" s="93" t="s">
        <v>267</v>
      </c>
      <c r="B43" s="7"/>
      <c r="C43" s="7"/>
      <c r="D43" s="10"/>
      <c r="E43" s="1001" t="s">
        <v>5</v>
      </c>
      <c r="F43" s="1001" t="s">
        <v>5</v>
      </c>
      <c r="G43" s="1001" t="s">
        <v>5</v>
      </c>
      <c r="H43" s="1001"/>
      <c r="I43" s="1001"/>
      <c r="J43" s="1001"/>
      <c r="K43" s="1002" t="s">
        <v>5</v>
      </c>
      <c r="L43" s="11"/>
      <c r="M43" s="48"/>
      <c r="N43" s="12"/>
      <c r="O43" s="12" t="s">
        <v>5</v>
      </c>
      <c r="P43" s="12"/>
      <c r="Q43" s="12"/>
      <c r="R43" s="12"/>
      <c r="S43" s="12"/>
      <c r="T43" s="12"/>
      <c r="U43" s="12"/>
      <c r="V43" s="12"/>
      <c r="W43" s="12"/>
      <c r="X43" s="12"/>
      <c r="Y43" s="12"/>
      <c r="Z43" s="12"/>
    </row>
    <row r="44" spans="1:26" ht="15" hidden="1" outlineLevel="1" x14ac:dyDescent="0.25">
      <c r="A44" s="93" t="s">
        <v>268</v>
      </c>
      <c r="B44" s="7"/>
      <c r="C44" s="7"/>
      <c r="D44" s="10"/>
      <c r="E44" s="1001" t="s">
        <v>5</v>
      </c>
      <c r="F44" s="1001" t="s">
        <v>5</v>
      </c>
      <c r="G44" s="1001" t="s">
        <v>5</v>
      </c>
      <c r="H44" s="1001"/>
      <c r="I44" s="1001"/>
      <c r="J44" s="1001"/>
      <c r="K44" s="1002" t="s">
        <v>5</v>
      </c>
      <c r="L44" s="11"/>
      <c r="M44" s="48"/>
      <c r="N44" s="12"/>
      <c r="O44" s="12" t="s">
        <v>5</v>
      </c>
      <c r="P44" s="12"/>
      <c r="Q44" s="12"/>
      <c r="R44" s="12"/>
      <c r="S44" s="12"/>
      <c r="T44" s="12"/>
      <c r="U44" s="12"/>
      <c r="V44" s="12"/>
      <c r="W44" s="12"/>
      <c r="X44" s="12"/>
      <c r="Y44" s="12"/>
      <c r="Z44" s="12"/>
    </row>
    <row r="45" spans="1:26" ht="15" hidden="1" outlineLevel="1" x14ac:dyDescent="0.25">
      <c r="A45" s="93"/>
      <c r="B45" s="7"/>
      <c r="C45" s="7"/>
      <c r="D45" s="10"/>
      <c r="E45" s="1001" t="s">
        <v>5</v>
      </c>
      <c r="F45" s="1001" t="s">
        <v>5</v>
      </c>
      <c r="G45" s="1001" t="s">
        <v>5</v>
      </c>
      <c r="H45" s="1001"/>
      <c r="I45" s="1001"/>
      <c r="J45" s="1001"/>
      <c r="K45" s="1002" t="s">
        <v>5</v>
      </c>
      <c r="L45" s="11"/>
      <c r="M45" s="48"/>
      <c r="N45" s="12"/>
      <c r="O45" s="12" t="s">
        <v>5</v>
      </c>
      <c r="P45" s="12"/>
      <c r="Q45" s="12"/>
      <c r="R45" s="12"/>
      <c r="S45" s="12"/>
      <c r="T45" s="12"/>
      <c r="U45" s="12"/>
      <c r="V45" s="12"/>
      <c r="W45" s="12"/>
      <c r="X45" s="12"/>
      <c r="Y45" s="12"/>
      <c r="Z45" s="12"/>
    </row>
    <row r="46" spans="1:26" ht="15" hidden="1" outlineLevel="1" x14ac:dyDescent="0.25">
      <c r="A46" s="93"/>
      <c r="B46" s="7"/>
      <c r="C46" s="7"/>
      <c r="D46" s="10"/>
      <c r="E46" s="1001" t="s">
        <v>5</v>
      </c>
      <c r="F46" s="1001" t="s">
        <v>5</v>
      </c>
      <c r="G46" s="1001" t="s">
        <v>5</v>
      </c>
      <c r="H46" s="1001"/>
      <c r="I46" s="1001"/>
      <c r="J46" s="1001"/>
      <c r="K46" s="1002" t="s">
        <v>5</v>
      </c>
      <c r="L46" s="11"/>
      <c r="M46" s="48"/>
      <c r="N46" s="12"/>
      <c r="O46" s="12" t="s">
        <v>5</v>
      </c>
      <c r="P46" s="12"/>
      <c r="Q46" s="12"/>
      <c r="R46" s="12"/>
      <c r="S46" s="12"/>
      <c r="T46" s="12"/>
      <c r="U46" s="12"/>
      <c r="V46" s="12"/>
      <c r="W46" s="12"/>
      <c r="X46" s="12"/>
      <c r="Y46" s="12"/>
      <c r="Z46" s="12"/>
    </row>
    <row r="47" spans="1:26" ht="15" hidden="1" outlineLevel="1" x14ac:dyDescent="0.25">
      <c r="A47" s="93"/>
      <c r="B47" s="7"/>
      <c r="C47" s="7"/>
      <c r="D47" s="10"/>
      <c r="E47" s="1001" t="s">
        <v>5</v>
      </c>
      <c r="F47" s="1001" t="s">
        <v>5</v>
      </c>
      <c r="G47" s="1001" t="s">
        <v>5</v>
      </c>
      <c r="H47" s="1001"/>
      <c r="I47" s="1001"/>
      <c r="J47" s="1001"/>
      <c r="K47" s="1002" t="s">
        <v>5</v>
      </c>
      <c r="L47" s="11"/>
      <c r="M47" s="48"/>
      <c r="N47" s="12"/>
      <c r="O47" s="12" t="s">
        <v>5</v>
      </c>
      <c r="P47" s="12"/>
      <c r="Q47" s="12"/>
      <c r="R47" s="12"/>
      <c r="S47" s="12"/>
      <c r="T47" s="12"/>
      <c r="U47" s="12"/>
      <c r="V47" s="12"/>
      <c r="W47" s="12"/>
      <c r="X47" s="12"/>
      <c r="Y47" s="12"/>
      <c r="Z47" s="12"/>
    </row>
    <row r="48" spans="1:26" ht="18" hidden="1" outlineLevel="1" x14ac:dyDescent="0.25">
      <c r="A48" s="30" t="e">
        <f>CONCATENATE(#REF!," ",#REF!)</f>
        <v>#REF!</v>
      </c>
      <c r="B48" s="30"/>
      <c r="C48" s="31"/>
      <c r="D48" s="31"/>
      <c r="E48" s="29"/>
      <c r="F48" s="29"/>
      <c r="G48" s="29"/>
      <c r="H48" s="29"/>
      <c r="I48" s="29"/>
      <c r="J48" s="29"/>
      <c r="K48" s="29"/>
      <c r="L48" s="29"/>
      <c r="M48" s="29"/>
      <c r="N48" s="29"/>
      <c r="O48" s="29" t="s">
        <v>5</v>
      </c>
      <c r="P48" s="29"/>
      <c r="Q48" s="29"/>
      <c r="R48" s="29"/>
      <c r="S48" s="29"/>
      <c r="T48" s="29"/>
      <c r="U48" s="29"/>
      <c r="V48" s="29"/>
      <c r="W48" s="29"/>
      <c r="X48" s="29"/>
      <c r="Y48" s="29"/>
      <c r="Z48" s="29"/>
    </row>
    <row r="49" spans="1:26" ht="15" hidden="1" outlineLevel="1" x14ac:dyDescent="0.25">
      <c r="A49" s="93" t="s">
        <v>269</v>
      </c>
      <c r="B49" s="7"/>
      <c r="C49" s="7"/>
      <c r="D49" s="10"/>
      <c r="E49" s="1001" t="s">
        <v>5</v>
      </c>
      <c r="F49" s="1001" t="s">
        <v>5</v>
      </c>
      <c r="G49" s="1001" t="s">
        <v>5</v>
      </c>
      <c r="H49" s="1001"/>
      <c r="I49" s="1001"/>
      <c r="J49" s="1001"/>
      <c r="K49" s="1002" t="s">
        <v>5</v>
      </c>
      <c r="L49" s="11"/>
      <c r="M49" s="48"/>
      <c r="N49" s="12"/>
      <c r="O49" s="12" t="s">
        <v>5</v>
      </c>
      <c r="P49" s="12"/>
      <c r="Q49" s="12"/>
      <c r="R49" s="12"/>
      <c r="S49" s="12"/>
      <c r="T49" s="12"/>
      <c r="U49" s="12"/>
      <c r="V49" s="12"/>
      <c r="W49" s="12"/>
      <c r="X49" s="12"/>
      <c r="Y49" s="12"/>
      <c r="Z49" s="12"/>
    </row>
    <row r="50" spans="1:26" ht="15" hidden="1" outlineLevel="1" x14ac:dyDescent="0.25">
      <c r="A50" s="93" t="s">
        <v>270</v>
      </c>
      <c r="B50" s="7"/>
      <c r="C50" s="7"/>
      <c r="D50" s="10"/>
      <c r="E50" s="1001" t="s">
        <v>5</v>
      </c>
      <c r="F50" s="1001" t="s">
        <v>5</v>
      </c>
      <c r="G50" s="1001" t="s">
        <v>5</v>
      </c>
      <c r="H50" s="1001"/>
      <c r="I50" s="1001"/>
      <c r="J50" s="1001"/>
      <c r="K50" s="1002" t="s">
        <v>5</v>
      </c>
      <c r="L50" s="11"/>
      <c r="M50" s="48"/>
      <c r="N50" s="12"/>
      <c r="O50" s="12" t="s">
        <v>5</v>
      </c>
      <c r="P50" s="12"/>
      <c r="Q50" s="12"/>
      <c r="R50" s="12"/>
      <c r="S50" s="12"/>
      <c r="T50" s="12"/>
      <c r="U50" s="12"/>
      <c r="V50" s="12"/>
      <c r="W50" s="12"/>
      <c r="X50" s="12"/>
      <c r="Y50" s="12"/>
      <c r="Z50" s="12"/>
    </row>
    <row r="51" spans="1:26" ht="15" hidden="1" outlineLevel="1" x14ac:dyDescent="0.25">
      <c r="A51" s="93"/>
      <c r="B51" s="7"/>
      <c r="C51" s="7"/>
      <c r="D51" s="10"/>
      <c r="E51" s="1001" t="s">
        <v>5</v>
      </c>
      <c r="F51" s="1001" t="s">
        <v>5</v>
      </c>
      <c r="G51" s="1001" t="s">
        <v>5</v>
      </c>
      <c r="H51" s="1001"/>
      <c r="I51" s="1001"/>
      <c r="J51" s="1001"/>
      <c r="K51" s="1002" t="s">
        <v>5</v>
      </c>
      <c r="L51" s="11"/>
      <c r="M51" s="48"/>
      <c r="N51" s="12"/>
      <c r="O51" s="12" t="s">
        <v>5</v>
      </c>
      <c r="P51" s="12"/>
      <c r="Q51" s="12"/>
      <c r="R51" s="12"/>
      <c r="S51" s="12"/>
      <c r="T51" s="12"/>
      <c r="U51" s="12"/>
      <c r="V51" s="12"/>
      <c r="W51" s="12"/>
      <c r="X51" s="12"/>
      <c r="Y51" s="12"/>
      <c r="Z51" s="12"/>
    </row>
    <row r="52" spans="1:26" ht="15" hidden="1" outlineLevel="1" x14ac:dyDescent="0.25">
      <c r="A52" s="93"/>
      <c r="B52" s="7"/>
      <c r="C52" s="7"/>
      <c r="D52" s="10"/>
      <c r="E52" s="1001" t="s">
        <v>5</v>
      </c>
      <c r="F52" s="1001" t="s">
        <v>5</v>
      </c>
      <c r="G52" s="1001" t="s">
        <v>5</v>
      </c>
      <c r="H52" s="1001"/>
      <c r="I52" s="1001"/>
      <c r="J52" s="1001"/>
      <c r="K52" s="1002" t="s">
        <v>5</v>
      </c>
      <c r="L52" s="11"/>
      <c r="M52" s="48"/>
      <c r="N52" s="12"/>
      <c r="O52" s="12" t="s">
        <v>5</v>
      </c>
      <c r="P52" s="12"/>
      <c r="Q52" s="12"/>
      <c r="R52" s="12"/>
      <c r="S52" s="12"/>
      <c r="T52" s="12"/>
      <c r="U52" s="12"/>
      <c r="V52" s="12"/>
      <c r="W52" s="12"/>
      <c r="X52" s="12"/>
      <c r="Y52" s="12"/>
      <c r="Z52" s="12"/>
    </row>
    <row r="53" spans="1:26" ht="15" hidden="1" outlineLevel="1" x14ac:dyDescent="0.25">
      <c r="A53" s="93"/>
      <c r="B53" s="7"/>
      <c r="C53" s="7"/>
      <c r="D53" s="10"/>
      <c r="E53" s="1001" t="s">
        <v>5</v>
      </c>
      <c r="F53" s="1001" t="s">
        <v>5</v>
      </c>
      <c r="G53" s="1001" t="s">
        <v>5</v>
      </c>
      <c r="H53" s="1001"/>
      <c r="I53" s="1001"/>
      <c r="J53" s="1001"/>
      <c r="K53" s="1002" t="s">
        <v>5</v>
      </c>
      <c r="L53" s="11"/>
      <c r="M53" s="48"/>
      <c r="N53" s="12"/>
      <c r="O53" s="12" t="s">
        <v>5</v>
      </c>
      <c r="P53" s="12"/>
      <c r="Q53" s="12"/>
      <c r="R53" s="12"/>
      <c r="S53" s="12"/>
      <c r="T53" s="12"/>
      <c r="U53" s="12"/>
      <c r="V53" s="12"/>
      <c r="W53" s="12"/>
      <c r="X53" s="12"/>
      <c r="Y53" s="12"/>
      <c r="Z53" s="12"/>
    </row>
    <row r="54" spans="1:26" ht="18" hidden="1" outlineLevel="1" x14ac:dyDescent="0.25">
      <c r="A54" s="30" t="e">
        <f>CONCATENATE(#REF!," ",#REF!)</f>
        <v>#REF!</v>
      </c>
      <c r="B54" s="30"/>
      <c r="C54" s="31"/>
      <c r="D54" s="31"/>
      <c r="E54" s="29"/>
      <c r="F54" s="29"/>
      <c r="G54" s="29"/>
      <c r="H54" s="29"/>
      <c r="I54" s="29"/>
      <c r="J54" s="29"/>
      <c r="K54" s="29"/>
      <c r="L54" s="29"/>
      <c r="M54" s="29"/>
      <c r="N54" s="29"/>
      <c r="O54" s="29" t="s">
        <v>5</v>
      </c>
      <c r="P54" s="29"/>
      <c r="Q54" s="29"/>
      <c r="R54" s="29"/>
      <c r="S54" s="29"/>
      <c r="T54" s="29"/>
      <c r="U54" s="29"/>
      <c r="V54" s="29"/>
      <c r="W54" s="29"/>
      <c r="X54" s="29"/>
      <c r="Y54" s="29"/>
      <c r="Z54" s="29"/>
    </row>
    <row r="55" spans="1:26" ht="15" hidden="1" outlineLevel="1" x14ac:dyDescent="0.25">
      <c r="A55" s="93" t="s">
        <v>271</v>
      </c>
      <c r="B55" s="7"/>
      <c r="C55" s="7"/>
      <c r="D55" s="10"/>
      <c r="E55" s="1001" t="s">
        <v>5</v>
      </c>
      <c r="F55" s="1001" t="s">
        <v>5</v>
      </c>
      <c r="G55" s="1001" t="s">
        <v>5</v>
      </c>
      <c r="H55" s="1001"/>
      <c r="I55" s="1001"/>
      <c r="J55" s="1001"/>
      <c r="K55" s="1002" t="s">
        <v>5</v>
      </c>
      <c r="L55" s="11"/>
      <c r="M55" s="48"/>
      <c r="N55" s="12"/>
      <c r="O55" s="12" t="s">
        <v>5</v>
      </c>
      <c r="P55" s="12"/>
      <c r="Q55" s="12"/>
      <c r="R55" s="12"/>
      <c r="S55" s="12"/>
      <c r="T55" s="12"/>
      <c r="U55" s="12"/>
      <c r="V55" s="12"/>
      <c r="W55" s="12"/>
      <c r="X55" s="12"/>
      <c r="Y55" s="12"/>
      <c r="Z55" s="12"/>
    </row>
    <row r="56" spans="1:26" ht="15" hidden="1" outlineLevel="1" x14ac:dyDescent="0.25">
      <c r="A56" s="93" t="s">
        <v>272</v>
      </c>
      <c r="B56" s="7"/>
      <c r="C56" s="7"/>
      <c r="D56" s="10"/>
      <c r="E56" s="1001" t="s">
        <v>5</v>
      </c>
      <c r="F56" s="1001" t="s">
        <v>5</v>
      </c>
      <c r="G56" s="1001" t="s">
        <v>5</v>
      </c>
      <c r="H56" s="1001"/>
      <c r="I56" s="1001"/>
      <c r="J56" s="1001"/>
      <c r="K56" s="1002" t="s">
        <v>5</v>
      </c>
      <c r="L56" s="11"/>
      <c r="M56" s="48"/>
      <c r="N56" s="12"/>
      <c r="O56" s="12" t="s">
        <v>5</v>
      </c>
      <c r="P56" s="12"/>
      <c r="Q56" s="12"/>
      <c r="R56" s="12"/>
      <c r="S56" s="12"/>
      <c r="T56" s="12"/>
      <c r="U56" s="12"/>
      <c r="V56" s="12"/>
      <c r="W56" s="12"/>
      <c r="X56" s="12"/>
      <c r="Y56" s="12"/>
      <c r="Z56" s="12"/>
    </row>
    <row r="57" spans="1:26" ht="15" hidden="1" outlineLevel="1" x14ac:dyDescent="0.25">
      <c r="A57" s="93"/>
      <c r="B57" s="7"/>
      <c r="C57" s="7"/>
      <c r="D57" s="10"/>
      <c r="E57" s="1001" t="s">
        <v>5</v>
      </c>
      <c r="F57" s="1001" t="s">
        <v>5</v>
      </c>
      <c r="G57" s="1001" t="s">
        <v>5</v>
      </c>
      <c r="H57" s="1001"/>
      <c r="I57" s="1001"/>
      <c r="J57" s="1001"/>
      <c r="K57" s="1002" t="s">
        <v>5</v>
      </c>
      <c r="L57" s="11"/>
      <c r="M57" s="48"/>
      <c r="N57" s="12"/>
      <c r="O57" s="12" t="s">
        <v>5</v>
      </c>
      <c r="P57" s="12"/>
      <c r="Q57" s="12"/>
      <c r="R57" s="12"/>
      <c r="S57" s="12"/>
      <c r="T57" s="12"/>
      <c r="U57" s="12"/>
      <c r="V57" s="12"/>
      <c r="W57" s="12"/>
      <c r="X57" s="12"/>
      <c r="Y57" s="12"/>
      <c r="Z57" s="12"/>
    </row>
    <row r="58" spans="1:26" ht="15" hidden="1" outlineLevel="1" x14ac:dyDescent="0.25">
      <c r="A58" s="93"/>
      <c r="B58" s="7"/>
      <c r="C58" s="7"/>
      <c r="D58" s="10"/>
      <c r="E58" s="1001" t="s">
        <v>5</v>
      </c>
      <c r="F58" s="1001" t="s">
        <v>5</v>
      </c>
      <c r="G58" s="1001" t="s">
        <v>5</v>
      </c>
      <c r="H58" s="1001"/>
      <c r="I58" s="1001"/>
      <c r="J58" s="1001"/>
      <c r="K58" s="1002" t="s">
        <v>5</v>
      </c>
      <c r="L58" s="11"/>
      <c r="M58" s="48"/>
      <c r="N58" s="12"/>
      <c r="O58" s="12" t="s">
        <v>5</v>
      </c>
      <c r="P58" s="12"/>
      <c r="Q58" s="12"/>
      <c r="R58" s="12"/>
      <c r="S58" s="12"/>
      <c r="T58" s="12"/>
      <c r="U58" s="12"/>
      <c r="V58" s="12"/>
      <c r="W58" s="12"/>
      <c r="X58" s="12"/>
      <c r="Y58" s="12"/>
      <c r="Z58" s="12"/>
    </row>
    <row r="59" spans="1:26" ht="15" hidden="1" outlineLevel="1" x14ac:dyDescent="0.25">
      <c r="A59" s="93"/>
      <c r="B59" s="7"/>
      <c r="C59" s="7"/>
      <c r="D59" s="10"/>
      <c r="E59" s="1001" t="s">
        <v>5</v>
      </c>
      <c r="F59" s="1001" t="s">
        <v>5</v>
      </c>
      <c r="G59" s="1001" t="s">
        <v>5</v>
      </c>
      <c r="H59" s="1001"/>
      <c r="I59" s="1001"/>
      <c r="J59" s="1001"/>
      <c r="K59" s="1002" t="s">
        <v>5</v>
      </c>
      <c r="L59" s="11"/>
      <c r="M59" s="48"/>
      <c r="N59" s="12"/>
      <c r="O59" s="12" t="s">
        <v>5</v>
      </c>
      <c r="P59" s="12"/>
      <c r="Q59" s="12"/>
      <c r="R59" s="12"/>
      <c r="S59" s="12"/>
      <c r="T59" s="12"/>
      <c r="U59" s="12"/>
      <c r="V59" s="12"/>
      <c r="W59" s="12"/>
      <c r="X59" s="12"/>
      <c r="Y59" s="12"/>
      <c r="Z59" s="12"/>
    </row>
    <row r="60" spans="1:26" ht="18" hidden="1" outlineLevel="1" x14ac:dyDescent="0.25">
      <c r="A60" s="30" t="e">
        <f>CONCATENATE(#REF!," ",#REF!)</f>
        <v>#REF!</v>
      </c>
      <c r="B60" s="30"/>
      <c r="C60" s="31"/>
      <c r="D60" s="31"/>
      <c r="E60" s="29"/>
      <c r="F60" s="29"/>
      <c r="G60" s="29"/>
      <c r="H60" s="29"/>
      <c r="I60" s="29"/>
      <c r="J60" s="29"/>
      <c r="K60" s="29"/>
      <c r="L60" s="29"/>
      <c r="M60" s="29"/>
      <c r="N60" s="29"/>
      <c r="O60" s="29" t="s">
        <v>5</v>
      </c>
      <c r="P60" s="29"/>
      <c r="Q60" s="29"/>
      <c r="R60" s="29"/>
      <c r="S60" s="29"/>
      <c r="T60" s="29"/>
      <c r="U60" s="29"/>
      <c r="V60" s="29"/>
      <c r="W60" s="29"/>
      <c r="X60" s="29"/>
      <c r="Y60" s="29"/>
      <c r="Z60" s="29"/>
    </row>
    <row r="61" spans="1:26" ht="15" hidden="1" outlineLevel="1" x14ac:dyDescent="0.25">
      <c r="A61" s="93" t="s">
        <v>273</v>
      </c>
      <c r="B61" s="7"/>
      <c r="C61" s="7"/>
      <c r="D61" s="10"/>
      <c r="E61" s="1001" t="s">
        <v>5</v>
      </c>
      <c r="F61" s="1001" t="s">
        <v>5</v>
      </c>
      <c r="G61" s="1001" t="s">
        <v>5</v>
      </c>
      <c r="H61" s="1001"/>
      <c r="I61" s="1001"/>
      <c r="J61" s="1001"/>
      <c r="K61" s="1002" t="s">
        <v>5</v>
      </c>
      <c r="L61" s="11"/>
      <c r="M61" s="48"/>
      <c r="N61" s="12"/>
      <c r="O61" s="12" t="s">
        <v>5</v>
      </c>
      <c r="P61" s="12"/>
      <c r="Q61" s="12"/>
      <c r="R61" s="12"/>
      <c r="S61" s="12"/>
      <c r="T61" s="12"/>
      <c r="U61" s="12"/>
      <c r="V61" s="12"/>
      <c r="W61" s="12"/>
      <c r="X61" s="12"/>
      <c r="Y61" s="12"/>
      <c r="Z61" s="12"/>
    </row>
    <row r="62" spans="1:26" ht="15" hidden="1" outlineLevel="1" x14ac:dyDescent="0.25">
      <c r="A62" s="93" t="s">
        <v>274</v>
      </c>
      <c r="B62" s="7"/>
      <c r="C62" s="7"/>
      <c r="D62" s="10"/>
      <c r="E62" s="1001" t="s">
        <v>5</v>
      </c>
      <c r="F62" s="1001" t="s">
        <v>5</v>
      </c>
      <c r="G62" s="1001" t="s">
        <v>5</v>
      </c>
      <c r="H62" s="1001"/>
      <c r="I62" s="1001"/>
      <c r="J62" s="1001"/>
      <c r="K62" s="1002" t="s">
        <v>5</v>
      </c>
      <c r="L62" s="11"/>
      <c r="M62" s="48"/>
      <c r="N62" s="12"/>
      <c r="O62" s="12" t="s">
        <v>5</v>
      </c>
      <c r="P62" s="12"/>
      <c r="Q62" s="12"/>
      <c r="R62" s="12"/>
      <c r="S62" s="12"/>
      <c r="T62" s="12"/>
      <c r="U62" s="12"/>
      <c r="V62" s="12"/>
      <c r="W62" s="12"/>
      <c r="X62" s="12"/>
      <c r="Y62" s="12"/>
      <c r="Z62" s="12"/>
    </row>
    <row r="63" spans="1:26" ht="15" hidden="1" outlineLevel="1" x14ac:dyDescent="0.25">
      <c r="A63" s="93"/>
      <c r="B63" s="7"/>
      <c r="C63" s="7"/>
      <c r="D63" s="10"/>
      <c r="E63" s="1001" t="s">
        <v>5</v>
      </c>
      <c r="F63" s="1001" t="s">
        <v>5</v>
      </c>
      <c r="G63" s="1001" t="s">
        <v>5</v>
      </c>
      <c r="H63" s="1001"/>
      <c r="I63" s="1001"/>
      <c r="J63" s="1001"/>
      <c r="K63" s="1002" t="s">
        <v>5</v>
      </c>
      <c r="L63" s="11"/>
      <c r="M63" s="48"/>
      <c r="N63" s="12"/>
      <c r="O63" s="12" t="s">
        <v>5</v>
      </c>
      <c r="P63" s="12"/>
      <c r="Q63" s="12"/>
      <c r="R63" s="12"/>
      <c r="S63" s="12"/>
      <c r="T63" s="12"/>
      <c r="U63" s="12"/>
      <c r="V63" s="12"/>
      <c r="W63" s="12"/>
      <c r="X63" s="12"/>
      <c r="Y63" s="12"/>
      <c r="Z63" s="12"/>
    </row>
    <row r="64" spans="1:26" ht="15" hidden="1" outlineLevel="1" x14ac:dyDescent="0.25">
      <c r="A64" s="93"/>
      <c r="B64" s="7"/>
      <c r="C64" s="7"/>
      <c r="D64" s="10"/>
      <c r="E64" s="1001" t="s">
        <v>5</v>
      </c>
      <c r="F64" s="1001" t="s">
        <v>5</v>
      </c>
      <c r="G64" s="1001" t="s">
        <v>5</v>
      </c>
      <c r="H64" s="1001"/>
      <c r="I64" s="1001"/>
      <c r="J64" s="1001"/>
      <c r="K64" s="1002" t="s">
        <v>5</v>
      </c>
      <c r="L64" s="11"/>
      <c r="M64" s="48"/>
      <c r="N64" s="12"/>
      <c r="O64" s="12" t="s">
        <v>5</v>
      </c>
      <c r="P64" s="12"/>
      <c r="Q64" s="12"/>
      <c r="R64" s="12"/>
      <c r="S64" s="12"/>
      <c r="T64" s="12"/>
      <c r="U64" s="12"/>
      <c r="V64" s="12"/>
      <c r="W64" s="12"/>
      <c r="X64" s="12"/>
      <c r="Y64" s="12"/>
      <c r="Z64" s="12"/>
    </row>
    <row r="65" spans="1:26" ht="15" hidden="1" outlineLevel="1" x14ac:dyDescent="0.25">
      <c r="A65" s="93"/>
      <c r="B65" s="7"/>
      <c r="C65" s="7"/>
      <c r="D65" s="10"/>
      <c r="E65" s="1001" t="s">
        <v>5</v>
      </c>
      <c r="F65" s="1001" t="s">
        <v>5</v>
      </c>
      <c r="G65" s="1001" t="s">
        <v>5</v>
      </c>
      <c r="H65" s="1001"/>
      <c r="I65" s="1001"/>
      <c r="J65" s="1001"/>
      <c r="K65" s="1002" t="s">
        <v>5</v>
      </c>
      <c r="L65" s="11"/>
      <c r="M65" s="48"/>
      <c r="N65" s="12"/>
      <c r="O65" s="12" t="s">
        <v>5</v>
      </c>
      <c r="P65" s="12"/>
      <c r="Q65" s="12"/>
      <c r="R65" s="12"/>
      <c r="S65" s="12"/>
      <c r="T65" s="12"/>
      <c r="U65" s="12"/>
      <c r="V65" s="12"/>
      <c r="W65" s="12"/>
      <c r="X65" s="12"/>
      <c r="Y65" s="12"/>
      <c r="Z65" s="12"/>
    </row>
    <row r="66" spans="1:26" ht="18" hidden="1" outlineLevel="1" x14ac:dyDescent="0.25">
      <c r="A66" s="30" t="e">
        <f>CONCATENATE(#REF!," ",#REF!)</f>
        <v>#REF!</v>
      </c>
      <c r="B66" s="30"/>
      <c r="C66" s="31"/>
      <c r="D66" s="31"/>
      <c r="E66" s="29"/>
      <c r="F66" s="29"/>
      <c r="G66" s="29"/>
      <c r="H66" s="29"/>
      <c r="I66" s="29"/>
      <c r="J66" s="29"/>
      <c r="K66" s="29"/>
      <c r="L66" s="29"/>
      <c r="M66" s="29"/>
      <c r="N66" s="29"/>
      <c r="O66" s="29" t="s">
        <v>5</v>
      </c>
      <c r="P66" s="29"/>
      <c r="Q66" s="29"/>
      <c r="R66" s="29"/>
      <c r="S66" s="29"/>
      <c r="T66" s="29"/>
      <c r="U66" s="29"/>
      <c r="V66" s="29"/>
      <c r="W66" s="29"/>
      <c r="X66" s="29"/>
      <c r="Y66" s="29"/>
      <c r="Z66" s="29"/>
    </row>
    <row r="67" spans="1:26" ht="15" hidden="1" outlineLevel="1" x14ac:dyDescent="0.25">
      <c r="A67" s="93" t="s">
        <v>275</v>
      </c>
      <c r="B67" s="7"/>
      <c r="C67" s="7"/>
      <c r="D67" s="10"/>
      <c r="E67" s="1001" t="s">
        <v>5</v>
      </c>
      <c r="F67" s="1001" t="s">
        <v>5</v>
      </c>
      <c r="G67" s="1001" t="s">
        <v>5</v>
      </c>
      <c r="H67" s="1001"/>
      <c r="I67" s="1001"/>
      <c r="J67" s="1001"/>
      <c r="K67" s="1002" t="s">
        <v>5</v>
      </c>
      <c r="L67" s="11"/>
      <c r="M67" s="48"/>
      <c r="N67" s="12"/>
      <c r="O67" s="12" t="s">
        <v>5</v>
      </c>
      <c r="P67" s="12"/>
      <c r="Q67" s="12"/>
      <c r="R67" s="12"/>
      <c r="S67" s="12"/>
      <c r="T67" s="12"/>
      <c r="U67" s="12"/>
      <c r="V67" s="12"/>
      <c r="W67" s="12"/>
      <c r="X67" s="12"/>
      <c r="Y67" s="12"/>
      <c r="Z67" s="12"/>
    </row>
    <row r="68" spans="1:26" ht="15" hidden="1" outlineLevel="1" x14ac:dyDescent="0.25">
      <c r="A68" s="93" t="s">
        <v>276</v>
      </c>
      <c r="B68" s="7"/>
      <c r="C68" s="7"/>
      <c r="D68" s="10"/>
      <c r="E68" s="1001" t="s">
        <v>5</v>
      </c>
      <c r="F68" s="1001" t="s">
        <v>5</v>
      </c>
      <c r="G68" s="1001" t="s">
        <v>5</v>
      </c>
      <c r="H68" s="1001"/>
      <c r="I68" s="1001"/>
      <c r="J68" s="1001"/>
      <c r="K68" s="1002" t="s">
        <v>5</v>
      </c>
      <c r="L68" s="11"/>
      <c r="M68" s="48"/>
      <c r="N68" s="12"/>
      <c r="O68" s="12" t="s">
        <v>5</v>
      </c>
      <c r="P68" s="12"/>
      <c r="Q68" s="12"/>
      <c r="R68" s="12"/>
      <c r="S68" s="12"/>
      <c r="T68" s="12"/>
      <c r="U68" s="12"/>
      <c r="V68" s="12"/>
      <c r="W68" s="12"/>
      <c r="X68" s="12"/>
      <c r="Y68" s="12"/>
      <c r="Z68" s="12"/>
    </row>
    <row r="69" spans="1:26" ht="15" hidden="1" outlineLevel="1" x14ac:dyDescent="0.25">
      <c r="A69" s="93"/>
      <c r="B69" s="7"/>
      <c r="C69" s="7"/>
      <c r="D69" s="10"/>
      <c r="E69" s="1001" t="s">
        <v>5</v>
      </c>
      <c r="F69" s="1001" t="s">
        <v>5</v>
      </c>
      <c r="G69" s="1001" t="s">
        <v>5</v>
      </c>
      <c r="H69" s="1001"/>
      <c r="I69" s="1001"/>
      <c r="J69" s="1001"/>
      <c r="K69" s="1002" t="s">
        <v>5</v>
      </c>
      <c r="L69" s="11"/>
      <c r="M69" s="48"/>
      <c r="N69" s="12"/>
      <c r="O69" s="12" t="s">
        <v>5</v>
      </c>
      <c r="P69" s="12"/>
      <c r="Q69" s="12"/>
      <c r="R69" s="12"/>
      <c r="S69" s="12"/>
      <c r="T69" s="12"/>
      <c r="U69" s="12"/>
      <c r="V69" s="12"/>
      <c r="W69" s="12"/>
      <c r="X69" s="12"/>
      <c r="Y69" s="12"/>
      <c r="Z69" s="12"/>
    </row>
    <row r="70" spans="1:26" ht="15" hidden="1" outlineLevel="1" x14ac:dyDescent="0.25">
      <c r="A70" s="93"/>
      <c r="B70" s="7"/>
      <c r="C70" s="7"/>
      <c r="D70" s="10"/>
      <c r="E70" s="1001" t="s">
        <v>5</v>
      </c>
      <c r="F70" s="1001" t="s">
        <v>5</v>
      </c>
      <c r="G70" s="1001" t="s">
        <v>5</v>
      </c>
      <c r="H70" s="1001"/>
      <c r="I70" s="1001"/>
      <c r="J70" s="1001"/>
      <c r="K70" s="1002" t="s">
        <v>5</v>
      </c>
      <c r="L70" s="11"/>
      <c r="M70" s="48"/>
      <c r="N70" s="12"/>
      <c r="O70" s="12" t="s">
        <v>5</v>
      </c>
      <c r="P70" s="12"/>
      <c r="Q70" s="12"/>
      <c r="R70" s="12"/>
      <c r="S70" s="12"/>
      <c r="T70" s="12"/>
      <c r="U70" s="12"/>
      <c r="V70" s="12"/>
      <c r="W70" s="12"/>
      <c r="X70" s="12"/>
      <c r="Y70" s="12"/>
      <c r="Z70" s="12"/>
    </row>
    <row r="71" spans="1:26" ht="15" hidden="1" outlineLevel="1" x14ac:dyDescent="0.25">
      <c r="A71" s="93"/>
      <c r="B71" s="7"/>
      <c r="C71" s="7"/>
      <c r="D71" s="10"/>
      <c r="E71" s="1001" t="s">
        <v>5</v>
      </c>
      <c r="F71" s="1001" t="s">
        <v>5</v>
      </c>
      <c r="G71" s="1001" t="s">
        <v>5</v>
      </c>
      <c r="H71" s="1001"/>
      <c r="I71" s="1001"/>
      <c r="J71" s="1001"/>
      <c r="K71" s="1002" t="s">
        <v>5</v>
      </c>
      <c r="L71" s="11"/>
      <c r="M71" s="48"/>
      <c r="N71" s="12"/>
      <c r="O71" s="12" t="s">
        <v>5</v>
      </c>
      <c r="P71" s="12"/>
      <c r="Q71" s="12"/>
      <c r="R71" s="12"/>
      <c r="S71" s="12"/>
      <c r="T71" s="12"/>
      <c r="U71" s="12"/>
      <c r="V71" s="12"/>
      <c r="W71" s="12"/>
      <c r="X71" s="12"/>
      <c r="Y71" s="12"/>
      <c r="Z71" s="12"/>
    </row>
    <row r="72" spans="1:26" ht="18" hidden="1" outlineLevel="1" x14ac:dyDescent="0.25">
      <c r="A72" s="30" t="str">
        <f>CONCATENATE(B18," ",C18)</f>
        <v xml:space="preserve"> </v>
      </c>
      <c r="B72" s="30"/>
      <c r="C72" s="31"/>
      <c r="D72" s="31"/>
      <c r="E72" s="29"/>
      <c r="F72" s="29"/>
      <c r="G72" s="29"/>
      <c r="H72" s="29"/>
      <c r="I72" s="29"/>
      <c r="J72" s="29"/>
      <c r="K72" s="29"/>
      <c r="L72" s="29"/>
      <c r="M72" s="29"/>
      <c r="N72" s="29"/>
      <c r="O72" s="29" t="s">
        <v>5</v>
      </c>
      <c r="P72" s="29"/>
      <c r="Q72" s="29"/>
      <c r="R72" s="29"/>
      <c r="S72" s="29"/>
      <c r="T72" s="29"/>
      <c r="U72" s="29"/>
      <c r="V72" s="29"/>
      <c r="W72" s="29"/>
      <c r="X72" s="29"/>
      <c r="Y72" s="29"/>
      <c r="Z72" s="29"/>
    </row>
    <row r="73" spans="1:26" ht="15" hidden="1" outlineLevel="1" x14ac:dyDescent="0.25">
      <c r="A73" s="93" t="s">
        <v>277</v>
      </c>
      <c r="B73" s="7"/>
      <c r="C73" s="7"/>
      <c r="D73" s="10"/>
      <c r="E73" s="1001" t="s">
        <v>5</v>
      </c>
      <c r="F73" s="1001" t="s">
        <v>5</v>
      </c>
      <c r="G73" s="1001" t="s">
        <v>5</v>
      </c>
      <c r="H73" s="1001"/>
      <c r="I73" s="1001"/>
      <c r="J73" s="1001"/>
      <c r="K73" s="1002" t="s">
        <v>5</v>
      </c>
      <c r="L73" s="11"/>
      <c r="M73" s="48"/>
      <c r="N73" s="12"/>
      <c r="O73" s="12" t="s">
        <v>5</v>
      </c>
      <c r="P73" s="12"/>
      <c r="Q73" s="12"/>
      <c r="R73" s="12"/>
      <c r="S73" s="12"/>
      <c r="T73" s="12"/>
      <c r="U73" s="12"/>
      <c r="V73" s="12"/>
      <c r="W73" s="12"/>
      <c r="X73" s="12"/>
      <c r="Y73" s="12"/>
      <c r="Z73" s="12"/>
    </row>
    <row r="74" spans="1:26" ht="15" hidden="1" outlineLevel="1" x14ac:dyDescent="0.25">
      <c r="A74" s="93" t="s">
        <v>278</v>
      </c>
      <c r="B74" s="7"/>
      <c r="C74" s="7"/>
      <c r="D74" s="10"/>
      <c r="E74" s="1001" t="s">
        <v>5</v>
      </c>
      <c r="F74" s="1001" t="s">
        <v>5</v>
      </c>
      <c r="G74" s="1001" t="s">
        <v>5</v>
      </c>
      <c r="H74" s="1001"/>
      <c r="I74" s="1001"/>
      <c r="J74" s="1001"/>
      <c r="K74" s="1002" t="s">
        <v>5</v>
      </c>
      <c r="L74" s="11"/>
      <c r="M74" s="48"/>
      <c r="N74" s="12"/>
      <c r="O74" s="12" t="s">
        <v>5</v>
      </c>
      <c r="P74" s="12"/>
      <c r="Q74" s="12"/>
      <c r="R74" s="12"/>
      <c r="S74" s="12"/>
      <c r="T74" s="12"/>
      <c r="U74" s="12"/>
      <c r="V74" s="12"/>
      <c r="W74" s="12"/>
      <c r="X74" s="12"/>
      <c r="Y74" s="12"/>
      <c r="Z74" s="12"/>
    </row>
    <row r="75" spans="1:26" ht="15" hidden="1" outlineLevel="1" x14ac:dyDescent="0.25">
      <c r="A75" s="93"/>
      <c r="B75" s="7"/>
      <c r="C75" s="7"/>
      <c r="D75" s="10"/>
      <c r="E75" s="1001" t="s">
        <v>5</v>
      </c>
      <c r="F75" s="1001" t="s">
        <v>5</v>
      </c>
      <c r="G75" s="1001" t="s">
        <v>5</v>
      </c>
      <c r="H75" s="1001"/>
      <c r="I75" s="1001"/>
      <c r="J75" s="1001"/>
      <c r="K75" s="1002" t="s">
        <v>5</v>
      </c>
      <c r="L75" s="11"/>
      <c r="M75" s="48"/>
      <c r="N75" s="12"/>
      <c r="O75" s="12" t="s">
        <v>5</v>
      </c>
      <c r="P75" s="12"/>
      <c r="Q75" s="12"/>
      <c r="R75" s="12"/>
      <c r="S75" s="12"/>
      <c r="T75" s="12"/>
      <c r="U75" s="12"/>
      <c r="V75" s="12"/>
      <c r="W75" s="12"/>
      <c r="X75" s="12"/>
      <c r="Y75" s="12"/>
      <c r="Z75" s="12"/>
    </row>
    <row r="76" spans="1:26" ht="15" hidden="1" outlineLevel="1" x14ac:dyDescent="0.25">
      <c r="A76" s="93"/>
      <c r="B76" s="7"/>
      <c r="C76" s="7"/>
      <c r="D76" s="10"/>
      <c r="E76" s="1001" t="s">
        <v>5</v>
      </c>
      <c r="F76" s="1001" t="s">
        <v>5</v>
      </c>
      <c r="G76" s="1001" t="s">
        <v>5</v>
      </c>
      <c r="H76" s="1001"/>
      <c r="I76" s="1001"/>
      <c r="J76" s="1001"/>
      <c r="K76" s="1002" t="s">
        <v>5</v>
      </c>
      <c r="L76" s="11"/>
      <c r="M76" s="48"/>
      <c r="N76" s="12"/>
      <c r="O76" s="12" t="s">
        <v>5</v>
      </c>
      <c r="P76" s="12"/>
      <c r="Q76" s="12"/>
      <c r="R76" s="12"/>
      <c r="S76" s="12"/>
      <c r="T76" s="12"/>
      <c r="U76" s="12"/>
      <c r="V76" s="12"/>
      <c r="W76" s="12"/>
      <c r="X76" s="12"/>
      <c r="Y76" s="12"/>
      <c r="Z76" s="12"/>
    </row>
    <row r="77" spans="1:26" ht="15" hidden="1" outlineLevel="1" x14ac:dyDescent="0.25">
      <c r="A77" s="93"/>
      <c r="B77" s="7"/>
      <c r="C77" s="7"/>
      <c r="D77" s="10"/>
      <c r="E77" s="1001" t="s">
        <v>5</v>
      </c>
      <c r="F77" s="1001" t="s">
        <v>5</v>
      </c>
      <c r="G77" s="1001" t="s">
        <v>5</v>
      </c>
      <c r="H77" s="1001"/>
      <c r="I77" s="1001"/>
      <c r="J77" s="1001"/>
      <c r="K77" s="1002" t="s">
        <v>5</v>
      </c>
      <c r="L77" s="11"/>
      <c r="M77" s="48"/>
      <c r="N77" s="12"/>
      <c r="O77" s="12" t="s">
        <v>5</v>
      </c>
      <c r="P77" s="12"/>
      <c r="Q77" s="12"/>
      <c r="R77" s="12"/>
      <c r="S77" s="12"/>
      <c r="T77" s="12"/>
      <c r="U77" s="12"/>
      <c r="V77" s="12"/>
      <c r="W77" s="12"/>
      <c r="X77" s="12"/>
      <c r="Y77" s="12"/>
      <c r="Z77" s="12"/>
    </row>
    <row r="78" spans="1:26" ht="18" hidden="1" outlineLevel="1" x14ac:dyDescent="0.25">
      <c r="A78" s="30" t="str">
        <f>CONCATENATE(B19," ",C19)</f>
        <v xml:space="preserve"> </v>
      </c>
      <c r="B78" s="30"/>
      <c r="C78" s="31"/>
      <c r="D78" s="31"/>
      <c r="E78" s="29"/>
      <c r="F78" s="29"/>
      <c r="G78" s="29"/>
      <c r="H78" s="29"/>
      <c r="I78" s="29"/>
      <c r="J78" s="29"/>
      <c r="K78" s="29"/>
      <c r="L78" s="29"/>
      <c r="M78" s="29"/>
      <c r="N78" s="29"/>
      <c r="O78" s="29" t="s">
        <v>5</v>
      </c>
      <c r="P78" s="29"/>
      <c r="Q78" s="29"/>
      <c r="R78" s="29"/>
      <c r="S78" s="29"/>
      <c r="T78" s="29"/>
      <c r="U78" s="29"/>
      <c r="V78" s="29"/>
      <c r="W78" s="29"/>
      <c r="X78" s="29"/>
      <c r="Y78" s="29"/>
      <c r="Z78" s="29"/>
    </row>
    <row r="79" spans="1:26" ht="15" hidden="1" outlineLevel="1" x14ac:dyDescent="0.25">
      <c r="A79" s="93" t="s">
        <v>279</v>
      </c>
      <c r="B79" s="7"/>
      <c r="C79" s="7"/>
      <c r="D79" s="10"/>
      <c r="E79" s="1001" t="s">
        <v>5</v>
      </c>
      <c r="F79" s="1001" t="s">
        <v>5</v>
      </c>
      <c r="G79" s="1001" t="s">
        <v>5</v>
      </c>
      <c r="H79" s="1001"/>
      <c r="I79" s="1001"/>
      <c r="J79" s="1001"/>
      <c r="K79" s="1002" t="s">
        <v>5</v>
      </c>
      <c r="L79" s="11"/>
      <c r="M79" s="48"/>
      <c r="N79" s="12"/>
      <c r="O79" s="12" t="s">
        <v>5</v>
      </c>
      <c r="P79" s="12"/>
      <c r="Q79" s="12"/>
      <c r="R79" s="12"/>
      <c r="S79" s="12"/>
      <c r="T79" s="12"/>
      <c r="U79" s="12"/>
      <c r="V79" s="12"/>
      <c r="W79" s="12"/>
      <c r="X79" s="12"/>
      <c r="Y79" s="12"/>
      <c r="Z79" s="12"/>
    </row>
    <row r="80" spans="1:26" ht="15" hidden="1" outlineLevel="1" x14ac:dyDescent="0.25">
      <c r="A80" s="93" t="s">
        <v>280</v>
      </c>
      <c r="B80" s="7"/>
      <c r="C80" s="7"/>
      <c r="D80" s="10"/>
      <c r="E80" s="1001" t="s">
        <v>5</v>
      </c>
      <c r="F80" s="1001" t="s">
        <v>5</v>
      </c>
      <c r="G80" s="1001" t="s">
        <v>5</v>
      </c>
      <c r="H80" s="1001"/>
      <c r="I80" s="1001"/>
      <c r="J80" s="1001"/>
      <c r="K80" s="1002" t="s">
        <v>5</v>
      </c>
      <c r="L80" s="11"/>
      <c r="M80" s="48"/>
      <c r="N80" s="12"/>
      <c r="O80" s="12" t="s">
        <v>5</v>
      </c>
      <c r="P80" s="12"/>
      <c r="Q80" s="12"/>
      <c r="R80" s="12"/>
      <c r="S80" s="12"/>
      <c r="T80" s="12"/>
      <c r="U80" s="12"/>
      <c r="V80" s="12"/>
      <c r="W80" s="12"/>
      <c r="X80" s="12"/>
      <c r="Y80" s="12"/>
      <c r="Z80" s="12"/>
    </row>
    <row r="81" spans="1:26" ht="15" hidden="1" outlineLevel="1" x14ac:dyDescent="0.25">
      <c r="A81" s="93"/>
      <c r="B81" s="7"/>
      <c r="C81" s="7"/>
      <c r="D81" s="10"/>
      <c r="E81" s="1001" t="s">
        <v>5</v>
      </c>
      <c r="F81" s="1001" t="s">
        <v>5</v>
      </c>
      <c r="G81" s="1001" t="s">
        <v>5</v>
      </c>
      <c r="H81" s="1001"/>
      <c r="I81" s="1001"/>
      <c r="J81" s="1001"/>
      <c r="K81" s="1002" t="s">
        <v>5</v>
      </c>
      <c r="L81" s="11"/>
      <c r="M81" s="48"/>
      <c r="N81" s="12"/>
      <c r="O81" s="12" t="s">
        <v>5</v>
      </c>
      <c r="P81" s="12"/>
      <c r="Q81" s="12"/>
      <c r="R81" s="12"/>
      <c r="S81" s="12"/>
      <c r="T81" s="12"/>
      <c r="U81" s="12"/>
      <c r="V81" s="12"/>
      <c r="W81" s="12"/>
      <c r="X81" s="12"/>
      <c r="Y81" s="12"/>
      <c r="Z81" s="12"/>
    </row>
    <row r="82" spans="1:26" ht="15" hidden="1" outlineLevel="1" x14ac:dyDescent="0.25">
      <c r="A82" s="93"/>
      <c r="B82" s="7"/>
      <c r="C82" s="7"/>
      <c r="D82" s="10"/>
      <c r="E82" s="1001" t="s">
        <v>5</v>
      </c>
      <c r="F82" s="1001" t="s">
        <v>5</v>
      </c>
      <c r="G82" s="1001" t="s">
        <v>5</v>
      </c>
      <c r="H82" s="1001"/>
      <c r="I82" s="1001"/>
      <c r="J82" s="1001"/>
      <c r="K82" s="1002" t="s">
        <v>5</v>
      </c>
      <c r="L82" s="11"/>
      <c r="M82" s="48"/>
      <c r="N82" s="12"/>
      <c r="O82" s="12" t="s">
        <v>5</v>
      </c>
      <c r="P82" s="12"/>
      <c r="Q82" s="12"/>
      <c r="R82" s="12"/>
      <c r="S82" s="12"/>
      <c r="T82" s="12"/>
      <c r="U82" s="12"/>
      <c r="V82" s="12"/>
      <c r="W82" s="12"/>
      <c r="X82" s="12"/>
      <c r="Y82" s="12"/>
      <c r="Z82" s="12"/>
    </row>
    <row r="83" spans="1:26" ht="15" hidden="1" outlineLevel="1" x14ac:dyDescent="0.25">
      <c r="A83" s="93"/>
      <c r="B83" s="7"/>
      <c r="C83" s="7"/>
      <c r="D83" s="10"/>
      <c r="E83" s="1001" t="s">
        <v>5</v>
      </c>
      <c r="F83" s="1001" t="s">
        <v>5</v>
      </c>
      <c r="G83" s="1001" t="s">
        <v>5</v>
      </c>
      <c r="H83" s="1001"/>
      <c r="I83" s="1001"/>
      <c r="J83" s="1001"/>
      <c r="K83" s="1002" t="s">
        <v>5</v>
      </c>
      <c r="L83" s="11"/>
      <c r="M83" s="48"/>
      <c r="N83" s="12"/>
      <c r="O83" s="12" t="s">
        <v>5</v>
      </c>
      <c r="P83" s="12"/>
      <c r="Q83" s="12"/>
      <c r="R83" s="12"/>
      <c r="S83" s="12"/>
      <c r="T83" s="12"/>
      <c r="U83" s="12"/>
      <c r="V83" s="12"/>
      <c r="W83" s="12"/>
      <c r="X83" s="12"/>
      <c r="Y83" s="12"/>
      <c r="Z83" s="12"/>
    </row>
    <row r="84" spans="1:26" ht="6.75" customHeight="1" collapsed="1" x14ac:dyDescent="0.25"/>
    <row r="85" spans="1:26" ht="18" x14ac:dyDescent="0.25">
      <c r="A85" s="41" t="s">
        <v>37</v>
      </c>
      <c r="B85" s="41"/>
      <c r="C85" s="42"/>
      <c r="D85" s="42"/>
      <c r="E85" s="43"/>
      <c r="F85" s="43"/>
      <c r="G85" s="43"/>
      <c r="H85" s="44"/>
      <c r="I85" s="44"/>
      <c r="J85" s="43"/>
      <c r="K85" s="43"/>
      <c r="L85" s="43"/>
      <c r="M85" s="43"/>
      <c r="N85" s="43"/>
      <c r="O85" s="43" t="s">
        <v>5</v>
      </c>
      <c r="P85" s="43"/>
      <c r="Q85" s="43"/>
      <c r="R85" s="43"/>
      <c r="S85" s="43"/>
      <c r="T85" s="43"/>
      <c r="U85" s="43"/>
      <c r="V85" s="43"/>
      <c r="W85" s="43"/>
      <c r="X85" s="43"/>
      <c r="Y85" s="43"/>
      <c r="Z85" s="43"/>
    </row>
    <row r="86" spans="1:26" ht="18" x14ac:dyDescent="0.25">
      <c r="A86" s="30" t="str">
        <f>CONCATENATE(B17," ",C17)</f>
        <v>Objective 1 Prism Setup support of cost &amp; contract Module and Prism of new users</v>
      </c>
      <c r="B86" s="30"/>
      <c r="C86" s="31"/>
      <c r="D86" s="31"/>
      <c r="E86" s="29"/>
      <c r="F86" s="29"/>
      <c r="G86" s="29"/>
      <c r="H86" s="29"/>
      <c r="I86" s="29"/>
      <c r="J86" s="29"/>
      <c r="K86" s="29"/>
      <c r="L86" s="29"/>
      <c r="M86" s="29"/>
      <c r="N86" s="29"/>
      <c r="O86" s="29" t="s">
        <v>5</v>
      </c>
      <c r="P86" s="29"/>
      <c r="Q86" s="29"/>
      <c r="R86" s="29"/>
      <c r="S86" s="29"/>
      <c r="T86" s="29"/>
      <c r="U86" s="29"/>
      <c r="V86" s="29"/>
      <c r="W86" s="29"/>
      <c r="X86" s="29"/>
      <c r="Y86" s="29"/>
      <c r="Z86" s="29"/>
    </row>
    <row r="87" spans="1:26" ht="60" x14ac:dyDescent="0.25">
      <c r="A87" s="92" t="s">
        <v>261</v>
      </c>
      <c r="B87" s="92" t="s">
        <v>13</v>
      </c>
      <c r="C87" s="92" t="s">
        <v>14</v>
      </c>
      <c r="D87" s="133" t="s">
        <v>286</v>
      </c>
      <c r="E87" s="32" t="s">
        <v>16</v>
      </c>
      <c r="F87" s="32" t="s">
        <v>295</v>
      </c>
      <c r="G87" s="32" t="s">
        <v>39</v>
      </c>
      <c r="H87" s="32" t="s">
        <v>297</v>
      </c>
      <c r="I87" s="32" t="s">
        <v>298</v>
      </c>
      <c r="J87" s="32" t="s">
        <v>299</v>
      </c>
      <c r="K87" s="32" t="s">
        <v>300</v>
      </c>
      <c r="L87" s="32" t="s">
        <v>17</v>
      </c>
      <c r="M87" s="32" t="s">
        <v>18</v>
      </c>
      <c r="N87" s="32" t="s">
        <v>19</v>
      </c>
      <c r="O87" s="66">
        <v>43101</v>
      </c>
      <c r="P87" s="66">
        <v>43132</v>
      </c>
      <c r="Q87" s="66">
        <v>43160</v>
      </c>
      <c r="R87" s="66">
        <v>43191</v>
      </c>
      <c r="S87" s="66">
        <v>43221</v>
      </c>
      <c r="T87" s="66">
        <v>43252</v>
      </c>
      <c r="U87" s="66">
        <v>43282</v>
      </c>
      <c r="V87" s="66">
        <v>43313</v>
      </c>
      <c r="W87" s="66">
        <v>43344</v>
      </c>
      <c r="X87" s="66">
        <v>43374</v>
      </c>
      <c r="Y87" s="66">
        <v>43405</v>
      </c>
      <c r="Z87" s="66">
        <v>43435</v>
      </c>
    </row>
    <row r="88" spans="1:26" ht="28.5" customHeight="1" x14ac:dyDescent="0.25">
      <c r="A88" s="93" t="s">
        <v>250</v>
      </c>
      <c r="B88" s="93" t="s">
        <v>40</v>
      </c>
      <c r="C88" s="93" t="s">
        <v>1488</v>
      </c>
      <c r="D88" s="664"/>
      <c r="E88" s="11" t="s">
        <v>248</v>
      </c>
      <c r="F88" s="11"/>
      <c r="G88" s="11"/>
      <c r="H88" s="136"/>
      <c r="I88" s="11"/>
      <c r="J88" s="11"/>
      <c r="K88" s="11"/>
      <c r="L88" s="11">
        <v>3</v>
      </c>
      <c r="M88" s="11">
        <v>15</v>
      </c>
      <c r="N88" s="137">
        <f t="shared" ref="N88:N96" si="2">SUM(O88:Z88)</f>
        <v>1875</v>
      </c>
      <c r="O88" s="11">
        <v>156.25</v>
      </c>
      <c r="P88" s="11">
        <v>156.25</v>
      </c>
      <c r="Q88" s="11">
        <v>156.25</v>
      </c>
      <c r="R88" s="11">
        <v>156.25</v>
      </c>
      <c r="S88" s="11">
        <v>156.25</v>
      </c>
      <c r="T88" s="11">
        <v>156.25</v>
      </c>
      <c r="U88" s="11">
        <v>156.25</v>
      </c>
      <c r="V88" s="11">
        <v>156.25</v>
      </c>
      <c r="W88" s="11">
        <v>156.25</v>
      </c>
      <c r="X88" s="11">
        <v>156.25</v>
      </c>
      <c r="Y88" s="11">
        <v>156.25</v>
      </c>
      <c r="Z88" s="11">
        <v>156.25</v>
      </c>
    </row>
    <row r="89" spans="1:26" ht="15" x14ac:dyDescent="0.25">
      <c r="A89" s="93"/>
      <c r="B89" s="93" t="s">
        <v>40</v>
      </c>
      <c r="C89" s="93" t="s">
        <v>1489</v>
      </c>
      <c r="D89" s="664"/>
      <c r="E89" s="11" t="s">
        <v>248</v>
      </c>
      <c r="F89" s="11"/>
      <c r="G89" s="11"/>
      <c r="H89" s="11"/>
      <c r="I89" s="11"/>
      <c r="J89" s="11"/>
      <c r="K89" s="11"/>
      <c r="L89" s="11"/>
      <c r="M89" s="11">
        <v>37.5</v>
      </c>
      <c r="N89" s="137">
        <f t="shared" si="2"/>
        <v>4688</v>
      </c>
      <c r="O89" s="11">
        <v>390.66666666666669</v>
      </c>
      <c r="P89" s="11">
        <v>390.66666666666669</v>
      </c>
      <c r="Q89" s="11">
        <v>390.66666666666669</v>
      </c>
      <c r="R89" s="11">
        <v>390.66666666666669</v>
      </c>
      <c r="S89" s="11">
        <v>390.66666666666669</v>
      </c>
      <c r="T89" s="11">
        <v>390.66666666666669</v>
      </c>
      <c r="U89" s="11">
        <v>390.66666666666669</v>
      </c>
      <c r="V89" s="11">
        <v>390.66666666666669</v>
      </c>
      <c r="W89" s="11">
        <v>390.66666666666669</v>
      </c>
      <c r="X89" s="11">
        <v>390.66666666666669</v>
      </c>
      <c r="Y89" s="11">
        <v>390.66666666666669</v>
      </c>
      <c r="Z89" s="11">
        <v>390.66666666666669</v>
      </c>
    </row>
    <row r="90" spans="1:26" ht="15" x14ac:dyDescent="0.25">
      <c r="A90" s="93"/>
      <c r="B90" s="93" t="s">
        <v>40</v>
      </c>
      <c r="C90" s="93" t="s">
        <v>1490</v>
      </c>
      <c r="D90" s="664"/>
      <c r="E90" s="11" t="s">
        <v>248</v>
      </c>
      <c r="F90" s="11"/>
      <c r="G90" s="11"/>
      <c r="H90" s="11"/>
      <c r="I90" s="11"/>
      <c r="J90" s="11"/>
      <c r="K90" s="11"/>
      <c r="L90" s="11"/>
      <c r="M90" s="11"/>
      <c r="N90" s="137">
        <f t="shared" si="2"/>
        <v>937.99999999999989</v>
      </c>
      <c r="O90" s="11">
        <v>78.166666666666671</v>
      </c>
      <c r="P90" s="11">
        <v>78.166666666666671</v>
      </c>
      <c r="Q90" s="11">
        <v>78.166666666666671</v>
      </c>
      <c r="R90" s="11">
        <v>78.166666666666671</v>
      </c>
      <c r="S90" s="11">
        <v>78.166666666666671</v>
      </c>
      <c r="T90" s="11">
        <v>78.166666666666671</v>
      </c>
      <c r="U90" s="11">
        <v>78.166666666666671</v>
      </c>
      <c r="V90" s="11">
        <v>78.166666666666671</v>
      </c>
      <c r="W90" s="11">
        <v>78.166666666666671</v>
      </c>
      <c r="X90" s="11">
        <v>78.166666666666671</v>
      </c>
      <c r="Y90" s="11">
        <v>78.166666666666671</v>
      </c>
      <c r="Z90" s="11">
        <v>78.166666666666671</v>
      </c>
    </row>
    <row r="91" spans="1:26" ht="15" hidden="1" x14ac:dyDescent="0.25">
      <c r="A91" s="93"/>
      <c r="B91" s="93" t="s">
        <v>40</v>
      </c>
      <c r="C91" s="93"/>
      <c r="D91" s="664"/>
      <c r="E91" s="11" t="s">
        <v>248</v>
      </c>
      <c r="F91" s="11"/>
      <c r="G91" s="11"/>
      <c r="H91" s="11"/>
      <c r="I91" s="11"/>
      <c r="J91" s="11"/>
      <c r="K91" s="11"/>
      <c r="L91" s="11"/>
      <c r="M91" s="11"/>
      <c r="N91" s="137">
        <f t="shared" si="2"/>
        <v>0</v>
      </c>
      <c r="O91" s="11"/>
      <c r="P91" s="11"/>
      <c r="Q91" s="11"/>
      <c r="R91" s="11"/>
      <c r="S91" s="11"/>
      <c r="T91" s="11"/>
      <c r="U91" s="11"/>
      <c r="V91" s="11"/>
      <c r="W91" s="11"/>
      <c r="X91" s="11"/>
      <c r="Y91" s="11"/>
      <c r="Z91" s="11"/>
    </row>
    <row r="92" spans="1:26" ht="15" hidden="1" x14ac:dyDescent="0.25">
      <c r="A92" s="93"/>
      <c r="B92" s="93" t="s">
        <v>40</v>
      </c>
      <c r="C92" s="93"/>
      <c r="D92" s="664"/>
      <c r="E92" s="11" t="s">
        <v>248</v>
      </c>
      <c r="F92" s="11"/>
      <c r="G92" s="11"/>
      <c r="H92" s="11"/>
      <c r="I92" s="11"/>
      <c r="J92" s="11"/>
      <c r="K92" s="11"/>
      <c r="L92" s="11"/>
      <c r="M92" s="11"/>
      <c r="N92" s="137">
        <f t="shared" si="2"/>
        <v>0</v>
      </c>
      <c r="O92" s="11"/>
      <c r="P92" s="11"/>
      <c r="Q92" s="11"/>
      <c r="R92" s="11"/>
      <c r="S92" s="11"/>
      <c r="T92" s="11"/>
      <c r="U92" s="11"/>
      <c r="V92" s="11"/>
      <c r="W92" s="11"/>
      <c r="X92" s="11"/>
      <c r="Y92" s="11"/>
      <c r="Z92" s="11"/>
    </row>
    <row r="93" spans="1:26" ht="15" hidden="1" x14ac:dyDescent="0.25">
      <c r="A93" s="93"/>
      <c r="B93" s="93" t="s">
        <v>40</v>
      </c>
      <c r="C93" s="93"/>
      <c r="D93" s="664"/>
      <c r="E93" s="11" t="s">
        <v>248</v>
      </c>
      <c r="F93" s="11"/>
      <c r="G93" s="11"/>
      <c r="H93" s="11"/>
      <c r="I93" s="11"/>
      <c r="J93" s="11"/>
      <c r="K93" s="11"/>
      <c r="L93" s="11"/>
      <c r="M93" s="11"/>
      <c r="N93" s="137">
        <f t="shared" si="2"/>
        <v>0</v>
      </c>
      <c r="O93" s="11"/>
      <c r="P93" s="11"/>
      <c r="Q93" s="11"/>
      <c r="R93" s="11"/>
      <c r="S93" s="11"/>
      <c r="T93" s="11"/>
      <c r="U93" s="11"/>
      <c r="V93" s="11"/>
      <c r="W93" s="11"/>
      <c r="X93" s="11"/>
      <c r="Y93" s="11"/>
      <c r="Z93" s="11"/>
    </row>
    <row r="94" spans="1:26" ht="4.1500000000000004" hidden="1" customHeight="1" x14ac:dyDescent="0.25">
      <c r="A94" s="93"/>
      <c r="B94" s="93" t="s">
        <v>40</v>
      </c>
      <c r="C94" s="93"/>
      <c r="D94" s="664"/>
      <c r="E94" s="11" t="s">
        <v>248</v>
      </c>
      <c r="F94" s="11"/>
      <c r="G94" s="11"/>
      <c r="H94" s="11"/>
      <c r="I94" s="11"/>
      <c r="J94" s="11"/>
      <c r="K94" s="11"/>
      <c r="L94" s="11"/>
      <c r="M94" s="11"/>
      <c r="N94" s="137">
        <f t="shared" si="2"/>
        <v>0</v>
      </c>
      <c r="O94" s="11"/>
      <c r="P94" s="11"/>
      <c r="Q94" s="11"/>
      <c r="R94" s="11"/>
      <c r="S94" s="11"/>
      <c r="T94" s="11"/>
      <c r="U94" s="11"/>
      <c r="V94" s="11"/>
      <c r="W94" s="11"/>
      <c r="X94" s="11"/>
      <c r="Y94" s="11"/>
      <c r="Z94" s="11"/>
    </row>
    <row r="95" spans="1:26" ht="15" hidden="1" x14ac:dyDescent="0.25">
      <c r="A95" s="93" t="s">
        <v>282</v>
      </c>
      <c r="B95" s="93" t="s">
        <v>40</v>
      </c>
      <c r="C95" s="93"/>
      <c r="D95" s="664"/>
      <c r="E95" s="11" t="s">
        <v>248</v>
      </c>
      <c r="F95" s="11"/>
      <c r="G95" s="11"/>
      <c r="H95" s="11"/>
      <c r="I95" s="11"/>
      <c r="J95" s="11"/>
      <c r="K95" s="11"/>
      <c r="L95" s="11"/>
      <c r="M95" s="11"/>
      <c r="N95" s="137">
        <f t="shared" si="2"/>
        <v>0</v>
      </c>
      <c r="O95" s="11"/>
      <c r="P95" s="11"/>
      <c r="Q95" s="11"/>
      <c r="R95" s="11"/>
      <c r="S95" s="11"/>
      <c r="T95" s="11"/>
      <c r="U95" s="11"/>
      <c r="V95" s="11"/>
      <c r="W95" s="11"/>
      <c r="X95" s="11"/>
      <c r="Y95" s="11"/>
      <c r="Z95" s="11"/>
    </row>
    <row r="96" spans="1:26" ht="45" x14ac:dyDescent="0.25">
      <c r="A96" s="663"/>
      <c r="B96" s="93" t="s">
        <v>40</v>
      </c>
      <c r="C96" s="662" t="s">
        <v>1491</v>
      </c>
      <c r="D96" s="661"/>
      <c r="E96" s="11" t="s">
        <v>248</v>
      </c>
      <c r="F96" s="53"/>
      <c r="G96" s="53"/>
      <c r="H96" s="53"/>
      <c r="I96" s="53"/>
      <c r="J96" s="672"/>
      <c r="K96" s="53"/>
      <c r="L96" s="11"/>
      <c r="M96" s="11"/>
      <c r="N96" s="137">
        <f t="shared" si="2"/>
        <v>2813</v>
      </c>
      <c r="O96" s="11"/>
      <c r="P96" s="11"/>
      <c r="Q96" s="11"/>
      <c r="R96" s="11"/>
      <c r="S96" s="11">
        <v>351.625</v>
      </c>
      <c r="T96" s="11">
        <v>351.625</v>
      </c>
      <c r="U96" s="11">
        <v>351.625</v>
      </c>
      <c r="V96" s="11">
        <v>351.625</v>
      </c>
      <c r="W96" s="11">
        <v>351.625</v>
      </c>
      <c r="X96" s="11">
        <v>351.625</v>
      </c>
      <c r="Y96" s="11">
        <v>351.625</v>
      </c>
      <c r="Z96" s="11">
        <v>351.625</v>
      </c>
    </row>
    <row r="97" spans="1:26" s="35" customFormat="1" ht="22.5" customHeight="1" x14ac:dyDescent="0.25">
      <c r="A97" s="33"/>
      <c r="B97" s="34"/>
      <c r="C97" s="34"/>
      <c r="D97" s="34"/>
      <c r="E97" s="50"/>
      <c r="F97" s="50"/>
      <c r="G97" s="50"/>
      <c r="H97" s="50"/>
      <c r="I97" s="50"/>
      <c r="J97" s="51" t="s">
        <v>20</v>
      </c>
      <c r="K97" s="50"/>
      <c r="L97" s="32">
        <f t="shared" ref="L97:M97" si="3">SUM(L88:L95)</f>
        <v>3</v>
      </c>
      <c r="M97" s="32">
        <f t="shared" si="3"/>
        <v>52.5</v>
      </c>
      <c r="N97" s="32">
        <f>SUM(N88:N96)</f>
        <v>10314</v>
      </c>
      <c r="O97" s="32">
        <f>SUM(O88:O96)</f>
        <v>625.08333333333337</v>
      </c>
      <c r="P97" s="32">
        <f t="shared" ref="P97:Z97" si="4">SUM(P88:P96)</f>
        <v>625.08333333333337</v>
      </c>
      <c r="Q97" s="32">
        <f t="shared" si="4"/>
        <v>625.08333333333337</v>
      </c>
      <c r="R97" s="32">
        <f t="shared" si="4"/>
        <v>625.08333333333337</v>
      </c>
      <c r="S97" s="32">
        <f t="shared" si="4"/>
        <v>976.70833333333337</v>
      </c>
      <c r="T97" s="32">
        <f t="shared" si="4"/>
        <v>976.70833333333337</v>
      </c>
      <c r="U97" s="32">
        <f t="shared" si="4"/>
        <v>976.70833333333337</v>
      </c>
      <c r="V97" s="32">
        <f t="shared" si="4"/>
        <v>976.70833333333337</v>
      </c>
      <c r="W97" s="32">
        <f t="shared" si="4"/>
        <v>976.70833333333337</v>
      </c>
      <c r="X97" s="32">
        <f t="shared" si="4"/>
        <v>976.70833333333337</v>
      </c>
      <c r="Y97" s="32">
        <f t="shared" si="4"/>
        <v>976.70833333333337</v>
      </c>
      <c r="Z97" s="32">
        <f t="shared" si="4"/>
        <v>976.70833333333337</v>
      </c>
    </row>
    <row r="98" spans="1:26" ht="18" x14ac:dyDescent="0.25">
      <c r="A98" s="30" t="e">
        <f>CONCATENATE(#REF!," ",#REF!)</f>
        <v>#REF!</v>
      </c>
      <c r="B98" s="30"/>
      <c r="C98" s="31"/>
      <c r="D98" s="31" t="str">
        <f>+C17</f>
        <v>Prism Setup support of cost &amp; contract Module and Prism of new users</v>
      </c>
      <c r="E98" s="29"/>
      <c r="F98" s="29"/>
      <c r="G98" s="29"/>
      <c r="H98" s="29"/>
      <c r="I98" s="29"/>
      <c r="J98" s="29"/>
      <c r="K98" s="29"/>
      <c r="L98" s="29"/>
      <c r="M98" s="29"/>
      <c r="N98" s="29"/>
      <c r="O98" s="29" t="s">
        <v>5</v>
      </c>
      <c r="P98" s="29"/>
      <c r="Q98" s="29"/>
      <c r="R98" s="29"/>
      <c r="S98" s="29"/>
      <c r="T98" s="29"/>
      <c r="U98" s="29"/>
      <c r="V98" s="29"/>
      <c r="W98" s="29"/>
      <c r="X98" s="29"/>
      <c r="Y98" s="29"/>
      <c r="Z98" s="29"/>
    </row>
    <row r="99" spans="1:26" ht="60" x14ac:dyDescent="0.25">
      <c r="A99" s="92" t="s">
        <v>261</v>
      </c>
      <c r="B99" s="92" t="s">
        <v>13</v>
      </c>
      <c r="C99" s="92" t="s">
        <v>14</v>
      </c>
      <c r="D99" s="133" t="s">
        <v>286</v>
      </c>
      <c r="E99" s="32" t="s">
        <v>16</v>
      </c>
      <c r="F99" s="32" t="s">
        <v>295</v>
      </c>
      <c r="G99" s="32" t="s">
        <v>39</v>
      </c>
      <c r="H99" s="32" t="s">
        <v>297</v>
      </c>
      <c r="I99" s="32" t="s">
        <v>298</v>
      </c>
      <c r="J99" s="32" t="s">
        <v>299</v>
      </c>
      <c r="K99" s="32" t="s">
        <v>300</v>
      </c>
      <c r="L99" s="32" t="s">
        <v>17</v>
      </c>
      <c r="M99" s="32" t="s">
        <v>18</v>
      </c>
      <c r="N99" s="32" t="s">
        <v>19</v>
      </c>
      <c r="O99" s="66">
        <v>43101</v>
      </c>
      <c r="P99" s="66">
        <v>43132</v>
      </c>
      <c r="Q99" s="66">
        <v>43160</v>
      </c>
      <c r="R99" s="66">
        <v>43191</v>
      </c>
      <c r="S99" s="66">
        <v>43221</v>
      </c>
      <c r="T99" s="66">
        <v>43252</v>
      </c>
      <c r="U99" s="66">
        <v>43282</v>
      </c>
      <c r="V99" s="66">
        <v>43313</v>
      </c>
      <c r="W99" s="66">
        <v>43344</v>
      </c>
      <c r="X99" s="66">
        <v>43374</v>
      </c>
      <c r="Y99" s="66">
        <v>43405</v>
      </c>
      <c r="Z99" s="66">
        <v>43435</v>
      </c>
    </row>
    <row r="100" spans="1:26" ht="15" x14ac:dyDescent="0.25">
      <c r="A100" s="93"/>
      <c r="B100" s="93"/>
      <c r="C100" s="93"/>
      <c r="D100" s="664"/>
      <c r="E100" s="11"/>
      <c r="F100" s="11"/>
      <c r="G100" s="11"/>
      <c r="H100" s="362"/>
      <c r="I100" s="362"/>
      <c r="J100" s="362"/>
      <c r="K100" s="362"/>
      <c r="L100" s="11"/>
      <c r="M100" s="11"/>
      <c r="N100" s="137"/>
      <c r="O100" s="11"/>
      <c r="P100" s="11"/>
      <c r="Q100" s="11"/>
      <c r="R100" s="11"/>
      <c r="S100" s="11"/>
      <c r="T100" s="11"/>
      <c r="U100" s="11"/>
      <c r="V100" s="11"/>
      <c r="W100" s="11"/>
      <c r="X100" s="11"/>
      <c r="Y100" s="11"/>
      <c r="Z100" s="11"/>
    </row>
    <row r="101" spans="1:26" ht="15" x14ac:dyDescent="0.25">
      <c r="A101" s="93"/>
      <c r="B101" s="93"/>
      <c r="C101" s="93"/>
      <c r="D101" s="664"/>
      <c r="E101" s="11"/>
      <c r="F101" s="11"/>
      <c r="G101" s="11"/>
      <c r="H101" s="11"/>
      <c r="I101" s="11"/>
      <c r="J101" s="11"/>
      <c r="K101" s="11"/>
      <c r="L101" s="11"/>
      <c r="M101" s="11"/>
      <c r="N101" s="137"/>
      <c r="O101" s="11"/>
      <c r="P101" s="11"/>
      <c r="Q101" s="11"/>
      <c r="R101" s="11"/>
      <c r="S101" s="11"/>
      <c r="T101" s="11"/>
      <c r="U101" s="11"/>
      <c r="V101" s="11"/>
      <c r="W101" s="11"/>
      <c r="X101" s="11"/>
      <c r="Y101" s="11"/>
      <c r="Z101" s="11"/>
    </row>
    <row r="102" spans="1:26" ht="15" hidden="1" x14ac:dyDescent="0.25">
      <c r="A102" s="93"/>
      <c r="B102" s="93"/>
      <c r="C102" s="93"/>
      <c r="D102" s="664"/>
      <c r="E102" s="11"/>
      <c r="F102" s="11"/>
      <c r="G102" s="11"/>
      <c r="H102" s="11"/>
      <c r="I102" s="11"/>
      <c r="J102" s="11"/>
      <c r="K102" s="11"/>
      <c r="L102" s="11"/>
      <c r="M102" s="11"/>
      <c r="N102" s="137"/>
      <c r="O102" s="11"/>
      <c r="P102" s="11"/>
      <c r="Q102" s="11"/>
      <c r="R102" s="11"/>
      <c r="S102" s="11"/>
      <c r="T102" s="11"/>
      <c r="U102" s="11"/>
      <c r="V102" s="11"/>
      <c r="W102" s="11"/>
      <c r="X102" s="11"/>
      <c r="Y102" s="11"/>
      <c r="Z102" s="11"/>
    </row>
    <row r="103" spans="1:26" ht="15" hidden="1" x14ac:dyDescent="0.25">
      <c r="A103" s="93"/>
      <c r="B103" s="93"/>
      <c r="C103" s="93"/>
      <c r="D103" s="664"/>
      <c r="E103" s="11"/>
      <c r="F103" s="11"/>
      <c r="G103" s="664"/>
      <c r="H103" s="11"/>
      <c r="I103" s="11"/>
      <c r="J103" s="11"/>
      <c r="K103" s="11"/>
      <c r="L103" s="11"/>
      <c r="M103" s="11"/>
      <c r="N103" s="137"/>
      <c r="O103" s="11"/>
      <c r="P103" s="11"/>
      <c r="Q103" s="11"/>
      <c r="R103" s="11"/>
      <c r="S103" s="11"/>
      <c r="T103" s="11"/>
      <c r="U103" s="11"/>
      <c r="V103" s="11"/>
      <c r="W103" s="11"/>
      <c r="X103" s="11"/>
      <c r="Y103" s="11"/>
      <c r="Z103" s="11"/>
    </row>
    <row r="104" spans="1:26" ht="15" hidden="1" x14ac:dyDescent="0.25">
      <c r="A104" s="93"/>
      <c r="B104" s="93"/>
      <c r="C104" s="93"/>
      <c r="D104" s="664"/>
      <c r="E104" s="11"/>
      <c r="F104" s="11"/>
      <c r="G104" s="664"/>
      <c r="H104" s="11"/>
      <c r="I104" s="11"/>
      <c r="J104" s="11"/>
      <c r="K104" s="11"/>
      <c r="L104" s="11"/>
      <c r="M104" s="11"/>
      <c r="N104" s="137"/>
      <c r="O104" s="11"/>
      <c r="P104" s="11"/>
      <c r="Q104" s="11"/>
      <c r="R104" s="11"/>
      <c r="S104" s="11"/>
      <c r="T104" s="11"/>
      <c r="U104" s="11"/>
      <c r="V104" s="11"/>
      <c r="W104" s="11"/>
      <c r="X104" s="11"/>
      <c r="Y104" s="11"/>
      <c r="Z104" s="11"/>
    </row>
    <row r="105" spans="1:26" ht="15" hidden="1" x14ac:dyDescent="0.25">
      <c r="A105" s="93"/>
      <c r="B105" s="93"/>
      <c r="C105" s="93"/>
      <c r="D105" s="664"/>
      <c r="E105" s="11"/>
      <c r="F105" s="11"/>
      <c r="G105" s="11"/>
      <c r="H105" s="11"/>
      <c r="I105" s="11"/>
      <c r="J105" s="11"/>
      <c r="K105" s="11"/>
      <c r="L105" s="11"/>
      <c r="M105" s="11"/>
      <c r="N105" s="137"/>
      <c r="O105" s="11"/>
      <c r="P105" s="11"/>
      <c r="Q105" s="11"/>
      <c r="R105" s="11"/>
      <c r="S105" s="11"/>
      <c r="T105" s="11"/>
      <c r="U105" s="11"/>
      <c r="V105" s="11"/>
      <c r="W105" s="11"/>
      <c r="X105" s="11"/>
      <c r="Y105" s="11"/>
      <c r="Z105" s="11"/>
    </row>
    <row r="106" spans="1:26" ht="15" hidden="1" x14ac:dyDescent="0.25">
      <c r="A106" s="93"/>
      <c r="B106" s="93"/>
      <c r="C106" s="93"/>
      <c r="D106" s="664"/>
      <c r="E106" s="11"/>
      <c r="F106" s="11"/>
      <c r="G106" s="11"/>
      <c r="H106" s="11"/>
      <c r="I106" s="11"/>
      <c r="J106" s="11"/>
      <c r="K106" s="11"/>
      <c r="L106" s="11"/>
      <c r="M106" s="11"/>
      <c r="N106" s="137"/>
      <c r="O106" s="11"/>
      <c r="P106" s="11"/>
      <c r="Q106" s="11"/>
      <c r="R106" s="11"/>
      <c r="S106" s="11"/>
      <c r="T106" s="11"/>
      <c r="U106" s="11"/>
      <c r="V106" s="11"/>
      <c r="W106" s="11"/>
      <c r="X106" s="11"/>
      <c r="Y106" s="11"/>
      <c r="Z106" s="11"/>
    </row>
    <row r="107" spans="1:26" ht="15" hidden="1" x14ac:dyDescent="0.25">
      <c r="A107" s="93"/>
      <c r="B107" s="93"/>
      <c r="C107" s="93"/>
      <c r="D107" s="664"/>
      <c r="E107" s="11"/>
      <c r="F107" s="11"/>
      <c r="G107" s="11"/>
      <c r="H107" s="11"/>
      <c r="I107" s="11"/>
      <c r="J107" s="11"/>
      <c r="K107" s="11"/>
      <c r="L107" s="11"/>
      <c r="M107" s="11"/>
      <c r="N107" s="137"/>
      <c r="O107" s="11"/>
      <c r="P107" s="11"/>
      <c r="Q107" s="11"/>
      <c r="R107" s="11"/>
      <c r="S107" s="11"/>
      <c r="T107" s="11"/>
      <c r="U107" s="11"/>
      <c r="V107" s="11"/>
      <c r="W107" s="11"/>
      <c r="X107" s="11"/>
      <c r="Y107" s="11"/>
      <c r="Z107" s="11"/>
    </row>
    <row r="108" spans="1:26" ht="15" hidden="1" x14ac:dyDescent="0.25">
      <c r="A108" s="93"/>
      <c r="B108" s="93"/>
      <c r="C108" s="93"/>
      <c r="D108" s="664"/>
      <c r="E108" s="11"/>
      <c r="F108" s="11"/>
      <c r="G108" s="11"/>
      <c r="H108" s="11"/>
      <c r="I108" s="11"/>
      <c r="J108" s="11"/>
      <c r="K108" s="11"/>
      <c r="L108" s="11"/>
      <c r="M108" s="11"/>
      <c r="N108" s="137"/>
      <c r="O108" s="11"/>
      <c r="P108" s="11"/>
      <c r="Q108" s="11"/>
      <c r="R108" s="11"/>
      <c r="S108" s="11"/>
      <c r="T108" s="11"/>
      <c r="U108" s="11"/>
      <c r="V108" s="11"/>
      <c r="W108" s="11"/>
      <c r="X108" s="11"/>
      <c r="Y108" s="11"/>
      <c r="Z108" s="11"/>
    </row>
    <row r="109" spans="1:26" ht="15" hidden="1" x14ac:dyDescent="0.25">
      <c r="A109" s="93"/>
      <c r="B109" s="93"/>
      <c r="C109" s="93"/>
      <c r="D109" s="664"/>
      <c r="E109" s="11"/>
      <c r="F109" s="11"/>
      <c r="G109" s="11"/>
      <c r="H109" s="11"/>
      <c r="I109" s="11"/>
      <c r="J109" s="11"/>
      <c r="K109" s="11"/>
      <c r="L109" s="11"/>
      <c r="M109" s="11"/>
      <c r="N109" s="137"/>
      <c r="O109" s="11"/>
      <c r="P109" s="11"/>
      <c r="Q109" s="11"/>
      <c r="R109" s="11"/>
      <c r="S109" s="11"/>
      <c r="T109" s="11"/>
      <c r="U109" s="11"/>
      <c r="V109" s="11"/>
      <c r="W109" s="11"/>
      <c r="X109" s="11"/>
      <c r="Y109" s="11"/>
      <c r="Z109" s="11"/>
    </row>
    <row r="110" spans="1:26" ht="15" hidden="1" x14ac:dyDescent="0.25">
      <c r="A110" s="93"/>
      <c r="B110" s="93"/>
      <c r="C110" s="93"/>
      <c r="D110" s="664"/>
      <c r="E110" s="11"/>
      <c r="F110" s="11"/>
      <c r="G110" s="11"/>
      <c r="H110" s="11"/>
      <c r="I110" s="11"/>
      <c r="J110" s="11"/>
      <c r="K110" s="11"/>
      <c r="L110" s="11"/>
      <c r="M110" s="11"/>
      <c r="N110" s="137"/>
      <c r="O110" s="11"/>
      <c r="P110" s="11"/>
      <c r="Q110" s="11"/>
      <c r="R110" s="11"/>
      <c r="S110" s="11"/>
      <c r="T110" s="11"/>
      <c r="U110" s="11"/>
      <c r="V110" s="11"/>
      <c r="W110" s="11"/>
      <c r="X110" s="11"/>
      <c r="Y110" s="11"/>
      <c r="Z110" s="11"/>
    </row>
    <row r="111" spans="1:26" ht="27.6" customHeight="1" x14ac:dyDescent="0.25">
      <c r="A111" s="93"/>
      <c r="B111" s="93"/>
      <c r="C111" s="93"/>
      <c r="D111" s="664"/>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s="35" customFormat="1" ht="22.5" customHeight="1" x14ac:dyDescent="0.25">
      <c r="A112" s="33"/>
      <c r="B112" s="34"/>
      <c r="C112" s="34"/>
      <c r="D112" s="34"/>
      <c r="E112" s="50"/>
      <c r="F112" s="50"/>
      <c r="G112" s="50"/>
      <c r="H112" s="50"/>
      <c r="I112" s="50"/>
      <c r="J112" s="51"/>
      <c r="K112" s="50"/>
      <c r="L112" s="32"/>
      <c r="M112" s="32"/>
      <c r="N112" s="32"/>
      <c r="O112" s="32"/>
      <c r="P112" s="32"/>
      <c r="Q112" s="32"/>
      <c r="R112" s="32"/>
      <c r="S112" s="32"/>
      <c r="T112" s="32"/>
      <c r="U112" s="32"/>
      <c r="V112" s="32"/>
      <c r="W112" s="32"/>
      <c r="X112" s="32"/>
      <c r="Y112" s="32"/>
      <c r="Z112" s="32"/>
    </row>
    <row r="113" spans="1:27" ht="18" outlineLevel="1" x14ac:dyDescent="0.25">
      <c r="A113" s="30" t="e">
        <f>CONCATENATE(#REF!," ",#REF!)</f>
        <v>#REF!</v>
      </c>
      <c r="B113" s="30"/>
      <c r="C113" s="31"/>
      <c r="D113" s="31"/>
      <c r="E113" s="29"/>
      <c r="F113" s="29"/>
      <c r="G113" s="29"/>
      <c r="H113" s="29"/>
      <c r="I113" s="29"/>
      <c r="J113" s="29"/>
      <c r="K113" s="29"/>
      <c r="L113" s="29"/>
      <c r="M113" s="29"/>
      <c r="N113" s="29"/>
      <c r="O113" s="29" t="s">
        <v>5</v>
      </c>
      <c r="P113" s="29"/>
      <c r="Q113" s="29"/>
      <c r="R113" s="29"/>
      <c r="S113" s="29"/>
      <c r="T113" s="29"/>
      <c r="U113" s="29"/>
      <c r="V113" s="29"/>
      <c r="W113" s="29"/>
      <c r="X113" s="29"/>
      <c r="Y113" s="29"/>
      <c r="Z113" s="29"/>
    </row>
    <row r="114" spans="1:27" ht="18" hidden="1" outlineLevel="1" x14ac:dyDescent="0.25">
      <c r="A114" s="30" t="e">
        <f>CONCATENATE(#REF!," ",#REF!)</f>
        <v>#REF!</v>
      </c>
      <c r="B114" s="30"/>
      <c r="C114" s="31"/>
      <c r="D114" s="31"/>
      <c r="E114" s="29"/>
      <c r="F114" s="29"/>
      <c r="G114" s="29"/>
      <c r="H114" s="29"/>
      <c r="I114" s="29"/>
      <c r="J114" s="29"/>
      <c r="K114" s="29"/>
      <c r="L114" s="29"/>
      <c r="M114" s="29"/>
      <c r="N114" s="29"/>
      <c r="O114" s="29" t="s">
        <v>5</v>
      </c>
      <c r="P114" s="29"/>
      <c r="Q114" s="29"/>
      <c r="R114" s="29"/>
      <c r="S114" s="29"/>
      <c r="T114" s="29"/>
      <c r="U114" s="29"/>
      <c r="V114" s="29"/>
      <c r="W114" s="29"/>
      <c r="X114" s="29"/>
      <c r="Y114" s="29"/>
      <c r="Z114" s="29"/>
    </row>
    <row r="115" spans="1:27" ht="41.45" hidden="1" customHeight="1" outlineLevel="1" x14ac:dyDescent="0.25">
      <c r="A115" s="92" t="s">
        <v>261</v>
      </c>
      <c r="B115" s="92" t="s">
        <v>13</v>
      </c>
      <c r="C115" s="92" t="s">
        <v>14</v>
      </c>
      <c r="D115" s="133" t="s">
        <v>286</v>
      </c>
      <c r="E115" s="32" t="s">
        <v>16</v>
      </c>
      <c r="F115" s="32" t="s">
        <v>295</v>
      </c>
      <c r="G115" s="32" t="s">
        <v>39</v>
      </c>
      <c r="H115" s="32" t="s">
        <v>297</v>
      </c>
      <c r="I115" s="32" t="s">
        <v>298</v>
      </c>
      <c r="J115" s="32" t="s">
        <v>299</v>
      </c>
      <c r="K115" s="32" t="s">
        <v>300</v>
      </c>
      <c r="L115" s="32" t="s">
        <v>17</v>
      </c>
      <c r="M115" s="32" t="s">
        <v>18</v>
      </c>
      <c r="N115" s="32" t="s">
        <v>19</v>
      </c>
      <c r="O115" s="66">
        <v>43101</v>
      </c>
      <c r="P115" s="66">
        <v>43132</v>
      </c>
      <c r="Q115" s="66">
        <v>43160</v>
      </c>
      <c r="R115" s="66">
        <v>43191</v>
      </c>
      <c r="S115" s="66">
        <v>43221</v>
      </c>
      <c r="T115" s="66">
        <v>43252</v>
      </c>
      <c r="U115" s="66">
        <v>43282</v>
      </c>
      <c r="V115" s="66">
        <v>43313</v>
      </c>
      <c r="W115" s="66">
        <v>43344</v>
      </c>
      <c r="X115" s="66">
        <v>43374</v>
      </c>
      <c r="Y115" s="66">
        <v>43405</v>
      </c>
      <c r="Z115" s="66">
        <v>43435</v>
      </c>
    </row>
    <row r="116" spans="1:27" ht="15" hidden="1" customHeight="1" outlineLevel="1" x14ac:dyDescent="0.25">
      <c r="A116" s="93" t="s">
        <v>265</v>
      </c>
      <c r="B116" s="93"/>
      <c r="C116" s="93"/>
      <c r="D116" s="664"/>
      <c r="E116" s="11"/>
      <c r="F116" s="11"/>
      <c r="G116" s="11"/>
      <c r="H116" s="11"/>
      <c r="I116" s="11"/>
      <c r="J116" s="11"/>
      <c r="K116" s="11"/>
      <c r="L116" s="11"/>
      <c r="M116" s="11"/>
      <c r="N116" s="11">
        <f t="shared" ref="N116:N119" si="5">SUM(O116:Z116)</f>
        <v>0</v>
      </c>
      <c r="O116" s="11"/>
      <c r="P116" s="11"/>
      <c r="Q116" s="11"/>
      <c r="R116" s="11"/>
      <c r="S116" s="11"/>
      <c r="T116" s="11"/>
      <c r="U116" s="11"/>
      <c r="V116" s="11"/>
      <c r="W116" s="11"/>
      <c r="X116" s="11"/>
      <c r="Y116" s="11"/>
      <c r="Z116" s="11"/>
    </row>
    <row r="117" spans="1:27" ht="15" hidden="1" customHeight="1" outlineLevel="1" x14ac:dyDescent="0.25">
      <c r="A117" s="93" t="s">
        <v>266</v>
      </c>
      <c r="B117" s="93"/>
      <c r="C117" s="93"/>
      <c r="D117" s="664"/>
      <c r="E117" s="11"/>
      <c r="F117" s="11"/>
      <c r="G117" s="11"/>
      <c r="H117" s="11"/>
      <c r="I117" s="11"/>
      <c r="J117" s="11"/>
      <c r="K117" s="11"/>
      <c r="L117" s="11"/>
      <c r="M117" s="11"/>
      <c r="N117" s="11">
        <f t="shared" si="5"/>
        <v>0</v>
      </c>
      <c r="O117" s="11"/>
      <c r="P117" s="11"/>
      <c r="Q117" s="11"/>
      <c r="R117" s="11"/>
      <c r="S117" s="11"/>
      <c r="T117" s="11"/>
      <c r="U117" s="11"/>
      <c r="V117" s="11"/>
      <c r="W117" s="11"/>
      <c r="X117" s="11"/>
      <c r="Y117" s="11"/>
      <c r="Z117" s="11"/>
    </row>
    <row r="118" spans="1:27" ht="15" hidden="1" customHeight="1" outlineLevel="1" x14ac:dyDescent="0.25">
      <c r="A118" s="93" t="s">
        <v>283</v>
      </c>
      <c r="B118" s="93"/>
      <c r="C118" s="93"/>
      <c r="D118" s="664"/>
      <c r="E118" s="11"/>
      <c r="F118" s="11"/>
      <c r="G118" s="11"/>
      <c r="H118" s="11"/>
      <c r="I118" s="11"/>
      <c r="J118" s="11"/>
      <c r="K118" s="11"/>
      <c r="L118" s="11"/>
      <c r="M118" s="11"/>
      <c r="N118" s="11">
        <f t="shared" si="5"/>
        <v>0</v>
      </c>
      <c r="O118" s="11"/>
      <c r="P118" s="11"/>
      <c r="Q118" s="11"/>
      <c r="R118" s="11"/>
      <c r="S118" s="11"/>
      <c r="T118" s="11"/>
      <c r="U118" s="11"/>
      <c r="V118" s="11"/>
      <c r="W118" s="11"/>
      <c r="X118" s="11"/>
      <c r="Y118" s="11"/>
      <c r="Z118" s="11"/>
    </row>
    <row r="119" spans="1:27" ht="15" hidden="1" customHeight="1" outlineLevel="1" x14ac:dyDescent="0.25">
      <c r="A119" s="93" t="s">
        <v>284</v>
      </c>
      <c r="B119" s="93"/>
      <c r="C119" s="93"/>
      <c r="D119" s="664"/>
      <c r="E119" s="11"/>
      <c r="F119" s="11"/>
      <c r="G119" s="11"/>
      <c r="H119" s="11"/>
      <c r="I119" s="11"/>
      <c r="J119" s="11"/>
      <c r="K119" s="11"/>
      <c r="L119" s="11"/>
      <c r="M119" s="11"/>
      <c r="N119" s="11">
        <f t="shared" si="5"/>
        <v>0</v>
      </c>
      <c r="O119" s="11"/>
      <c r="P119" s="11"/>
      <c r="Q119" s="11"/>
      <c r="R119" s="11"/>
      <c r="S119" s="11"/>
      <c r="T119" s="11"/>
      <c r="U119" s="11"/>
      <c r="V119" s="11"/>
      <c r="W119" s="11"/>
      <c r="X119" s="11"/>
      <c r="Y119" s="11"/>
      <c r="Z119" s="11"/>
    </row>
    <row r="120" spans="1:27" ht="21" hidden="1" customHeight="1" outlineLevel="1" x14ac:dyDescent="0.25">
      <c r="A120" s="93" t="s">
        <v>285</v>
      </c>
      <c r="B120" s="93"/>
      <c r="C120" s="93"/>
      <c r="D120" s="664"/>
      <c r="E120" s="11"/>
      <c r="F120" s="11"/>
      <c r="G120" s="45"/>
      <c r="H120" s="11"/>
      <c r="I120" s="11"/>
      <c r="J120" s="11"/>
      <c r="K120" s="68" t="s">
        <v>20</v>
      </c>
      <c r="L120" s="32">
        <f>SUM(L115:L119)</f>
        <v>0</v>
      </c>
      <c r="M120" s="32">
        <f>SUM(M115:M119)</f>
        <v>0</v>
      </c>
      <c r="N120" s="11">
        <f>SUM(N116:N119)</f>
        <v>0</v>
      </c>
      <c r="O120" s="11">
        <f t="shared" ref="O120:Z120" si="6">SUM(O116:O119)</f>
        <v>0</v>
      </c>
      <c r="P120" s="11">
        <f t="shared" si="6"/>
        <v>0</v>
      </c>
      <c r="Q120" s="11">
        <f t="shared" si="6"/>
        <v>0</v>
      </c>
      <c r="R120" s="11">
        <f t="shared" si="6"/>
        <v>0</v>
      </c>
      <c r="S120" s="11">
        <f t="shared" si="6"/>
        <v>0</v>
      </c>
      <c r="T120" s="11">
        <f t="shared" si="6"/>
        <v>0</v>
      </c>
      <c r="U120" s="11">
        <f t="shared" si="6"/>
        <v>0</v>
      </c>
      <c r="V120" s="11">
        <f t="shared" si="6"/>
        <v>0</v>
      </c>
      <c r="W120" s="11">
        <f t="shared" si="6"/>
        <v>0</v>
      </c>
      <c r="X120" s="11">
        <f t="shared" si="6"/>
        <v>0</v>
      </c>
      <c r="Y120" s="11">
        <f t="shared" si="6"/>
        <v>0</v>
      </c>
      <c r="Z120" s="11">
        <f t="shared" si="6"/>
        <v>0</v>
      </c>
      <c r="AA120" s="35"/>
    </row>
    <row r="121" spans="1:27" ht="18" hidden="1" outlineLevel="1" x14ac:dyDescent="0.25">
      <c r="A121" s="30" t="str">
        <f>CONCATENATE(B18," ",C18)</f>
        <v xml:space="preserve"> </v>
      </c>
      <c r="B121" s="30"/>
      <c r="C121" s="31"/>
      <c r="D121" s="31"/>
      <c r="E121" s="29"/>
      <c r="F121" s="29"/>
      <c r="G121" s="29"/>
      <c r="H121" s="29"/>
      <c r="I121" s="29"/>
      <c r="J121" s="29"/>
      <c r="K121" s="29"/>
      <c r="L121" s="29"/>
      <c r="M121" s="29"/>
      <c r="N121" s="29"/>
      <c r="O121" s="29" t="s">
        <v>5</v>
      </c>
      <c r="P121" s="29"/>
      <c r="Q121" s="29"/>
      <c r="R121" s="29"/>
      <c r="S121" s="29"/>
      <c r="T121" s="29"/>
      <c r="U121" s="29"/>
      <c r="V121" s="29"/>
      <c r="W121" s="29"/>
      <c r="X121" s="29"/>
      <c r="Y121" s="29"/>
      <c r="Z121" s="29"/>
    </row>
    <row r="122" spans="1:27" ht="41.45" hidden="1" customHeight="1" outlineLevel="1" x14ac:dyDescent="0.25">
      <c r="A122" s="92" t="s">
        <v>261</v>
      </c>
      <c r="B122" s="92" t="s">
        <v>13</v>
      </c>
      <c r="C122" s="92" t="s">
        <v>14</v>
      </c>
      <c r="D122" s="133" t="s">
        <v>286</v>
      </c>
      <c r="E122" s="32" t="s">
        <v>16</v>
      </c>
      <c r="F122" s="32" t="s">
        <v>295</v>
      </c>
      <c r="G122" s="32" t="s">
        <v>39</v>
      </c>
      <c r="H122" s="32" t="s">
        <v>297</v>
      </c>
      <c r="I122" s="32" t="s">
        <v>298</v>
      </c>
      <c r="J122" s="32" t="s">
        <v>299</v>
      </c>
      <c r="K122" s="32" t="s">
        <v>300</v>
      </c>
      <c r="L122" s="32" t="s">
        <v>17</v>
      </c>
      <c r="M122" s="32" t="s">
        <v>18</v>
      </c>
      <c r="N122" s="32" t="s">
        <v>19</v>
      </c>
      <c r="O122" s="66">
        <v>43101</v>
      </c>
      <c r="P122" s="66">
        <v>43132</v>
      </c>
      <c r="Q122" s="66">
        <v>43160</v>
      </c>
      <c r="R122" s="66">
        <v>43191</v>
      </c>
      <c r="S122" s="66">
        <v>43221</v>
      </c>
      <c r="T122" s="66">
        <v>43252</v>
      </c>
      <c r="U122" s="66">
        <v>43282</v>
      </c>
      <c r="V122" s="66">
        <v>43313</v>
      </c>
      <c r="W122" s="66">
        <v>43344</v>
      </c>
      <c r="X122" s="66">
        <v>43374</v>
      </c>
      <c r="Y122" s="66">
        <v>43405</v>
      </c>
      <c r="Z122" s="66">
        <v>43435</v>
      </c>
    </row>
    <row r="123" spans="1:27" ht="15" hidden="1" customHeight="1" outlineLevel="1" x14ac:dyDescent="0.25">
      <c r="A123" s="93" t="s">
        <v>265</v>
      </c>
      <c r="B123" s="93"/>
      <c r="C123" s="93"/>
      <c r="D123" s="664"/>
      <c r="E123" s="11"/>
      <c r="F123" s="11"/>
      <c r="G123" s="11"/>
      <c r="H123" s="11"/>
      <c r="I123" s="11"/>
      <c r="J123" s="11"/>
      <c r="K123" s="11"/>
      <c r="L123" s="11"/>
      <c r="M123" s="11"/>
      <c r="N123" s="11">
        <f t="shared" ref="N123:N126" si="7">SUM(O123:Z123)</f>
        <v>0</v>
      </c>
      <c r="O123" s="11"/>
      <c r="P123" s="11"/>
      <c r="Q123" s="11"/>
      <c r="R123" s="11"/>
      <c r="S123" s="11"/>
      <c r="T123" s="11"/>
      <c r="U123" s="11"/>
      <c r="V123" s="11"/>
      <c r="W123" s="11"/>
      <c r="X123" s="11"/>
      <c r="Y123" s="11"/>
      <c r="Z123" s="11"/>
    </row>
    <row r="124" spans="1:27" ht="15" hidden="1" customHeight="1" outlineLevel="1" x14ac:dyDescent="0.25">
      <c r="A124" s="93" t="s">
        <v>266</v>
      </c>
      <c r="B124" s="93"/>
      <c r="C124" s="93"/>
      <c r="D124" s="664"/>
      <c r="E124" s="11"/>
      <c r="F124" s="11"/>
      <c r="G124" s="11"/>
      <c r="H124" s="11"/>
      <c r="I124" s="11"/>
      <c r="J124" s="11"/>
      <c r="K124" s="11"/>
      <c r="L124" s="11"/>
      <c r="M124" s="11"/>
      <c r="N124" s="11">
        <f t="shared" si="7"/>
        <v>0</v>
      </c>
      <c r="O124" s="11"/>
      <c r="P124" s="11"/>
      <c r="Q124" s="11"/>
      <c r="R124" s="11"/>
      <c r="S124" s="11"/>
      <c r="T124" s="11"/>
      <c r="U124" s="11"/>
      <c r="V124" s="11"/>
      <c r="W124" s="11"/>
      <c r="X124" s="11"/>
      <c r="Y124" s="11"/>
      <c r="Z124" s="11"/>
    </row>
    <row r="125" spans="1:27" ht="15" hidden="1" customHeight="1" outlineLevel="1" x14ac:dyDescent="0.25">
      <c r="A125" s="93" t="s">
        <v>283</v>
      </c>
      <c r="B125" s="93"/>
      <c r="C125" s="93"/>
      <c r="D125" s="664"/>
      <c r="E125" s="11"/>
      <c r="F125" s="11"/>
      <c r="G125" s="11"/>
      <c r="H125" s="11"/>
      <c r="I125" s="11"/>
      <c r="J125" s="11"/>
      <c r="K125" s="11"/>
      <c r="L125" s="11"/>
      <c r="M125" s="11"/>
      <c r="N125" s="11">
        <f t="shared" si="7"/>
        <v>0</v>
      </c>
      <c r="O125" s="11"/>
      <c r="P125" s="11"/>
      <c r="Q125" s="11"/>
      <c r="R125" s="11"/>
      <c r="S125" s="11"/>
      <c r="T125" s="11"/>
      <c r="U125" s="11"/>
      <c r="V125" s="11"/>
      <c r="W125" s="11"/>
      <c r="X125" s="11"/>
      <c r="Y125" s="11"/>
      <c r="Z125" s="11"/>
    </row>
    <row r="126" spans="1:27" ht="15" hidden="1" customHeight="1" outlineLevel="1" x14ac:dyDescent="0.25">
      <c r="A126" s="93" t="s">
        <v>284</v>
      </c>
      <c r="B126" s="93"/>
      <c r="C126" s="93"/>
      <c r="D126" s="664"/>
      <c r="E126" s="11"/>
      <c r="F126" s="11"/>
      <c r="G126" s="11"/>
      <c r="H126" s="11"/>
      <c r="I126" s="11"/>
      <c r="J126" s="11"/>
      <c r="K126" s="11"/>
      <c r="L126" s="11"/>
      <c r="M126" s="11"/>
      <c r="N126" s="11">
        <f t="shared" si="7"/>
        <v>0</v>
      </c>
      <c r="O126" s="11"/>
      <c r="P126" s="11"/>
      <c r="Q126" s="11"/>
      <c r="R126" s="11"/>
      <c r="S126" s="11"/>
      <c r="T126" s="11"/>
      <c r="U126" s="11"/>
      <c r="V126" s="11"/>
      <c r="W126" s="11"/>
      <c r="X126" s="11"/>
      <c r="Y126" s="11"/>
      <c r="Z126" s="11"/>
    </row>
    <row r="127" spans="1:27" ht="21" hidden="1" customHeight="1" outlineLevel="1" x14ac:dyDescent="0.25">
      <c r="A127" s="93" t="s">
        <v>285</v>
      </c>
      <c r="B127" s="93"/>
      <c r="C127" s="93"/>
      <c r="D127" s="664"/>
      <c r="E127" s="11"/>
      <c r="F127" s="11"/>
      <c r="G127" s="45"/>
      <c r="H127" s="11"/>
      <c r="I127" s="11"/>
      <c r="J127" s="11"/>
      <c r="K127" s="68" t="s">
        <v>20</v>
      </c>
      <c r="L127" s="32">
        <f>SUM(L122:L126)</f>
        <v>0</v>
      </c>
      <c r="M127" s="32">
        <f>SUM(M122:M126)</f>
        <v>0</v>
      </c>
      <c r="N127" s="11">
        <f>SUM(N123:N126)</f>
        <v>0</v>
      </c>
      <c r="O127" s="11">
        <f t="shared" ref="O127:Z127" si="8">SUM(O123:O126)</f>
        <v>0</v>
      </c>
      <c r="P127" s="11">
        <f t="shared" si="8"/>
        <v>0</v>
      </c>
      <c r="Q127" s="11">
        <f t="shared" si="8"/>
        <v>0</v>
      </c>
      <c r="R127" s="11">
        <f t="shared" si="8"/>
        <v>0</v>
      </c>
      <c r="S127" s="11">
        <f t="shared" si="8"/>
        <v>0</v>
      </c>
      <c r="T127" s="11">
        <f t="shared" si="8"/>
        <v>0</v>
      </c>
      <c r="U127" s="11">
        <f t="shared" si="8"/>
        <v>0</v>
      </c>
      <c r="V127" s="11">
        <f t="shared" si="8"/>
        <v>0</v>
      </c>
      <c r="W127" s="11">
        <f t="shared" si="8"/>
        <v>0</v>
      </c>
      <c r="X127" s="11">
        <f t="shared" si="8"/>
        <v>0</v>
      </c>
      <c r="Y127" s="11">
        <f t="shared" si="8"/>
        <v>0</v>
      </c>
      <c r="Z127" s="11">
        <f t="shared" si="8"/>
        <v>0</v>
      </c>
      <c r="AA127" s="35"/>
    </row>
    <row r="128" spans="1:27" ht="18" hidden="1" outlineLevel="1" x14ac:dyDescent="0.25">
      <c r="A128" s="30" t="str">
        <f>CONCATENATE(B19," ",C19)</f>
        <v xml:space="preserve"> </v>
      </c>
      <c r="B128" s="30"/>
      <c r="C128" s="31"/>
      <c r="D128" s="31"/>
      <c r="E128" s="29"/>
      <c r="F128" s="29"/>
      <c r="G128" s="29"/>
      <c r="H128" s="29"/>
      <c r="I128" s="29"/>
      <c r="J128" s="29"/>
      <c r="K128" s="29"/>
      <c r="L128" s="29"/>
      <c r="M128" s="29"/>
      <c r="N128" s="29"/>
      <c r="O128" s="29" t="s">
        <v>5</v>
      </c>
      <c r="P128" s="29"/>
      <c r="Q128" s="29"/>
      <c r="R128" s="29"/>
      <c r="S128" s="29"/>
      <c r="T128" s="29"/>
      <c r="U128" s="29"/>
      <c r="V128" s="29"/>
      <c r="W128" s="29"/>
      <c r="X128" s="29"/>
      <c r="Y128" s="29"/>
      <c r="Z128" s="29"/>
    </row>
    <row r="129" spans="1:26" ht="6.75" hidden="1" customHeight="1" x14ac:dyDescent="0.25"/>
    <row r="130" spans="1:26" ht="18" x14ac:dyDescent="0.25">
      <c r="A130" s="41" t="s">
        <v>324</v>
      </c>
      <c r="B130" s="41"/>
      <c r="C130" s="42"/>
      <c r="D130" s="42"/>
      <c r="E130" s="43"/>
      <c r="F130" s="43"/>
      <c r="G130" s="43"/>
      <c r="H130" s="44"/>
      <c r="I130" s="44"/>
      <c r="J130" s="43"/>
      <c r="K130" s="43"/>
      <c r="L130" s="43"/>
      <c r="M130" s="43"/>
      <c r="N130" s="43"/>
      <c r="O130" s="43" t="s">
        <v>5</v>
      </c>
      <c r="P130" s="43"/>
      <c r="Q130" s="43"/>
      <c r="R130" s="43"/>
      <c r="S130" s="43"/>
      <c r="T130" s="43"/>
      <c r="U130" s="43"/>
      <c r="V130" s="43"/>
      <c r="W130" s="43"/>
      <c r="X130" s="43"/>
      <c r="Y130" s="43"/>
      <c r="Z130" s="43"/>
    </row>
    <row r="131" spans="1:26" ht="15.75" outlineLevel="1" x14ac:dyDescent="0.25">
      <c r="A131" s="92" t="s">
        <v>261</v>
      </c>
      <c r="B131" s="92" t="s">
        <v>13</v>
      </c>
      <c r="C131" s="92" t="s">
        <v>14</v>
      </c>
      <c r="D131" s="8" t="s">
        <v>15</v>
      </c>
      <c r="E131" s="49"/>
      <c r="F131" s="49"/>
      <c r="G131" s="49"/>
      <c r="H131" s="49"/>
      <c r="I131" s="49"/>
      <c r="J131" s="48"/>
      <c r="K131" s="12"/>
      <c r="L131" s="32" t="s">
        <v>52</v>
      </c>
      <c r="M131" s="32" t="s">
        <v>53</v>
      </c>
      <c r="N131" s="32" t="s">
        <v>54</v>
      </c>
      <c r="O131" s="66">
        <v>43101</v>
      </c>
      <c r="P131" s="66">
        <v>43132</v>
      </c>
      <c r="Q131" s="66">
        <v>43160</v>
      </c>
      <c r="R131" s="66">
        <v>43191</v>
      </c>
      <c r="S131" s="66">
        <v>43221</v>
      </c>
      <c r="T131" s="66">
        <v>43252</v>
      </c>
      <c r="U131" s="66">
        <v>43282</v>
      </c>
      <c r="V131" s="66">
        <v>43313</v>
      </c>
      <c r="W131" s="66">
        <v>43344</v>
      </c>
      <c r="X131" s="66">
        <v>43374</v>
      </c>
      <c r="Y131" s="66">
        <v>43405</v>
      </c>
      <c r="Z131" s="66">
        <v>43435</v>
      </c>
    </row>
    <row r="132" spans="1:26" ht="38.25" hidden="1" customHeight="1" outlineLevel="1" x14ac:dyDescent="0.25">
      <c r="A132" s="93" t="str">
        <f>+A17</f>
        <v>5.1</v>
      </c>
      <c r="B132" s="93" t="s">
        <v>27</v>
      </c>
      <c r="C132" s="93" t="str">
        <f>C17</f>
        <v>Prism Setup support of cost &amp; contract Module and Prism of new users</v>
      </c>
      <c r="D132" s="7" t="str">
        <f>D17</f>
        <v>Prism Setup support of cost &amp; contract Module and Prism of new users</v>
      </c>
      <c r="E132" s="49"/>
      <c r="F132" s="49"/>
      <c r="G132" s="49"/>
      <c r="H132" s="49"/>
      <c r="I132" s="49"/>
      <c r="J132" s="48"/>
      <c r="K132" s="12" t="s">
        <v>5</v>
      </c>
      <c r="L132" s="11" t="s">
        <v>48</v>
      </c>
      <c r="M132" s="11" t="s">
        <v>55</v>
      </c>
      <c r="N132" s="11">
        <v>6</v>
      </c>
      <c r="O132" s="54">
        <f t="shared" ref="O132:Z132" si="9">+O17/SUM($O17:$Z17)</f>
        <v>6.0605326093982295E-2</v>
      </c>
      <c r="P132" s="54">
        <f t="shared" si="9"/>
        <v>6.0605326093982295E-2</v>
      </c>
      <c r="Q132" s="54">
        <f t="shared" si="9"/>
        <v>6.0605326093982295E-2</v>
      </c>
      <c r="R132" s="54">
        <f t="shared" si="9"/>
        <v>6.0605326093982295E-2</v>
      </c>
      <c r="S132" s="54">
        <f t="shared" si="9"/>
        <v>9.4697336953008859E-2</v>
      </c>
      <c r="T132" s="54">
        <f t="shared" si="9"/>
        <v>9.4697336953008859E-2</v>
      </c>
      <c r="U132" s="54">
        <f t="shared" si="9"/>
        <v>9.4697336953008859E-2</v>
      </c>
      <c r="V132" s="54">
        <f t="shared" si="9"/>
        <v>9.4697336953008859E-2</v>
      </c>
      <c r="W132" s="54">
        <f t="shared" si="9"/>
        <v>9.4697336953008859E-2</v>
      </c>
      <c r="X132" s="54">
        <f t="shared" si="9"/>
        <v>9.4697336953008859E-2</v>
      </c>
      <c r="Y132" s="54">
        <f t="shared" si="9"/>
        <v>9.4697336953008859E-2</v>
      </c>
      <c r="Z132" s="54">
        <f t="shared" si="9"/>
        <v>9.4697336953008859E-2</v>
      </c>
    </row>
    <row r="133" spans="1:26" ht="38.25" hidden="1" customHeight="1" outlineLevel="1" x14ac:dyDescent="0.25">
      <c r="A133" s="93" t="e">
        <f>+#REF!</f>
        <v>#REF!</v>
      </c>
      <c r="B133" s="93" t="s">
        <v>29</v>
      </c>
      <c r="C133" s="93" t="e">
        <f>#REF!</f>
        <v>#REF!</v>
      </c>
      <c r="D133" s="7" t="e">
        <f>#REF!</f>
        <v>#REF!</v>
      </c>
      <c r="E133" s="49"/>
      <c r="F133" s="49"/>
      <c r="G133" s="49"/>
      <c r="H133" s="49"/>
      <c r="I133" s="49"/>
      <c r="J133" s="48"/>
      <c r="K133" s="12" t="s">
        <v>5</v>
      </c>
      <c r="L133" s="11" t="s">
        <v>48</v>
      </c>
      <c r="M133" s="11" t="s">
        <v>55</v>
      </c>
      <c r="N133" s="11">
        <v>6</v>
      </c>
      <c r="O133" s="54" t="e">
        <f>+#REF!/SUM(#REF!)</f>
        <v>#REF!</v>
      </c>
      <c r="P133" s="54" t="e">
        <f>+#REF!/SUM(#REF!)</f>
        <v>#REF!</v>
      </c>
      <c r="Q133" s="54" t="e">
        <f>+#REF!/SUM(#REF!)</f>
        <v>#REF!</v>
      </c>
      <c r="R133" s="54" t="e">
        <f>+#REF!/SUM(#REF!)</f>
        <v>#REF!</v>
      </c>
      <c r="S133" s="54" t="e">
        <f>+#REF!/SUM(#REF!)</f>
        <v>#REF!</v>
      </c>
      <c r="T133" s="54" t="e">
        <f>+#REF!/SUM(#REF!)</f>
        <v>#REF!</v>
      </c>
      <c r="U133" s="54" t="e">
        <f>+#REF!/SUM(#REF!)</f>
        <v>#REF!</v>
      </c>
      <c r="V133" s="54" t="e">
        <f>+#REF!/SUM(#REF!)</f>
        <v>#REF!</v>
      </c>
      <c r="W133" s="54" t="e">
        <f>+#REF!/SUM(#REF!)</f>
        <v>#REF!</v>
      </c>
      <c r="X133" s="54" t="e">
        <f>+#REF!/SUM(#REF!)</f>
        <v>#REF!</v>
      </c>
      <c r="Y133" s="54" t="e">
        <f>+#REF!/SUM(#REF!)</f>
        <v>#REF!</v>
      </c>
      <c r="Z133" s="54" t="e">
        <f>+#REF!/SUM(#REF!)</f>
        <v>#REF!</v>
      </c>
    </row>
    <row r="134" spans="1:26" ht="38.25" hidden="1" customHeight="1" outlineLevel="1" x14ac:dyDescent="0.25">
      <c r="A134" s="93" t="e">
        <f>+#REF!</f>
        <v>#REF!</v>
      </c>
      <c r="B134" s="93" t="s">
        <v>30</v>
      </c>
      <c r="C134" s="93" t="e">
        <f>#REF!</f>
        <v>#REF!</v>
      </c>
      <c r="D134" s="7" t="e">
        <f>#REF!</f>
        <v>#REF!</v>
      </c>
      <c r="E134" s="49"/>
      <c r="F134" s="49"/>
      <c r="G134" s="49"/>
      <c r="H134" s="49"/>
      <c r="I134" s="49"/>
      <c r="J134" s="48"/>
      <c r="K134" s="12" t="s">
        <v>5</v>
      </c>
      <c r="L134" s="11"/>
      <c r="M134" s="11"/>
      <c r="N134" s="11"/>
      <c r="O134" s="54" t="e">
        <f>+#REF!/SUM(#REF!)</f>
        <v>#REF!</v>
      </c>
      <c r="P134" s="54" t="e">
        <f>+#REF!/SUM(#REF!)</f>
        <v>#REF!</v>
      </c>
      <c r="Q134" s="54" t="e">
        <f>+#REF!/SUM(#REF!)</f>
        <v>#REF!</v>
      </c>
      <c r="R134" s="54" t="e">
        <f>+#REF!/SUM(#REF!)</f>
        <v>#REF!</v>
      </c>
      <c r="S134" s="54" t="e">
        <f>+#REF!/SUM(#REF!)</f>
        <v>#REF!</v>
      </c>
      <c r="T134" s="54" t="e">
        <f>+#REF!/SUM(#REF!)</f>
        <v>#REF!</v>
      </c>
      <c r="U134" s="54" t="e">
        <f>+#REF!/SUM(#REF!)</f>
        <v>#REF!</v>
      </c>
      <c r="V134" s="54" t="e">
        <f>+#REF!/SUM(#REF!)</f>
        <v>#REF!</v>
      </c>
      <c r="W134" s="54" t="e">
        <f>+#REF!/SUM(#REF!)</f>
        <v>#REF!</v>
      </c>
      <c r="X134" s="54" t="e">
        <f>+#REF!/SUM(#REF!)</f>
        <v>#REF!</v>
      </c>
      <c r="Y134" s="54" t="e">
        <f>+#REF!/SUM(#REF!)</f>
        <v>#REF!</v>
      </c>
      <c r="Z134" s="54" t="e">
        <f>+#REF!/SUM(#REF!)</f>
        <v>#REF!</v>
      </c>
    </row>
    <row r="135" spans="1:26" ht="38.25" hidden="1" customHeight="1" outlineLevel="1" x14ac:dyDescent="0.25">
      <c r="A135" s="93" t="e">
        <f>+#REF!</f>
        <v>#REF!</v>
      </c>
      <c r="B135" s="93" t="s">
        <v>31</v>
      </c>
      <c r="C135" s="93" t="e">
        <f>#REF!</f>
        <v>#REF!</v>
      </c>
      <c r="D135" s="664" t="e">
        <f>#REF!</f>
        <v>#REF!</v>
      </c>
      <c r="E135" s="49"/>
      <c r="F135" s="49"/>
      <c r="G135" s="49"/>
      <c r="H135" s="49"/>
      <c r="I135" s="49"/>
      <c r="J135" s="48"/>
      <c r="K135" s="12" t="s">
        <v>5</v>
      </c>
      <c r="L135" s="11"/>
      <c r="M135" s="11"/>
      <c r="N135" s="11"/>
      <c r="O135" s="54" t="e">
        <f>+#REF!/SUM(#REF!)</f>
        <v>#REF!</v>
      </c>
      <c r="P135" s="54" t="e">
        <f>+#REF!/SUM(#REF!)</f>
        <v>#REF!</v>
      </c>
      <c r="Q135" s="54" t="e">
        <f>+#REF!/SUM(#REF!)</f>
        <v>#REF!</v>
      </c>
      <c r="R135" s="54" t="e">
        <f>+#REF!/SUM(#REF!)</f>
        <v>#REF!</v>
      </c>
      <c r="S135" s="54" t="e">
        <f>+#REF!/SUM(#REF!)</f>
        <v>#REF!</v>
      </c>
      <c r="T135" s="54" t="e">
        <f>+#REF!/SUM(#REF!)</f>
        <v>#REF!</v>
      </c>
      <c r="U135" s="54" t="e">
        <f>+#REF!/SUM(#REF!)</f>
        <v>#REF!</v>
      </c>
      <c r="V135" s="54" t="e">
        <f>+#REF!/SUM(#REF!)</f>
        <v>#REF!</v>
      </c>
      <c r="W135" s="54" t="e">
        <f>+#REF!/SUM(#REF!)</f>
        <v>#REF!</v>
      </c>
      <c r="X135" s="54" t="e">
        <f>+#REF!/SUM(#REF!)</f>
        <v>#REF!</v>
      </c>
      <c r="Y135" s="54" t="e">
        <f>+#REF!/SUM(#REF!)</f>
        <v>#REF!</v>
      </c>
      <c r="Z135" s="54" t="e">
        <f>+#REF!/SUM(#REF!)</f>
        <v>#REF!</v>
      </c>
    </row>
    <row r="136" spans="1:26" ht="38.25" hidden="1" customHeight="1" outlineLevel="1" x14ac:dyDescent="0.25">
      <c r="A136" s="93" t="e">
        <f>+#REF!</f>
        <v>#REF!</v>
      </c>
      <c r="B136" s="93" t="s">
        <v>32</v>
      </c>
      <c r="C136" s="93" t="e">
        <f>#REF!</f>
        <v>#REF!</v>
      </c>
      <c r="D136" s="664" t="e">
        <f>#REF!</f>
        <v>#REF!</v>
      </c>
      <c r="E136" s="49"/>
      <c r="F136" s="49"/>
      <c r="G136" s="49"/>
      <c r="H136" s="49"/>
      <c r="I136" s="49"/>
      <c r="J136" s="48"/>
      <c r="K136" s="12"/>
      <c r="L136" s="11"/>
      <c r="M136" s="11"/>
      <c r="N136" s="11"/>
      <c r="O136" s="54" t="e">
        <f>+#REF!/SUM(#REF!)</f>
        <v>#REF!</v>
      </c>
      <c r="P136" s="54" t="e">
        <f>+#REF!/SUM(#REF!)</f>
        <v>#REF!</v>
      </c>
      <c r="Q136" s="54" t="e">
        <f>+#REF!/SUM(#REF!)</f>
        <v>#REF!</v>
      </c>
      <c r="R136" s="54" t="e">
        <f>+#REF!/SUM(#REF!)</f>
        <v>#REF!</v>
      </c>
      <c r="S136" s="54" t="e">
        <f>+#REF!/SUM(#REF!)</f>
        <v>#REF!</v>
      </c>
      <c r="T136" s="54" t="e">
        <f>+#REF!/SUM(#REF!)</f>
        <v>#REF!</v>
      </c>
      <c r="U136" s="54" t="e">
        <f>+#REF!/SUM(#REF!)</f>
        <v>#REF!</v>
      </c>
      <c r="V136" s="54" t="e">
        <f>+#REF!/SUM(#REF!)</f>
        <v>#REF!</v>
      </c>
      <c r="W136" s="54" t="e">
        <f>+#REF!/SUM(#REF!)</f>
        <v>#REF!</v>
      </c>
      <c r="X136" s="54" t="e">
        <f>+#REF!/SUM(#REF!)</f>
        <v>#REF!</v>
      </c>
      <c r="Y136" s="54" t="e">
        <f>+#REF!/SUM(#REF!)</f>
        <v>#REF!</v>
      </c>
      <c r="Z136" s="54" t="e">
        <f>+#REF!/SUM(#REF!)</f>
        <v>#REF!</v>
      </c>
    </row>
    <row r="137" spans="1:26" ht="38.25" hidden="1" customHeight="1" outlineLevel="1" x14ac:dyDescent="0.25">
      <c r="A137" s="93" t="e">
        <f>+#REF!</f>
        <v>#REF!</v>
      </c>
      <c r="B137" s="93" t="s">
        <v>256</v>
      </c>
      <c r="C137" s="93" t="e">
        <f>#REF!</f>
        <v>#REF!</v>
      </c>
      <c r="D137" s="664" t="e">
        <f>#REF!</f>
        <v>#REF!</v>
      </c>
      <c r="E137" s="49"/>
      <c r="F137" s="49"/>
      <c r="G137" s="49"/>
      <c r="H137" s="49"/>
      <c r="I137" s="49"/>
      <c r="J137" s="48"/>
      <c r="K137" s="12"/>
      <c r="L137" s="11"/>
      <c r="M137" s="11"/>
      <c r="N137" s="11"/>
      <c r="O137" s="54" t="e">
        <f>+#REF!/SUM(#REF!)</f>
        <v>#REF!</v>
      </c>
      <c r="P137" s="54" t="e">
        <f>+#REF!/SUM(#REF!)</f>
        <v>#REF!</v>
      </c>
      <c r="Q137" s="54" t="e">
        <f>+#REF!/SUM(#REF!)</f>
        <v>#REF!</v>
      </c>
      <c r="R137" s="54" t="e">
        <f>+#REF!/SUM(#REF!)</f>
        <v>#REF!</v>
      </c>
      <c r="S137" s="54" t="e">
        <f>+#REF!/SUM(#REF!)</f>
        <v>#REF!</v>
      </c>
      <c r="T137" s="54" t="e">
        <f>+#REF!/SUM(#REF!)</f>
        <v>#REF!</v>
      </c>
      <c r="U137" s="54" t="e">
        <f>+#REF!/SUM(#REF!)</f>
        <v>#REF!</v>
      </c>
      <c r="V137" s="54" t="e">
        <f>+#REF!/SUM(#REF!)</f>
        <v>#REF!</v>
      </c>
      <c r="W137" s="54" t="e">
        <f>+#REF!/SUM(#REF!)</f>
        <v>#REF!</v>
      </c>
      <c r="X137" s="54" t="e">
        <f>+#REF!/SUM(#REF!)</f>
        <v>#REF!</v>
      </c>
      <c r="Y137" s="54" t="e">
        <f>+#REF!/SUM(#REF!)</f>
        <v>#REF!</v>
      </c>
      <c r="Z137" s="54" t="e">
        <f>+#REF!/SUM(#REF!)</f>
        <v>#REF!</v>
      </c>
    </row>
    <row r="138" spans="1:26" ht="38.25" hidden="1" customHeight="1" outlineLevel="1" x14ac:dyDescent="0.25">
      <c r="A138" s="93" t="e">
        <f>+#REF!</f>
        <v>#REF!</v>
      </c>
      <c r="B138" s="93" t="s">
        <v>257</v>
      </c>
      <c r="C138" s="93" t="e">
        <f>#REF!</f>
        <v>#REF!</v>
      </c>
      <c r="D138" s="664" t="e">
        <f>#REF!</f>
        <v>#REF!</v>
      </c>
      <c r="E138" s="49"/>
      <c r="F138" s="49"/>
      <c r="G138" s="49"/>
      <c r="H138" s="49"/>
      <c r="I138" s="49"/>
      <c r="J138" s="48"/>
      <c r="K138" s="12"/>
      <c r="L138" s="11"/>
      <c r="M138" s="11"/>
      <c r="N138" s="11"/>
      <c r="O138" s="54" t="e">
        <f>+#REF!/SUM(#REF!)</f>
        <v>#REF!</v>
      </c>
      <c r="P138" s="54" t="e">
        <f>+#REF!/SUM(#REF!)</f>
        <v>#REF!</v>
      </c>
      <c r="Q138" s="54" t="e">
        <f>+#REF!/SUM(#REF!)</f>
        <v>#REF!</v>
      </c>
      <c r="R138" s="54" t="e">
        <f>+#REF!/SUM(#REF!)</f>
        <v>#REF!</v>
      </c>
      <c r="S138" s="54" t="e">
        <f>+#REF!/SUM(#REF!)</f>
        <v>#REF!</v>
      </c>
      <c r="T138" s="54" t="e">
        <f>+#REF!/SUM(#REF!)</f>
        <v>#REF!</v>
      </c>
      <c r="U138" s="54" t="e">
        <f>+#REF!/SUM(#REF!)</f>
        <v>#REF!</v>
      </c>
      <c r="V138" s="54" t="e">
        <f>+#REF!/SUM(#REF!)</f>
        <v>#REF!</v>
      </c>
      <c r="W138" s="54" t="e">
        <f>+#REF!/SUM(#REF!)</f>
        <v>#REF!</v>
      </c>
      <c r="X138" s="54" t="e">
        <f>+#REF!/SUM(#REF!)</f>
        <v>#REF!</v>
      </c>
      <c r="Y138" s="54" t="e">
        <f>+#REF!/SUM(#REF!)</f>
        <v>#REF!</v>
      </c>
      <c r="Z138" s="54" t="e">
        <f>+#REF!/SUM(#REF!)</f>
        <v>#REF!</v>
      </c>
    </row>
    <row r="139" spans="1:26" ht="38.25" hidden="1" customHeight="1" outlineLevel="1" x14ac:dyDescent="0.25">
      <c r="A139" s="93" t="e">
        <f>+#REF!</f>
        <v>#REF!</v>
      </c>
      <c r="B139" s="93" t="s">
        <v>258</v>
      </c>
      <c r="C139" s="93" t="e">
        <f>#REF!</f>
        <v>#REF!</v>
      </c>
      <c r="D139" s="664" t="e">
        <f>#REF!</f>
        <v>#REF!</v>
      </c>
      <c r="E139" s="49"/>
      <c r="F139" s="49"/>
      <c r="G139" s="49"/>
      <c r="H139" s="49"/>
      <c r="I139" s="49"/>
      <c r="J139" s="48"/>
      <c r="K139" s="12"/>
      <c r="L139" s="11"/>
      <c r="M139" s="11"/>
      <c r="N139" s="11"/>
      <c r="O139" s="54" t="e">
        <f>+#REF!/SUM(#REF!)</f>
        <v>#REF!</v>
      </c>
      <c r="P139" s="54" t="e">
        <f>+#REF!/SUM(#REF!)</f>
        <v>#REF!</v>
      </c>
      <c r="Q139" s="54" t="e">
        <f>+#REF!/SUM(#REF!)</f>
        <v>#REF!</v>
      </c>
      <c r="R139" s="54" t="e">
        <f>+#REF!/SUM(#REF!)</f>
        <v>#REF!</v>
      </c>
      <c r="S139" s="54" t="e">
        <f>+#REF!/SUM(#REF!)</f>
        <v>#REF!</v>
      </c>
      <c r="T139" s="54" t="e">
        <f>+#REF!/SUM(#REF!)</f>
        <v>#REF!</v>
      </c>
      <c r="U139" s="54" t="e">
        <f>+#REF!/SUM(#REF!)</f>
        <v>#REF!</v>
      </c>
      <c r="V139" s="54" t="e">
        <f>+#REF!/SUM(#REF!)</f>
        <v>#REF!</v>
      </c>
      <c r="W139" s="54" t="e">
        <f>+#REF!/SUM(#REF!)</f>
        <v>#REF!</v>
      </c>
      <c r="X139" s="54" t="e">
        <f>+#REF!/SUM(#REF!)</f>
        <v>#REF!</v>
      </c>
      <c r="Y139" s="54" t="e">
        <f>+#REF!/SUM(#REF!)</f>
        <v>#REF!</v>
      </c>
      <c r="Z139" s="54" t="e">
        <f>+#REF!/SUM(#REF!)</f>
        <v>#REF!</v>
      </c>
    </row>
    <row r="140" spans="1:26" ht="38.25" hidden="1" customHeight="1" outlineLevel="1" x14ac:dyDescent="0.25">
      <c r="A140" s="93">
        <f t="shared" ref="A140:A141" si="10">+A18</f>
        <v>0</v>
      </c>
      <c r="B140" s="93" t="s">
        <v>259</v>
      </c>
      <c r="C140" s="93">
        <f t="shared" ref="C140:D141" si="11">C18</f>
        <v>0</v>
      </c>
      <c r="D140" s="664">
        <f t="shared" si="11"/>
        <v>0</v>
      </c>
      <c r="E140" s="49"/>
      <c r="F140" s="49"/>
      <c r="G140" s="49"/>
      <c r="H140" s="49"/>
      <c r="I140" s="49"/>
      <c r="J140" s="48"/>
      <c r="K140" s="12"/>
      <c r="L140" s="11"/>
      <c r="M140" s="11"/>
      <c r="N140" s="11"/>
      <c r="O140" s="54" t="e">
        <f t="shared" ref="O140:Z142" si="12">+O18/SUM($O18:$Z18)</f>
        <v>#DIV/0!</v>
      </c>
      <c r="P140" s="54" t="e">
        <f t="shared" si="12"/>
        <v>#DIV/0!</v>
      </c>
      <c r="Q140" s="54" t="e">
        <f t="shared" si="12"/>
        <v>#DIV/0!</v>
      </c>
      <c r="R140" s="54" t="e">
        <f t="shared" si="12"/>
        <v>#DIV/0!</v>
      </c>
      <c r="S140" s="54" t="e">
        <f t="shared" si="12"/>
        <v>#DIV/0!</v>
      </c>
      <c r="T140" s="54" t="e">
        <f t="shared" si="12"/>
        <v>#DIV/0!</v>
      </c>
      <c r="U140" s="54" t="e">
        <f t="shared" si="12"/>
        <v>#DIV/0!</v>
      </c>
      <c r="V140" s="54" t="e">
        <f t="shared" si="12"/>
        <v>#DIV/0!</v>
      </c>
      <c r="W140" s="54" t="e">
        <f t="shared" si="12"/>
        <v>#DIV/0!</v>
      </c>
      <c r="X140" s="54" t="e">
        <f t="shared" si="12"/>
        <v>#DIV/0!</v>
      </c>
      <c r="Y140" s="54" t="e">
        <f t="shared" si="12"/>
        <v>#DIV/0!</v>
      </c>
      <c r="Z140" s="54" t="e">
        <f t="shared" si="12"/>
        <v>#DIV/0!</v>
      </c>
    </row>
    <row r="141" spans="1:26" ht="38.25" hidden="1" customHeight="1" outlineLevel="1" x14ac:dyDescent="0.25">
      <c r="A141" s="93">
        <f t="shared" si="10"/>
        <v>0</v>
      </c>
      <c r="B141" s="93" t="s">
        <v>260</v>
      </c>
      <c r="C141" s="93">
        <f t="shared" si="11"/>
        <v>0</v>
      </c>
      <c r="D141" s="664">
        <f t="shared" si="11"/>
        <v>0</v>
      </c>
      <c r="E141" s="49"/>
      <c r="F141" s="49"/>
      <c r="G141" s="49"/>
      <c r="H141" s="49"/>
      <c r="I141" s="49"/>
      <c r="J141" s="48"/>
      <c r="K141" s="12" t="s">
        <v>5</v>
      </c>
      <c r="L141" s="11"/>
      <c r="M141" s="11"/>
      <c r="N141" s="11"/>
      <c r="O141" s="54" t="e">
        <f t="shared" si="12"/>
        <v>#VALUE!</v>
      </c>
      <c r="P141" s="54" t="e">
        <f t="shared" si="12"/>
        <v>#DIV/0!</v>
      </c>
      <c r="Q141" s="54" t="e">
        <f t="shared" si="12"/>
        <v>#DIV/0!</v>
      </c>
      <c r="R141" s="54" t="e">
        <f t="shared" si="12"/>
        <v>#DIV/0!</v>
      </c>
      <c r="S141" s="54" t="e">
        <f t="shared" si="12"/>
        <v>#DIV/0!</v>
      </c>
      <c r="T141" s="54" t="e">
        <f t="shared" si="12"/>
        <v>#DIV/0!</v>
      </c>
      <c r="U141" s="54" t="e">
        <f t="shared" si="12"/>
        <v>#DIV/0!</v>
      </c>
      <c r="V141" s="54" t="e">
        <f t="shared" si="12"/>
        <v>#DIV/0!</v>
      </c>
      <c r="W141" s="54" t="e">
        <f t="shared" si="12"/>
        <v>#DIV/0!</v>
      </c>
      <c r="X141" s="54" t="e">
        <f t="shared" si="12"/>
        <v>#DIV/0!</v>
      </c>
      <c r="Y141" s="54" t="e">
        <f t="shared" si="12"/>
        <v>#DIV/0!</v>
      </c>
      <c r="Z141" s="54" t="e">
        <f t="shared" si="12"/>
        <v>#DIV/0!</v>
      </c>
    </row>
    <row r="142" spans="1:26" s="35" customFormat="1" ht="22.5" hidden="1" customHeight="1" outlineLevel="1" x14ac:dyDescent="0.25">
      <c r="A142" s="33"/>
      <c r="B142" s="34"/>
      <c r="C142" s="34"/>
      <c r="D142" s="34"/>
      <c r="E142" s="50"/>
      <c r="F142" s="50"/>
      <c r="G142" s="50"/>
      <c r="H142" s="50"/>
      <c r="I142" s="50"/>
      <c r="J142" s="51" t="s">
        <v>20</v>
      </c>
      <c r="K142" s="68"/>
      <c r="L142" s="32" t="s">
        <v>48</v>
      </c>
      <c r="M142" s="32" t="s">
        <v>55</v>
      </c>
      <c r="N142" s="126">
        <f>SUM(N132:N141)</f>
        <v>12</v>
      </c>
      <c r="O142" s="54">
        <f t="shared" si="12"/>
        <v>8.257620680711987E-2</v>
      </c>
      <c r="P142" s="54">
        <f t="shared" si="12"/>
        <v>8.2634749951528821E-2</v>
      </c>
      <c r="Q142" s="54">
        <f t="shared" si="12"/>
        <v>8.26876276303498E-2</v>
      </c>
      <c r="R142" s="54">
        <f t="shared" si="12"/>
        <v>8.2746170774758737E-2</v>
      </c>
      <c r="S142" s="54">
        <f t="shared" si="12"/>
        <v>8.3466865209760738E-2</v>
      </c>
      <c r="T142" s="54">
        <f t="shared" si="12"/>
        <v>8.3525408354169675E-2</v>
      </c>
      <c r="U142" s="54">
        <f t="shared" si="12"/>
        <v>8.3582063010049307E-2</v>
      </c>
      <c r="V142" s="54">
        <f t="shared" si="12"/>
        <v>8.3640606154458244E-2</v>
      </c>
      <c r="W142" s="54">
        <f t="shared" si="12"/>
        <v>8.3699149298867181E-2</v>
      </c>
      <c r="X142" s="54">
        <f t="shared" si="12"/>
        <v>8.3755803954746799E-2</v>
      </c>
      <c r="Y142" s="54">
        <f t="shared" si="12"/>
        <v>8.3814347099155737E-2</v>
      </c>
      <c r="Z142" s="54">
        <f t="shared" si="12"/>
        <v>8.3871001755035368E-2</v>
      </c>
    </row>
    <row r="144" spans="1:26" x14ac:dyDescent="0.25">
      <c r="B144" s="27" t="s">
        <v>21</v>
      </c>
      <c r="C144" s="28">
        <v>43102</v>
      </c>
    </row>
    <row r="145" spans="1:3" x14ac:dyDescent="0.25">
      <c r="B145" s="27" t="s">
        <v>23</v>
      </c>
      <c r="C145" s="28">
        <v>42917</v>
      </c>
    </row>
    <row r="147" spans="1:3" ht="18" x14ac:dyDescent="0.25">
      <c r="A147" s="132" t="s">
        <v>262</v>
      </c>
    </row>
    <row r="148" spans="1:3" ht="18" x14ac:dyDescent="0.25">
      <c r="A148" s="127" t="s">
        <v>302</v>
      </c>
      <c r="B148" s="128"/>
    </row>
    <row r="149" spans="1:3" ht="18" x14ac:dyDescent="0.25">
      <c r="A149" s="127" t="s">
        <v>323</v>
      </c>
      <c r="B149" s="128"/>
    </row>
    <row r="151" spans="1:3" ht="36" x14ac:dyDescent="0.25">
      <c r="A151" s="128" t="s">
        <v>316</v>
      </c>
      <c r="B151" s="131" t="s">
        <v>288</v>
      </c>
      <c r="C151" s="131" t="s">
        <v>320</v>
      </c>
    </row>
    <row r="152" spans="1:3" ht="36" x14ac:dyDescent="0.25">
      <c r="A152" s="130" t="s">
        <v>310</v>
      </c>
      <c r="B152" s="131" t="s">
        <v>289</v>
      </c>
      <c r="C152" s="131" t="s">
        <v>321</v>
      </c>
    </row>
    <row r="153" spans="1:3" ht="54" x14ac:dyDescent="0.25">
      <c r="A153" s="130" t="s">
        <v>311</v>
      </c>
      <c r="B153" s="131" t="s">
        <v>290</v>
      </c>
      <c r="C153" s="131" t="s">
        <v>319</v>
      </c>
    </row>
    <row r="154" spans="1:3" ht="54" x14ac:dyDescent="0.25">
      <c r="A154" s="130" t="s">
        <v>312</v>
      </c>
      <c r="B154" s="131" t="s">
        <v>291</v>
      </c>
      <c r="C154" s="131" t="s">
        <v>322</v>
      </c>
    </row>
    <row r="155" spans="1:3" ht="54" x14ac:dyDescent="0.25">
      <c r="A155" s="130" t="s">
        <v>313</v>
      </c>
      <c r="B155" s="131" t="s">
        <v>292</v>
      </c>
      <c r="C155" s="131" t="s">
        <v>327</v>
      </c>
    </row>
    <row r="156" spans="1:3" ht="36" x14ac:dyDescent="0.25">
      <c r="A156" s="130" t="s">
        <v>314</v>
      </c>
      <c r="B156" s="131" t="s">
        <v>293</v>
      </c>
      <c r="C156" s="131" t="s">
        <v>317</v>
      </c>
    </row>
    <row r="157" spans="1:3" ht="54" x14ac:dyDescent="0.25">
      <c r="A157" s="130" t="s">
        <v>315</v>
      </c>
      <c r="B157" s="131" t="s">
        <v>296</v>
      </c>
      <c r="C157" s="131" t="s">
        <v>318</v>
      </c>
    </row>
    <row r="159" spans="1:3" ht="72" x14ac:dyDescent="0.25">
      <c r="A159" s="129" t="s">
        <v>301</v>
      </c>
      <c r="B159" s="128" t="s">
        <v>305</v>
      </c>
    </row>
    <row r="161" spans="1:2" ht="54" x14ac:dyDescent="0.25">
      <c r="A161" s="129" t="s">
        <v>303</v>
      </c>
      <c r="B161" s="128" t="s">
        <v>306</v>
      </c>
    </row>
    <row r="162" spans="1:2" ht="18" x14ac:dyDescent="0.25">
      <c r="A162" s="128"/>
    </row>
    <row r="163" spans="1:2" ht="72" x14ac:dyDescent="0.25">
      <c r="A163" s="129" t="s">
        <v>304</v>
      </c>
      <c r="B163" s="9" t="s">
        <v>307</v>
      </c>
    </row>
    <row r="164" spans="1:2" ht="18" x14ac:dyDescent="0.25">
      <c r="A164" s="128"/>
    </row>
    <row r="165" spans="1:2" ht="54" x14ac:dyDescent="0.25">
      <c r="A165" s="128" t="s">
        <v>308</v>
      </c>
      <c r="B165" s="128" t="s">
        <v>309</v>
      </c>
    </row>
  </sheetData>
  <mergeCells count="50">
    <mergeCell ref="E82:K82"/>
    <mergeCell ref="E83:K83"/>
    <mergeCell ref="E75:K75"/>
    <mergeCell ref="E76:K76"/>
    <mergeCell ref="E77:K77"/>
    <mergeCell ref="E79:K79"/>
    <mergeCell ref="E80:K80"/>
    <mergeCell ref="E81:K81"/>
    <mergeCell ref="E74:K74"/>
    <mergeCell ref="E61:K61"/>
    <mergeCell ref="E62:K62"/>
    <mergeCell ref="E63:K63"/>
    <mergeCell ref="E64:K64"/>
    <mergeCell ref="E65:K65"/>
    <mergeCell ref="E67:K67"/>
    <mergeCell ref="E68:K68"/>
    <mergeCell ref="E69:K69"/>
    <mergeCell ref="E70:K70"/>
    <mergeCell ref="E71:K71"/>
    <mergeCell ref="E73:K73"/>
    <mergeCell ref="E59:K59"/>
    <mergeCell ref="E46:K46"/>
    <mergeCell ref="E47:K47"/>
    <mergeCell ref="E49:K49"/>
    <mergeCell ref="E50:K50"/>
    <mergeCell ref="E51:K51"/>
    <mergeCell ref="E52:K52"/>
    <mergeCell ref="E53:K53"/>
    <mergeCell ref="E55:K55"/>
    <mergeCell ref="E56:K56"/>
    <mergeCell ref="E57:K57"/>
    <mergeCell ref="E58:K58"/>
    <mergeCell ref="E45:K45"/>
    <mergeCell ref="E32:K32"/>
    <mergeCell ref="E33:K33"/>
    <mergeCell ref="E34:K34"/>
    <mergeCell ref="E35:K35"/>
    <mergeCell ref="E37:K37"/>
    <mergeCell ref="E38:K38"/>
    <mergeCell ref="E39:K39"/>
    <mergeCell ref="E40:K40"/>
    <mergeCell ref="E41:K41"/>
    <mergeCell ref="E43:K43"/>
    <mergeCell ref="E44:K44"/>
    <mergeCell ref="E31:K31"/>
    <mergeCell ref="E25:K25"/>
    <mergeCell ref="E26:K26"/>
    <mergeCell ref="E27:K27"/>
    <mergeCell ref="E28:K28"/>
    <mergeCell ref="E29:K29"/>
  </mergeCells>
  <dataValidations count="5">
    <dataValidation type="list" allowBlank="1" showInputMessage="1" showErrorMessage="1" sqref="L31:L35 L37:L41 L43:L47 L49:L53 L55:L59 L61:L65 L67:L71 L73:L77 L79:L83">
      <formula1>$G$2:$G$8</formula1>
    </dataValidation>
    <dataValidation type="list" allowBlank="1" showInputMessage="1" showErrorMessage="1" sqref="J89:J96 L142">
      <formula1>$C$3:$C$14</formula1>
    </dataValidation>
    <dataValidation type="list" allowBlank="1" showInputMessage="1" showErrorMessage="1" sqref="L20">
      <formula1>$D$4:$D$15</formula1>
    </dataValidation>
    <dataValidation type="list" allowBlank="1" showInputMessage="1" showErrorMessage="1" sqref="M132:M142 L132:L141 H116:K119 K89:K96 H120:J120 H127:J127 H123:K126">
      <formula1>$C$3:$C$15</formula1>
    </dataValidation>
    <dataValidation type="list" allowBlank="1" showInputMessage="1" showErrorMessage="1" sqref="F111 F123:F127 F116:F120">
      <formula1>$A$3:$A$9</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'C:\Users\gineva.alcota\AppData\Local\Microsoft\Windows\INetCache\Content.Outlook\ZG6HJCZN\[1002-40303-PS-SOA-0001_Contratos.xlsx]CCs &amp; Accounts'!#REF!</xm:f>
          </x14:formula1>
          <xm:sqref>E100:E111 E116:E120 E123:E127 E17:E19 E88:E96</xm:sqref>
        </x14:dataValidation>
        <x14:dataValidation type="list" allowBlank="1" showInputMessage="1" showErrorMessage="1">
          <x14:formula1>
            <xm:f>'C:\Users\gineva.alcota\AppData\Local\Microsoft\Windows\INetCache\Content.Outlook\ZG6HJCZN\[1002-40303-PS-SOA-0001_Contratos.xlsx]Lists'!#REF!</xm:f>
          </x14:formula1>
          <xm:sqref>B8 N132:N141 L25:L29 H88:K88 L100:M111 H101:K111 F100:F110 F88:F96 H89:I96 L88:L96 L123:M126 L116:M119</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pageSetUpPr fitToPage="1"/>
  </sheetPr>
  <dimension ref="A1:Z41"/>
  <sheetViews>
    <sheetView topLeftCell="H1" workbookViewId="0">
      <selection activeCell="T12" sqref="T12"/>
    </sheetView>
  </sheetViews>
  <sheetFormatPr baseColWidth="10" defaultColWidth="11.42578125" defaultRowHeight="15" x14ac:dyDescent="0.25"/>
  <cols>
    <col min="1" max="1" width="36.7109375" style="67" bestFit="1" customWidth="1"/>
    <col min="2" max="2" width="15.140625" style="67" bestFit="1" customWidth="1"/>
    <col min="3" max="4" width="11.42578125" style="67"/>
    <col min="5" max="5" width="43.7109375" style="67" bestFit="1" customWidth="1"/>
    <col min="6" max="7" width="43.7109375" style="67" customWidth="1"/>
    <col min="8" max="8" width="34.7109375" style="67" bestFit="1" customWidth="1"/>
    <col min="9" max="9" width="19.7109375" style="67" bestFit="1" customWidth="1"/>
    <col min="10" max="16384" width="11.42578125" style="67"/>
  </cols>
  <sheetData>
    <row r="1" spans="1:26" ht="30" x14ac:dyDescent="0.25">
      <c r="A1" s="32" t="s">
        <v>38</v>
      </c>
      <c r="B1" s="32" t="s">
        <v>175</v>
      </c>
      <c r="C1" s="124" t="s">
        <v>176</v>
      </c>
      <c r="D1" s="124" t="s">
        <v>54</v>
      </c>
      <c r="E1" s="124" t="s">
        <v>177</v>
      </c>
      <c r="F1" s="124" t="s">
        <v>179</v>
      </c>
      <c r="G1" s="124" t="s">
        <v>57</v>
      </c>
      <c r="H1" s="124" t="s">
        <v>178</v>
      </c>
      <c r="I1" s="124" t="s">
        <v>179</v>
      </c>
      <c r="O1" s="964" t="s">
        <v>42</v>
      </c>
      <c r="P1" s="964" t="s">
        <v>43</v>
      </c>
      <c r="Q1" s="964" t="s">
        <v>44</v>
      </c>
      <c r="R1" s="964" t="s">
        <v>45</v>
      </c>
      <c r="S1" s="964" t="s">
        <v>195</v>
      </c>
      <c r="T1" s="964" t="s">
        <v>47</v>
      </c>
      <c r="U1" s="964" t="s">
        <v>48</v>
      </c>
      <c r="V1" s="964" t="s">
        <v>49</v>
      </c>
      <c r="W1" s="964" t="s">
        <v>1636</v>
      </c>
      <c r="X1" s="964" t="s">
        <v>207</v>
      </c>
      <c r="Y1" s="964" t="s">
        <v>210</v>
      </c>
      <c r="Z1" s="964" t="s">
        <v>55</v>
      </c>
    </row>
    <row r="2" spans="1:26" x14ac:dyDescent="0.25">
      <c r="A2" s="67" t="s">
        <v>288</v>
      </c>
      <c r="B2" s="135"/>
      <c r="C2" s="67" t="s">
        <v>41</v>
      </c>
      <c r="D2" s="67">
        <v>1</v>
      </c>
      <c r="E2" s="124" t="s">
        <v>331</v>
      </c>
      <c r="F2" s="67" t="s">
        <v>184</v>
      </c>
      <c r="G2" s="67" t="s">
        <v>60</v>
      </c>
      <c r="H2" s="67" t="s">
        <v>60</v>
      </c>
      <c r="I2" s="67" t="s">
        <v>184</v>
      </c>
      <c r="O2" s="965">
        <v>43102</v>
      </c>
      <c r="P2" s="965">
        <v>43132</v>
      </c>
      <c r="Q2" s="965">
        <v>43160</v>
      </c>
      <c r="R2" s="965">
        <v>43191</v>
      </c>
      <c r="S2" s="965">
        <v>43221</v>
      </c>
      <c r="T2" s="965">
        <v>43252</v>
      </c>
      <c r="U2" s="965">
        <v>43282</v>
      </c>
      <c r="V2" s="965">
        <v>43313</v>
      </c>
      <c r="W2" s="965">
        <v>43344</v>
      </c>
      <c r="X2" s="965">
        <v>43374</v>
      </c>
      <c r="Y2" s="965">
        <v>43405</v>
      </c>
      <c r="Z2" s="965">
        <v>43435</v>
      </c>
    </row>
    <row r="3" spans="1:26" x14ac:dyDescent="0.25">
      <c r="A3" s="67" t="s">
        <v>289</v>
      </c>
      <c r="B3" s="67" t="s">
        <v>180</v>
      </c>
      <c r="C3" s="67" t="s">
        <v>42</v>
      </c>
      <c r="D3" s="67">
        <v>2</v>
      </c>
      <c r="E3" s="67" t="s">
        <v>181</v>
      </c>
      <c r="F3" s="67" t="s">
        <v>184</v>
      </c>
      <c r="G3" s="67" t="s">
        <v>60</v>
      </c>
      <c r="H3" s="67" t="s">
        <v>66</v>
      </c>
      <c r="I3" s="67" t="s">
        <v>184</v>
      </c>
      <c r="O3" s="965">
        <v>43131</v>
      </c>
      <c r="P3" s="965">
        <v>43159</v>
      </c>
      <c r="Q3" s="965">
        <v>43190</v>
      </c>
      <c r="R3" s="965">
        <v>43220</v>
      </c>
      <c r="S3" s="965">
        <v>43251</v>
      </c>
      <c r="T3" s="965">
        <v>43281</v>
      </c>
      <c r="U3" s="965">
        <v>43312</v>
      </c>
      <c r="V3" s="965">
        <v>43343</v>
      </c>
      <c r="W3" s="965">
        <v>43373</v>
      </c>
      <c r="X3" s="965">
        <v>43404</v>
      </c>
      <c r="Y3" s="965">
        <v>43434</v>
      </c>
      <c r="Z3" s="965">
        <v>43465</v>
      </c>
    </row>
    <row r="4" spans="1:26" x14ac:dyDescent="0.25">
      <c r="A4" s="67" t="s">
        <v>290</v>
      </c>
      <c r="C4" s="67" t="s">
        <v>43</v>
      </c>
      <c r="D4" s="67">
        <v>3</v>
      </c>
      <c r="E4" s="67" t="s">
        <v>335</v>
      </c>
      <c r="F4" s="67" t="s">
        <v>184</v>
      </c>
      <c r="G4" s="67" t="s">
        <v>60</v>
      </c>
      <c r="H4" s="67" t="s">
        <v>99</v>
      </c>
      <c r="I4" s="67" t="s">
        <v>187</v>
      </c>
    </row>
    <row r="5" spans="1:26" x14ac:dyDescent="0.25">
      <c r="A5" s="67" t="s">
        <v>291</v>
      </c>
      <c r="B5" s="67" t="s">
        <v>182</v>
      </c>
      <c r="C5" s="67" t="s">
        <v>44</v>
      </c>
      <c r="D5" s="67">
        <v>4</v>
      </c>
      <c r="E5" s="67" t="s">
        <v>183</v>
      </c>
      <c r="F5" s="67" t="s">
        <v>184</v>
      </c>
      <c r="G5" s="67" t="s">
        <v>66</v>
      </c>
      <c r="H5" s="67" t="s">
        <v>113</v>
      </c>
      <c r="I5" s="67" t="s">
        <v>190</v>
      </c>
    </row>
    <row r="6" spans="1:26" x14ac:dyDescent="0.25">
      <c r="A6" s="67" t="s">
        <v>292</v>
      </c>
      <c r="B6" s="67" t="s">
        <v>185</v>
      </c>
      <c r="C6" s="67" t="s">
        <v>45</v>
      </c>
      <c r="D6" s="67">
        <v>5</v>
      </c>
      <c r="E6" s="67" t="s">
        <v>186</v>
      </c>
      <c r="F6" s="67" t="s">
        <v>184</v>
      </c>
      <c r="G6" s="67" t="s">
        <v>66</v>
      </c>
      <c r="H6" s="67" t="s">
        <v>148</v>
      </c>
      <c r="I6" s="67" t="s">
        <v>193</v>
      </c>
    </row>
    <row r="7" spans="1:26" x14ac:dyDescent="0.25">
      <c r="A7" s="67" t="s">
        <v>293</v>
      </c>
      <c r="B7" s="67" t="s">
        <v>188</v>
      </c>
      <c r="C7" s="67" t="s">
        <v>195</v>
      </c>
      <c r="D7" s="67">
        <v>6</v>
      </c>
      <c r="E7" s="67" t="s">
        <v>189</v>
      </c>
      <c r="F7" s="67" t="s">
        <v>184</v>
      </c>
      <c r="G7" s="67" t="s">
        <v>66</v>
      </c>
      <c r="H7" s="67" t="s">
        <v>197</v>
      </c>
      <c r="I7" s="67" t="s">
        <v>198</v>
      </c>
    </row>
    <row r="8" spans="1:26" x14ac:dyDescent="0.25">
      <c r="A8" s="67" t="s">
        <v>294</v>
      </c>
      <c r="B8" s="67" t="s">
        <v>191</v>
      </c>
      <c r="C8" s="67" t="s">
        <v>47</v>
      </c>
      <c r="D8" s="67">
        <v>7</v>
      </c>
      <c r="E8" s="67" t="s">
        <v>192</v>
      </c>
      <c r="F8" s="67" t="s">
        <v>184</v>
      </c>
      <c r="G8" s="67" t="s">
        <v>66</v>
      </c>
      <c r="H8" s="67" t="s">
        <v>172</v>
      </c>
      <c r="I8" s="67" t="s">
        <v>22</v>
      </c>
    </row>
    <row r="9" spans="1:26" x14ac:dyDescent="0.25">
      <c r="B9" s="67" t="s">
        <v>194</v>
      </c>
      <c r="C9" s="67" t="s">
        <v>48</v>
      </c>
      <c r="D9" s="67">
        <v>8</v>
      </c>
      <c r="E9" s="67" t="s">
        <v>196</v>
      </c>
      <c r="F9" s="67" t="s">
        <v>328</v>
      </c>
      <c r="G9" s="67" t="s">
        <v>66</v>
      </c>
      <c r="H9" s="67" t="s">
        <v>461</v>
      </c>
    </row>
    <row r="10" spans="1:26" x14ac:dyDescent="0.25">
      <c r="B10" s="67" t="s">
        <v>199</v>
      </c>
      <c r="C10" s="67" t="s">
        <v>49</v>
      </c>
      <c r="D10" s="67">
        <v>9</v>
      </c>
      <c r="E10" s="67" t="s">
        <v>1411</v>
      </c>
      <c r="F10" s="67" t="s">
        <v>328</v>
      </c>
      <c r="G10" s="67" t="s">
        <v>66</v>
      </c>
      <c r="H10" s="67" t="s">
        <v>41</v>
      </c>
    </row>
    <row r="11" spans="1:26" x14ac:dyDescent="0.25">
      <c r="B11" s="67" t="s">
        <v>200</v>
      </c>
      <c r="C11" s="67" t="s">
        <v>50</v>
      </c>
      <c r="D11" s="67">
        <v>10</v>
      </c>
      <c r="E11" s="67" t="s">
        <v>201</v>
      </c>
      <c r="F11" s="67" t="s">
        <v>329</v>
      </c>
      <c r="G11" s="67" t="s">
        <v>66</v>
      </c>
    </row>
    <row r="12" spans="1:26" x14ac:dyDescent="0.25">
      <c r="C12" s="67" t="s">
        <v>207</v>
      </c>
      <c r="D12" s="67">
        <v>11</v>
      </c>
      <c r="E12" s="67" t="s">
        <v>332</v>
      </c>
      <c r="F12" s="67" t="s">
        <v>187</v>
      </c>
      <c r="G12" s="67" t="s">
        <v>99</v>
      </c>
    </row>
    <row r="13" spans="1:26" x14ac:dyDescent="0.25">
      <c r="B13" s="67" t="s">
        <v>202</v>
      </c>
      <c r="C13" s="67" t="s">
        <v>210</v>
      </c>
      <c r="D13" s="67">
        <v>12</v>
      </c>
      <c r="E13" s="67" t="s">
        <v>203</v>
      </c>
      <c r="F13" s="67" t="s">
        <v>187</v>
      </c>
      <c r="G13" s="67" t="s">
        <v>99</v>
      </c>
    </row>
    <row r="14" spans="1:26" x14ac:dyDescent="0.25">
      <c r="B14" s="67" t="s">
        <v>204</v>
      </c>
      <c r="C14" s="67" t="s">
        <v>55</v>
      </c>
      <c r="D14" s="67" t="s">
        <v>383</v>
      </c>
      <c r="E14" s="67" t="s">
        <v>205</v>
      </c>
      <c r="F14" s="67" t="s">
        <v>187</v>
      </c>
      <c r="G14" s="67" t="s">
        <v>99</v>
      </c>
    </row>
    <row r="15" spans="1:26" x14ac:dyDescent="0.25">
      <c r="B15" s="67" t="s">
        <v>206</v>
      </c>
      <c r="E15" s="67" t="s">
        <v>208</v>
      </c>
      <c r="F15" s="67" t="s">
        <v>187</v>
      </c>
      <c r="G15" s="67" t="s">
        <v>99</v>
      </c>
    </row>
    <row r="16" spans="1:26" x14ac:dyDescent="0.25">
      <c r="B16" s="67" t="s">
        <v>209</v>
      </c>
      <c r="E16" s="67" t="s">
        <v>211</v>
      </c>
      <c r="F16" s="67" t="s">
        <v>187</v>
      </c>
      <c r="G16" s="67" t="s">
        <v>99</v>
      </c>
    </row>
    <row r="17" spans="2:7" x14ac:dyDescent="0.25">
      <c r="B17" s="67" t="s">
        <v>212</v>
      </c>
      <c r="E17" s="67" t="s">
        <v>213</v>
      </c>
      <c r="F17" s="67" t="s">
        <v>190</v>
      </c>
      <c r="G17" s="67" t="s">
        <v>113</v>
      </c>
    </row>
    <row r="18" spans="2:7" x14ac:dyDescent="0.25">
      <c r="B18" s="67" t="s">
        <v>214</v>
      </c>
      <c r="E18" s="67" t="s">
        <v>215</v>
      </c>
      <c r="F18" s="67" t="s">
        <v>190</v>
      </c>
      <c r="G18" s="67" t="s">
        <v>113</v>
      </c>
    </row>
    <row r="19" spans="2:7" x14ac:dyDescent="0.25">
      <c r="E19" s="67" t="s">
        <v>333</v>
      </c>
      <c r="F19" s="67" t="s">
        <v>190</v>
      </c>
      <c r="G19" s="67" t="s">
        <v>113</v>
      </c>
    </row>
    <row r="20" spans="2:7" x14ac:dyDescent="0.25">
      <c r="B20" s="67" t="s">
        <v>216</v>
      </c>
      <c r="E20" s="67" t="s">
        <v>217</v>
      </c>
      <c r="F20" s="67" t="s">
        <v>190</v>
      </c>
      <c r="G20" s="67" t="s">
        <v>113</v>
      </c>
    </row>
    <row r="21" spans="2:7" x14ac:dyDescent="0.25">
      <c r="B21" s="67" t="s">
        <v>218</v>
      </c>
      <c r="E21" s="67" t="s">
        <v>219</v>
      </c>
      <c r="F21" s="67" t="s">
        <v>190</v>
      </c>
      <c r="G21" s="67" t="s">
        <v>113</v>
      </c>
    </row>
    <row r="22" spans="2:7" x14ac:dyDescent="0.25">
      <c r="E22" s="67" t="s">
        <v>334</v>
      </c>
      <c r="F22" s="67" t="s">
        <v>190</v>
      </c>
      <c r="G22" s="67" t="s">
        <v>113</v>
      </c>
    </row>
    <row r="23" spans="2:7" x14ac:dyDescent="0.25">
      <c r="B23" s="67" t="s">
        <v>220</v>
      </c>
      <c r="E23" s="67" t="s">
        <v>221</v>
      </c>
      <c r="F23" s="67" t="s">
        <v>190</v>
      </c>
      <c r="G23" s="67" t="s">
        <v>113</v>
      </c>
    </row>
    <row r="24" spans="2:7" x14ac:dyDescent="0.25">
      <c r="B24" s="67" t="s">
        <v>222</v>
      </c>
      <c r="E24" s="67" t="s">
        <v>223</v>
      </c>
      <c r="F24" s="67" t="s">
        <v>190</v>
      </c>
      <c r="G24" s="67" t="s">
        <v>113</v>
      </c>
    </row>
    <row r="25" spans="2:7" x14ac:dyDescent="0.25">
      <c r="B25" s="67" t="s">
        <v>224</v>
      </c>
      <c r="E25" s="67" t="s">
        <v>225</v>
      </c>
      <c r="F25" s="67" t="s">
        <v>190</v>
      </c>
      <c r="G25" s="67" t="s">
        <v>113</v>
      </c>
    </row>
    <row r="26" spans="2:7" x14ac:dyDescent="0.25">
      <c r="E26" s="67" t="s">
        <v>151</v>
      </c>
      <c r="F26" s="67" t="s">
        <v>193</v>
      </c>
      <c r="G26" s="67" t="s">
        <v>148</v>
      </c>
    </row>
    <row r="27" spans="2:7" x14ac:dyDescent="0.25">
      <c r="B27" s="67" t="s">
        <v>226</v>
      </c>
      <c r="E27" s="67" t="s">
        <v>227</v>
      </c>
      <c r="F27" s="67" t="s">
        <v>193</v>
      </c>
      <c r="G27" s="67" t="s">
        <v>148</v>
      </c>
    </row>
    <row r="28" spans="2:7" x14ac:dyDescent="0.25">
      <c r="B28" s="67" t="s">
        <v>228</v>
      </c>
      <c r="E28" s="67" t="s">
        <v>229</v>
      </c>
      <c r="F28" s="67" t="s">
        <v>193</v>
      </c>
      <c r="G28" s="67" t="s">
        <v>148</v>
      </c>
    </row>
    <row r="29" spans="2:7" x14ac:dyDescent="0.25">
      <c r="B29" s="67" t="s">
        <v>230</v>
      </c>
      <c r="E29" s="67" t="s">
        <v>231</v>
      </c>
      <c r="F29" s="67" t="s">
        <v>193</v>
      </c>
      <c r="G29" s="67" t="s">
        <v>148</v>
      </c>
    </row>
    <row r="30" spans="2:7" x14ac:dyDescent="0.25">
      <c r="B30" s="67" t="s">
        <v>232</v>
      </c>
      <c r="E30" s="67" t="s">
        <v>233</v>
      </c>
      <c r="F30" s="67" t="s">
        <v>193</v>
      </c>
      <c r="G30" s="67" t="s">
        <v>148</v>
      </c>
    </row>
    <row r="31" spans="2:7" x14ac:dyDescent="0.25">
      <c r="B31" s="67" t="s">
        <v>234</v>
      </c>
      <c r="E31" s="67" t="s">
        <v>235</v>
      </c>
      <c r="F31" s="67" t="s">
        <v>193</v>
      </c>
      <c r="G31" s="67" t="s">
        <v>148</v>
      </c>
    </row>
    <row r="32" spans="2:7" x14ac:dyDescent="0.25">
      <c r="B32" s="67" t="s">
        <v>236</v>
      </c>
      <c r="E32" s="67" t="s">
        <v>237</v>
      </c>
      <c r="F32" s="67" t="s">
        <v>193</v>
      </c>
      <c r="G32" s="67" t="s">
        <v>148</v>
      </c>
    </row>
    <row r="33" spans="2:7" x14ac:dyDescent="0.25">
      <c r="E33" s="67" t="s">
        <v>162</v>
      </c>
      <c r="F33" s="67" t="s">
        <v>193</v>
      </c>
      <c r="G33" s="67" t="s">
        <v>148</v>
      </c>
    </row>
    <row r="34" spans="2:7" x14ac:dyDescent="0.25">
      <c r="B34" s="67" t="s">
        <v>46</v>
      </c>
      <c r="E34" s="67" t="s">
        <v>238</v>
      </c>
      <c r="F34" s="67" t="s">
        <v>193</v>
      </c>
      <c r="G34" s="67" t="s">
        <v>148</v>
      </c>
    </row>
    <row r="35" spans="2:7" x14ac:dyDescent="0.25">
      <c r="B35" s="67" t="s">
        <v>51</v>
      </c>
      <c r="E35" s="67" t="s">
        <v>239</v>
      </c>
      <c r="F35" s="67" t="s">
        <v>193</v>
      </c>
      <c r="G35" s="67" t="s">
        <v>148</v>
      </c>
    </row>
    <row r="36" spans="2:7" x14ac:dyDescent="0.25">
      <c r="B36" s="67" t="s">
        <v>28</v>
      </c>
      <c r="E36" s="67" t="s">
        <v>26</v>
      </c>
      <c r="F36" s="67" t="s">
        <v>193</v>
      </c>
      <c r="G36" s="67" t="s">
        <v>148</v>
      </c>
    </row>
    <row r="37" spans="2:7" x14ac:dyDescent="0.25">
      <c r="B37" s="67" t="s">
        <v>240</v>
      </c>
      <c r="E37" s="67" t="s">
        <v>241</v>
      </c>
      <c r="F37" s="67" t="s">
        <v>198</v>
      </c>
      <c r="G37" s="67" t="s">
        <v>197</v>
      </c>
    </row>
    <row r="38" spans="2:7" x14ac:dyDescent="0.25">
      <c r="B38" s="67" t="s">
        <v>242</v>
      </c>
      <c r="E38" s="67" t="s">
        <v>243</v>
      </c>
      <c r="F38" s="67" t="s">
        <v>198</v>
      </c>
      <c r="G38" s="67" t="s">
        <v>197</v>
      </c>
    </row>
    <row r="39" spans="2:7" x14ac:dyDescent="0.25">
      <c r="B39" s="67" t="s">
        <v>244</v>
      </c>
      <c r="E39" s="67" t="s">
        <v>245</v>
      </c>
      <c r="F39" s="67" t="s">
        <v>198</v>
      </c>
      <c r="G39" s="67" t="s">
        <v>197</v>
      </c>
    </row>
    <row r="40" spans="2:7" x14ac:dyDescent="0.25">
      <c r="B40" s="67" t="s">
        <v>246</v>
      </c>
      <c r="E40" s="67" t="s">
        <v>247</v>
      </c>
      <c r="F40" s="67" t="s">
        <v>22</v>
      </c>
      <c r="G40" s="67" t="s">
        <v>172</v>
      </c>
    </row>
    <row r="41" spans="2:7" x14ac:dyDescent="0.25">
      <c r="B41" s="67" t="s">
        <v>248</v>
      </c>
      <c r="E41" s="67" t="s">
        <v>249</v>
      </c>
      <c r="F41" s="67" t="s">
        <v>330</v>
      </c>
      <c r="G41" s="67" t="s">
        <v>172</v>
      </c>
    </row>
  </sheetData>
  <pageMargins left="0.70866141732283472" right="0.70866141732283472" top="0.74803149606299213" bottom="0.74803149606299213" header="0.31496062992125984" footer="0.31496062992125984"/>
  <pageSetup paperSize="5" scale="61"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dimension ref="A1:J56"/>
  <sheetViews>
    <sheetView showGridLines="0" zoomScale="60" zoomScaleNormal="60" workbookViewId="0">
      <selection activeCell="L50" sqref="L50"/>
    </sheetView>
  </sheetViews>
  <sheetFormatPr baseColWidth="10" defaultColWidth="11.42578125" defaultRowHeight="15" outlineLevelCol="1" x14ac:dyDescent="0.25"/>
  <cols>
    <col min="1" max="1" width="46.85546875" bestFit="1" customWidth="1"/>
    <col min="2" max="2" width="13.42578125" style="96" bestFit="1" customWidth="1"/>
    <col min="3" max="3" width="18.28515625" style="96" bestFit="1" customWidth="1"/>
    <col min="4" max="4" width="24.5703125" style="96" customWidth="1"/>
    <col min="6" max="6" width="40.5703125" customWidth="1" outlineLevel="1"/>
    <col min="7" max="7" width="5.85546875" customWidth="1" outlineLevel="1"/>
    <col min="8" max="10" width="11.42578125" customWidth="1" outlineLevel="1"/>
  </cols>
  <sheetData>
    <row r="1" spans="1:9" ht="16.5" thickBot="1" x14ac:dyDescent="0.3">
      <c r="A1" s="65" t="s">
        <v>56</v>
      </c>
      <c r="B1" s="94" t="s">
        <v>57</v>
      </c>
      <c r="C1" s="95" t="s">
        <v>58</v>
      </c>
      <c r="D1" s="97" t="s">
        <v>59</v>
      </c>
      <c r="F1" s="65" t="s">
        <v>56</v>
      </c>
      <c r="G1" s="4" t="s">
        <v>57</v>
      </c>
      <c r="H1" s="5" t="s">
        <v>58</v>
      </c>
      <c r="I1" t="str">
        <f>CONCATENATE(G1," / ",H1)</f>
        <v>CC / Cuenta</v>
      </c>
    </row>
    <row r="2" spans="1:9" ht="18.75" x14ac:dyDescent="0.3">
      <c r="A2" s="64" t="s">
        <v>60</v>
      </c>
      <c r="B2" s="106"/>
      <c r="C2" s="107"/>
      <c r="D2" s="98">
        <v>1</v>
      </c>
      <c r="F2" s="58" t="s">
        <v>61</v>
      </c>
      <c r="G2" s="56">
        <v>681</v>
      </c>
      <c r="H2" s="55" t="s">
        <v>62</v>
      </c>
      <c r="I2" t="str">
        <f>CONCATENATE(G2," / ",H2)</f>
        <v>681 / 51-11-3301</v>
      </c>
    </row>
    <row r="3" spans="1:9" x14ac:dyDescent="0.25">
      <c r="A3" s="58" t="s">
        <v>61</v>
      </c>
      <c r="B3" s="108">
        <v>681</v>
      </c>
      <c r="C3" s="103" t="s">
        <v>62</v>
      </c>
      <c r="D3" s="99" t="s">
        <v>63</v>
      </c>
      <c r="F3" s="58" t="s">
        <v>64</v>
      </c>
      <c r="G3" s="56">
        <v>682</v>
      </c>
      <c r="H3" s="55" t="s">
        <v>65</v>
      </c>
      <c r="I3" t="str">
        <f t="shared" ref="I3:I34" si="0">CONCATENATE(G3," / ",H3)</f>
        <v>682 / 51-11-3302</v>
      </c>
    </row>
    <row r="4" spans="1:9" ht="18.75" x14ac:dyDescent="0.3">
      <c r="A4" s="59" t="s">
        <v>66</v>
      </c>
      <c r="B4" s="108"/>
      <c r="C4" s="103"/>
      <c r="D4" s="100">
        <v>2</v>
      </c>
      <c r="F4" s="58" t="s">
        <v>67</v>
      </c>
      <c r="G4" s="56">
        <v>682</v>
      </c>
      <c r="H4" s="55" t="s">
        <v>68</v>
      </c>
      <c r="I4" t="str">
        <f t="shared" si="0"/>
        <v>682 / 51-11-3303</v>
      </c>
    </row>
    <row r="5" spans="1:9" x14ac:dyDescent="0.25">
      <c r="A5" s="58" t="s">
        <v>64</v>
      </c>
      <c r="B5" s="108">
        <v>682</v>
      </c>
      <c r="C5" s="103" t="s">
        <v>65</v>
      </c>
      <c r="D5" s="99" t="s">
        <v>69</v>
      </c>
      <c r="F5" s="58" t="s">
        <v>70</v>
      </c>
      <c r="G5" s="56">
        <v>682</v>
      </c>
      <c r="H5" s="55" t="s">
        <v>71</v>
      </c>
      <c r="I5" t="str">
        <f t="shared" si="0"/>
        <v>682 / 51-11-3304</v>
      </c>
    </row>
    <row r="6" spans="1:9" x14ac:dyDescent="0.25">
      <c r="A6" s="58" t="s">
        <v>67</v>
      </c>
      <c r="B6" s="108">
        <v>682</v>
      </c>
      <c r="C6" s="103" t="s">
        <v>68</v>
      </c>
      <c r="D6" s="99" t="s">
        <v>72</v>
      </c>
      <c r="F6" s="58" t="s">
        <v>73</v>
      </c>
      <c r="G6" s="56">
        <v>682</v>
      </c>
      <c r="H6" s="55" t="s">
        <v>74</v>
      </c>
      <c r="I6" t="str">
        <f t="shared" si="0"/>
        <v>682 / 51-11-3306</v>
      </c>
    </row>
    <row r="7" spans="1:9" x14ac:dyDescent="0.25">
      <c r="A7" s="58" t="s">
        <v>70</v>
      </c>
      <c r="B7" s="108">
        <v>682</v>
      </c>
      <c r="C7" s="103" t="s">
        <v>71</v>
      </c>
      <c r="D7" s="99" t="s">
        <v>75</v>
      </c>
      <c r="F7" s="58" t="s">
        <v>76</v>
      </c>
      <c r="G7" s="56">
        <v>682</v>
      </c>
      <c r="H7" s="55" t="s">
        <v>77</v>
      </c>
      <c r="I7" t="str">
        <f t="shared" si="0"/>
        <v>682 / 51-11-3305</v>
      </c>
    </row>
    <row r="8" spans="1:9" x14ac:dyDescent="0.25">
      <c r="A8" s="58" t="s">
        <v>73</v>
      </c>
      <c r="B8" s="108">
        <v>682</v>
      </c>
      <c r="C8" s="103" t="s">
        <v>74</v>
      </c>
      <c r="D8" s="99" t="s">
        <v>78</v>
      </c>
      <c r="F8" s="58" t="s">
        <v>79</v>
      </c>
      <c r="G8" s="56">
        <v>682</v>
      </c>
      <c r="H8" s="55" t="s">
        <v>80</v>
      </c>
      <c r="I8" t="str">
        <f t="shared" si="0"/>
        <v>682 / 51-11-3309</v>
      </c>
    </row>
    <row r="9" spans="1:9" ht="15.75" x14ac:dyDescent="0.25">
      <c r="A9" s="61" t="s">
        <v>81</v>
      </c>
      <c r="B9" s="108"/>
      <c r="C9" s="103"/>
      <c r="D9" s="101"/>
      <c r="F9" s="63" t="s">
        <v>82</v>
      </c>
      <c r="G9" s="56">
        <v>682</v>
      </c>
      <c r="H9" s="55" t="s">
        <v>83</v>
      </c>
      <c r="I9" t="str">
        <f t="shared" si="0"/>
        <v>682 / 51-11-3315</v>
      </c>
    </row>
    <row r="10" spans="1:9" x14ac:dyDescent="0.25">
      <c r="A10" s="58" t="s">
        <v>76</v>
      </c>
      <c r="B10" s="108">
        <v>682</v>
      </c>
      <c r="C10" s="103" t="s">
        <v>77</v>
      </c>
      <c r="D10" s="99" t="s">
        <v>84</v>
      </c>
      <c r="F10" s="58" t="s">
        <v>85</v>
      </c>
      <c r="G10" s="56">
        <v>683</v>
      </c>
      <c r="H10" s="55" t="s">
        <v>86</v>
      </c>
      <c r="I10" t="str">
        <f t="shared" si="0"/>
        <v>683 / 51-11-3337</v>
      </c>
    </row>
    <row r="11" spans="1:9" ht="15.75" x14ac:dyDescent="0.25">
      <c r="A11" s="61" t="s">
        <v>87</v>
      </c>
      <c r="B11" s="108"/>
      <c r="C11" s="103"/>
      <c r="D11" s="101"/>
      <c r="F11" s="58" t="s">
        <v>88</v>
      </c>
      <c r="G11" s="56">
        <v>683</v>
      </c>
      <c r="H11" s="55" t="s">
        <v>89</v>
      </c>
      <c r="I11" t="str">
        <f t="shared" si="0"/>
        <v>683 / 51-11-3338</v>
      </c>
    </row>
    <row r="12" spans="1:9" x14ac:dyDescent="0.25">
      <c r="A12" s="58" t="s">
        <v>79</v>
      </c>
      <c r="B12" s="108">
        <v>682</v>
      </c>
      <c r="C12" s="103" t="s">
        <v>80</v>
      </c>
      <c r="D12" s="99" t="s">
        <v>90</v>
      </c>
      <c r="F12" s="58" t="s">
        <v>91</v>
      </c>
      <c r="G12" s="56">
        <v>683</v>
      </c>
      <c r="H12" s="55" t="s">
        <v>92</v>
      </c>
      <c r="I12" t="str">
        <f t="shared" si="0"/>
        <v>683 / 51-11-3339</v>
      </c>
    </row>
    <row r="13" spans="1:9" ht="15.75" x14ac:dyDescent="0.25">
      <c r="A13" s="62" t="s">
        <v>93</v>
      </c>
      <c r="B13" s="108"/>
      <c r="C13" s="103"/>
      <c r="D13" s="102"/>
      <c r="F13" s="58" t="s">
        <v>94</v>
      </c>
      <c r="G13" s="56">
        <v>683</v>
      </c>
      <c r="H13" s="55" t="s">
        <v>95</v>
      </c>
      <c r="I13" t="str">
        <f t="shared" si="0"/>
        <v>683 / 51-11-3340</v>
      </c>
    </row>
    <row r="14" spans="1:9" x14ac:dyDescent="0.25">
      <c r="A14" s="63" t="s">
        <v>82</v>
      </c>
      <c r="B14" s="108">
        <v>682</v>
      </c>
      <c r="C14" s="103" t="s">
        <v>83</v>
      </c>
      <c r="D14" s="103" t="s">
        <v>96</v>
      </c>
      <c r="F14" s="58" t="s">
        <v>97</v>
      </c>
      <c r="G14" s="56">
        <v>684</v>
      </c>
      <c r="H14" s="55" t="s">
        <v>98</v>
      </c>
      <c r="I14" t="str">
        <f t="shared" si="0"/>
        <v>684 / 51-11-3341</v>
      </c>
    </row>
    <row r="15" spans="1:9" ht="18.75" x14ac:dyDescent="0.3">
      <c r="A15" s="59" t="s">
        <v>99</v>
      </c>
      <c r="B15" s="108"/>
      <c r="C15" s="103"/>
      <c r="D15" s="100">
        <v>3</v>
      </c>
      <c r="F15" s="58" t="s">
        <v>100</v>
      </c>
      <c r="G15" s="56">
        <v>684</v>
      </c>
      <c r="H15" s="55" t="s">
        <v>101</v>
      </c>
      <c r="I15" t="str">
        <f t="shared" si="0"/>
        <v>684 / 51-11-3360</v>
      </c>
    </row>
    <row r="16" spans="1:9" x14ac:dyDescent="0.25">
      <c r="A16" s="58" t="s">
        <v>85</v>
      </c>
      <c r="B16" s="108">
        <v>683</v>
      </c>
      <c r="C16" s="103" t="s">
        <v>86</v>
      </c>
      <c r="D16" s="99" t="s">
        <v>102</v>
      </c>
      <c r="F16" s="58" t="s">
        <v>103</v>
      </c>
      <c r="G16" s="56">
        <v>684</v>
      </c>
      <c r="H16" s="55" t="s">
        <v>104</v>
      </c>
      <c r="I16" t="str">
        <f t="shared" si="0"/>
        <v>684 / 51-11-3342</v>
      </c>
    </row>
    <row r="17" spans="1:9" x14ac:dyDescent="0.25">
      <c r="A17" s="58" t="s">
        <v>88</v>
      </c>
      <c r="B17" s="108">
        <v>683</v>
      </c>
      <c r="C17" s="103" t="s">
        <v>89</v>
      </c>
      <c r="D17" s="99" t="s">
        <v>105</v>
      </c>
      <c r="F17" s="58" t="s">
        <v>106</v>
      </c>
      <c r="G17" s="56">
        <v>684</v>
      </c>
      <c r="H17" s="55" t="s">
        <v>107</v>
      </c>
      <c r="I17" t="str">
        <f t="shared" si="0"/>
        <v>684 / 51-11-3343</v>
      </c>
    </row>
    <row r="18" spans="1:9" x14ac:dyDescent="0.25">
      <c r="A18" s="58" t="s">
        <v>91</v>
      </c>
      <c r="B18" s="108">
        <v>683</v>
      </c>
      <c r="C18" s="103" t="s">
        <v>92</v>
      </c>
      <c r="D18" s="99" t="s">
        <v>108</v>
      </c>
      <c r="F18" s="58" t="s">
        <v>35</v>
      </c>
      <c r="G18" s="56">
        <v>684</v>
      </c>
      <c r="H18" s="55" t="s">
        <v>109</v>
      </c>
      <c r="I18" t="str">
        <f t="shared" si="0"/>
        <v>684 / 51-11-3344</v>
      </c>
    </row>
    <row r="19" spans="1:9" x14ac:dyDescent="0.25">
      <c r="A19" s="58" t="s">
        <v>94</v>
      </c>
      <c r="B19" s="108">
        <v>683</v>
      </c>
      <c r="C19" s="103" t="s">
        <v>95</v>
      </c>
      <c r="D19" s="99" t="s">
        <v>110</v>
      </c>
      <c r="F19" s="58" t="s">
        <v>111</v>
      </c>
      <c r="G19" s="56">
        <v>684</v>
      </c>
      <c r="H19" s="55" t="s">
        <v>112</v>
      </c>
      <c r="I19" t="str">
        <f t="shared" si="0"/>
        <v>684 / 51-11-3345</v>
      </c>
    </row>
    <row r="20" spans="1:9" ht="18.75" x14ac:dyDescent="0.3">
      <c r="A20" s="59" t="s">
        <v>113</v>
      </c>
      <c r="B20" s="108"/>
      <c r="C20" s="103"/>
      <c r="D20" s="100">
        <v>4</v>
      </c>
      <c r="F20" s="58" t="s">
        <v>114</v>
      </c>
      <c r="G20" s="56">
        <v>684</v>
      </c>
      <c r="H20" s="55" t="s">
        <v>115</v>
      </c>
      <c r="I20" t="str">
        <f t="shared" si="0"/>
        <v>684 / 51-11-3346</v>
      </c>
    </row>
    <row r="21" spans="1:9" x14ac:dyDescent="0.25">
      <c r="A21" s="60" t="s">
        <v>116</v>
      </c>
      <c r="B21" s="108"/>
      <c r="C21" s="103"/>
      <c r="D21" s="104"/>
      <c r="F21" s="58" t="s">
        <v>117</v>
      </c>
      <c r="G21" s="56">
        <v>685</v>
      </c>
      <c r="H21" s="55" t="s">
        <v>118</v>
      </c>
      <c r="I21" t="str">
        <f t="shared" si="0"/>
        <v>685 / 51-11-3354</v>
      </c>
    </row>
    <row r="22" spans="1:9" x14ac:dyDescent="0.25">
      <c r="A22" s="58" t="s">
        <v>97</v>
      </c>
      <c r="B22" s="108">
        <v>684</v>
      </c>
      <c r="C22" s="103" t="s">
        <v>98</v>
      </c>
      <c r="D22" s="99" t="s">
        <v>119</v>
      </c>
      <c r="F22" s="58" t="s">
        <v>120</v>
      </c>
      <c r="G22" s="56">
        <v>685</v>
      </c>
      <c r="H22" s="55" t="s">
        <v>121</v>
      </c>
      <c r="I22" t="str">
        <f t="shared" si="0"/>
        <v>685 / 51-11-3355</v>
      </c>
    </row>
    <row r="23" spans="1:9" x14ac:dyDescent="0.25">
      <c r="A23" s="60" t="s">
        <v>100</v>
      </c>
      <c r="B23" s="108"/>
      <c r="C23" s="103"/>
      <c r="D23" s="104"/>
      <c r="F23" s="58" t="s">
        <v>122</v>
      </c>
      <c r="G23" s="56">
        <v>685</v>
      </c>
      <c r="H23" s="55" t="s">
        <v>123</v>
      </c>
      <c r="I23" t="str">
        <f t="shared" si="0"/>
        <v>685 / 51-11-3356</v>
      </c>
    </row>
    <row r="24" spans="1:9" x14ac:dyDescent="0.25">
      <c r="A24" s="58" t="s">
        <v>100</v>
      </c>
      <c r="B24" s="108">
        <v>684</v>
      </c>
      <c r="C24" s="103" t="s">
        <v>101</v>
      </c>
      <c r="D24" s="99" t="s">
        <v>124</v>
      </c>
      <c r="F24" s="58" t="s">
        <v>125</v>
      </c>
      <c r="G24" s="56">
        <v>685</v>
      </c>
      <c r="H24" s="55" t="s">
        <v>126</v>
      </c>
      <c r="I24" t="str">
        <f t="shared" si="0"/>
        <v>685 / 51-11-3357</v>
      </c>
    </row>
    <row r="25" spans="1:9" x14ac:dyDescent="0.25">
      <c r="A25" s="60" t="s">
        <v>127</v>
      </c>
      <c r="B25" s="108"/>
      <c r="C25" s="103"/>
      <c r="D25" s="104"/>
      <c r="F25" s="58" t="s">
        <v>128</v>
      </c>
      <c r="G25" s="56">
        <v>685</v>
      </c>
      <c r="H25" s="55" t="s">
        <v>129</v>
      </c>
      <c r="I25" t="str">
        <f t="shared" si="0"/>
        <v>685 / 51-11-3358</v>
      </c>
    </row>
    <row r="26" spans="1:9" x14ac:dyDescent="0.25">
      <c r="A26" s="58" t="s">
        <v>103</v>
      </c>
      <c r="B26" s="108">
        <v>684</v>
      </c>
      <c r="C26" s="103" t="s">
        <v>104</v>
      </c>
      <c r="D26" s="99" t="s">
        <v>130</v>
      </c>
      <c r="F26" s="58" t="s">
        <v>131</v>
      </c>
      <c r="G26" s="56">
        <v>685</v>
      </c>
      <c r="H26" s="55" t="s">
        <v>132</v>
      </c>
      <c r="I26" t="str">
        <f t="shared" si="0"/>
        <v>685 / 51-11-3324</v>
      </c>
    </row>
    <row r="27" spans="1:9" x14ac:dyDescent="0.25">
      <c r="A27" s="58" t="s">
        <v>106</v>
      </c>
      <c r="B27" s="108">
        <v>684</v>
      </c>
      <c r="C27" s="103" t="s">
        <v>107</v>
      </c>
      <c r="D27" s="99" t="s">
        <v>133</v>
      </c>
      <c r="F27" s="58" t="s">
        <v>134</v>
      </c>
      <c r="G27" s="56">
        <v>685</v>
      </c>
      <c r="H27" s="55" t="s">
        <v>135</v>
      </c>
      <c r="I27" t="str">
        <f t="shared" si="0"/>
        <v>685 / 51-11-3350</v>
      </c>
    </row>
    <row r="28" spans="1:9" x14ac:dyDescent="0.25">
      <c r="A28" s="60" t="s">
        <v>136</v>
      </c>
      <c r="B28" s="108"/>
      <c r="C28" s="103"/>
      <c r="D28" s="104"/>
      <c r="F28" s="58" t="s">
        <v>137</v>
      </c>
      <c r="G28" s="56">
        <v>685</v>
      </c>
      <c r="H28" s="55" t="s">
        <v>138</v>
      </c>
      <c r="I28" t="str">
        <f t="shared" si="0"/>
        <v>685 / 51-11-3351</v>
      </c>
    </row>
    <row r="29" spans="1:9" x14ac:dyDescent="0.25">
      <c r="A29" s="58" t="s">
        <v>35</v>
      </c>
      <c r="B29" s="108">
        <v>684</v>
      </c>
      <c r="C29" s="103" t="s">
        <v>109</v>
      </c>
      <c r="D29" s="99" t="s">
        <v>139</v>
      </c>
      <c r="F29" s="58" t="s">
        <v>140</v>
      </c>
      <c r="G29" s="56">
        <v>685</v>
      </c>
      <c r="H29" s="55" t="s">
        <v>141</v>
      </c>
      <c r="I29" t="str">
        <f t="shared" si="0"/>
        <v>685 / 51-11-3314</v>
      </c>
    </row>
    <row r="30" spans="1:9" x14ac:dyDescent="0.25">
      <c r="A30" s="58" t="s">
        <v>111</v>
      </c>
      <c r="B30" s="108">
        <v>684</v>
      </c>
      <c r="C30" s="103" t="s">
        <v>112</v>
      </c>
      <c r="D30" s="99" t="s">
        <v>142</v>
      </c>
      <c r="F30" s="58" t="s">
        <v>143</v>
      </c>
      <c r="G30" s="56">
        <v>687</v>
      </c>
      <c r="H30" s="55" t="s">
        <v>144</v>
      </c>
      <c r="I30" t="str">
        <f t="shared" si="0"/>
        <v>687 / 51-11-3331</v>
      </c>
    </row>
    <row r="31" spans="1:9" x14ac:dyDescent="0.25">
      <c r="A31" s="58" t="s">
        <v>114</v>
      </c>
      <c r="B31" s="108">
        <v>684</v>
      </c>
      <c r="C31" s="103" t="s">
        <v>115</v>
      </c>
      <c r="D31" s="99" t="s">
        <v>145</v>
      </c>
      <c r="F31" s="58" t="s">
        <v>146</v>
      </c>
      <c r="G31" s="56">
        <v>687</v>
      </c>
      <c r="H31" s="55" t="s">
        <v>147</v>
      </c>
      <c r="I31" t="str">
        <f t="shared" si="0"/>
        <v>687 / 51-11-3052</v>
      </c>
    </row>
    <row r="32" spans="1:9" ht="18.75" x14ac:dyDescent="0.3">
      <c r="A32" s="59" t="s">
        <v>148</v>
      </c>
      <c r="B32" s="108"/>
      <c r="C32" s="103"/>
      <c r="D32" s="100">
        <v>5</v>
      </c>
      <c r="F32" s="58" t="s">
        <v>149</v>
      </c>
      <c r="G32" s="56">
        <v>687</v>
      </c>
      <c r="H32" s="55" t="s">
        <v>150</v>
      </c>
      <c r="I32" t="str">
        <f t="shared" si="0"/>
        <v>687 / 51-11-3363</v>
      </c>
    </row>
    <row r="33" spans="1:9" ht="15.75" x14ac:dyDescent="0.25">
      <c r="A33" s="62" t="s">
        <v>151</v>
      </c>
      <c r="B33" s="108"/>
      <c r="C33" s="103"/>
      <c r="D33" s="102"/>
      <c r="F33" s="58" t="s">
        <v>152</v>
      </c>
      <c r="G33" s="56">
        <v>688</v>
      </c>
      <c r="H33" s="55" t="s">
        <v>153</v>
      </c>
      <c r="I33" t="str">
        <f t="shared" si="0"/>
        <v>688 / 51-11-3352</v>
      </c>
    </row>
    <row r="34" spans="1:9" x14ac:dyDescent="0.25">
      <c r="A34" s="58" t="s">
        <v>117</v>
      </c>
      <c r="B34" s="108">
        <v>685</v>
      </c>
      <c r="C34" s="103" t="s">
        <v>118</v>
      </c>
      <c r="D34" s="99" t="s">
        <v>154</v>
      </c>
      <c r="F34" s="58" t="s">
        <v>155</v>
      </c>
      <c r="G34" s="56">
        <v>688</v>
      </c>
      <c r="H34" s="55" t="s">
        <v>156</v>
      </c>
      <c r="I34" t="str">
        <f t="shared" si="0"/>
        <v>688 / 51-11-3353</v>
      </c>
    </row>
    <row r="35" spans="1:9" x14ac:dyDescent="0.25">
      <c r="A35" s="58" t="s">
        <v>120</v>
      </c>
      <c r="B35" s="108">
        <v>685</v>
      </c>
      <c r="C35" s="103" t="s">
        <v>121</v>
      </c>
      <c r="D35" s="99" t="s">
        <v>157</v>
      </c>
    </row>
    <row r="36" spans="1:9" x14ac:dyDescent="0.25">
      <c r="A36" s="58" t="s">
        <v>122</v>
      </c>
      <c r="B36" s="108">
        <v>685</v>
      </c>
      <c r="C36" s="103" t="s">
        <v>123</v>
      </c>
      <c r="D36" s="99" t="s">
        <v>158</v>
      </c>
    </row>
    <row r="37" spans="1:9" x14ac:dyDescent="0.25">
      <c r="A37" s="58" t="s">
        <v>125</v>
      </c>
      <c r="B37" s="108">
        <v>685</v>
      </c>
      <c r="C37" s="103" t="s">
        <v>126</v>
      </c>
      <c r="D37" s="99" t="s">
        <v>159</v>
      </c>
    </row>
    <row r="38" spans="1:9" x14ac:dyDescent="0.25">
      <c r="A38" s="58" t="s">
        <v>128</v>
      </c>
      <c r="B38" s="108">
        <v>685</v>
      </c>
      <c r="C38" s="103" t="s">
        <v>129</v>
      </c>
      <c r="D38" s="99" t="s">
        <v>160</v>
      </c>
    </row>
    <row r="39" spans="1:9" ht="15.75" x14ac:dyDescent="0.25">
      <c r="A39" s="61" t="s">
        <v>131</v>
      </c>
      <c r="B39" s="108"/>
      <c r="C39" s="103"/>
      <c r="D39" s="101"/>
    </row>
    <row r="40" spans="1:9" x14ac:dyDescent="0.25">
      <c r="A40" s="58" t="s">
        <v>131</v>
      </c>
      <c r="B40" s="108">
        <v>685</v>
      </c>
      <c r="C40" s="103" t="s">
        <v>132</v>
      </c>
      <c r="D40" s="99" t="s">
        <v>161</v>
      </c>
    </row>
    <row r="41" spans="1:9" x14ac:dyDescent="0.25">
      <c r="A41" s="60" t="s">
        <v>162</v>
      </c>
      <c r="B41" s="108"/>
      <c r="C41" s="103"/>
      <c r="D41" s="104"/>
    </row>
    <row r="42" spans="1:9" x14ac:dyDescent="0.25">
      <c r="A42" s="58" t="s">
        <v>134</v>
      </c>
      <c r="B42" s="108">
        <v>685</v>
      </c>
      <c r="C42" s="103" t="s">
        <v>135</v>
      </c>
      <c r="D42" s="99" t="s">
        <v>163</v>
      </c>
    </row>
    <row r="43" spans="1:9" x14ac:dyDescent="0.25">
      <c r="A43" s="58" t="s">
        <v>137</v>
      </c>
      <c r="B43" s="108">
        <v>685</v>
      </c>
      <c r="C43" s="103" t="s">
        <v>138</v>
      </c>
      <c r="D43" s="99" t="s">
        <v>164</v>
      </c>
    </row>
    <row r="44" spans="1:9" ht="15.75" x14ac:dyDescent="0.25">
      <c r="A44" s="61" t="s">
        <v>165</v>
      </c>
      <c r="B44" s="108"/>
      <c r="C44" s="103"/>
      <c r="D44" s="101"/>
    </row>
    <row r="45" spans="1:9" x14ac:dyDescent="0.25">
      <c r="A45" s="58" t="s">
        <v>140</v>
      </c>
      <c r="B45" s="108">
        <v>685</v>
      </c>
      <c r="C45" s="103" t="s">
        <v>141</v>
      </c>
      <c r="D45" s="99" t="s">
        <v>166</v>
      </c>
    </row>
    <row r="46" spans="1:9" ht="18.75" x14ac:dyDescent="0.3">
      <c r="A46" s="59" t="s">
        <v>167</v>
      </c>
      <c r="B46" s="108"/>
      <c r="C46" s="103"/>
      <c r="D46" s="100">
        <v>6</v>
      </c>
    </row>
    <row r="47" spans="1:9" ht="15.75" x14ac:dyDescent="0.25">
      <c r="A47" s="61" t="s">
        <v>168</v>
      </c>
      <c r="B47" s="108"/>
      <c r="C47" s="103"/>
      <c r="D47" s="101"/>
    </row>
    <row r="48" spans="1:9" x14ac:dyDescent="0.25">
      <c r="A48" s="58" t="s">
        <v>143</v>
      </c>
      <c r="B48" s="108">
        <v>687</v>
      </c>
      <c r="C48" s="103" t="s">
        <v>144</v>
      </c>
      <c r="D48" s="99" t="s">
        <v>169</v>
      </c>
    </row>
    <row r="49" spans="1:4" x14ac:dyDescent="0.25">
      <c r="A49" s="60" t="s">
        <v>146</v>
      </c>
      <c r="B49" s="108"/>
      <c r="C49" s="103"/>
      <c r="D49" s="104"/>
    </row>
    <row r="50" spans="1:4" x14ac:dyDescent="0.25">
      <c r="A50" s="58" t="s">
        <v>146</v>
      </c>
      <c r="B50" s="108">
        <v>687</v>
      </c>
      <c r="C50" s="103" t="s">
        <v>147</v>
      </c>
      <c r="D50" s="99" t="s">
        <v>170</v>
      </c>
    </row>
    <row r="51" spans="1:4" x14ac:dyDescent="0.25">
      <c r="A51" s="60" t="s">
        <v>149</v>
      </c>
      <c r="B51" s="108"/>
      <c r="C51" s="103"/>
      <c r="D51" s="104"/>
    </row>
    <row r="52" spans="1:4" x14ac:dyDescent="0.25">
      <c r="A52" s="58" t="s">
        <v>149</v>
      </c>
      <c r="B52" s="108">
        <v>687</v>
      </c>
      <c r="C52" s="103" t="s">
        <v>150</v>
      </c>
      <c r="D52" s="99" t="s">
        <v>171</v>
      </c>
    </row>
    <row r="53" spans="1:4" ht="18.75" x14ac:dyDescent="0.3">
      <c r="A53" s="59" t="s">
        <v>172</v>
      </c>
      <c r="B53" s="108"/>
      <c r="C53" s="103"/>
      <c r="D53" s="100">
        <v>7</v>
      </c>
    </row>
    <row r="54" spans="1:4" x14ac:dyDescent="0.25">
      <c r="A54" s="58" t="s">
        <v>152</v>
      </c>
      <c r="B54" s="108">
        <v>688</v>
      </c>
      <c r="C54" s="103" t="s">
        <v>153</v>
      </c>
      <c r="D54" s="99" t="s">
        <v>173</v>
      </c>
    </row>
    <row r="55" spans="1:4" x14ac:dyDescent="0.25">
      <c r="A55" s="58" t="s">
        <v>155</v>
      </c>
      <c r="B55" s="108">
        <v>688</v>
      </c>
      <c r="C55" s="103" t="s">
        <v>156</v>
      </c>
      <c r="D55" s="99" t="s">
        <v>174</v>
      </c>
    </row>
    <row r="56" spans="1:4" ht="15.75" thickBot="1" x14ac:dyDescent="0.3">
      <c r="A56" s="57"/>
      <c r="B56" s="109"/>
      <c r="C56" s="105"/>
      <c r="D56" s="105"/>
    </row>
  </sheetData>
  <autoFilter ref="A1:C5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D74"/>
  <sheetViews>
    <sheetView showGridLines="0" topLeftCell="A6" zoomScale="80" zoomScaleNormal="80" workbookViewId="0">
      <pane ySplit="1" topLeftCell="A7" activePane="bottomLeft" state="frozen"/>
      <selection activeCell="A6" sqref="A6"/>
      <selection pane="bottomLeft" activeCell="D8" sqref="D8"/>
    </sheetView>
  </sheetViews>
  <sheetFormatPr baseColWidth="10" defaultColWidth="11.5703125" defaultRowHeight="15" x14ac:dyDescent="0.25"/>
  <cols>
    <col min="1" max="1" width="49.7109375" style="182" bestFit="1" customWidth="1"/>
    <col min="2" max="3" width="20.140625" style="151" hidden="1" customWidth="1"/>
    <col min="4" max="4" width="19.7109375" style="151" customWidth="1"/>
    <col min="5" max="8" width="20.140625" style="151" customWidth="1"/>
    <col min="9" max="9" width="11.5703125" style="151" hidden="1" customWidth="1"/>
    <col min="10" max="18" width="11.5703125" style="182" hidden="1" customWidth="1"/>
    <col min="19" max="19" width="11.85546875" style="182" hidden="1" customWidth="1"/>
    <col min="20" max="20" width="17.5703125" style="182" hidden="1" customWidth="1"/>
    <col min="21" max="21" width="11.5703125" style="182" hidden="1" customWidth="1"/>
    <col min="22" max="22" width="12" style="182" hidden="1" customWidth="1"/>
    <col min="23" max="26" width="11.5703125" style="182" hidden="1" customWidth="1"/>
    <col min="27" max="27" width="0" style="182" hidden="1" customWidth="1"/>
    <col min="28" max="16384" width="11.5703125" style="182"/>
  </cols>
  <sheetData>
    <row r="1" spans="1:27" x14ac:dyDescent="0.25">
      <c r="A1" s="146" t="s">
        <v>476</v>
      </c>
      <c r="B1" s="148"/>
      <c r="C1" s="148"/>
      <c r="D1" s="148"/>
      <c r="E1" s="148"/>
      <c r="F1" s="148"/>
      <c r="G1" s="148"/>
      <c r="H1" s="148"/>
    </row>
    <row r="2" spans="1:27" x14ac:dyDescent="0.25">
      <c r="A2" s="366" t="s">
        <v>477</v>
      </c>
      <c r="B2" s="148"/>
      <c r="C2" s="148"/>
      <c r="D2" s="148"/>
      <c r="E2" s="148"/>
      <c r="F2" s="148"/>
      <c r="G2" s="148"/>
      <c r="H2" s="148"/>
    </row>
    <row r="3" spans="1:27" x14ac:dyDescent="0.25">
      <c r="A3" s="146" t="s">
        <v>472</v>
      </c>
      <c r="B3" s="148"/>
      <c r="C3" s="148"/>
      <c r="D3" s="148"/>
      <c r="E3" s="148"/>
      <c r="F3" s="148"/>
      <c r="G3" s="148"/>
      <c r="H3" s="148"/>
    </row>
    <row r="4" spans="1:27" x14ac:dyDescent="0.25">
      <c r="A4" s="146"/>
      <c r="B4" s="148"/>
      <c r="C4" s="148"/>
      <c r="D4" s="148"/>
      <c r="E4" s="148"/>
      <c r="F4" s="148"/>
      <c r="G4" s="148"/>
      <c r="H4" s="148"/>
    </row>
    <row r="5" spans="1:27" ht="15.75" thickBot="1" x14ac:dyDescent="0.3">
      <c r="A5" s="146"/>
      <c r="B5" s="148"/>
      <c r="C5" s="148"/>
      <c r="D5" s="148"/>
      <c r="E5" s="148"/>
      <c r="F5" s="148"/>
      <c r="G5" s="148"/>
      <c r="H5" s="148"/>
    </row>
    <row r="6" spans="1:27" ht="36" customHeight="1" thickBot="1" x14ac:dyDescent="0.3">
      <c r="A6" s="367" t="s">
        <v>473</v>
      </c>
      <c r="B6" s="368" t="s">
        <v>474</v>
      </c>
      <c r="C6" s="369" t="s">
        <v>1004</v>
      </c>
      <c r="D6" s="370" t="s">
        <v>1549</v>
      </c>
      <c r="E6" s="370" t="s">
        <v>1412</v>
      </c>
      <c r="F6" s="371" t="s">
        <v>1413</v>
      </c>
      <c r="G6" s="371" t="s">
        <v>1414</v>
      </c>
      <c r="H6" s="372" t="s">
        <v>1151</v>
      </c>
      <c r="I6" s="151" t="s">
        <v>1004</v>
      </c>
    </row>
    <row r="7" spans="1:27" x14ac:dyDescent="0.25">
      <c r="A7" s="373" t="s">
        <v>60</v>
      </c>
      <c r="B7" s="374">
        <f>+B8</f>
        <v>0</v>
      </c>
      <c r="C7" s="375"/>
      <c r="D7" s="376">
        <f>+D8</f>
        <v>8616585.8433333337</v>
      </c>
      <c r="E7" s="376">
        <f>+E8</f>
        <v>11901000</v>
      </c>
      <c r="F7" s="376">
        <f>+F8</f>
        <v>14281200</v>
      </c>
      <c r="G7" s="376">
        <f>+G8</f>
        <v>19279620</v>
      </c>
      <c r="H7" s="377"/>
      <c r="P7" s="365">
        <f>+E7+E9</f>
        <v>18912633.961354762</v>
      </c>
      <c r="Q7" s="365">
        <f>+F7+F9</f>
        <v>22695160.753625717</v>
      </c>
      <c r="R7" s="365">
        <f>+G7+G9</f>
        <v>37032668.135120094</v>
      </c>
      <c r="S7" s="365">
        <f t="shared" ref="S7:Z7" si="0">+H7+H9</f>
        <v>0</v>
      </c>
      <c r="T7" s="365">
        <f t="shared" si="0"/>
        <v>3016803.7004477615</v>
      </c>
      <c r="U7" s="365">
        <f t="shared" si="0"/>
        <v>0</v>
      </c>
      <c r="V7" s="365">
        <f t="shared" si="0"/>
        <v>0</v>
      </c>
      <c r="W7" s="365">
        <f t="shared" si="0"/>
        <v>0</v>
      </c>
      <c r="X7" s="365">
        <f t="shared" si="0"/>
        <v>0</v>
      </c>
      <c r="Y7" s="365">
        <f t="shared" si="0"/>
        <v>0</v>
      </c>
      <c r="Z7" s="365">
        <f t="shared" si="0"/>
        <v>0</v>
      </c>
      <c r="AA7" s="365">
        <f>+P7+P9</f>
        <v>18912633.961354762</v>
      </c>
    </row>
    <row r="8" spans="1:27" x14ac:dyDescent="0.25">
      <c r="A8" s="363" t="s">
        <v>61</v>
      </c>
      <c r="B8" s="149"/>
      <c r="C8" s="170"/>
      <c r="D8" s="723">
        <v>8616585.8433333337</v>
      </c>
      <c r="E8" s="397">
        <v>11901000</v>
      </c>
      <c r="F8" s="397">
        <f>+E8*1.2</f>
        <v>14281200</v>
      </c>
      <c r="G8" s="397">
        <f>+F8*1.35</f>
        <v>19279620</v>
      </c>
      <c r="H8" s="172"/>
      <c r="I8" s="151">
        <v>12121000</v>
      </c>
      <c r="V8" s="365"/>
    </row>
    <row r="9" spans="1:27" x14ac:dyDescent="0.25">
      <c r="A9" s="378" t="s">
        <v>66</v>
      </c>
      <c r="B9" s="379">
        <f t="shared" ref="B9:C9" si="1">SUM(B10:B13)+(B14+B16+B18)</f>
        <v>3054949.3459701492</v>
      </c>
      <c r="C9" s="380">
        <f t="shared" si="1"/>
        <v>3054949.3459701492</v>
      </c>
      <c r="D9" s="381">
        <f>SUM(D10:D13)+(D14+D16+D18)</f>
        <v>5540434.534</v>
      </c>
      <c r="E9" s="381">
        <f>SUM(E10:E13)+(E14+E16+E18)</f>
        <v>7011633.9613547642</v>
      </c>
      <c r="F9" s="381">
        <f>SUM(F10:F13)+(F14+F16+F18)</f>
        <v>8413960.753625717</v>
      </c>
      <c r="G9" s="381">
        <f>SUM(G10:G13)+(G14+G16+G18)</f>
        <v>17753048.13512009</v>
      </c>
      <c r="H9" s="382"/>
      <c r="I9" s="151">
        <f t="shared" ref="I9" si="2">SUM(I10:I13)+(I14+I16+I18)</f>
        <v>3016803.7004477615</v>
      </c>
      <c r="V9" s="365">
        <f t="shared" ref="V9:V33" si="3">+E9</f>
        <v>7011633.9613547642</v>
      </c>
    </row>
    <row r="10" spans="1:27" x14ac:dyDescent="0.25">
      <c r="A10" s="363" t="s">
        <v>64</v>
      </c>
      <c r="B10" s="149"/>
      <c r="C10" s="170"/>
      <c r="D10" s="174">
        <v>862515.64400000009</v>
      </c>
      <c r="E10" s="398">
        <f>+'682 Scope - Summary Adm'!G15</f>
        <v>1096900</v>
      </c>
      <c r="F10" s="398">
        <f>+E10*1.2</f>
        <v>1316280</v>
      </c>
      <c r="G10" s="398">
        <f>+F10*1.35+5500000</f>
        <v>7276978</v>
      </c>
      <c r="H10" s="172"/>
      <c r="V10" s="365"/>
    </row>
    <row r="11" spans="1:27" x14ac:dyDescent="0.25">
      <c r="A11" s="363" t="s">
        <v>67</v>
      </c>
      <c r="B11" s="149"/>
      <c r="C11" s="170"/>
      <c r="D11" s="174">
        <v>608676.65000000014</v>
      </c>
      <c r="E11" s="398">
        <f>+'682 Scope - Summary Adm'!G16</f>
        <v>1500000</v>
      </c>
      <c r="F11" s="398">
        <f t="shared" ref="F11:F13" si="4">+E11*1.2</f>
        <v>1800000</v>
      </c>
      <c r="G11" s="398">
        <f>+F11*1.35</f>
        <v>2430000</v>
      </c>
      <c r="H11" s="172"/>
      <c r="V11" s="365"/>
    </row>
    <row r="12" spans="1:27" x14ac:dyDescent="0.25">
      <c r="A12" s="363" t="s">
        <v>70</v>
      </c>
      <c r="B12" s="149"/>
      <c r="C12" s="170"/>
      <c r="D12" s="174">
        <v>199982.86</v>
      </c>
      <c r="E12" s="398">
        <f>+'682 Scope - Summary Adm'!G17</f>
        <v>414784.61538461549</v>
      </c>
      <c r="F12" s="398">
        <f t="shared" si="4"/>
        <v>497741.53846153856</v>
      </c>
      <c r="G12" s="398">
        <f>+F12*1.35+1500000</f>
        <v>2171951.076923077</v>
      </c>
      <c r="H12" s="172"/>
      <c r="V12" s="365"/>
    </row>
    <row r="13" spans="1:27" x14ac:dyDescent="0.25">
      <c r="A13" s="363" t="s">
        <v>73</v>
      </c>
      <c r="B13" s="149"/>
      <c r="C13" s="170"/>
      <c r="D13" s="174">
        <v>506217.61999999994</v>
      </c>
      <c r="E13" s="398">
        <f>+'682 Scope - Summary Adm'!G14</f>
        <v>634400</v>
      </c>
      <c r="F13" s="398">
        <f t="shared" si="4"/>
        <v>761280</v>
      </c>
      <c r="G13" s="398">
        <f>+F13*1.35</f>
        <v>1027728.0000000001</v>
      </c>
      <c r="H13" s="172"/>
      <c r="V13" s="365"/>
    </row>
    <row r="14" spans="1:27" x14ac:dyDescent="0.25">
      <c r="A14" s="147" t="s">
        <v>81</v>
      </c>
      <c r="B14" s="150">
        <f>SUM(B15)</f>
        <v>1309949.3459701492</v>
      </c>
      <c r="C14" s="171">
        <f>SUM(C15)</f>
        <v>1309949.3459701492</v>
      </c>
      <c r="D14" s="175">
        <f>SUM(D15)</f>
        <v>1189817.71</v>
      </c>
      <c r="E14" s="399">
        <f>SUM(E15)</f>
        <v>1309949.3459701492</v>
      </c>
      <c r="F14" s="399">
        <f>SUM(F15)</f>
        <v>1571939.215164179</v>
      </c>
      <c r="G14" s="399">
        <f t="shared" ref="G14" si="5">SUM(G15)</f>
        <v>1886327.0581970147</v>
      </c>
      <c r="H14" s="173"/>
      <c r="I14" s="151">
        <v>1271803.7004477615</v>
      </c>
      <c r="V14" s="365"/>
    </row>
    <row r="15" spans="1:27" x14ac:dyDescent="0.25">
      <c r="A15" s="363" t="s">
        <v>76</v>
      </c>
      <c r="B15" s="149">
        <f>+'682 Scope-Summary IT'!H20</f>
        <v>1309949.3459701492</v>
      </c>
      <c r="C15" s="170">
        <f>+B15</f>
        <v>1309949.3459701492</v>
      </c>
      <c r="D15" s="174">
        <v>1189817.71</v>
      </c>
      <c r="E15" s="397">
        <f>+'682 Scope-Summary IT'!H20</f>
        <v>1309949.3459701492</v>
      </c>
      <c r="F15" s="397">
        <f>+E15*1.2</f>
        <v>1571939.215164179</v>
      </c>
      <c r="G15" s="397">
        <f>+F15*1.2</f>
        <v>1886327.0581970147</v>
      </c>
      <c r="H15" s="172"/>
      <c r="I15" s="151">
        <v>1271803.7004477615</v>
      </c>
      <c r="V15" s="365"/>
    </row>
    <row r="16" spans="1:27" x14ac:dyDescent="0.25">
      <c r="A16" s="147" t="s">
        <v>1378</v>
      </c>
      <c r="B16" s="150">
        <f>SUM(B17)</f>
        <v>1745000</v>
      </c>
      <c r="C16" s="171">
        <f>SUM(C17)</f>
        <v>1745000</v>
      </c>
      <c r="D16" s="175">
        <f>SUM(D17)</f>
        <v>1754783.54</v>
      </c>
      <c r="E16" s="399">
        <f>SUM(E17)</f>
        <v>1745000</v>
      </c>
      <c r="F16" s="399">
        <f>SUM(F17)</f>
        <v>2094000</v>
      </c>
      <c r="G16" s="399">
        <f t="shared" ref="G16" si="6">SUM(G17)</f>
        <v>2512800</v>
      </c>
      <c r="H16" s="173"/>
      <c r="I16" s="151">
        <v>1745000</v>
      </c>
      <c r="V16" s="365"/>
    </row>
    <row r="17" spans="1:30" x14ac:dyDescent="0.25">
      <c r="A17" s="363" t="s">
        <v>1378</v>
      </c>
      <c r="B17" s="149">
        <f>+Business_Service!N22</f>
        <v>1745000</v>
      </c>
      <c r="C17" s="170">
        <f>+B17</f>
        <v>1745000</v>
      </c>
      <c r="D17" s="174">
        <v>1754783.54</v>
      </c>
      <c r="E17" s="397">
        <f>+'682 Scope-Summary Business Serv'!H18</f>
        <v>1745000</v>
      </c>
      <c r="F17" s="398">
        <f t="shared" ref="F17:F19" si="7">+E17*1.2</f>
        <v>2094000</v>
      </c>
      <c r="G17" s="398">
        <f>+F17*1.2</f>
        <v>2512800</v>
      </c>
      <c r="H17" s="172"/>
      <c r="I17" s="151">
        <v>1745000</v>
      </c>
      <c r="V17" s="365"/>
    </row>
    <row r="18" spans="1:30" x14ac:dyDescent="0.25">
      <c r="A18" s="147" t="s">
        <v>93</v>
      </c>
      <c r="B18" s="150">
        <f>SUM(B19)</f>
        <v>0</v>
      </c>
      <c r="C18" s="171">
        <f>SUM(C19)</f>
        <v>0</v>
      </c>
      <c r="D18" s="175">
        <f>SUM(D19)</f>
        <v>418440.51</v>
      </c>
      <c r="E18" s="399">
        <f>SUM(E19)</f>
        <v>310600</v>
      </c>
      <c r="F18" s="399">
        <f t="shared" ref="F18:G18" si="8">SUM(F19)</f>
        <v>372720</v>
      </c>
      <c r="G18" s="399">
        <f t="shared" si="8"/>
        <v>447264</v>
      </c>
      <c r="H18" s="173"/>
      <c r="V18" s="365"/>
    </row>
    <row r="19" spans="1:30" x14ac:dyDescent="0.25">
      <c r="A19" s="363" t="s">
        <v>82</v>
      </c>
      <c r="B19" s="149"/>
      <c r="C19" s="170"/>
      <c r="D19" s="174">
        <v>418440.51</v>
      </c>
      <c r="E19" s="397">
        <f>+'Scope - Summary Vallenar'!H19</f>
        <v>310600</v>
      </c>
      <c r="F19" s="398">
        <f t="shared" si="7"/>
        <v>372720</v>
      </c>
      <c r="G19" s="398">
        <f>+F19*1.2</f>
        <v>447264</v>
      </c>
      <c r="H19" s="172"/>
      <c r="O19" s="182">
        <v>215835.1</v>
      </c>
      <c r="V19" s="365"/>
    </row>
    <row r="20" spans="1:30" x14ac:dyDescent="0.25">
      <c r="A20" s="378" t="s">
        <v>99</v>
      </c>
      <c r="B20" s="379">
        <f t="shared" ref="B20:G20" si="9">SUM(B21:B24)</f>
        <v>2257607.9435294117</v>
      </c>
      <c r="C20" s="380">
        <f t="shared" si="9"/>
        <v>1603099.9435294117</v>
      </c>
      <c r="D20" s="381">
        <f t="shared" si="9"/>
        <v>5280260.16</v>
      </c>
      <c r="E20" s="381">
        <f t="shared" si="9"/>
        <v>2369220.5317647061</v>
      </c>
      <c r="F20" s="381">
        <f>SUM(F21:F24)</f>
        <v>2453736.0009999974</v>
      </c>
      <c r="G20" s="381">
        <f t="shared" si="9"/>
        <v>2602211.7334705857</v>
      </c>
      <c r="H20" s="382">
        <f>10538005.9076923+7500000</f>
        <v>18038005.907692298</v>
      </c>
      <c r="I20" s="151">
        <f>SUM(I21:I24)</f>
        <v>27918097.637567997</v>
      </c>
      <c r="O20" s="182">
        <v>0</v>
      </c>
      <c r="V20" s="365">
        <f t="shared" si="3"/>
        <v>2369220.5317647061</v>
      </c>
    </row>
    <row r="21" spans="1:30" x14ac:dyDescent="0.25">
      <c r="A21" s="363" t="s">
        <v>85</v>
      </c>
      <c r="B21" s="149">
        <f>+'683 Scope-Summary Legal'!H14</f>
        <v>734828.13316176471</v>
      </c>
      <c r="C21" s="170">
        <f>+B21</f>
        <v>734828.13316176471</v>
      </c>
      <c r="D21" s="174">
        <v>458090.85000000003</v>
      </c>
      <c r="E21" s="397">
        <f>+' 683 Scope-Summary Legal'!M14</f>
        <v>734828.13316176471</v>
      </c>
      <c r="F21" s="397">
        <f>+'Summaery legal 2019'!M14</f>
        <v>773841.08393749665</v>
      </c>
      <c r="G21" s="397">
        <f>+'Scope - Summary legal 2020'!M14</f>
        <v>793426.42441911437</v>
      </c>
      <c r="H21" s="172"/>
      <c r="I21" s="151">
        <v>734828.13316176471</v>
      </c>
      <c r="O21" s="182">
        <v>550008.78999999992</v>
      </c>
      <c r="V21" s="365"/>
    </row>
    <row r="22" spans="1:30" x14ac:dyDescent="0.25">
      <c r="A22" s="363" t="s">
        <v>88</v>
      </c>
      <c r="B22" s="149">
        <f>+'683 Scope-Summary Legal'!H15</f>
        <v>853671.81036764709</v>
      </c>
      <c r="C22" s="170">
        <f>+B22</f>
        <v>853671.81036764709</v>
      </c>
      <c r="D22" s="174">
        <v>654273.71</v>
      </c>
      <c r="E22" s="397">
        <f>+' 683 Scope-Summary Legal'!M15</f>
        <v>853671.81036764709</v>
      </c>
      <c r="F22" s="397">
        <f>+'Summaery legal 2019'!M15</f>
        <v>899174.32882720628</v>
      </c>
      <c r="G22" s="397">
        <f>+'Scope - Summary legal 2020'!M15</f>
        <v>932364.72081617685</v>
      </c>
      <c r="H22" s="172"/>
      <c r="I22" s="151">
        <v>853671.81036764709</v>
      </c>
      <c r="O22" s="182">
        <v>1610176.72</v>
      </c>
      <c r="V22" s="365"/>
    </row>
    <row r="23" spans="1:30" x14ac:dyDescent="0.25">
      <c r="A23" s="363" t="s">
        <v>1039</v>
      </c>
      <c r="B23" s="149">
        <v>654508</v>
      </c>
      <c r="C23" s="170">
        <v>0</v>
      </c>
      <c r="D23" s="174">
        <v>4128502.9400000004</v>
      </c>
      <c r="E23" s="397">
        <f>+' 683 Scope-Summary Legal'!M16</f>
        <v>740720.58823529433</v>
      </c>
      <c r="F23" s="397">
        <f>+'Summaery legal 2019'!M16</f>
        <v>740720.58823529433</v>
      </c>
      <c r="G23" s="397">
        <f>+'Scope - Summary legal 2020'!M16</f>
        <v>836420.58823529433</v>
      </c>
      <c r="H23" s="172"/>
      <c r="I23" s="151">
        <v>26314997.694038585</v>
      </c>
      <c r="O23" s="182">
        <v>319872.66666666657</v>
      </c>
      <c r="V23" s="365"/>
    </row>
    <row r="24" spans="1:30" x14ac:dyDescent="0.25">
      <c r="A24" s="363" t="s">
        <v>94</v>
      </c>
      <c r="B24" s="149">
        <f>+'683 Scope-Summary Legal'!H17</f>
        <v>14600</v>
      </c>
      <c r="C24" s="170">
        <f>+B24</f>
        <v>14600</v>
      </c>
      <c r="D24" s="174">
        <v>39392.660000000003</v>
      </c>
      <c r="E24" s="397">
        <f>+' 683 Scope-Summary Legal'!M25</f>
        <v>40000</v>
      </c>
      <c r="F24" s="397">
        <f>+'Summaery legal 2019'!M25</f>
        <v>40000</v>
      </c>
      <c r="G24" s="397">
        <f>+'Scope - Summary legal 2020'!M25</f>
        <v>40000</v>
      </c>
      <c r="H24" s="172"/>
      <c r="I24" s="151">
        <v>14600</v>
      </c>
      <c r="O24" s="182">
        <v>15752429.170000002</v>
      </c>
      <c r="V24" s="365"/>
    </row>
    <row r="25" spans="1:30" x14ac:dyDescent="0.25">
      <c r="A25" s="378" t="s">
        <v>113</v>
      </c>
      <c r="B25" s="379">
        <f>SUM(B26:B32)</f>
        <v>2874529</v>
      </c>
      <c r="C25" s="380"/>
      <c r="D25" s="381">
        <f>SUM(D26:D32)</f>
        <v>14336154.329999998</v>
      </c>
      <c r="E25" s="381">
        <f>SUM(E26:E32)</f>
        <v>11438382.105050711</v>
      </c>
      <c r="F25" s="381">
        <f>SUM(F26:F32)</f>
        <v>9015000</v>
      </c>
      <c r="G25" s="381">
        <f>SUM(G26:G32)</f>
        <v>12965000</v>
      </c>
      <c r="H25" s="382">
        <f>SUM(H26:H32)</f>
        <v>22089584.361538462</v>
      </c>
      <c r="O25" s="182">
        <v>1812359.31</v>
      </c>
      <c r="S25" s="382" t="s">
        <v>1176</v>
      </c>
      <c r="T25" s="382" t="s">
        <v>1177</v>
      </c>
      <c r="V25" s="365">
        <f t="shared" si="3"/>
        <v>11438382.105050711</v>
      </c>
    </row>
    <row r="26" spans="1:30" x14ac:dyDescent="0.25">
      <c r="A26" s="363" t="s">
        <v>97</v>
      </c>
      <c r="B26" s="149">
        <f>+'684 Scope-Summary Communication'!H19</f>
        <v>456484</v>
      </c>
      <c r="C26" s="170"/>
      <c r="D26" s="174">
        <v>216384.66</v>
      </c>
      <c r="E26" s="397">
        <f>+'684 Scope-Summary Communication'!H19</f>
        <v>456484</v>
      </c>
      <c r="F26" s="397">
        <v>600000</v>
      </c>
      <c r="G26" s="397">
        <v>650000</v>
      </c>
      <c r="H26" s="172"/>
      <c r="O26" s="182">
        <v>99693.849999999991</v>
      </c>
      <c r="V26" s="365"/>
    </row>
    <row r="27" spans="1:30" x14ac:dyDescent="0.25">
      <c r="A27" s="363" t="s">
        <v>100</v>
      </c>
      <c r="B27" s="149">
        <f>+'684 Scope-Summary Resettlement'!H19</f>
        <v>758045</v>
      </c>
      <c r="C27" s="170"/>
      <c r="D27" s="174">
        <v>549633.03999999992</v>
      </c>
      <c r="E27" s="397">
        <f>+'684 Scope-Summary Resettlement'!H19</f>
        <v>758045</v>
      </c>
      <c r="F27" s="397">
        <v>1500000</v>
      </c>
      <c r="G27" s="397">
        <v>2000000</v>
      </c>
      <c r="H27" s="172"/>
      <c r="V27" s="365"/>
    </row>
    <row r="28" spans="1:30" x14ac:dyDescent="0.25">
      <c r="A28" s="363" t="s">
        <v>103</v>
      </c>
      <c r="B28" s="149">
        <f>+'684 Scope-Summary Development'!H20</f>
        <v>1660000</v>
      </c>
      <c r="C28" s="170"/>
      <c r="D28" s="174">
        <v>1360008.47</v>
      </c>
      <c r="E28" s="397">
        <f>+'684 Scope-Summary Development'!H20</f>
        <v>1660000</v>
      </c>
      <c r="F28" s="397">
        <v>1800000</v>
      </c>
      <c r="G28" s="397">
        <v>3000000</v>
      </c>
      <c r="H28" s="172">
        <v>8296715.2576923072</v>
      </c>
      <c r="S28" s="281">
        <v>127000</v>
      </c>
      <c r="T28" s="281">
        <v>323000</v>
      </c>
      <c r="V28" s="365"/>
    </row>
    <row r="29" spans="1:30" x14ac:dyDescent="0.25">
      <c r="A29" s="363" t="s">
        <v>106</v>
      </c>
      <c r="B29" s="149"/>
      <c r="C29" s="170"/>
      <c r="D29" s="174">
        <v>145593.35</v>
      </c>
      <c r="E29" s="397">
        <f>+'Scope - Summary Engagement'!H22</f>
        <v>519999.98</v>
      </c>
      <c r="F29" s="397">
        <v>800000</v>
      </c>
      <c r="G29" s="397">
        <v>3000000</v>
      </c>
      <c r="H29" s="172"/>
      <c r="V29" s="365"/>
    </row>
    <row r="30" spans="1:30" x14ac:dyDescent="0.25">
      <c r="A30" s="363" t="s">
        <v>35</v>
      </c>
      <c r="B30" s="149"/>
      <c r="C30" s="170"/>
      <c r="D30" s="174">
        <v>9333511.5499999989</v>
      </c>
      <c r="E30" s="397">
        <f>+'684Scope-Summary Environmental'!H15</f>
        <v>6089064.9966193382</v>
      </c>
      <c r="F30" s="397">
        <v>2700000</v>
      </c>
      <c r="G30" s="397">
        <v>3000000</v>
      </c>
      <c r="H30" s="172">
        <v>13792869.103846155</v>
      </c>
      <c r="V30" s="365"/>
    </row>
    <row r="31" spans="1:30" x14ac:dyDescent="0.25">
      <c r="A31" s="363" t="s">
        <v>111</v>
      </c>
      <c r="B31" s="149"/>
      <c r="C31" s="170"/>
      <c r="D31" s="174">
        <v>2615553.2999999998</v>
      </c>
      <c r="E31" s="397">
        <f>+'684Scope-Summary Environmental'!H14</f>
        <v>1527873.0343137258</v>
      </c>
      <c r="F31" s="397">
        <v>815000</v>
      </c>
      <c r="G31" s="397">
        <v>815000</v>
      </c>
      <c r="H31" s="172"/>
      <c r="V31" s="365"/>
      <c r="AD31" s="365"/>
    </row>
    <row r="32" spans="1:30" x14ac:dyDescent="0.25">
      <c r="A32" s="363" t="s">
        <v>114</v>
      </c>
      <c r="B32" s="149"/>
      <c r="C32" s="170"/>
      <c r="D32" s="174">
        <v>115469.96</v>
      </c>
      <c r="E32" s="397">
        <f>+'684Scope-Summary Environmental'!H16</f>
        <v>426915.09411764704</v>
      </c>
      <c r="F32" s="397">
        <v>800000</v>
      </c>
      <c r="G32" s="397">
        <v>500000</v>
      </c>
      <c r="H32" s="172"/>
      <c r="V32" s="365"/>
    </row>
    <row r="33" spans="1:22" x14ac:dyDescent="0.25">
      <c r="A33" s="378" t="s">
        <v>1416</v>
      </c>
      <c r="B33" s="379">
        <f t="shared" ref="B33:D33" si="10">SUM(B34:B38)+B44+B39+B41</f>
        <v>33477500.149018824</v>
      </c>
      <c r="C33" s="380">
        <f t="shared" si="10"/>
        <v>33477500.149018824</v>
      </c>
      <c r="D33" s="381">
        <f t="shared" si="10"/>
        <v>38608479.150000006</v>
      </c>
      <c r="E33" s="381">
        <f>SUM(E34:E38)+E44+E39+E41</f>
        <v>33477500.149018824</v>
      </c>
      <c r="F33" s="381">
        <f>SUM(F34:F38)+F44+F39+F41</f>
        <v>149100000</v>
      </c>
      <c r="G33" s="381">
        <f>SUM(G34:G38)+G44+G39+G41</f>
        <v>398600000</v>
      </c>
      <c r="H33" s="382">
        <v>37344543.715384617</v>
      </c>
      <c r="I33" s="151">
        <f>SUM(I34:I38)+I44+I39+I41</f>
        <v>33477500.149018824</v>
      </c>
      <c r="L33" s="182">
        <v>12995458.52</v>
      </c>
      <c r="V33" s="365">
        <f t="shared" si="3"/>
        <v>33477500.149018824</v>
      </c>
    </row>
    <row r="34" spans="1:22" x14ac:dyDescent="0.25">
      <c r="A34" s="363" t="s">
        <v>478</v>
      </c>
      <c r="B34" s="149">
        <f>+Engineering!N17</f>
        <v>15870000</v>
      </c>
      <c r="C34" s="170">
        <f>+B34</f>
        <v>15870000</v>
      </c>
      <c r="D34" s="174">
        <v>12994892.190000001</v>
      </c>
      <c r="E34" s="397">
        <f>+Engineering!N17</f>
        <v>15870000</v>
      </c>
      <c r="F34" s="397">
        <f>2370000+130000000-70000</f>
        <v>132300000</v>
      </c>
      <c r="G34" s="397">
        <f>400000000-800000-1400000</f>
        <v>397800000</v>
      </c>
      <c r="H34" s="172"/>
      <c r="I34" s="151">
        <f>+E34</f>
        <v>15870000</v>
      </c>
      <c r="L34" s="182">
        <v>1931504.7400000005</v>
      </c>
      <c r="V34" s="365"/>
    </row>
    <row r="35" spans="1:22" x14ac:dyDescent="0.25">
      <c r="A35" s="363" t="s">
        <v>479</v>
      </c>
      <c r="B35" s="149">
        <f>+Engineering!N18</f>
        <v>5270000</v>
      </c>
      <c r="C35" s="170">
        <f t="shared" ref="C35:C38" si="11">+B35</f>
        <v>5270000</v>
      </c>
      <c r="D35" s="174">
        <v>1931571.23</v>
      </c>
      <c r="E35" s="397">
        <f>+Engineering!N18</f>
        <v>5270000</v>
      </c>
      <c r="F35" s="397"/>
      <c r="G35" s="397"/>
      <c r="H35" s="172"/>
      <c r="I35" s="151">
        <f t="shared" ref="I35:I38" si="12">+E35</f>
        <v>5270000</v>
      </c>
      <c r="L35" s="182">
        <v>5487946.5</v>
      </c>
      <c r="V35" s="365"/>
    </row>
    <row r="36" spans="1:22" x14ac:dyDescent="0.25">
      <c r="A36" s="363" t="s">
        <v>122</v>
      </c>
      <c r="B36" s="149">
        <f>+Engineering!N19</f>
        <v>7723000</v>
      </c>
      <c r="C36" s="170">
        <f t="shared" si="11"/>
        <v>7723000</v>
      </c>
      <c r="D36" s="174">
        <v>5487699.2100000009</v>
      </c>
      <c r="E36" s="397">
        <f>+Engineering!N19</f>
        <v>7723000</v>
      </c>
      <c r="F36" s="397"/>
      <c r="G36" s="397"/>
      <c r="H36" s="172"/>
      <c r="I36" s="151">
        <f t="shared" si="12"/>
        <v>7723000</v>
      </c>
      <c r="L36" s="182">
        <v>450177.81</v>
      </c>
      <c r="V36" s="365"/>
    </row>
    <row r="37" spans="1:22" x14ac:dyDescent="0.25">
      <c r="A37" s="363" t="s">
        <v>1396</v>
      </c>
      <c r="B37" s="149"/>
      <c r="C37" s="170"/>
      <c r="D37" s="174">
        <v>450162.79</v>
      </c>
      <c r="E37" s="397">
        <v>0</v>
      </c>
      <c r="F37" s="397"/>
      <c r="G37" s="397"/>
      <c r="H37" s="172"/>
      <c r="V37" s="365"/>
    </row>
    <row r="38" spans="1:22" x14ac:dyDescent="0.25">
      <c r="A38" s="363" t="s">
        <v>128</v>
      </c>
      <c r="B38" s="149">
        <f>+Healt_and_saffety!N27</f>
        <v>100000</v>
      </c>
      <c r="C38" s="170">
        <f t="shared" si="11"/>
        <v>100000</v>
      </c>
      <c r="D38" s="174">
        <v>49674.350000000006</v>
      </c>
      <c r="E38" s="397">
        <f>+Healt_and_saffety!N27</f>
        <v>100000</v>
      </c>
      <c r="F38" s="397"/>
      <c r="G38" s="397"/>
      <c r="H38" s="172"/>
      <c r="I38" s="151">
        <f t="shared" si="12"/>
        <v>100000</v>
      </c>
      <c r="L38" s="182">
        <v>50028.909999999996</v>
      </c>
      <c r="V38" s="365"/>
    </row>
    <row r="39" spans="1:22" x14ac:dyDescent="0.25">
      <c r="A39" s="147" t="s">
        <v>131</v>
      </c>
      <c r="B39" s="150">
        <f t="shared" ref="B39:C39" si="13">SUM(B40:B40)</f>
        <v>3170000</v>
      </c>
      <c r="C39" s="171">
        <f t="shared" si="13"/>
        <v>3170000</v>
      </c>
      <c r="D39" s="175">
        <f>SUM(D40)</f>
        <v>1431581.77</v>
      </c>
      <c r="E39" s="399">
        <f>SUM(E40:E40)</f>
        <v>3170000</v>
      </c>
      <c r="F39" s="399">
        <f t="shared" ref="F39:G39" si="14">SUM(F40:F40)</f>
        <v>1000000</v>
      </c>
      <c r="G39" s="399">
        <f t="shared" si="14"/>
        <v>0</v>
      </c>
      <c r="H39" s="173"/>
      <c r="I39" s="151">
        <f t="shared" ref="I39" si="15">SUM(I40:I40)</f>
        <v>3170000</v>
      </c>
      <c r="L39" s="182">
        <v>2922061.4266666654</v>
      </c>
      <c r="V39" s="365"/>
    </row>
    <row r="40" spans="1:22" x14ac:dyDescent="0.25">
      <c r="A40" s="363" t="s">
        <v>131</v>
      </c>
      <c r="B40" s="149">
        <f>+Metallurgy!N27</f>
        <v>3170000</v>
      </c>
      <c r="C40" s="170">
        <f>+B40</f>
        <v>3170000</v>
      </c>
      <c r="D40" s="174">
        <v>1431581.77</v>
      </c>
      <c r="E40" s="397">
        <f>+Metallurgy!N27</f>
        <v>3170000</v>
      </c>
      <c r="F40" s="397">
        <v>1000000</v>
      </c>
      <c r="G40" s="397"/>
      <c r="H40" s="172"/>
      <c r="I40" s="151">
        <f>+E40</f>
        <v>3170000</v>
      </c>
      <c r="L40" s="182">
        <v>2922061.4266666654</v>
      </c>
      <c r="V40" s="365"/>
    </row>
    <row r="41" spans="1:22" x14ac:dyDescent="0.25">
      <c r="A41" s="147" t="s">
        <v>162</v>
      </c>
      <c r="B41" s="150">
        <f t="shared" ref="B41:C41" si="16">SUM(B42:B43)</f>
        <v>744500</v>
      </c>
      <c r="C41" s="171">
        <f t="shared" si="16"/>
        <v>744500</v>
      </c>
      <c r="D41" s="175">
        <f>SUM(D42:D43)</f>
        <v>15679968.859999999</v>
      </c>
      <c r="E41" s="399">
        <f>SUM(E42:E43)</f>
        <v>744500</v>
      </c>
      <c r="F41" s="399">
        <f>SUM(F42:F43)</f>
        <v>15000000</v>
      </c>
      <c r="G41" s="399">
        <f t="shared" ref="G41" si="17">SUM(G42:G43)</f>
        <v>0</v>
      </c>
      <c r="H41" s="173"/>
      <c r="I41" s="151">
        <f t="shared" ref="I41" si="18">SUM(I42:I43)</f>
        <v>744500</v>
      </c>
      <c r="L41" s="182">
        <v>15628329.213333299</v>
      </c>
      <c r="V41" s="365"/>
    </row>
    <row r="42" spans="1:22" x14ac:dyDescent="0.25">
      <c r="A42" s="363" t="s">
        <v>480</v>
      </c>
      <c r="B42" s="149">
        <f>+Drilling!N27</f>
        <v>744500</v>
      </c>
      <c r="C42" s="170">
        <f>+B42</f>
        <v>744500</v>
      </c>
      <c r="D42" s="174">
        <v>3450162.1999999997</v>
      </c>
      <c r="E42" s="397">
        <f>+Drilling!N27</f>
        <v>744500</v>
      </c>
      <c r="F42" s="397">
        <v>7500000</v>
      </c>
      <c r="G42" s="397"/>
      <c r="H42" s="172"/>
      <c r="I42" s="151">
        <f>+E42</f>
        <v>744500</v>
      </c>
      <c r="L42" s="182">
        <v>3399584.2066666703</v>
      </c>
      <c r="V42" s="365"/>
    </row>
    <row r="43" spans="1:22" x14ac:dyDescent="0.25">
      <c r="A43" s="363" t="s">
        <v>137</v>
      </c>
      <c r="B43" s="149"/>
      <c r="C43" s="170"/>
      <c r="D43" s="174">
        <v>12229806.66</v>
      </c>
      <c r="E43" s="397"/>
      <c r="F43" s="397">
        <v>7500000</v>
      </c>
      <c r="G43" s="397"/>
      <c r="H43" s="172"/>
      <c r="L43" s="182">
        <v>12228745.006666671</v>
      </c>
      <c r="V43" s="365"/>
    </row>
    <row r="44" spans="1:22" x14ac:dyDescent="0.25">
      <c r="A44" s="147" t="s">
        <v>165</v>
      </c>
      <c r="B44" s="150">
        <f>SUM(B45)</f>
        <v>600000.14901882363</v>
      </c>
      <c r="C44" s="171">
        <f>SUM(C45)</f>
        <v>600000.14901882363</v>
      </c>
      <c r="D44" s="175">
        <f>SUM(D45)</f>
        <v>582928.75</v>
      </c>
      <c r="E44" s="399">
        <f>SUM(E45)</f>
        <v>600000.14901882363</v>
      </c>
      <c r="F44" s="399">
        <f t="shared" ref="F44:G44" si="19">SUM(F45)</f>
        <v>800000</v>
      </c>
      <c r="G44" s="399">
        <f t="shared" si="19"/>
        <v>800000</v>
      </c>
      <c r="H44" s="173"/>
      <c r="I44" s="151">
        <f>SUM(I45)</f>
        <v>600000.14901882363</v>
      </c>
      <c r="L44" s="182">
        <v>583075.19000000006</v>
      </c>
      <c r="V44" s="365"/>
    </row>
    <row r="45" spans="1:22" x14ac:dyDescent="0.25">
      <c r="A45" s="363" t="s">
        <v>140</v>
      </c>
      <c r="B45" s="149">
        <f>+Camp!N26</f>
        <v>600000.14901882363</v>
      </c>
      <c r="C45" s="170">
        <f>+B45</f>
        <v>600000.14901882363</v>
      </c>
      <c r="D45" s="174">
        <v>582928.75</v>
      </c>
      <c r="E45" s="397">
        <f>+Camp!N26</f>
        <v>600000.14901882363</v>
      </c>
      <c r="F45" s="397">
        <v>800000</v>
      </c>
      <c r="G45" s="397">
        <v>800000</v>
      </c>
      <c r="H45" s="172"/>
      <c r="I45" s="151">
        <f>+E45</f>
        <v>600000.14901882363</v>
      </c>
      <c r="L45" s="182">
        <v>583075.19000000006</v>
      </c>
    </row>
    <row r="46" spans="1:22" x14ac:dyDescent="0.25">
      <c r="A46" s="378" t="s">
        <v>167</v>
      </c>
      <c r="B46" s="379">
        <f t="shared" ref="B46:D46" si="20">SUM(B47,B49,B51)</f>
        <v>11566760.714570152</v>
      </c>
      <c r="C46" s="380">
        <f t="shared" si="20"/>
        <v>11566760.714570152</v>
      </c>
      <c r="D46" s="381">
        <f t="shared" si="20"/>
        <v>2753826.5966666671</v>
      </c>
      <c r="E46" s="381">
        <f>SUM(E47,E49,E51)</f>
        <v>11566760.714570152</v>
      </c>
      <c r="F46" s="381">
        <f>SUM(F47,F49,F51)</f>
        <v>7891703</v>
      </c>
      <c r="G46" s="381">
        <f>SUM(G47,G49,G51)</f>
        <v>10558000</v>
      </c>
      <c r="H46" s="382"/>
      <c r="I46" s="151">
        <f>SUM(I47,I49,I51)</f>
        <v>11566760.714570152</v>
      </c>
      <c r="S46" s="382" t="s">
        <v>1176</v>
      </c>
      <c r="T46" s="382" t="s">
        <v>1177</v>
      </c>
      <c r="V46" s="182">
        <v>11800000</v>
      </c>
    </row>
    <row r="47" spans="1:22" x14ac:dyDescent="0.25">
      <c r="A47" s="147" t="s">
        <v>168</v>
      </c>
      <c r="B47" s="150">
        <f>SUM(B48)</f>
        <v>1154000</v>
      </c>
      <c r="C47" s="171">
        <f>SUM(C48)</f>
        <v>1154000</v>
      </c>
      <c r="D47" s="175">
        <f>SUM(D48)</f>
        <v>809899.91000000015</v>
      </c>
      <c r="E47" s="399">
        <f>SUM(E48)</f>
        <v>1154000</v>
      </c>
      <c r="F47" s="399">
        <f>SUM(F48)</f>
        <v>804000</v>
      </c>
      <c r="G47" s="399">
        <f t="shared" ref="G47" si="21">SUM(G48)</f>
        <v>904000</v>
      </c>
      <c r="H47" s="173"/>
      <c r="I47" s="151">
        <f>SUM(I48)</f>
        <v>1154000</v>
      </c>
      <c r="S47" s="281">
        <v>194000</v>
      </c>
      <c r="T47" s="281">
        <v>223000</v>
      </c>
    </row>
    <row r="48" spans="1:22" x14ac:dyDescent="0.25">
      <c r="A48" s="363" t="s">
        <v>143</v>
      </c>
      <c r="B48" s="149">
        <f>+Mine!N22</f>
        <v>1154000</v>
      </c>
      <c r="C48" s="170">
        <f>+B48</f>
        <v>1154000</v>
      </c>
      <c r="D48" s="174">
        <v>809899.91000000015</v>
      </c>
      <c r="E48" s="397">
        <f>+Mine!N22</f>
        <v>1154000</v>
      </c>
      <c r="F48" s="397">
        <v>804000</v>
      </c>
      <c r="G48" s="397">
        <v>904000</v>
      </c>
      <c r="H48" s="172"/>
      <c r="I48" s="151">
        <f>+E48</f>
        <v>1154000</v>
      </c>
      <c r="S48" s="281"/>
      <c r="T48" s="281"/>
    </row>
    <row r="49" spans="1:30" x14ac:dyDescent="0.25">
      <c r="A49" s="147" t="s">
        <v>146</v>
      </c>
      <c r="B49" s="150">
        <f>SUM(B50:B50)</f>
        <v>9266578.9890109897</v>
      </c>
      <c r="C49" s="171">
        <f>SUM(C50:C50)</f>
        <v>9266578.9890109897</v>
      </c>
      <c r="D49" s="175">
        <f>SUM(D50:D50)</f>
        <v>990268.22666666703</v>
      </c>
      <c r="E49" s="399">
        <f>SUM(E50:E50)</f>
        <v>9266578.9890109897</v>
      </c>
      <c r="F49" s="399">
        <f t="shared" ref="F49:G49" si="22">SUM(F50:F50)</f>
        <v>5670000</v>
      </c>
      <c r="G49" s="399">
        <f t="shared" si="22"/>
        <v>9175000</v>
      </c>
      <c r="H49" s="173"/>
      <c r="I49" s="151">
        <f>SUM(I50:I50)</f>
        <v>9266578.9890109897</v>
      </c>
      <c r="K49" s="182" t="s">
        <v>1005</v>
      </c>
      <c r="S49" s="281">
        <v>419000</v>
      </c>
      <c r="T49" s="281">
        <v>420000</v>
      </c>
    </row>
    <row r="50" spans="1:30" x14ac:dyDescent="0.25">
      <c r="A50" s="363" t="s">
        <v>146</v>
      </c>
      <c r="B50" s="149">
        <f>+Geology!N27</f>
        <v>9266578.9890109897</v>
      </c>
      <c r="C50" s="170">
        <f>+B50</f>
        <v>9266578.9890109897</v>
      </c>
      <c r="D50" s="174">
        <v>990268.22666666703</v>
      </c>
      <c r="E50" s="398">
        <f>+Geology!N27</f>
        <v>9266578.9890109897</v>
      </c>
      <c r="F50" s="397">
        <v>5670000</v>
      </c>
      <c r="G50" s="397">
        <v>9175000</v>
      </c>
      <c r="H50" s="172"/>
      <c r="I50" s="151">
        <f>+E50</f>
        <v>9266578.9890109897</v>
      </c>
      <c r="S50" s="281"/>
      <c r="T50" s="281"/>
    </row>
    <row r="51" spans="1:30" x14ac:dyDescent="0.25">
      <c r="A51" s="147" t="s">
        <v>149</v>
      </c>
      <c r="B51" s="150">
        <f>SUM(B52)</f>
        <v>1146181.7255591615</v>
      </c>
      <c r="C51" s="171">
        <f>SUM(C52)</f>
        <v>1146181.7255591615</v>
      </c>
      <c r="D51" s="175">
        <f>SUM(D52)</f>
        <v>953658.46000000008</v>
      </c>
      <c r="E51" s="399">
        <f>SUM(E52)</f>
        <v>1146181.7255591615</v>
      </c>
      <c r="F51" s="399">
        <f t="shared" ref="F51:G51" si="23">SUM(F52)</f>
        <v>1417703</v>
      </c>
      <c r="G51" s="399">
        <f t="shared" si="23"/>
        <v>479000</v>
      </c>
      <c r="H51" s="173"/>
      <c r="I51" s="151">
        <f>SUM(I52)</f>
        <v>1146181.7255591615</v>
      </c>
      <c r="S51" s="281">
        <v>462000</v>
      </c>
      <c r="T51" s="281">
        <v>681000</v>
      </c>
    </row>
    <row r="52" spans="1:30" x14ac:dyDescent="0.25">
      <c r="A52" s="363" t="s">
        <v>149</v>
      </c>
      <c r="B52" s="149">
        <f>+Geotechnical!N27</f>
        <v>1146181.7255591615</v>
      </c>
      <c r="C52" s="170">
        <f>+B52</f>
        <v>1146181.7255591615</v>
      </c>
      <c r="D52" s="174">
        <v>953658.46000000008</v>
      </c>
      <c r="E52" s="398">
        <f>+Geotechnical!N27</f>
        <v>1146181.7255591615</v>
      </c>
      <c r="F52" s="397">
        <v>1417703</v>
      </c>
      <c r="G52" s="397">
        <v>479000</v>
      </c>
      <c r="H52" s="172"/>
      <c r="I52" s="151">
        <f>+E52</f>
        <v>1146181.7255591615</v>
      </c>
    </row>
    <row r="53" spans="1:30" x14ac:dyDescent="0.25">
      <c r="A53" s="383" t="s">
        <v>172</v>
      </c>
      <c r="B53" s="384">
        <f t="shared" ref="B53" si="24">SUM(B54:B55)</f>
        <v>18000</v>
      </c>
      <c r="C53" s="385"/>
      <c r="D53" s="386">
        <f t="shared" ref="D53" si="25">SUM(D54:D55)</f>
        <v>844430.30999999994</v>
      </c>
      <c r="E53" s="386">
        <f>SUM(E54:E55)</f>
        <v>1018000</v>
      </c>
      <c r="F53" s="386">
        <f>SUM(F54:F55)</f>
        <v>1221600</v>
      </c>
      <c r="G53" s="386">
        <f>SUM(G54:G55)</f>
        <v>1465920</v>
      </c>
      <c r="H53" s="387"/>
      <c r="V53" s="365">
        <f>+E53</f>
        <v>1018000</v>
      </c>
    </row>
    <row r="54" spans="1:30" x14ac:dyDescent="0.25">
      <c r="A54" s="363" t="s">
        <v>1397</v>
      </c>
      <c r="B54" s="149">
        <f>+'688 Scope-Summary General Man'!N26</f>
        <v>18000</v>
      </c>
      <c r="C54" s="170"/>
      <c r="D54" s="364">
        <v>97441.58</v>
      </c>
      <c r="E54" s="397">
        <f>+General_Management!N27</f>
        <v>18000</v>
      </c>
      <c r="F54" s="397">
        <f>+E54*1.2</f>
        <v>21600</v>
      </c>
      <c r="G54" s="397">
        <f>+F54*1.2</f>
        <v>25920</v>
      </c>
      <c r="H54" s="172"/>
    </row>
    <row r="55" spans="1:30" x14ac:dyDescent="0.25">
      <c r="A55" s="363" t="s">
        <v>155</v>
      </c>
      <c r="B55" s="149"/>
      <c r="C55" s="170"/>
      <c r="D55" s="364">
        <v>746988.73</v>
      </c>
      <c r="E55" s="397">
        <v>1000000</v>
      </c>
      <c r="F55" s="397">
        <f>+E55*1.2</f>
        <v>1200000</v>
      </c>
      <c r="G55" s="397">
        <f>+F55*1.2</f>
        <v>1440000</v>
      </c>
      <c r="H55" s="172"/>
    </row>
    <row r="56" spans="1:30" ht="15.75" thickBot="1" x14ac:dyDescent="0.3">
      <c r="A56" s="388" t="s">
        <v>475</v>
      </c>
      <c r="B56" s="389">
        <f t="shared" ref="B56:I56" si="26">SUM(B53,B46,B33,B25,B20,B9,B7)</f>
        <v>53249347.153088532</v>
      </c>
      <c r="C56" s="390">
        <f t="shared" si="26"/>
        <v>49702310.153088532</v>
      </c>
      <c r="D56" s="391">
        <f t="shared" si="26"/>
        <v>75980170.923999995</v>
      </c>
      <c r="E56" s="391">
        <f>SUM(E53,E46,E33,E25,E20,E9,E7)</f>
        <v>78782497.46175915</v>
      </c>
      <c r="F56" s="391">
        <f t="shared" ref="F56:G56" si="27">SUM(F53,F46,F33,F25,F20,F9,F7)</f>
        <v>192377199.75462571</v>
      </c>
      <c r="G56" s="391">
        <f t="shared" si="27"/>
        <v>463223799.86859065</v>
      </c>
      <c r="H56" s="391">
        <f t="shared" si="26"/>
        <v>77472133.984615386</v>
      </c>
      <c r="I56" s="151">
        <f t="shared" si="26"/>
        <v>75979162.201604739</v>
      </c>
      <c r="V56" s="365">
        <f>SUM(V7:V55)</f>
        <v>67114736.747189015</v>
      </c>
    </row>
    <row r="57" spans="1:30" ht="15.75" thickBot="1" x14ac:dyDescent="0.3">
      <c r="A57" s="378" t="s">
        <v>1415</v>
      </c>
      <c r="B57" s="389">
        <f>+Legal!N144-654508</f>
        <v>55763316.2444847</v>
      </c>
      <c r="C57" s="380">
        <f>+B57</f>
        <v>55763316.2444847</v>
      </c>
      <c r="D57" s="381">
        <v>0</v>
      </c>
      <c r="E57" s="381">
        <f>+' 683 Scope-Summary Legal'!M18+' 683 Scope-Summary Legal'!M20+' 683 Scope-Summary Legal'!M19+' 683 Scope-Summary Legal'!M21+' 683 Scope-Summary Legal'!M22+' 683 Scope-Summary Legal'!M23+' 683 Scope-Summary Legal'!M17</f>
        <v>22840021.498486593</v>
      </c>
      <c r="F57" s="381">
        <f>SUM('Summaery legal 2019'!M17,'Summaery legal 2019'!M18,'Summaery legal 2019'!M19,'Summaery legal 2019'!M20,'Summaery legal 2019'!M21,'Summaery legal 2019'!M22,'Summaery legal 2019'!M23,'Summaery legal 2019'!M24)</f>
        <v>12454177.816119209</v>
      </c>
      <c r="G57" s="381">
        <f>SUM('Scope - Summary legal 2020'!M17,'Scope - Summary legal 2020'!M18,'Scope - Summary legal 2020'!M19,'Scope - Summary legal 2020'!M20,'Scope - Summary legal 2020'!M21,'Scope - Summary legal 2020'!M23,'Scope - Summary legal 2020'!M24,'Scope - Summary legal 2020'!M22)</f>
        <v>30171569.168000326</v>
      </c>
      <c r="H57" s="382"/>
      <c r="I57" s="151">
        <f>SUM(I58:I59)</f>
        <v>0</v>
      </c>
      <c r="O57" s="182">
        <v>0</v>
      </c>
      <c r="V57" s="365">
        <f>+E57</f>
        <v>22840021.498486593</v>
      </c>
      <c r="AB57" s="365"/>
    </row>
    <row r="58" spans="1:30" ht="15.75" thickBot="1" x14ac:dyDescent="0.3">
      <c r="A58" s="596" t="s">
        <v>1447</v>
      </c>
      <c r="B58" s="389">
        <f>SUM(B56:B57)</f>
        <v>109012663.39757323</v>
      </c>
      <c r="C58" s="390"/>
      <c r="D58" s="381">
        <f>+D56</f>
        <v>75980170.923999995</v>
      </c>
      <c r="E58" s="381">
        <f>SUM(E56:E57)</f>
        <v>101622518.96024574</v>
      </c>
      <c r="F58" s="381">
        <f>SUM(F56:F57)</f>
        <v>204831377.57074493</v>
      </c>
      <c r="G58" s="381">
        <f>SUM(G56:G57)</f>
        <v>493395369.03659099</v>
      </c>
      <c r="H58" s="597">
        <f>+H56</f>
        <v>77472133.984615386</v>
      </c>
      <c r="T58" s="182">
        <v>49000000</v>
      </c>
      <c r="V58" s="393">
        <f>SUM(V56:V57)</f>
        <v>89954758.245675609</v>
      </c>
      <c r="AB58" s="365"/>
    </row>
    <row r="59" spans="1:30" ht="15.75" thickBot="1" x14ac:dyDescent="0.3">
      <c r="A59" s="601" t="s">
        <v>1450</v>
      </c>
      <c r="B59" s="392"/>
      <c r="C59" s="390"/>
      <c r="D59" s="381"/>
      <c r="E59" s="381"/>
      <c r="F59" s="381"/>
      <c r="G59" s="381"/>
      <c r="H59" s="381"/>
      <c r="T59" s="182">
        <f>+D58-T58</f>
        <v>26980170.923999995</v>
      </c>
      <c r="V59" s="393"/>
      <c r="AB59" s="365"/>
      <c r="AD59" s="365"/>
    </row>
    <row r="61" spans="1:30" ht="19.899999999999999" customHeight="1" thickBot="1" x14ac:dyDescent="0.3">
      <c r="A61" s="604" t="s">
        <v>1451</v>
      </c>
      <c r="B61" s="389"/>
      <c r="C61" s="390"/>
      <c r="D61" s="381">
        <v>75980170.923999995</v>
      </c>
      <c r="E61" s="381">
        <f>+E58</f>
        <v>101622518.96024574</v>
      </c>
      <c r="F61" s="381">
        <f>+F58</f>
        <v>204831377.57074493</v>
      </c>
      <c r="G61" s="381">
        <f>+G58</f>
        <v>493395369.03659099</v>
      </c>
      <c r="H61" s="597">
        <v>77472133.984615386</v>
      </c>
    </row>
    <row r="62" spans="1:30" ht="15.75" thickBot="1" x14ac:dyDescent="0.3">
      <c r="A62" s="596" t="s">
        <v>1452</v>
      </c>
      <c r="B62" s="389"/>
      <c r="C62" s="390"/>
      <c r="D62" s="381">
        <v>75980170.923999995</v>
      </c>
      <c r="E62" s="381">
        <f>+E58</f>
        <v>101622518.96024574</v>
      </c>
      <c r="F62" s="381">
        <f>+F58</f>
        <v>204831377.57074493</v>
      </c>
      <c r="G62" s="381">
        <v>150000000</v>
      </c>
      <c r="H62" s="597"/>
    </row>
    <row r="63" spans="1:30" ht="15.75" thickBot="1" x14ac:dyDescent="0.3">
      <c r="A63" s="596" t="s">
        <v>1453</v>
      </c>
      <c r="B63" s="389"/>
      <c r="C63" s="390"/>
      <c r="D63" s="381">
        <v>75980170.923999995</v>
      </c>
      <c r="E63" s="381">
        <f>+E58</f>
        <v>101622518.96024574</v>
      </c>
      <c r="F63" s="381">
        <f>+F61+10000000</f>
        <v>214831377.57074493</v>
      </c>
      <c r="G63" s="381">
        <f>10000000+G61</f>
        <v>503395369.03659099</v>
      </c>
      <c r="H63" s="597"/>
    </row>
    <row r="64" spans="1:30" ht="15.75" thickBot="1" x14ac:dyDescent="0.3">
      <c r="A64" s="596" t="s">
        <v>1454</v>
      </c>
      <c r="B64" s="389"/>
      <c r="C64" s="390"/>
      <c r="D64" s="381">
        <v>75980170.923999995</v>
      </c>
      <c r="E64" s="381">
        <f>+E58</f>
        <v>101622518.96024574</v>
      </c>
      <c r="F64" s="381">
        <f>+F62</f>
        <v>204831377.57074493</v>
      </c>
      <c r="G64" s="381">
        <v>25000000</v>
      </c>
      <c r="H64" s="597"/>
    </row>
    <row r="66" spans="1:23" x14ac:dyDescent="0.25">
      <c r="W66" s="394"/>
    </row>
    <row r="71" spans="1:23" x14ac:dyDescent="0.25">
      <c r="A71" s="605"/>
    </row>
    <row r="72" spans="1:23" x14ac:dyDescent="0.25">
      <c r="A72" s="605"/>
    </row>
    <row r="73" spans="1:23" x14ac:dyDescent="0.25">
      <c r="A73" s="605"/>
    </row>
    <row r="74" spans="1:23" x14ac:dyDescent="0.25">
      <c r="A74" s="605"/>
    </row>
  </sheetData>
  <pageMargins left="0.70866141732283472" right="0.70866141732283472" top="0.74803149606299213" bottom="0.74803149606299213" header="0.31496062992125984" footer="0.31496062992125984"/>
  <pageSetup scale="6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6:E33"/>
  <sheetViews>
    <sheetView workbookViewId="0">
      <selection activeCell="B29" sqref="B29"/>
    </sheetView>
  </sheetViews>
  <sheetFormatPr baseColWidth="10" defaultRowHeight="15" x14ac:dyDescent="0.25"/>
  <cols>
    <col min="1" max="1" width="29.140625" customWidth="1"/>
    <col min="2" max="4" width="20.28515625" bestFit="1" customWidth="1"/>
  </cols>
  <sheetData>
    <row r="6" spans="1:4" ht="15.75" thickBot="1" x14ac:dyDescent="0.3"/>
    <row r="7" spans="1:4" ht="24" thickBot="1" x14ac:dyDescent="0.4">
      <c r="A7" s="591"/>
      <c r="B7" s="592">
        <v>2018</v>
      </c>
      <c r="C7" s="592">
        <v>2019</v>
      </c>
      <c r="D7" s="592">
        <v>2020</v>
      </c>
    </row>
    <row r="8" spans="1:4" ht="19.5" thickBot="1" x14ac:dyDescent="0.35">
      <c r="A8" s="593" t="s">
        <v>1417</v>
      </c>
      <c r="B8" s="595">
        <f>+Summary!E7+Summary!E9</f>
        <v>18912633.961354762</v>
      </c>
      <c r="C8" s="595">
        <f>+Summary!F7+Summary!F9</f>
        <v>22695160.753625717</v>
      </c>
      <c r="D8" s="595">
        <f>+Summary!G7+Summary!G9</f>
        <v>37032668.135120094</v>
      </c>
    </row>
    <row r="9" spans="1:4" ht="19.5" thickBot="1" x14ac:dyDescent="0.35">
      <c r="A9" s="593" t="s">
        <v>1418</v>
      </c>
      <c r="B9" s="595"/>
      <c r="C9" s="595"/>
      <c r="D9" s="595"/>
    </row>
    <row r="10" spans="1:4" ht="19.5" thickBot="1" x14ac:dyDescent="0.35">
      <c r="A10" s="593" t="s">
        <v>1419</v>
      </c>
      <c r="B10" s="595"/>
      <c r="C10" s="595"/>
      <c r="D10" s="595"/>
    </row>
    <row r="11" spans="1:4" ht="42" customHeight="1" thickBot="1" x14ac:dyDescent="0.35">
      <c r="A11" s="593" t="s">
        <v>1425</v>
      </c>
      <c r="B11" s="595">
        <f>SUM(Summary!E34:E38,Summary!E40,Summary!E45,Summary!E53)</f>
        <v>33751000.149018824</v>
      </c>
      <c r="C11" s="595">
        <f>SUM(Summary!F34:F38,Summary!F40,Summary!F45,Summary!F53)</f>
        <v>135321600</v>
      </c>
      <c r="D11" s="595">
        <f>SUM(Summary!G34:G38,Summary!G40,Summary!G45,Summary!G53)</f>
        <v>400065920</v>
      </c>
    </row>
    <row r="12" spans="1:4" ht="42" customHeight="1" thickBot="1" x14ac:dyDescent="0.35">
      <c r="A12" s="599" t="s">
        <v>1448</v>
      </c>
      <c r="B12" s="595">
        <f>SUM(Summary!E46)</f>
        <v>11566760.714570152</v>
      </c>
      <c r="C12" s="595">
        <f>SUM(Summary!F46)</f>
        <v>7891703</v>
      </c>
      <c r="D12" s="595">
        <f>SUM(Summary!G46)</f>
        <v>10558000</v>
      </c>
    </row>
    <row r="13" spans="1:4" ht="37.5" thickBot="1" x14ac:dyDescent="0.35">
      <c r="A13" s="593" t="s">
        <v>1424</v>
      </c>
      <c r="B13" s="595">
        <f>SUM(Summary!E26:E27)</f>
        <v>1214529</v>
      </c>
      <c r="C13" s="595">
        <f>SUM(Summary!F26:F27)</f>
        <v>2100000</v>
      </c>
      <c r="D13" s="595">
        <f>SUM(Summary!G26:G27)</f>
        <v>2650000</v>
      </c>
    </row>
    <row r="14" spans="1:4" ht="19.5" thickBot="1" x14ac:dyDescent="0.35">
      <c r="A14" s="593" t="s">
        <v>1420</v>
      </c>
      <c r="B14" s="595">
        <f>Summary!E41</f>
        <v>744500</v>
      </c>
      <c r="C14" s="595">
        <f>Summary!F41</f>
        <v>15000000</v>
      </c>
      <c r="D14" s="595">
        <f>Summary!G41</f>
        <v>0</v>
      </c>
    </row>
    <row r="15" spans="1:4" ht="19.5" thickBot="1" x14ac:dyDescent="0.35">
      <c r="A15" s="593" t="s">
        <v>1421</v>
      </c>
      <c r="B15" s="595">
        <f>SUM(Summary!E20,Summary!E57)</f>
        <v>25209242.030251298</v>
      </c>
      <c r="C15" s="595">
        <f>SUM(Summary!F20,Summary!F57)</f>
        <v>14907913.817119207</v>
      </c>
      <c r="D15" s="595">
        <f>SUM(Summary!G20,Summary!G57)</f>
        <v>32773780.901470911</v>
      </c>
    </row>
    <row r="16" spans="1:4" ht="19.5" thickBot="1" x14ac:dyDescent="0.35">
      <c r="A16" s="593" t="s">
        <v>1422</v>
      </c>
      <c r="B16" s="595">
        <f>SUM(Summary!E28:E29)</f>
        <v>2179999.98</v>
      </c>
      <c r="C16" s="595">
        <f>SUM(Summary!F28:F29)</f>
        <v>2600000</v>
      </c>
      <c r="D16" s="595">
        <f>SUM(Summary!G28:G29)</f>
        <v>6000000</v>
      </c>
    </row>
    <row r="17" spans="1:5" ht="19.5" thickBot="1" x14ac:dyDescent="0.35">
      <c r="A17" s="593" t="s">
        <v>1423</v>
      </c>
      <c r="B17" s="595">
        <f>SUM(Summary!E30:E32)</f>
        <v>8043853.1250507105</v>
      </c>
      <c r="C17" s="595">
        <f>SUM(Summary!F30:F32)</f>
        <v>4315000</v>
      </c>
      <c r="D17" s="595">
        <f>SUM(Summary!G30:G32)</f>
        <v>4315000</v>
      </c>
    </row>
    <row r="18" spans="1:5" ht="24" thickBot="1" x14ac:dyDescent="0.4">
      <c r="A18" s="594" t="s">
        <v>20</v>
      </c>
      <c r="B18" s="595">
        <f>SUM(B8:B17)</f>
        <v>101622518.96024574</v>
      </c>
      <c r="C18" s="595">
        <f t="shared" ref="C18:D18" si="0">SUM(C8:C17)</f>
        <v>204831377.57074493</v>
      </c>
      <c r="D18" s="595">
        <f t="shared" si="0"/>
        <v>493395369.03659099</v>
      </c>
    </row>
    <row r="23" spans="1:5" ht="15.75" thickBot="1" x14ac:dyDescent="0.3"/>
    <row r="24" spans="1:5" ht="24" thickBot="1" x14ac:dyDescent="0.4">
      <c r="A24" s="591"/>
      <c r="B24" s="592">
        <v>2018</v>
      </c>
      <c r="C24" s="592">
        <v>2019</v>
      </c>
      <c r="D24" s="592">
        <v>2020</v>
      </c>
    </row>
    <row r="25" spans="1:5" ht="19.5" thickBot="1" x14ac:dyDescent="0.35">
      <c r="A25" s="599" t="s">
        <v>1426</v>
      </c>
      <c r="B25" s="598">
        <f>+B8/1000000</f>
        <v>18.912633961354761</v>
      </c>
      <c r="C25" s="722">
        <f>+C8/1000000</f>
        <v>22.695160753625718</v>
      </c>
      <c r="D25" s="595">
        <f>+D8/1000000</f>
        <v>37.03266813512009</v>
      </c>
    </row>
    <row r="26" spans="1:5" ht="37.5" thickBot="1" x14ac:dyDescent="0.35">
      <c r="A26" s="593" t="s">
        <v>1425</v>
      </c>
      <c r="B26" s="598">
        <f>+B11/1000000</f>
        <v>33.751000149018822</v>
      </c>
      <c r="C26" s="722">
        <f>+C11/1000000</f>
        <v>135.32159999999999</v>
      </c>
      <c r="D26" s="595">
        <f>+D11/1000000</f>
        <v>400.06592000000001</v>
      </c>
      <c r="E26" s="724">
        <f>+C26+C29</f>
        <v>150.32159999999999</v>
      </c>
    </row>
    <row r="27" spans="1:5" ht="19.5" thickBot="1" x14ac:dyDescent="0.35">
      <c r="A27" s="599" t="s">
        <v>1449</v>
      </c>
      <c r="B27" s="598">
        <f>(+Summary!E46)/1000000</f>
        <v>11.566760714570151</v>
      </c>
      <c r="C27" s="722">
        <f>(+Summary!F46)/1000000</f>
        <v>7.8917029999999997</v>
      </c>
      <c r="D27" s="595">
        <f>(+Summary!G46)/1000000</f>
        <v>10.558</v>
      </c>
    </row>
    <row r="28" spans="1:5" ht="37.5" thickBot="1" x14ac:dyDescent="0.35">
      <c r="A28" s="593" t="s">
        <v>1424</v>
      </c>
      <c r="B28" s="598">
        <f t="shared" ref="B28:D33" si="1">+B13/1000000</f>
        <v>1.214529</v>
      </c>
      <c r="C28" s="722">
        <f t="shared" si="1"/>
        <v>2.1</v>
      </c>
      <c r="D28" s="595">
        <f t="shared" si="1"/>
        <v>2.65</v>
      </c>
    </row>
    <row r="29" spans="1:5" ht="19.5" thickBot="1" x14ac:dyDescent="0.35">
      <c r="A29" s="599" t="s">
        <v>1427</v>
      </c>
      <c r="B29" s="598">
        <f t="shared" si="1"/>
        <v>0.74450000000000005</v>
      </c>
      <c r="C29" s="722">
        <f t="shared" si="1"/>
        <v>15</v>
      </c>
      <c r="D29" s="595">
        <f t="shared" si="1"/>
        <v>0</v>
      </c>
    </row>
    <row r="30" spans="1:5" ht="19.5" thickBot="1" x14ac:dyDescent="0.35">
      <c r="A30" s="599" t="s">
        <v>1428</v>
      </c>
      <c r="B30" s="598">
        <f t="shared" si="1"/>
        <v>25.2092420302513</v>
      </c>
      <c r="C30" s="722">
        <f t="shared" si="1"/>
        <v>14.907913817119207</v>
      </c>
      <c r="D30" s="595">
        <f t="shared" si="1"/>
        <v>32.773780901470914</v>
      </c>
    </row>
    <row r="31" spans="1:5" ht="19.5" thickBot="1" x14ac:dyDescent="0.35">
      <c r="A31" s="599" t="s">
        <v>1430</v>
      </c>
      <c r="B31" s="598">
        <f t="shared" si="1"/>
        <v>2.1799999799999998</v>
      </c>
      <c r="C31" s="722">
        <f t="shared" si="1"/>
        <v>2.6</v>
      </c>
      <c r="D31" s="595">
        <f>+D16/1000000</f>
        <v>6</v>
      </c>
    </row>
    <row r="32" spans="1:5" ht="19.5" thickBot="1" x14ac:dyDescent="0.35">
      <c r="A32" s="599" t="s">
        <v>1429</v>
      </c>
      <c r="B32" s="598">
        <f t="shared" si="1"/>
        <v>8.0438531250507097</v>
      </c>
      <c r="C32" s="722">
        <f t="shared" si="1"/>
        <v>4.3150000000000004</v>
      </c>
      <c r="D32" s="595">
        <f t="shared" si="1"/>
        <v>4.3150000000000004</v>
      </c>
    </row>
    <row r="33" spans="1:4" ht="24" thickBot="1" x14ac:dyDescent="0.4">
      <c r="A33" s="594" t="s">
        <v>20</v>
      </c>
      <c r="B33" s="598">
        <f t="shared" si="1"/>
        <v>101.62251896024574</v>
      </c>
      <c r="C33" s="722">
        <f>+C18/1000000</f>
        <v>204.83137757074493</v>
      </c>
      <c r="D33" s="595">
        <f t="shared" si="1"/>
        <v>493.39536903659098</v>
      </c>
    </row>
  </sheetData>
  <pageMargins left="0.70866141732283472" right="0.70866141732283472" top="0.74803149606299213" bottom="0.74803149606299213" header="0.31496062992125984" footer="0.31496062992125984"/>
  <pageSetup scale="9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BA76"/>
  <sheetViews>
    <sheetView showGridLines="0" topLeftCell="B52" zoomScale="90" zoomScaleNormal="90" workbookViewId="0">
      <selection activeCell="P83" sqref="B67:P83"/>
    </sheetView>
  </sheetViews>
  <sheetFormatPr baseColWidth="10" defaultRowHeight="15" x14ac:dyDescent="0.25"/>
  <cols>
    <col min="1" max="1" width="47.7109375" style="182" bestFit="1" customWidth="1"/>
    <col min="2" max="2" width="19.140625" style="151" bestFit="1" customWidth="1"/>
    <col min="3" max="3" width="15.42578125" style="151" bestFit="1" customWidth="1"/>
    <col min="4" max="4" width="14.28515625" style="151" bestFit="1" customWidth="1"/>
    <col min="5" max="5" width="12" style="151" bestFit="1" customWidth="1"/>
    <col min="6" max="8" width="11.140625" style="151" bestFit="1" customWidth="1"/>
    <col min="9" max="9" width="12.28515625" style="151" bestFit="1" customWidth="1"/>
    <col min="10" max="10" width="12" style="151" bestFit="1" customWidth="1"/>
    <col min="11" max="13" width="11.140625" style="151" bestFit="1" customWidth="1"/>
    <col min="14" max="14" width="12.28515625" style="151" bestFit="1" customWidth="1"/>
    <col min="15" max="15" width="12" style="151" bestFit="1" customWidth="1"/>
    <col min="16" max="16" width="13.140625" style="151" bestFit="1" customWidth="1"/>
    <col min="17" max="21" width="11.140625" style="151" bestFit="1" customWidth="1"/>
    <col min="22" max="22" width="12.28515625" style="151" bestFit="1" customWidth="1"/>
    <col min="23" max="26" width="11.140625" style="151" bestFit="1" customWidth="1"/>
    <col min="27" max="27" width="12.28515625" style="151" bestFit="1" customWidth="1"/>
    <col min="28" max="28" width="14.28515625" style="151" bestFit="1" customWidth="1"/>
    <col min="29" max="39" width="12.28515625" style="151" bestFit="1" customWidth="1"/>
    <col min="40" max="40" width="14.28515625" style="151" bestFit="1" customWidth="1"/>
    <col min="41" max="41" width="13.140625" style="151" bestFit="1" customWidth="1"/>
    <col min="42" max="51" width="12.28515625" style="151" bestFit="1" customWidth="1"/>
    <col min="52" max="53" width="13.28515625" style="151" bestFit="1" customWidth="1"/>
  </cols>
  <sheetData>
    <row r="1" spans="1:53" x14ac:dyDescent="0.25">
      <c r="A1" s="146" t="s">
        <v>1483</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row>
    <row r="2" spans="1:53" x14ac:dyDescent="0.25">
      <c r="A2" s="366" t="s">
        <v>477</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row>
    <row r="3" spans="1:53" x14ac:dyDescent="0.25">
      <c r="A3" s="146" t="s">
        <v>472</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row>
    <row r="4" spans="1:53" ht="15.75" thickBot="1" x14ac:dyDescent="0.3">
      <c r="A4" s="146"/>
      <c r="B4" s="640"/>
      <c r="C4" s="640"/>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row>
    <row r="5" spans="1:53" ht="15.75" thickBot="1" x14ac:dyDescent="0.3">
      <c r="A5" s="146"/>
      <c r="B5" s="641"/>
      <c r="C5" s="641"/>
      <c r="D5" s="609" t="s">
        <v>1461</v>
      </c>
      <c r="E5" s="610"/>
      <c r="F5" s="610"/>
      <c r="G5" s="610"/>
      <c r="H5" s="610"/>
      <c r="I5" s="610"/>
      <c r="J5" s="610"/>
      <c r="K5" s="610"/>
      <c r="L5" s="610"/>
      <c r="M5" s="610"/>
      <c r="N5" s="610"/>
      <c r="O5" s="611"/>
      <c r="P5" s="606" t="s">
        <v>1458</v>
      </c>
      <c r="Q5" s="607"/>
      <c r="R5" s="607"/>
      <c r="S5" s="607"/>
      <c r="T5" s="607"/>
      <c r="U5" s="607"/>
      <c r="V5" s="607"/>
      <c r="W5" s="607"/>
      <c r="X5" s="607"/>
      <c r="Y5" s="607"/>
      <c r="Z5" s="607"/>
      <c r="AA5" s="608"/>
      <c r="AB5" s="726" t="s">
        <v>1550</v>
      </c>
      <c r="AC5" s="727"/>
      <c r="AD5" s="727"/>
      <c r="AE5" s="727"/>
      <c r="AF5" s="727"/>
      <c r="AG5" s="727"/>
      <c r="AH5" s="727"/>
      <c r="AI5" s="727"/>
      <c r="AJ5" s="727"/>
      <c r="AK5" s="727"/>
      <c r="AL5" s="727"/>
      <c r="AM5" s="728"/>
      <c r="AN5" s="755" t="s">
        <v>1554</v>
      </c>
      <c r="AO5" s="756"/>
      <c r="AP5" s="756"/>
      <c r="AQ5" s="756"/>
      <c r="AR5" s="756"/>
      <c r="AS5" s="756"/>
      <c r="AT5" s="756"/>
      <c r="AU5" s="756"/>
      <c r="AV5" s="756"/>
      <c r="AW5" s="756"/>
      <c r="AX5" s="756"/>
      <c r="AY5" s="757"/>
      <c r="AZ5" s="728"/>
      <c r="BA5" s="756"/>
    </row>
    <row r="6" spans="1:53" ht="22.15" customHeight="1" thickBot="1" x14ac:dyDescent="0.3">
      <c r="A6" s="367" t="s">
        <v>473</v>
      </c>
      <c r="B6" s="639" t="s">
        <v>1460</v>
      </c>
      <c r="C6" s="642" t="s">
        <v>1459</v>
      </c>
      <c r="D6" s="614" t="s">
        <v>1455</v>
      </c>
      <c r="E6" s="612" t="s">
        <v>43</v>
      </c>
      <c r="F6" s="612" t="s">
        <v>44</v>
      </c>
      <c r="G6" s="612" t="s">
        <v>1456</v>
      </c>
      <c r="H6" s="612" t="s">
        <v>195</v>
      </c>
      <c r="I6" s="612" t="s">
        <v>47</v>
      </c>
      <c r="J6" s="612" t="s">
        <v>48</v>
      </c>
      <c r="K6" s="612" t="s">
        <v>1486</v>
      </c>
      <c r="L6" s="612" t="s">
        <v>50</v>
      </c>
      <c r="M6" s="612" t="s">
        <v>207</v>
      </c>
      <c r="N6" s="612" t="s">
        <v>210</v>
      </c>
      <c r="O6" s="615" t="s">
        <v>1457</v>
      </c>
      <c r="P6" s="622" t="s">
        <v>1455</v>
      </c>
      <c r="Q6" s="613" t="s">
        <v>43</v>
      </c>
      <c r="R6" s="613" t="s">
        <v>44</v>
      </c>
      <c r="S6" s="613" t="s">
        <v>1456</v>
      </c>
      <c r="T6" s="613" t="s">
        <v>195</v>
      </c>
      <c r="U6" s="613" t="s">
        <v>47</v>
      </c>
      <c r="V6" s="613" t="s">
        <v>48</v>
      </c>
      <c r="W6" s="613" t="s">
        <v>1486</v>
      </c>
      <c r="X6" s="613" t="s">
        <v>50</v>
      </c>
      <c r="Y6" s="613" t="s">
        <v>207</v>
      </c>
      <c r="Z6" s="613" t="s">
        <v>210</v>
      </c>
      <c r="AA6" s="623" t="s">
        <v>1457</v>
      </c>
      <c r="AB6" s="729" t="s">
        <v>1455</v>
      </c>
      <c r="AC6" s="730" t="s">
        <v>43</v>
      </c>
      <c r="AD6" s="730" t="s">
        <v>44</v>
      </c>
      <c r="AE6" s="730" t="s">
        <v>1456</v>
      </c>
      <c r="AF6" s="730" t="s">
        <v>195</v>
      </c>
      <c r="AG6" s="730" t="s">
        <v>47</v>
      </c>
      <c r="AH6" s="730" t="s">
        <v>48</v>
      </c>
      <c r="AI6" s="730" t="s">
        <v>1486</v>
      </c>
      <c r="AJ6" s="730" t="s">
        <v>50</v>
      </c>
      <c r="AK6" s="730" t="s">
        <v>207</v>
      </c>
      <c r="AL6" s="730" t="s">
        <v>210</v>
      </c>
      <c r="AM6" s="731" t="s">
        <v>1457</v>
      </c>
      <c r="AN6" s="758" t="s">
        <v>1455</v>
      </c>
      <c r="AO6" s="759" t="s">
        <v>43</v>
      </c>
      <c r="AP6" s="759" t="s">
        <v>44</v>
      </c>
      <c r="AQ6" s="759" t="s">
        <v>1456</v>
      </c>
      <c r="AR6" s="759" t="s">
        <v>195</v>
      </c>
      <c r="AS6" s="759" t="s">
        <v>47</v>
      </c>
      <c r="AT6" s="759" t="s">
        <v>48</v>
      </c>
      <c r="AU6" s="759" t="s">
        <v>1486</v>
      </c>
      <c r="AV6" s="759" t="s">
        <v>50</v>
      </c>
      <c r="AW6" s="759" t="s">
        <v>207</v>
      </c>
      <c r="AX6" s="759" t="s">
        <v>210</v>
      </c>
      <c r="AY6" s="760" t="s">
        <v>1457</v>
      </c>
      <c r="AZ6" s="731">
        <v>2019</v>
      </c>
      <c r="BA6" s="759">
        <v>2020</v>
      </c>
    </row>
    <row r="7" spans="1:53" x14ac:dyDescent="0.25">
      <c r="A7" s="373" t="s">
        <v>60</v>
      </c>
      <c r="B7" s="624">
        <f>SUM(B8)</f>
        <v>11901000</v>
      </c>
      <c r="C7" s="624">
        <f>SUM(P7:AA7)</f>
        <v>10909250</v>
      </c>
      <c r="D7" s="616">
        <f>SUM(D8)</f>
        <v>991750</v>
      </c>
      <c r="E7" s="616">
        <f t="shared" ref="E7:O7" si="0">SUM(E8)</f>
        <v>991750</v>
      </c>
      <c r="F7" s="616">
        <f t="shared" si="0"/>
        <v>991750</v>
      </c>
      <c r="G7" s="616">
        <f t="shared" si="0"/>
        <v>991750</v>
      </c>
      <c r="H7" s="616">
        <f t="shared" si="0"/>
        <v>991750</v>
      </c>
      <c r="I7" s="616">
        <f t="shared" si="0"/>
        <v>991750</v>
      </c>
      <c r="J7" s="616">
        <f t="shared" si="0"/>
        <v>991750</v>
      </c>
      <c r="K7" s="616">
        <f t="shared" si="0"/>
        <v>991750</v>
      </c>
      <c r="L7" s="616">
        <f t="shared" si="0"/>
        <v>991750</v>
      </c>
      <c r="M7" s="616">
        <f t="shared" si="0"/>
        <v>991750</v>
      </c>
      <c r="N7" s="616">
        <f t="shared" si="0"/>
        <v>991750</v>
      </c>
      <c r="O7" s="374">
        <f t="shared" si="0"/>
        <v>991750</v>
      </c>
      <c r="P7" s="616">
        <f>SUM(P8)</f>
        <v>148762.5</v>
      </c>
      <c r="Q7" s="616">
        <f>SUM(Q8)</f>
        <v>842987.5</v>
      </c>
      <c r="R7" s="616">
        <f t="shared" ref="R7" si="1">SUM(R8)</f>
        <v>991750</v>
      </c>
      <c r="S7" s="616">
        <f t="shared" ref="S7" si="2">SUM(S8)</f>
        <v>991750</v>
      </c>
      <c r="T7" s="616">
        <f t="shared" ref="T7" si="3">SUM(T8)</f>
        <v>991750</v>
      </c>
      <c r="U7" s="616">
        <f t="shared" ref="U7" si="4">SUM(U8)</f>
        <v>991750</v>
      </c>
      <c r="V7" s="616">
        <f t="shared" ref="V7" si="5">SUM(V8)</f>
        <v>991750</v>
      </c>
      <c r="W7" s="616">
        <f t="shared" ref="W7" si="6">SUM(W8)</f>
        <v>991750</v>
      </c>
      <c r="X7" s="616">
        <f t="shared" ref="X7" si="7">SUM(X8)</f>
        <v>991750</v>
      </c>
      <c r="Y7" s="616">
        <f t="shared" ref="Y7" si="8">SUM(Y8)</f>
        <v>991750</v>
      </c>
      <c r="Z7" s="616">
        <f t="shared" ref="Z7" si="9">SUM(Z8)</f>
        <v>991750</v>
      </c>
      <c r="AA7" s="374">
        <f t="shared" ref="AA7" si="10">SUM(AA8)</f>
        <v>991750</v>
      </c>
      <c r="AB7" s="616">
        <f>SUM(AB8)</f>
        <v>1190100</v>
      </c>
      <c r="AC7" s="616">
        <f t="shared" ref="AC7:AM7" si="11">SUM(AC8)</f>
        <v>1190100</v>
      </c>
      <c r="AD7" s="616">
        <f t="shared" si="11"/>
        <v>1190100</v>
      </c>
      <c r="AE7" s="616">
        <f t="shared" si="11"/>
        <v>1190100</v>
      </c>
      <c r="AF7" s="616">
        <f t="shared" si="11"/>
        <v>1190100</v>
      </c>
      <c r="AG7" s="616">
        <f t="shared" si="11"/>
        <v>1190100</v>
      </c>
      <c r="AH7" s="616">
        <f t="shared" si="11"/>
        <v>1190100</v>
      </c>
      <c r="AI7" s="616">
        <f t="shared" si="11"/>
        <v>1190100</v>
      </c>
      <c r="AJ7" s="616">
        <f t="shared" si="11"/>
        <v>1190100</v>
      </c>
      <c r="AK7" s="616">
        <f t="shared" si="11"/>
        <v>1190100</v>
      </c>
      <c r="AL7" s="616">
        <f t="shared" si="11"/>
        <v>1190100</v>
      </c>
      <c r="AM7" s="374">
        <f t="shared" si="11"/>
        <v>1190100</v>
      </c>
      <c r="AN7" s="616">
        <f>SUM(AN8)</f>
        <v>1606635</v>
      </c>
      <c r="AO7" s="616">
        <f t="shared" ref="AO7:AY7" si="12">SUM(AO8)</f>
        <v>1606635</v>
      </c>
      <c r="AP7" s="616">
        <f t="shared" si="12"/>
        <v>1606635</v>
      </c>
      <c r="AQ7" s="616">
        <f t="shared" si="12"/>
        <v>1606635</v>
      </c>
      <c r="AR7" s="616">
        <f t="shared" si="12"/>
        <v>1606635</v>
      </c>
      <c r="AS7" s="616">
        <f t="shared" si="12"/>
        <v>1606635</v>
      </c>
      <c r="AT7" s="616">
        <f t="shared" si="12"/>
        <v>1606635</v>
      </c>
      <c r="AU7" s="616">
        <f t="shared" si="12"/>
        <v>1606635</v>
      </c>
      <c r="AV7" s="616">
        <f t="shared" si="12"/>
        <v>1606635</v>
      </c>
      <c r="AW7" s="616">
        <f t="shared" si="12"/>
        <v>1606635</v>
      </c>
      <c r="AX7" s="616">
        <f t="shared" si="12"/>
        <v>1606635</v>
      </c>
      <c r="AY7" s="374">
        <f t="shared" si="12"/>
        <v>1606635</v>
      </c>
      <c r="AZ7" s="374">
        <f>SUM(AB7:AM7)</f>
        <v>14281200</v>
      </c>
      <c r="BA7" s="616">
        <f>SUM(AN7:AY7)</f>
        <v>19279620</v>
      </c>
    </row>
    <row r="8" spans="1:53" x14ac:dyDescent="0.25">
      <c r="A8" s="363" t="s">
        <v>61</v>
      </c>
      <c r="B8" s="625">
        <f>SUM(D8:O8)</f>
        <v>11901000</v>
      </c>
      <c r="C8" s="625">
        <f>SUM(P8:AA8)</f>
        <v>10909250</v>
      </c>
      <c r="D8" s="644">
        <v>991750</v>
      </c>
      <c r="E8" s="648">
        <v>991750</v>
      </c>
      <c r="F8" s="648">
        <v>991750</v>
      </c>
      <c r="G8" s="648">
        <v>991750</v>
      </c>
      <c r="H8" s="648">
        <v>991750</v>
      </c>
      <c r="I8" s="648">
        <v>991750</v>
      </c>
      <c r="J8" s="648">
        <v>991750</v>
      </c>
      <c r="K8" s="648">
        <v>991750</v>
      </c>
      <c r="L8" s="648">
        <v>991750</v>
      </c>
      <c r="M8" s="648">
        <v>991750</v>
      </c>
      <c r="N8" s="648">
        <v>991750</v>
      </c>
      <c r="O8" s="649">
        <v>991750</v>
      </c>
      <c r="P8" s="643">
        <f>+D8*15%</f>
        <v>148762.5</v>
      </c>
      <c r="Q8" s="656">
        <f>+D8*85%</f>
        <v>842987.5</v>
      </c>
      <c r="R8" s="656">
        <f>+E8*100%</f>
        <v>991750</v>
      </c>
      <c r="S8" s="656">
        <f t="shared" ref="S8:AA8" si="13">+F8*100%</f>
        <v>991750</v>
      </c>
      <c r="T8" s="656">
        <f t="shared" si="13"/>
        <v>991750</v>
      </c>
      <c r="U8" s="656">
        <f t="shared" si="13"/>
        <v>991750</v>
      </c>
      <c r="V8" s="656">
        <f t="shared" si="13"/>
        <v>991750</v>
      </c>
      <c r="W8" s="656">
        <f t="shared" si="13"/>
        <v>991750</v>
      </c>
      <c r="X8" s="656">
        <f t="shared" si="13"/>
        <v>991750</v>
      </c>
      <c r="Y8" s="656">
        <f t="shared" si="13"/>
        <v>991750</v>
      </c>
      <c r="Z8" s="656">
        <f t="shared" si="13"/>
        <v>991750</v>
      </c>
      <c r="AA8" s="657">
        <f t="shared" si="13"/>
        <v>991750</v>
      </c>
      <c r="AB8" s="736">
        <v>1190100</v>
      </c>
      <c r="AC8" s="736">
        <v>1190100</v>
      </c>
      <c r="AD8" s="736">
        <v>1190100</v>
      </c>
      <c r="AE8" s="736">
        <v>1190100</v>
      </c>
      <c r="AF8" s="736">
        <v>1190100</v>
      </c>
      <c r="AG8" s="736">
        <v>1190100</v>
      </c>
      <c r="AH8" s="736">
        <v>1190100</v>
      </c>
      <c r="AI8" s="736">
        <v>1190100</v>
      </c>
      <c r="AJ8" s="736">
        <v>1190100</v>
      </c>
      <c r="AK8" s="736">
        <v>1190100</v>
      </c>
      <c r="AL8" s="736">
        <v>1190100</v>
      </c>
      <c r="AM8" s="736">
        <v>1190100</v>
      </c>
      <c r="AN8" s="732">
        <v>1606635</v>
      </c>
      <c r="AO8" s="747">
        <v>1606635</v>
      </c>
      <c r="AP8" s="747">
        <v>1606635</v>
      </c>
      <c r="AQ8" s="747">
        <v>1606635</v>
      </c>
      <c r="AR8" s="747">
        <v>1606635</v>
      </c>
      <c r="AS8" s="747">
        <v>1606635</v>
      </c>
      <c r="AT8" s="747">
        <v>1606635</v>
      </c>
      <c r="AU8" s="747">
        <v>1606635</v>
      </c>
      <c r="AV8" s="747">
        <v>1606635</v>
      </c>
      <c r="AW8" s="747">
        <v>1606635</v>
      </c>
      <c r="AX8" s="747">
        <v>1606635</v>
      </c>
      <c r="AY8" s="748">
        <v>1606635</v>
      </c>
      <c r="AZ8" s="736">
        <f t="shared" ref="AZ8:AZ59" si="14">SUM(AB8:AM8)</f>
        <v>14281200</v>
      </c>
      <c r="BA8" s="747">
        <f t="shared" ref="BA8:BA58" si="15">SUM(AN8:AY8)</f>
        <v>19279620</v>
      </c>
    </row>
    <row r="9" spans="1:53" x14ac:dyDescent="0.25">
      <c r="A9" s="378" t="s">
        <v>66</v>
      </c>
      <c r="B9" s="626">
        <f>SUM(B10:B13,B14,B16,B18)</f>
        <v>7011633.9613547651</v>
      </c>
      <c r="C9" s="626">
        <f>SUM(C10:C13)</f>
        <v>3324786.6355140186</v>
      </c>
      <c r="D9" s="617">
        <f t="shared" ref="D9:O9" si="16">SUM(D10:D13,D14,D16,D18)</f>
        <v>566768.85805576725</v>
      </c>
      <c r="E9" s="617">
        <f t="shared" si="16"/>
        <v>484696.06508523162</v>
      </c>
      <c r="F9" s="617">
        <f t="shared" si="16"/>
        <v>660551.76996065688</v>
      </c>
      <c r="G9" s="617">
        <f t="shared" si="16"/>
        <v>514715.36614722933</v>
      </c>
      <c r="H9" s="617">
        <f t="shared" si="16"/>
        <v>487356.88411374122</v>
      </c>
      <c r="I9" s="617">
        <f t="shared" si="16"/>
        <v>636842.93568272947</v>
      </c>
      <c r="J9" s="617">
        <f t="shared" si="16"/>
        <v>706057.35408675543</v>
      </c>
      <c r="K9" s="617">
        <f t="shared" si="16"/>
        <v>711228.84673056367</v>
      </c>
      <c r="L9" s="617">
        <f t="shared" si="16"/>
        <v>722541.76558283356</v>
      </c>
      <c r="M9" s="617">
        <f t="shared" si="16"/>
        <v>625087.69637245126</v>
      </c>
      <c r="N9" s="617">
        <f t="shared" si="16"/>
        <v>475393.33711115521</v>
      </c>
      <c r="O9" s="379">
        <f t="shared" si="16"/>
        <v>420393.08242565027</v>
      </c>
      <c r="P9" s="617">
        <f t="shared" ref="P9" si="17">SUM(P10:P13,P14,P16,P18)</f>
        <v>85015.328708365065</v>
      </c>
      <c r="Q9" s="617">
        <f t="shared" ref="Q9" si="18">SUM(Q10:Q13,Q14,Q16,Q18)</f>
        <v>481753.52934740204</v>
      </c>
      <c r="R9" s="617">
        <f t="shared" ref="R9" si="19">SUM(R10:R13,R14,R16,R18)</f>
        <v>436226.45857670851</v>
      </c>
      <c r="S9" s="617">
        <f t="shared" ref="S9" si="20">SUM(S10:S13,S14,S16,S18)</f>
        <v>642966.19947311445</v>
      </c>
      <c r="T9" s="617">
        <f t="shared" ref="T9" si="21">SUM(T10:T13,T14,T16,T18)</f>
        <v>529299.00652857206</v>
      </c>
      <c r="U9" s="617">
        <f t="shared" ref="U9" si="22">SUM(U10:U13,U14,U16,U18)</f>
        <v>490092.73231709003</v>
      </c>
      <c r="V9" s="617">
        <f t="shared" ref="V9" si="23">SUM(V10:V13,V14,V16,V18)</f>
        <v>621894.33052583062</v>
      </c>
      <c r="W9" s="617">
        <f t="shared" ref="W9" si="24">SUM(W10:W13,W14,W16,W18)</f>
        <v>699135.91224635276</v>
      </c>
      <c r="X9" s="617">
        <f t="shared" ref="X9" si="25">SUM(X10:X13,X14,X16,X18)</f>
        <v>710711.69746618276</v>
      </c>
      <c r="Y9" s="617">
        <f t="shared" ref="Y9" si="26">SUM(Y10:Y13,Y14,Y16,Y18)</f>
        <v>721410.47369760659</v>
      </c>
      <c r="Z9" s="617">
        <f t="shared" ref="Z9" si="27">SUM(Z10:Z13,Z14,Z16,Z18)</f>
        <v>634833.10329348943</v>
      </c>
      <c r="AA9" s="379">
        <f t="shared" ref="AA9:AY9" si="28">SUM(AA10:AA13,AA14,AA16,AA18)</f>
        <v>490362.77303728479</v>
      </c>
      <c r="AB9" s="617">
        <f t="shared" si="28"/>
        <v>701163.39613547642</v>
      </c>
      <c r="AC9" s="617">
        <f t="shared" si="28"/>
        <v>701163.39613547642</v>
      </c>
      <c r="AD9" s="617">
        <f t="shared" si="28"/>
        <v>701163.39613547642</v>
      </c>
      <c r="AE9" s="617">
        <f t="shared" si="28"/>
        <v>701163.39613547642</v>
      </c>
      <c r="AF9" s="617">
        <f t="shared" si="28"/>
        <v>701163.39613547642</v>
      </c>
      <c r="AG9" s="617">
        <f t="shared" si="28"/>
        <v>701163.39613547642</v>
      </c>
      <c r="AH9" s="617">
        <f t="shared" si="28"/>
        <v>701163.39613547642</v>
      </c>
      <c r="AI9" s="617">
        <f t="shared" si="28"/>
        <v>701163.39613547642</v>
      </c>
      <c r="AJ9" s="617">
        <f t="shared" si="28"/>
        <v>701163.39613547642</v>
      </c>
      <c r="AK9" s="617">
        <f t="shared" si="28"/>
        <v>701163.39613547642</v>
      </c>
      <c r="AL9" s="617">
        <f t="shared" si="28"/>
        <v>701163.39613547642</v>
      </c>
      <c r="AM9" s="379">
        <f t="shared" si="28"/>
        <v>701163.39613547642</v>
      </c>
      <c r="AN9" s="617">
        <f t="shared" si="28"/>
        <v>1479420.6779266745</v>
      </c>
      <c r="AO9" s="617">
        <f t="shared" si="28"/>
        <v>1479420.6779266745</v>
      </c>
      <c r="AP9" s="617">
        <f t="shared" si="28"/>
        <v>1479420.6779266745</v>
      </c>
      <c r="AQ9" s="617">
        <f t="shared" si="28"/>
        <v>1479420.6779266745</v>
      </c>
      <c r="AR9" s="617">
        <f t="shared" si="28"/>
        <v>1479420.6779266745</v>
      </c>
      <c r="AS9" s="617">
        <f t="shared" si="28"/>
        <v>1479420.6779266745</v>
      </c>
      <c r="AT9" s="617">
        <f t="shared" si="28"/>
        <v>1479420.6779266745</v>
      </c>
      <c r="AU9" s="617">
        <f t="shared" si="28"/>
        <v>1479420.6779266745</v>
      </c>
      <c r="AV9" s="617">
        <f t="shared" si="28"/>
        <v>1479420.6779266745</v>
      </c>
      <c r="AW9" s="617">
        <f t="shared" si="28"/>
        <v>1479420.6779266745</v>
      </c>
      <c r="AX9" s="617">
        <f t="shared" si="28"/>
        <v>1479420.6779266745</v>
      </c>
      <c r="AY9" s="379">
        <f t="shared" si="28"/>
        <v>1479420.6779266745</v>
      </c>
      <c r="AZ9" s="379">
        <f t="shared" si="14"/>
        <v>8413960.753625717</v>
      </c>
      <c r="BA9" s="617">
        <f t="shared" si="15"/>
        <v>17753048.135120094</v>
      </c>
    </row>
    <row r="10" spans="1:53" x14ac:dyDescent="0.25">
      <c r="A10" s="363" t="s">
        <v>64</v>
      </c>
      <c r="B10" s="625">
        <f>SUM(D10:O10)</f>
        <v>1096900</v>
      </c>
      <c r="C10" s="625">
        <f>SUM(P10:AA10)</f>
        <v>964960</v>
      </c>
      <c r="D10" s="644">
        <f>+Administration!O18</f>
        <v>77100</v>
      </c>
      <c r="E10" s="644">
        <f>+Administration!P18</f>
        <v>77100</v>
      </c>
      <c r="F10" s="644">
        <f>+Administration!Q18</f>
        <v>149100</v>
      </c>
      <c r="G10" s="644">
        <f>+Administration!R18</f>
        <v>65400</v>
      </c>
      <c r="H10" s="644">
        <f>+Administration!S18</f>
        <v>65400</v>
      </c>
      <c r="I10" s="644">
        <f>+Administration!T18</f>
        <v>65400</v>
      </c>
      <c r="J10" s="644">
        <f>+Administration!U18</f>
        <v>65400</v>
      </c>
      <c r="K10" s="644">
        <f>+Administration!V18</f>
        <v>141400</v>
      </c>
      <c r="L10" s="644">
        <f>+Administration!W18</f>
        <v>85400</v>
      </c>
      <c r="M10" s="644">
        <f>+Administration!X18</f>
        <v>78400</v>
      </c>
      <c r="N10" s="644">
        <f>+Administration!Y18</f>
        <v>105400</v>
      </c>
      <c r="O10" s="645">
        <f>+Administration!Z18</f>
        <v>121400</v>
      </c>
      <c r="P10" s="643">
        <f>+D10*15%</f>
        <v>11565</v>
      </c>
      <c r="Q10" s="656">
        <f>+D10*85%</f>
        <v>65535</v>
      </c>
      <c r="R10" s="656">
        <f>+E10*90%</f>
        <v>69390</v>
      </c>
      <c r="S10" s="656">
        <f>+F10*90%+E10*10%</f>
        <v>141900</v>
      </c>
      <c r="T10" s="656">
        <f t="shared" ref="T10" si="29">+G10*90%+F10*10%</f>
        <v>73770</v>
      </c>
      <c r="U10" s="656">
        <f t="shared" ref="U10" si="30">+H10*90%+G10*10%</f>
        <v>65400</v>
      </c>
      <c r="V10" s="656">
        <f t="shared" ref="V10" si="31">+I10*90%+H10*10%</f>
        <v>65400</v>
      </c>
      <c r="W10" s="656">
        <f t="shared" ref="W10" si="32">+J10*90%+I10*10%</f>
        <v>65400</v>
      </c>
      <c r="X10" s="656">
        <f t="shared" ref="X10" si="33">+K10*90%+J10*10%</f>
        <v>133800</v>
      </c>
      <c r="Y10" s="656">
        <f t="shared" ref="Y10" si="34">+L10*90%+K10*10%</f>
        <v>91000</v>
      </c>
      <c r="Z10" s="656">
        <f t="shared" ref="Z10" si="35">+M10*90%+L10*10%</f>
        <v>79100</v>
      </c>
      <c r="AA10" s="657">
        <f t="shared" ref="AA10" si="36">+N10*90%+M10*10%</f>
        <v>102700</v>
      </c>
      <c r="AB10" s="736">
        <v>109690</v>
      </c>
      <c r="AC10" s="736">
        <v>109690</v>
      </c>
      <c r="AD10" s="736">
        <v>109690</v>
      </c>
      <c r="AE10" s="736">
        <v>109690</v>
      </c>
      <c r="AF10" s="736">
        <v>109690</v>
      </c>
      <c r="AG10" s="736">
        <v>109690</v>
      </c>
      <c r="AH10" s="736">
        <v>109690</v>
      </c>
      <c r="AI10" s="736">
        <v>109690</v>
      </c>
      <c r="AJ10" s="736">
        <v>109690</v>
      </c>
      <c r="AK10" s="736">
        <v>109690</v>
      </c>
      <c r="AL10" s="736">
        <v>109690</v>
      </c>
      <c r="AM10" s="737">
        <v>109690</v>
      </c>
      <c r="AN10" s="732">
        <v>606414.83333333337</v>
      </c>
      <c r="AO10" s="732">
        <v>606414.83333333337</v>
      </c>
      <c r="AP10" s="732">
        <v>606414.83333333337</v>
      </c>
      <c r="AQ10" s="732">
        <v>606414.83333333337</v>
      </c>
      <c r="AR10" s="732">
        <v>606414.83333333337</v>
      </c>
      <c r="AS10" s="732">
        <v>606414.83333333337</v>
      </c>
      <c r="AT10" s="732">
        <v>606414.83333333337</v>
      </c>
      <c r="AU10" s="732">
        <v>606414.83333333337</v>
      </c>
      <c r="AV10" s="732">
        <v>606414.83333333337</v>
      </c>
      <c r="AW10" s="732">
        <v>606414.83333333337</v>
      </c>
      <c r="AX10" s="732">
        <v>606414.83333333337</v>
      </c>
      <c r="AY10" s="733">
        <v>606414.83333333337</v>
      </c>
      <c r="AZ10" s="737">
        <f t="shared" si="14"/>
        <v>1316280</v>
      </c>
      <c r="BA10" s="732">
        <f t="shared" si="15"/>
        <v>7276977.9999999991</v>
      </c>
    </row>
    <row r="11" spans="1:53" x14ac:dyDescent="0.25">
      <c r="A11" s="363" t="s">
        <v>67</v>
      </c>
      <c r="B11" s="625">
        <f t="shared" ref="B11:B13" si="37">SUM(D11:O11)</f>
        <v>1500000</v>
      </c>
      <c r="C11" s="625">
        <f t="shared" ref="C11:C13" si="38">SUM(P11:AA11)</f>
        <v>1407476.6355140186</v>
      </c>
      <c r="D11" s="644">
        <f>+Administration!O19</f>
        <v>91121.495327102806</v>
      </c>
      <c r="E11" s="644">
        <f>+Administration!P19</f>
        <v>119158.87850467289</v>
      </c>
      <c r="F11" s="644">
        <f>+Administration!Q19</f>
        <v>161214.95327102803</v>
      </c>
      <c r="G11" s="644">
        <f>+Administration!R19</f>
        <v>119158.87850467289</v>
      </c>
      <c r="H11" s="644">
        <f>+Administration!S19</f>
        <v>133177.57009345794</v>
      </c>
      <c r="I11" s="644">
        <f>+Administration!T19</f>
        <v>84112.149532710275</v>
      </c>
      <c r="J11" s="644">
        <f>+Administration!U19</f>
        <v>175233.6448598131</v>
      </c>
      <c r="K11" s="644">
        <f>+Administration!V19</f>
        <v>112149.53271028037</v>
      </c>
      <c r="L11" s="644">
        <f>+Administration!W19</f>
        <v>168224.29906542055</v>
      </c>
      <c r="M11" s="644">
        <f>+Administration!X19</f>
        <v>105140.18691588784</v>
      </c>
      <c r="N11" s="644">
        <f>+Administration!Y19</f>
        <v>154205.60747663552</v>
      </c>
      <c r="O11" s="645">
        <f>+Administration!Z19</f>
        <v>77102.803738317758</v>
      </c>
      <c r="P11" s="643">
        <f t="shared" ref="P11:P13" si="39">+D11*15%</f>
        <v>13668.224299065421</v>
      </c>
      <c r="Q11" s="656">
        <f t="shared" ref="Q11:Q13" si="40">+D11*85%</f>
        <v>77453.271028037387</v>
      </c>
      <c r="R11" s="656">
        <f t="shared" ref="R11:R13" si="41">+E11*90%</f>
        <v>107242.9906542056</v>
      </c>
      <c r="S11" s="656">
        <f t="shared" ref="S11:S13" si="42">+F11*90%+E11*10%</f>
        <v>157009.34579439252</v>
      </c>
      <c r="T11" s="656">
        <f t="shared" ref="T11:T13" si="43">+G11*90%+F11*10%</f>
        <v>123364.4859813084</v>
      </c>
      <c r="U11" s="656">
        <f t="shared" ref="U11:U13" si="44">+H11*90%+G11*10%</f>
        <v>131775.70093457942</v>
      </c>
      <c r="V11" s="656">
        <f t="shared" ref="V11:V13" si="45">+I11*90%+H11*10%</f>
        <v>89018.691588785034</v>
      </c>
      <c r="W11" s="656">
        <f t="shared" ref="W11:W13" si="46">+J11*90%+I11*10%</f>
        <v>166121.49532710284</v>
      </c>
      <c r="X11" s="656">
        <f t="shared" ref="X11:X13" si="47">+K11*90%+J11*10%</f>
        <v>118457.94392523365</v>
      </c>
      <c r="Y11" s="656">
        <f t="shared" ref="Y11:Y13" si="48">+L11*90%+K11*10%</f>
        <v>162616.82242990652</v>
      </c>
      <c r="Z11" s="656">
        <f t="shared" ref="Z11:Z13" si="49">+M11*90%+L11*10%</f>
        <v>111448.59813084113</v>
      </c>
      <c r="AA11" s="657">
        <f t="shared" ref="AA11:AA13" si="50">+N11*90%+M11*10%</f>
        <v>149299.06542056074</v>
      </c>
      <c r="AB11" s="736">
        <v>150000</v>
      </c>
      <c r="AC11" s="736">
        <v>150000</v>
      </c>
      <c r="AD11" s="736">
        <v>150000</v>
      </c>
      <c r="AE11" s="736">
        <v>150000</v>
      </c>
      <c r="AF11" s="736">
        <v>150000</v>
      </c>
      <c r="AG11" s="736">
        <v>150000</v>
      </c>
      <c r="AH11" s="736">
        <v>150000</v>
      </c>
      <c r="AI11" s="736">
        <v>150000</v>
      </c>
      <c r="AJ11" s="736">
        <v>150000</v>
      </c>
      <c r="AK11" s="736">
        <v>150000</v>
      </c>
      <c r="AL11" s="736">
        <v>150000</v>
      </c>
      <c r="AM11" s="737">
        <v>150000</v>
      </c>
      <c r="AN11" s="732">
        <v>202500</v>
      </c>
      <c r="AO11" s="732">
        <v>202500</v>
      </c>
      <c r="AP11" s="732">
        <v>202500</v>
      </c>
      <c r="AQ11" s="732">
        <v>202500</v>
      </c>
      <c r="AR11" s="732">
        <v>202500</v>
      </c>
      <c r="AS11" s="732">
        <v>202500</v>
      </c>
      <c r="AT11" s="732">
        <v>202500</v>
      </c>
      <c r="AU11" s="732">
        <v>202500</v>
      </c>
      <c r="AV11" s="732">
        <v>202500</v>
      </c>
      <c r="AW11" s="732">
        <v>202500</v>
      </c>
      <c r="AX11" s="732">
        <v>202500</v>
      </c>
      <c r="AY11" s="733">
        <v>202500</v>
      </c>
      <c r="AZ11" s="737">
        <f t="shared" si="14"/>
        <v>1800000</v>
      </c>
      <c r="BA11" s="732">
        <f t="shared" si="15"/>
        <v>2430000</v>
      </c>
    </row>
    <row r="12" spans="1:53" x14ac:dyDescent="0.25">
      <c r="A12" s="363" t="s">
        <v>70</v>
      </c>
      <c r="B12" s="625">
        <f t="shared" si="37"/>
        <v>414784.61538461549</v>
      </c>
      <c r="C12" s="625">
        <f t="shared" si="38"/>
        <v>371520.00000000006</v>
      </c>
      <c r="D12" s="644">
        <f>+Administration!O20</f>
        <v>33076.923076923085</v>
      </c>
      <c r="E12" s="644">
        <f>+Administration!P20</f>
        <v>32415.384615384617</v>
      </c>
      <c r="F12" s="644">
        <f>+Administration!Q20</f>
        <v>38369.23076923078</v>
      </c>
      <c r="G12" s="644">
        <f>+Administration!R20</f>
        <v>31092.307692307699</v>
      </c>
      <c r="H12" s="644">
        <f>+Administration!S20</f>
        <v>37046.153846153858</v>
      </c>
      <c r="I12" s="644">
        <f>+Administration!T20</f>
        <v>31092.307692307691</v>
      </c>
      <c r="J12" s="644">
        <f>+Administration!U20</f>
        <v>38369.23076923078</v>
      </c>
      <c r="K12" s="644">
        <f>+Administration!V20</f>
        <v>28446.153846153848</v>
      </c>
      <c r="L12" s="644">
        <f>+Administration!W20</f>
        <v>34400.000000000007</v>
      </c>
      <c r="M12" s="644">
        <f>+Administration!X20</f>
        <v>35061.538461538476</v>
      </c>
      <c r="N12" s="644">
        <f>+Administration!Y20</f>
        <v>35723.076923076922</v>
      </c>
      <c r="O12" s="645">
        <f>+Administration!Z20</f>
        <v>39692.307692307717</v>
      </c>
      <c r="P12" s="643">
        <f t="shared" si="39"/>
        <v>4961.5384615384628</v>
      </c>
      <c r="Q12" s="656">
        <f t="shared" si="40"/>
        <v>28115.384615384621</v>
      </c>
      <c r="R12" s="656">
        <f t="shared" si="41"/>
        <v>29173.846153846156</v>
      </c>
      <c r="S12" s="656">
        <f t="shared" si="42"/>
        <v>37773.846153846163</v>
      </c>
      <c r="T12" s="656">
        <f t="shared" si="43"/>
        <v>31820.000000000007</v>
      </c>
      <c r="U12" s="656">
        <f t="shared" si="44"/>
        <v>36450.769230769249</v>
      </c>
      <c r="V12" s="656">
        <f t="shared" si="45"/>
        <v>31687.692307692309</v>
      </c>
      <c r="W12" s="656">
        <f t="shared" si="46"/>
        <v>37641.538461538468</v>
      </c>
      <c r="X12" s="656">
        <f t="shared" si="47"/>
        <v>29438.461538461543</v>
      </c>
      <c r="Y12" s="656">
        <f t="shared" si="48"/>
        <v>33804.61538461539</v>
      </c>
      <c r="Z12" s="656">
        <f t="shared" si="49"/>
        <v>34995.384615384632</v>
      </c>
      <c r="AA12" s="657">
        <f t="shared" si="50"/>
        <v>35656.923076923078</v>
      </c>
      <c r="AB12" s="736">
        <v>41478.461538461546</v>
      </c>
      <c r="AC12" s="736">
        <v>41478.461538461546</v>
      </c>
      <c r="AD12" s="736">
        <v>41478.461538461546</v>
      </c>
      <c r="AE12" s="736">
        <v>41478.461538461546</v>
      </c>
      <c r="AF12" s="736">
        <v>41478.461538461546</v>
      </c>
      <c r="AG12" s="736">
        <v>41478.461538461546</v>
      </c>
      <c r="AH12" s="736">
        <v>41478.461538461546</v>
      </c>
      <c r="AI12" s="736">
        <v>41478.461538461546</v>
      </c>
      <c r="AJ12" s="736">
        <v>41478.461538461546</v>
      </c>
      <c r="AK12" s="736">
        <v>41478.461538461546</v>
      </c>
      <c r="AL12" s="736">
        <v>41478.461538461546</v>
      </c>
      <c r="AM12" s="737">
        <v>41478.461538461546</v>
      </c>
      <c r="AN12" s="732">
        <v>180995.92307692309</v>
      </c>
      <c r="AO12" s="732">
        <v>180995.92307692309</v>
      </c>
      <c r="AP12" s="732">
        <v>180995.92307692309</v>
      </c>
      <c r="AQ12" s="732">
        <v>180995.92307692309</v>
      </c>
      <c r="AR12" s="732">
        <v>180995.92307692309</v>
      </c>
      <c r="AS12" s="732">
        <v>180995.92307692309</v>
      </c>
      <c r="AT12" s="732">
        <v>180995.92307692309</v>
      </c>
      <c r="AU12" s="732">
        <v>180995.92307692309</v>
      </c>
      <c r="AV12" s="732">
        <v>180995.92307692309</v>
      </c>
      <c r="AW12" s="732">
        <v>180995.92307692309</v>
      </c>
      <c r="AX12" s="732">
        <v>180995.92307692309</v>
      </c>
      <c r="AY12" s="733">
        <v>180995.92307692309</v>
      </c>
      <c r="AZ12" s="737">
        <f t="shared" si="14"/>
        <v>497741.53846153867</v>
      </c>
      <c r="BA12" s="732">
        <f t="shared" si="15"/>
        <v>2171951.0769230765</v>
      </c>
    </row>
    <row r="13" spans="1:53" x14ac:dyDescent="0.25">
      <c r="A13" s="363" t="s">
        <v>73</v>
      </c>
      <c r="B13" s="625">
        <f t="shared" si="37"/>
        <v>634400</v>
      </c>
      <c r="C13" s="625">
        <f t="shared" si="38"/>
        <v>580830</v>
      </c>
      <c r="D13" s="644">
        <f>+Administration!O17</f>
        <v>61200</v>
      </c>
      <c r="E13" s="644">
        <f>+Administration!P17</f>
        <v>61200</v>
      </c>
      <c r="F13" s="644">
        <f>+Administration!Q17</f>
        <v>61200</v>
      </c>
      <c r="G13" s="644">
        <f>+Administration!R17</f>
        <v>61200</v>
      </c>
      <c r="H13" s="644">
        <f>+Administration!S17</f>
        <v>48700</v>
      </c>
      <c r="I13" s="644">
        <f>+Administration!T17</f>
        <v>48700</v>
      </c>
      <c r="J13" s="644">
        <f>+Administration!U17</f>
        <v>48700</v>
      </c>
      <c r="K13" s="644">
        <f>+Administration!V17</f>
        <v>48700</v>
      </c>
      <c r="L13" s="644">
        <f>+Administration!W17</f>
        <v>48700</v>
      </c>
      <c r="M13" s="644">
        <f>+Administration!X17</f>
        <v>48700</v>
      </c>
      <c r="N13" s="644">
        <f>+Administration!Y17</f>
        <v>48700</v>
      </c>
      <c r="O13" s="645">
        <f>+Administration!Z17</f>
        <v>48700</v>
      </c>
      <c r="P13" s="643">
        <f t="shared" si="39"/>
        <v>9180</v>
      </c>
      <c r="Q13" s="656">
        <f t="shared" si="40"/>
        <v>52020</v>
      </c>
      <c r="R13" s="656">
        <f t="shared" si="41"/>
        <v>55080</v>
      </c>
      <c r="S13" s="656">
        <f t="shared" si="42"/>
        <v>61200</v>
      </c>
      <c r="T13" s="656">
        <f t="shared" si="43"/>
        <v>61200</v>
      </c>
      <c r="U13" s="656">
        <f t="shared" si="44"/>
        <v>49950</v>
      </c>
      <c r="V13" s="656">
        <f t="shared" si="45"/>
        <v>48700</v>
      </c>
      <c r="W13" s="656">
        <f t="shared" si="46"/>
        <v>48700</v>
      </c>
      <c r="X13" s="656">
        <f t="shared" si="47"/>
        <v>48700</v>
      </c>
      <c r="Y13" s="656">
        <f t="shared" si="48"/>
        <v>48700</v>
      </c>
      <c r="Z13" s="656">
        <f t="shared" si="49"/>
        <v>48700</v>
      </c>
      <c r="AA13" s="657">
        <f t="shared" si="50"/>
        <v>48700</v>
      </c>
      <c r="AB13" s="736">
        <v>63440</v>
      </c>
      <c r="AC13" s="736">
        <v>63440</v>
      </c>
      <c r="AD13" s="736">
        <v>63440</v>
      </c>
      <c r="AE13" s="736">
        <v>63440</v>
      </c>
      <c r="AF13" s="736">
        <v>63440</v>
      </c>
      <c r="AG13" s="736">
        <v>63440</v>
      </c>
      <c r="AH13" s="736">
        <v>63440</v>
      </c>
      <c r="AI13" s="736">
        <v>63440</v>
      </c>
      <c r="AJ13" s="736">
        <v>63440</v>
      </c>
      <c r="AK13" s="736">
        <v>63440</v>
      </c>
      <c r="AL13" s="736">
        <v>63440</v>
      </c>
      <c r="AM13" s="737">
        <v>63440</v>
      </c>
      <c r="AN13" s="732">
        <v>85644.000000000015</v>
      </c>
      <c r="AO13" s="732">
        <v>85644.000000000015</v>
      </c>
      <c r="AP13" s="732">
        <v>85644.000000000015</v>
      </c>
      <c r="AQ13" s="732">
        <v>85644.000000000015</v>
      </c>
      <c r="AR13" s="732">
        <v>85644.000000000015</v>
      </c>
      <c r="AS13" s="732">
        <v>85644.000000000015</v>
      </c>
      <c r="AT13" s="732">
        <v>85644.000000000015</v>
      </c>
      <c r="AU13" s="732">
        <v>85644.000000000015</v>
      </c>
      <c r="AV13" s="732">
        <v>85644.000000000015</v>
      </c>
      <c r="AW13" s="732">
        <v>85644.000000000015</v>
      </c>
      <c r="AX13" s="732">
        <v>85644.000000000015</v>
      </c>
      <c r="AY13" s="733">
        <v>85644.000000000015</v>
      </c>
      <c r="AZ13" s="737">
        <f t="shared" si="14"/>
        <v>761280</v>
      </c>
      <c r="BA13" s="732">
        <f t="shared" si="15"/>
        <v>1027728.0000000001</v>
      </c>
    </row>
    <row r="14" spans="1:53" x14ac:dyDescent="0.25">
      <c r="A14" s="147" t="s">
        <v>81</v>
      </c>
      <c r="B14" s="627">
        <f>SUM(B15)</f>
        <v>1309949.3459701494</v>
      </c>
      <c r="C14" s="627">
        <f>SUM(C15)</f>
        <v>1230841.6763706468</v>
      </c>
      <c r="D14" s="646">
        <f t="shared" ref="D14:AB14" si="51">SUM(D15)</f>
        <v>241216.10631840795</v>
      </c>
      <c r="E14" s="646">
        <f t="shared" si="51"/>
        <v>131917.46863184081</v>
      </c>
      <c r="F14" s="646">
        <f t="shared" si="51"/>
        <v>139401.25258706469</v>
      </c>
      <c r="G14" s="646">
        <f t="shared" si="51"/>
        <v>113259.84661691543</v>
      </c>
      <c r="H14" s="646">
        <f t="shared" si="51"/>
        <v>100528.82684079601</v>
      </c>
      <c r="I14" s="646">
        <f t="shared" si="51"/>
        <v>104472.14512437812</v>
      </c>
      <c r="J14" s="646">
        <f t="shared" si="51"/>
        <v>77200.145124378119</v>
      </c>
      <c r="K14" s="646">
        <f t="shared" si="51"/>
        <v>84028.826840796013</v>
      </c>
      <c r="L14" s="646">
        <f t="shared" si="51"/>
        <v>101501.1331840796</v>
      </c>
      <c r="M14" s="646">
        <f t="shared" si="51"/>
        <v>71831.637661691551</v>
      </c>
      <c r="N14" s="646">
        <f t="shared" si="51"/>
        <v>72760.319378109445</v>
      </c>
      <c r="O14" s="647">
        <f t="shared" si="51"/>
        <v>71831.637661691551</v>
      </c>
      <c r="P14" s="647">
        <f t="shared" si="51"/>
        <v>36182.41594776119</v>
      </c>
      <c r="Q14" s="647">
        <f t="shared" si="51"/>
        <v>205033.69037064674</v>
      </c>
      <c r="R14" s="647">
        <f t="shared" si="51"/>
        <v>118725.72176865673</v>
      </c>
      <c r="S14" s="647">
        <f t="shared" si="51"/>
        <v>138652.8741915423</v>
      </c>
      <c r="T14" s="647">
        <f t="shared" si="51"/>
        <v>115873.98721393035</v>
      </c>
      <c r="U14" s="647">
        <f t="shared" si="51"/>
        <v>101801.92881840796</v>
      </c>
      <c r="V14" s="647">
        <f t="shared" si="51"/>
        <v>104077.81329601991</v>
      </c>
      <c r="W14" s="647">
        <f t="shared" si="51"/>
        <v>79927.345124378131</v>
      </c>
      <c r="X14" s="647">
        <f t="shared" si="51"/>
        <v>83345.958669154235</v>
      </c>
      <c r="Y14" s="647">
        <f t="shared" si="51"/>
        <v>99753.902549751248</v>
      </c>
      <c r="Z14" s="647">
        <f t="shared" si="51"/>
        <v>74798.587213930354</v>
      </c>
      <c r="AA14" s="647">
        <f t="shared" si="51"/>
        <v>72667.451206467653</v>
      </c>
      <c r="AB14" s="738">
        <f t="shared" si="51"/>
        <v>130994.93459701492</v>
      </c>
      <c r="AC14" s="739">
        <f t="shared" ref="AC14:AY14" si="52">SUM(AC15)</f>
        <v>130994.93459701492</v>
      </c>
      <c r="AD14" s="739">
        <f t="shared" si="52"/>
        <v>130994.93459701492</v>
      </c>
      <c r="AE14" s="739">
        <f t="shared" si="52"/>
        <v>130994.93459701492</v>
      </c>
      <c r="AF14" s="739">
        <f t="shared" si="52"/>
        <v>130994.93459701492</v>
      </c>
      <c r="AG14" s="739">
        <f t="shared" si="52"/>
        <v>130994.93459701492</v>
      </c>
      <c r="AH14" s="739">
        <f t="shared" si="52"/>
        <v>130994.93459701492</v>
      </c>
      <c r="AI14" s="739">
        <f t="shared" si="52"/>
        <v>130994.93459701492</v>
      </c>
      <c r="AJ14" s="739">
        <f t="shared" si="52"/>
        <v>130994.93459701492</v>
      </c>
      <c r="AK14" s="739">
        <f t="shared" si="52"/>
        <v>130994.93459701492</v>
      </c>
      <c r="AL14" s="739">
        <f t="shared" si="52"/>
        <v>130994.93459701492</v>
      </c>
      <c r="AM14" s="738">
        <f t="shared" si="52"/>
        <v>130994.93459701492</v>
      </c>
      <c r="AN14" s="734">
        <f t="shared" si="52"/>
        <v>157193.9215164179</v>
      </c>
      <c r="AO14" s="734">
        <f t="shared" si="52"/>
        <v>157193.9215164179</v>
      </c>
      <c r="AP14" s="734">
        <f t="shared" si="52"/>
        <v>157193.9215164179</v>
      </c>
      <c r="AQ14" s="734">
        <f t="shared" si="52"/>
        <v>157193.9215164179</v>
      </c>
      <c r="AR14" s="734">
        <f t="shared" si="52"/>
        <v>157193.9215164179</v>
      </c>
      <c r="AS14" s="734">
        <f t="shared" si="52"/>
        <v>157193.9215164179</v>
      </c>
      <c r="AT14" s="734">
        <f t="shared" si="52"/>
        <v>157193.9215164179</v>
      </c>
      <c r="AU14" s="734">
        <f t="shared" si="52"/>
        <v>157193.9215164179</v>
      </c>
      <c r="AV14" s="734">
        <f t="shared" si="52"/>
        <v>157193.9215164179</v>
      </c>
      <c r="AW14" s="734">
        <f t="shared" si="52"/>
        <v>157193.9215164179</v>
      </c>
      <c r="AX14" s="734">
        <f t="shared" si="52"/>
        <v>157193.9215164179</v>
      </c>
      <c r="AY14" s="734">
        <f t="shared" si="52"/>
        <v>157193.9215164179</v>
      </c>
      <c r="AZ14" s="738">
        <f t="shared" si="14"/>
        <v>1571939.215164179</v>
      </c>
      <c r="BA14" s="734">
        <f t="shared" si="15"/>
        <v>1886327.0581970152</v>
      </c>
    </row>
    <row r="15" spans="1:53" x14ac:dyDescent="0.25">
      <c r="A15" s="363" t="s">
        <v>76</v>
      </c>
      <c r="B15" s="625">
        <f>SUM(D15:O15)</f>
        <v>1309949.3459701494</v>
      </c>
      <c r="C15" s="625">
        <f>SUM(P15:AA15)</f>
        <v>1230841.6763706468</v>
      </c>
      <c r="D15" s="644">
        <f>+IT!O23</f>
        <v>241216.10631840795</v>
      </c>
      <c r="E15" s="644">
        <f>+IT!P23</f>
        <v>131917.46863184081</v>
      </c>
      <c r="F15" s="644">
        <f>+IT!Q23</f>
        <v>139401.25258706469</v>
      </c>
      <c r="G15" s="644">
        <f>+IT!R23</f>
        <v>113259.84661691543</v>
      </c>
      <c r="H15" s="644">
        <f>+IT!S23</f>
        <v>100528.82684079601</v>
      </c>
      <c r="I15" s="644">
        <f>+IT!T23</f>
        <v>104472.14512437812</v>
      </c>
      <c r="J15" s="644">
        <f>+IT!U23</f>
        <v>77200.145124378119</v>
      </c>
      <c r="K15" s="644">
        <f>+IT!V23</f>
        <v>84028.826840796013</v>
      </c>
      <c r="L15" s="644">
        <f>+IT!W23</f>
        <v>101501.1331840796</v>
      </c>
      <c r="M15" s="644">
        <f>+IT!X23</f>
        <v>71831.637661691551</v>
      </c>
      <c r="N15" s="644">
        <f>+IT!Y23</f>
        <v>72760.319378109445</v>
      </c>
      <c r="O15" s="645">
        <f>+IT!Z23</f>
        <v>71831.637661691551</v>
      </c>
      <c r="P15" s="643">
        <f t="shared" ref="P15" si="53">+D15*15%</f>
        <v>36182.41594776119</v>
      </c>
      <c r="Q15" s="656">
        <f t="shared" ref="Q15" si="54">+D15*85%</f>
        <v>205033.69037064674</v>
      </c>
      <c r="R15" s="656">
        <f t="shared" ref="R15" si="55">+E15*90%</f>
        <v>118725.72176865673</v>
      </c>
      <c r="S15" s="656">
        <f t="shared" ref="S15" si="56">+F15*90%+E15*10%</f>
        <v>138652.8741915423</v>
      </c>
      <c r="T15" s="656">
        <f t="shared" ref="T15" si="57">+G15*90%+F15*10%</f>
        <v>115873.98721393035</v>
      </c>
      <c r="U15" s="656">
        <f t="shared" ref="U15" si="58">+H15*90%+G15*10%</f>
        <v>101801.92881840796</v>
      </c>
      <c r="V15" s="656">
        <f t="shared" ref="V15" si="59">+I15*90%+H15*10%</f>
        <v>104077.81329601991</v>
      </c>
      <c r="W15" s="656">
        <f t="shared" ref="W15" si="60">+J15*90%+I15*10%</f>
        <v>79927.345124378131</v>
      </c>
      <c r="X15" s="656">
        <f t="shared" ref="X15" si="61">+K15*90%+J15*10%</f>
        <v>83345.958669154235</v>
      </c>
      <c r="Y15" s="656">
        <f t="shared" ref="Y15" si="62">+L15*90%+K15*10%</f>
        <v>99753.902549751248</v>
      </c>
      <c r="Z15" s="656">
        <f t="shared" ref="Z15" si="63">+M15*90%+L15*10%</f>
        <v>74798.587213930354</v>
      </c>
      <c r="AA15" s="657">
        <f t="shared" ref="AA15" si="64">+N15*90%+M15*10%</f>
        <v>72667.451206467653</v>
      </c>
      <c r="AB15" s="736">
        <v>130994.93459701492</v>
      </c>
      <c r="AC15" s="736">
        <v>130994.93459701492</v>
      </c>
      <c r="AD15" s="736">
        <v>130994.93459701492</v>
      </c>
      <c r="AE15" s="736">
        <v>130994.93459701492</v>
      </c>
      <c r="AF15" s="736">
        <v>130994.93459701492</v>
      </c>
      <c r="AG15" s="736">
        <v>130994.93459701492</v>
      </c>
      <c r="AH15" s="736">
        <v>130994.93459701492</v>
      </c>
      <c r="AI15" s="736">
        <v>130994.93459701492</v>
      </c>
      <c r="AJ15" s="736">
        <v>130994.93459701492</v>
      </c>
      <c r="AK15" s="736">
        <v>130994.93459701492</v>
      </c>
      <c r="AL15" s="736">
        <v>130994.93459701492</v>
      </c>
      <c r="AM15" s="737">
        <v>130994.93459701492</v>
      </c>
      <c r="AN15" s="732">
        <v>157193.9215164179</v>
      </c>
      <c r="AO15" s="732">
        <v>157193.9215164179</v>
      </c>
      <c r="AP15" s="732">
        <v>157193.9215164179</v>
      </c>
      <c r="AQ15" s="732">
        <v>157193.9215164179</v>
      </c>
      <c r="AR15" s="732">
        <v>157193.9215164179</v>
      </c>
      <c r="AS15" s="732">
        <v>157193.9215164179</v>
      </c>
      <c r="AT15" s="732">
        <v>157193.9215164179</v>
      </c>
      <c r="AU15" s="732">
        <v>157193.9215164179</v>
      </c>
      <c r="AV15" s="732">
        <v>157193.9215164179</v>
      </c>
      <c r="AW15" s="732">
        <v>157193.9215164179</v>
      </c>
      <c r="AX15" s="732">
        <v>157193.9215164179</v>
      </c>
      <c r="AY15" s="733">
        <v>157193.9215164179</v>
      </c>
      <c r="AZ15" s="737">
        <f t="shared" si="14"/>
        <v>1571939.215164179</v>
      </c>
      <c r="BA15" s="732">
        <f t="shared" si="15"/>
        <v>1886327.0581970152</v>
      </c>
    </row>
    <row r="16" spans="1:53" x14ac:dyDescent="0.25">
      <c r="A16" s="147" t="s">
        <v>1378</v>
      </c>
      <c r="B16" s="627">
        <f>SUM(B17)</f>
        <v>1744999.9999999998</v>
      </c>
      <c r="C16" s="627">
        <f>SUM(C17)</f>
        <v>1706328.3333333333</v>
      </c>
      <c r="D16" s="646">
        <f t="shared" ref="D16:AB16" si="65">SUM(D17)</f>
        <v>37333.333333333336</v>
      </c>
      <c r="E16" s="646">
        <f t="shared" si="65"/>
        <v>37333.333333333336</v>
      </c>
      <c r="F16" s="646">
        <f t="shared" si="65"/>
        <v>84833.333333333343</v>
      </c>
      <c r="G16" s="646">
        <f t="shared" si="65"/>
        <v>99033.333333333328</v>
      </c>
      <c r="H16" s="646">
        <f t="shared" si="65"/>
        <v>76783.333333333343</v>
      </c>
      <c r="I16" s="646">
        <f t="shared" si="65"/>
        <v>276783.33333333337</v>
      </c>
      <c r="J16" s="646">
        <f t="shared" si="65"/>
        <v>275433.33333333337</v>
      </c>
      <c r="K16" s="646">
        <f t="shared" si="65"/>
        <v>270933.33333333337</v>
      </c>
      <c r="L16" s="646">
        <f t="shared" si="65"/>
        <v>257883.33333333334</v>
      </c>
      <c r="M16" s="646">
        <f t="shared" si="65"/>
        <v>260383.33333333334</v>
      </c>
      <c r="N16" s="646">
        <f t="shared" si="65"/>
        <v>32883.333333333328</v>
      </c>
      <c r="O16" s="647">
        <f t="shared" si="65"/>
        <v>35383.333333333328</v>
      </c>
      <c r="P16" s="647">
        <f t="shared" si="65"/>
        <v>5600</v>
      </c>
      <c r="Q16" s="647">
        <f t="shared" si="65"/>
        <v>31733.333333333336</v>
      </c>
      <c r="R16" s="647">
        <f t="shared" si="65"/>
        <v>33600</v>
      </c>
      <c r="S16" s="647">
        <f t="shared" si="65"/>
        <v>80083.333333333343</v>
      </c>
      <c r="T16" s="647">
        <f t="shared" si="65"/>
        <v>97613.333333333328</v>
      </c>
      <c r="U16" s="647">
        <f t="shared" si="65"/>
        <v>79008.333333333343</v>
      </c>
      <c r="V16" s="647">
        <f t="shared" si="65"/>
        <v>256783.33333333337</v>
      </c>
      <c r="W16" s="647">
        <f t="shared" si="65"/>
        <v>275568.33333333337</v>
      </c>
      <c r="X16" s="647">
        <f t="shared" si="65"/>
        <v>271383.33333333337</v>
      </c>
      <c r="Y16" s="647">
        <f t="shared" si="65"/>
        <v>259188.33333333334</v>
      </c>
      <c r="Z16" s="647">
        <f t="shared" si="65"/>
        <v>260133.33333333334</v>
      </c>
      <c r="AA16" s="647">
        <f t="shared" si="65"/>
        <v>55633.333333333328</v>
      </c>
      <c r="AB16" s="738">
        <f t="shared" si="65"/>
        <v>174500</v>
      </c>
      <c r="AC16" s="739">
        <f t="shared" ref="AC16:AY16" si="66">SUM(AC17)</f>
        <v>174500</v>
      </c>
      <c r="AD16" s="739">
        <f t="shared" si="66"/>
        <v>174500</v>
      </c>
      <c r="AE16" s="739">
        <f t="shared" si="66"/>
        <v>174500</v>
      </c>
      <c r="AF16" s="739">
        <f t="shared" si="66"/>
        <v>174500</v>
      </c>
      <c r="AG16" s="739">
        <f t="shared" si="66"/>
        <v>174500</v>
      </c>
      <c r="AH16" s="739">
        <f t="shared" si="66"/>
        <v>174500</v>
      </c>
      <c r="AI16" s="739">
        <f t="shared" si="66"/>
        <v>174500</v>
      </c>
      <c r="AJ16" s="739">
        <f t="shared" si="66"/>
        <v>174500</v>
      </c>
      <c r="AK16" s="739">
        <f t="shared" si="66"/>
        <v>174500</v>
      </c>
      <c r="AL16" s="739">
        <f t="shared" si="66"/>
        <v>174500</v>
      </c>
      <c r="AM16" s="738">
        <f t="shared" si="66"/>
        <v>174500</v>
      </c>
      <c r="AN16" s="734">
        <f t="shared" si="66"/>
        <v>209400</v>
      </c>
      <c r="AO16" s="734">
        <f t="shared" si="66"/>
        <v>209400</v>
      </c>
      <c r="AP16" s="734">
        <f t="shared" si="66"/>
        <v>209400</v>
      </c>
      <c r="AQ16" s="734">
        <f t="shared" si="66"/>
        <v>209400</v>
      </c>
      <c r="AR16" s="734">
        <f t="shared" si="66"/>
        <v>209400</v>
      </c>
      <c r="AS16" s="734">
        <f t="shared" si="66"/>
        <v>209400</v>
      </c>
      <c r="AT16" s="734">
        <f t="shared" si="66"/>
        <v>209400</v>
      </c>
      <c r="AU16" s="734">
        <f t="shared" si="66"/>
        <v>209400</v>
      </c>
      <c r="AV16" s="734">
        <f t="shared" si="66"/>
        <v>209400</v>
      </c>
      <c r="AW16" s="734">
        <f t="shared" si="66"/>
        <v>209400</v>
      </c>
      <c r="AX16" s="734">
        <f t="shared" si="66"/>
        <v>209400</v>
      </c>
      <c r="AY16" s="734">
        <f t="shared" si="66"/>
        <v>209400</v>
      </c>
      <c r="AZ16" s="738">
        <f t="shared" si="14"/>
        <v>2094000</v>
      </c>
      <c r="BA16" s="734">
        <f t="shared" si="15"/>
        <v>2512800</v>
      </c>
    </row>
    <row r="17" spans="1:53" x14ac:dyDescent="0.25">
      <c r="A17" s="363" t="s">
        <v>1378</v>
      </c>
      <c r="B17" s="625">
        <f>SUM(D17:O17)</f>
        <v>1744999.9999999998</v>
      </c>
      <c r="C17" s="625">
        <f>SUM(P17:AA17)</f>
        <v>1706328.3333333333</v>
      </c>
      <c r="D17" s="644">
        <f>+Business_Service!O22</f>
        <v>37333.333333333336</v>
      </c>
      <c r="E17" s="644">
        <f>+Business_Service!P22</f>
        <v>37333.333333333336</v>
      </c>
      <c r="F17" s="644">
        <f>+Business_Service!Q22</f>
        <v>84833.333333333343</v>
      </c>
      <c r="G17" s="644">
        <f>+Business_Service!R22</f>
        <v>99033.333333333328</v>
      </c>
      <c r="H17" s="644">
        <f>+Business_Service!S22</f>
        <v>76783.333333333343</v>
      </c>
      <c r="I17" s="644">
        <f>+Business_Service!T22</f>
        <v>276783.33333333337</v>
      </c>
      <c r="J17" s="644">
        <f>+Business_Service!U22</f>
        <v>275433.33333333337</v>
      </c>
      <c r="K17" s="644">
        <f>+Business_Service!V22</f>
        <v>270933.33333333337</v>
      </c>
      <c r="L17" s="644">
        <f>+Business_Service!W22</f>
        <v>257883.33333333334</v>
      </c>
      <c r="M17" s="644">
        <f>+Business_Service!X22</f>
        <v>260383.33333333334</v>
      </c>
      <c r="N17" s="644">
        <f>+Business_Service!Y22</f>
        <v>32883.333333333328</v>
      </c>
      <c r="O17" s="645">
        <f>+Business_Service!Z22</f>
        <v>35383.333333333328</v>
      </c>
      <c r="P17" s="643">
        <f t="shared" ref="P17" si="67">+D17*15%</f>
        <v>5600</v>
      </c>
      <c r="Q17" s="656">
        <f t="shared" ref="Q17" si="68">+D17*85%</f>
        <v>31733.333333333336</v>
      </c>
      <c r="R17" s="656">
        <f t="shared" ref="R17" si="69">+E17*90%</f>
        <v>33600</v>
      </c>
      <c r="S17" s="656">
        <f t="shared" ref="S17" si="70">+F17*90%+E17*10%</f>
        <v>80083.333333333343</v>
      </c>
      <c r="T17" s="656">
        <f t="shared" ref="T17" si="71">+G17*90%+F17*10%</f>
        <v>97613.333333333328</v>
      </c>
      <c r="U17" s="656">
        <f t="shared" ref="U17" si="72">+H17*90%+G17*10%</f>
        <v>79008.333333333343</v>
      </c>
      <c r="V17" s="656">
        <f t="shared" ref="V17" si="73">+I17*90%+H17*10%</f>
        <v>256783.33333333337</v>
      </c>
      <c r="W17" s="656">
        <f t="shared" ref="W17" si="74">+J17*90%+I17*10%</f>
        <v>275568.33333333337</v>
      </c>
      <c r="X17" s="656">
        <f t="shared" ref="X17" si="75">+K17*90%+J17*10%</f>
        <v>271383.33333333337</v>
      </c>
      <c r="Y17" s="656">
        <f t="shared" ref="Y17" si="76">+L17*90%+K17*10%</f>
        <v>259188.33333333334</v>
      </c>
      <c r="Z17" s="656">
        <f t="shared" ref="Z17" si="77">+M17*90%+L17*10%</f>
        <v>260133.33333333334</v>
      </c>
      <c r="AA17" s="657">
        <f t="shared" ref="AA17" si="78">+N17*90%+M17*10%</f>
        <v>55633.333333333328</v>
      </c>
      <c r="AB17" s="736">
        <v>174500</v>
      </c>
      <c r="AC17" s="736">
        <v>174500</v>
      </c>
      <c r="AD17" s="736">
        <v>174500</v>
      </c>
      <c r="AE17" s="736">
        <v>174500</v>
      </c>
      <c r="AF17" s="736">
        <v>174500</v>
      </c>
      <c r="AG17" s="736">
        <v>174500</v>
      </c>
      <c r="AH17" s="736">
        <v>174500</v>
      </c>
      <c r="AI17" s="736">
        <v>174500</v>
      </c>
      <c r="AJ17" s="736">
        <v>174500</v>
      </c>
      <c r="AK17" s="736">
        <v>174500</v>
      </c>
      <c r="AL17" s="736">
        <v>174500</v>
      </c>
      <c r="AM17" s="736">
        <v>174500</v>
      </c>
      <c r="AN17" s="732">
        <v>209400</v>
      </c>
      <c r="AO17" s="732">
        <v>209400</v>
      </c>
      <c r="AP17" s="732">
        <v>209400</v>
      </c>
      <c r="AQ17" s="732">
        <v>209400</v>
      </c>
      <c r="AR17" s="732">
        <v>209400</v>
      </c>
      <c r="AS17" s="732">
        <v>209400</v>
      </c>
      <c r="AT17" s="732">
        <v>209400</v>
      </c>
      <c r="AU17" s="732">
        <v>209400</v>
      </c>
      <c r="AV17" s="732">
        <v>209400</v>
      </c>
      <c r="AW17" s="732">
        <v>209400</v>
      </c>
      <c r="AX17" s="732">
        <v>209400</v>
      </c>
      <c r="AY17" s="733">
        <v>209400</v>
      </c>
      <c r="AZ17" s="736">
        <f t="shared" si="14"/>
        <v>2094000</v>
      </c>
      <c r="BA17" s="732">
        <f t="shared" si="15"/>
        <v>2512800</v>
      </c>
    </row>
    <row r="18" spans="1:53" x14ac:dyDescent="0.25">
      <c r="A18" s="147" t="s">
        <v>93</v>
      </c>
      <c r="B18" s="627">
        <f>SUM(B19)</f>
        <v>310600</v>
      </c>
      <c r="C18" s="627">
        <f>SUM(C19)</f>
        <v>281744.90000000002</v>
      </c>
      <c r="D18" s="646">
        <f t="shared" ref="D18:AB18" si="79">SUM(D19)</f>
        <v>25721</v>
      </c>
      <c r="E18" s="646">
        <f t="shared" si="79"/>
        <v>25571</v>
      </c>
      <c r="F18" s="646">
        <f t="shared" si="79"/>
        <v>26433</v>
      </c>
      <c r="G18" s="646">
        <f t="shared" si="79"/>
        <v>25571</v>
      </c>
      <c r="H18" s="646">
        <f t="shared" si="79"/>
        <v>25721</v>
      </c>
      <c r="I18" s="646">
        <f t="shared" si="79"/>
        <v>26283</v>
      </c>
      <c r="J18" s="646">
        <f t="shared" si="79"/>
        <v>25721</v>
      </c>
      <c r="K18" s="646">
        <f t="shared" si="79"/>
        <v>25571</v>
      </c>
      <c r="L18" s="646">
        <f t="shared" si="79"/>
        <v>26433</v>
      </c>
      <c r="M18" s="646">
        <f t="shared" si="79"/>
        <v>25571</v>
      </c>
      <c r="N18" s="646">
        <f t="shared" si="79"/>
        <v>25721</v>
      </c>
      <c r="O18" s="647">
        <f t="shared" si="79"/>
        <v>26283</v>
      </c>
      <c r="P18" s="647">
        <f t="shared" si="79"/>
        <v>3858.1499999999996</v>
      </c>
      <c r="Q18" s="647">
        <f t="shared" si="79"/>
        <v>21862.85</v>
      </c>
      <c r="R18" s="647">
        <f t="shared" si="79"/>
        <v>23013.9</v>
      </c>
      <c r="S18" s="647">
        <f t="shared" si="79"/>
        <v>26346.800000000003</v>
      </c>
      <c r="T18" s="647">
        <f t="shared" si="79"/>
        <v>25657.200000000001</v>
      </c>
      <c r="U18" s="647">
        <f t="shared" si="79"/>
        <v>25706</v>
      </c>
      <c r="V18" s="647">
        <f t="shared" si="79"/>
        <v>26226.800000000003</v>
      </c>
      <c r="W18" s="647">
        <f t="shared" si="79"/>
        <v>25777.200000000001</v>
      </c>
      <c r="X18" s="647">
        <f t="shared" si="79"/>
        <v>25586</v>
      </c>
      <c r="Y18" s="647">
        <f t="shared" si="79"/>
        <v>26346.800000000003</v>
      </c>
      <c r="Z18" s="647">
        <f t="shared" si="79"/>
        <v>25657.200000000001</v>
      </c>
      <c r="AA18" s="647">
        <f t="shared" si="79"/>
        <v>25706</v>
      </c>
      <c r="AB18" s="738">
        <f t="shared" si="79"/>
        <v>31060</v>
      </c>
      <c r="AC18" s="739">
        <f t="shared" ref="AC18:AY18" si="80">SUM(AC19)</f>
        <v>31060</v>
      </c>
      <c r="AD18" s="739">
        <f t="shared" si="80"/>
        <v>31060</v>
      </c>
      <c r="AE18" s="739">
        <f t="shared" si="80"/>
        <v>31060</v>
      </c>
      <c r="AF18" s="739">
        <f t="shared" si="80"/>
        <v>31060</v>
      </c>
      <c r="AG18" s="739">
        <f t="shared" si="80"/>
        <v>31060</v>
      </c>
      <c r="AH18" s="739">
        <f t="shared" si="80"/>
        <v>31060</v>
      </c>
      <c r="AI18" s="739">
        <f t="shared" si="80"/>
        <v>31060</v>
      </c>
      <c r="AJ18" s="739">
        <f t="shared" si="80"/>
        <v>31060</v>
      </c>
      <c r="AK18" s="739">
        <f t="shared" si="80"/>
        <v>31060</v>
      </c>
      <c r="AL18" s="739">
        <f t="shared" si="80"/>
        <v>31060</v>
      </c>
      <c r="AM18" s="738">
        <f t="shared" si="80"/>
        <v>31060</v>
      </c>
      <c r="AN18" s="734">
        <f t="shared" si="80"/>
        <v>37272</v>
      </c>
      <c r="AO18" s="734">
        <f t="shared" si="80"/>
        <v>37272</v>
      </c>
      <c r="AP18" s="734">
        <f t="shared" si="80"/>
        <v>37272</v>
      </c>
      <c r="AQ18" s="734">
        <f t="shared" si="80"/>
        <v>37272</v>
      </c>
      <c r="AR18" s="734">
        <f t="shared" si="80"/>
        <v>37272</v>
      </c>
      <c r="AS18" s="734">
        <f t="shared" si="80"/>
        <v>37272</v>
      </c>
      <c r="AT18" s="734">
        <f t="shared" si="80"/>
        <v>37272</v>
      </c>
      <c r="AU18" s="734">
        <f t="shared" si="80"/>
        <v>37272</v>
      </c>
      <c r="AV18" s="734">
        <f t="shared" si="80"/>
        <v>37272</v>
      </c>
      <c r="AW18" s="734">
        <f t="shared" si="80"/>
        <v>37272</v>
      </c>
      <c r="AX18" s="734">
        <f t="shared" si="80"/>
        <v>37272</v>
      </c>
      <c r="AY18" s="734">
        <f t="shared" si="80"/>
        <v>37272</v>
      </c>
      <c r="AZ18" s="738">
        <f t="shared" si="14"/>
        <v>372720</v>
      </c>
      <c r="BA18" s="734">
        <f t="shared" si="15"/>
        <v>447264</v>
      </c>
    </row>
    <row r="19" spans="1:53" x14ac:dyDescent="0.25">
      <c r="A19" s="363" t="s">
        <v>82</v>
      </c>
      <c r="B19" s="625">
        <f>SUM(D19:O19)</f>
        <v>310600</v>
      </c>
      <c r="C19" s="625">
        <f>SUM(P19:AA19)</f>
        <v>281744.90000000002</v>
      </c>
      <c r="D19" s="644">
        <f>+Office_Vallenar!O21</f>
        <v>25721</v>
      </c>
      <c r="E19" s="644">
        <f>+Office_Vallenar!P21</f>
        <v>25571</v>
      </c>
      <c r="F19" s="644">
        <f>+Office_Vallenar!Q21</f>
        <v>26433</v>
      </c>
      <c r="G19" s="644">
        <f>+Office_Vallenar!R21</f>
        <v>25571</v>
      </c>
      <c r="H19" s="644">
        <f>+Office_Vallenar!S21</f>
        <v>25721</v>
      </c>
      <c r="I19" s="644">
        <f>+Office_Vallenar!T21</f>
        <v>26283</v>
      </c>
      <c r="J19" s="644">
        <f>+Office_Vallenar!U21</f>
        <v>25721</v>
      </c>
      <c r="K19" s="644">
        <f>+Office_Vallenar!V21</f>
        <v>25571</v>
      </c>
      <c r="L19" s="644">
        <f>+Office_Vallenar!W21</f>
        <v>26433</v>
      </c>
      <c r="M19" s="644">
        <f>+Office_Vallenar!X21</f>
        <v>25571</v>
      </c>
      <c r="N19" s="644">
        <f>+Office_Vallenar!Y21</f>
        <v>25721</v>
      </c>
      <c r="O19" s="645">
        <f>+Office_Vallenar!Z21</f>
        <v>26283</v>
      </c>
      <c r="P19" s="643">
        <f t="shared" ref="P19" si="81">+D19*15%</f>
        <v>3858.1499999999996</v>
      </c>
      <c r="Q19" s="656">
        <f t="shared" ref="Q19" si="82">+D19*85%</f>
        <v>21862.85</v>
      </c>
      <c r="R19" s="656">
        <f t="shared" ref="R19" si="83">+E19*90%</f>
        <v>23013.9</v>
      </c>
      <c r="S19" s="656">
        <f t="shared" ref="S19" si="84">+F19*90%+E19*10%</f>
        <v>26346.800000000003</v>
      </c>
      <c r="T19" s="656">
        <f t="shared" ref="T19" si="85">+G19*90%+F19*10%</f>
        <v>25657.200000000001</v>
      </c>
      <c r="U19" s="656">
        <f t="shared" ref="U19" si="86">+H19*90%+G19*10%</f>
        <v>25706</v>
      </c>
      <c r="V19" s="656">
        <f t="shared" ref="V19" si="87">+I19*90%+H19*10%</f>
        <v>26226.800000000003</v>
      </c>
      <c r="W19" s="656">
        <f t="shared" ref="W19" si="88">+J19*90%+I19*10%</f>
        <v>25777.200000000001</v>
      </c>
      <c r="X19" s="656">
        <f t="shared" ref="X19" si="89">+K19*90%+J19*10%</f>
        <v>25586</v>
      </c>
      <c r="Y19" s="656">
        <f t="shared" ref="Y19" si="90">+L19*90%+K19*10%</f>
        <v>26346.800000000003</v>
      </c>
      <c r="Z19" s="656">
        <f t="shared" ref="Z19" si="91">+M19*90%+L19*10%</f>
        <v>25657.200000000001</v>
      </c>
      <c r="AA19" s="657">
        <f t="shared" ref="AA19" si="92">+N19*90%+M19*10%</f>
        <v>25706</v>
      </c>
      <c r="AB19" s="736">
        <v>31060</v>
      </c>
      <c r="AC19" s="736">
        <v>31060</v>
      </c>
      <c r="AD19" s="736">
        <v>31060</v>
      </c>
      <c r="AE19" s="736">
        <v>31060</v>
      </c>
      <c r="AF19" s="736">
        <v>31060</v>
      </c>
      <c r="AG19" s="736">
        <v>31060</v>
      </c>
      <c r="AH19" s="736">
        <v>31060</v>
      </c>
      <c r="AI19" s="736">
        <v>31060</v>
      </c>
      <c r="AJ19" s="736">
        <v>31060</v>
      </c>
      <c r="AK19" s="736">
        <v>31060</v>
      </c>
      <c r="AL19" s="736">
        <v>31060</v>
      </c>
      <c r="AM19" s="737">
        <v>31060</v>
      </c>
      <c r="AN19" s="732">
        <v>37272</v>
      </c>
      <c r="AO19" s="732">
        <v>37272</v>
      </c>
      <c r="AP19" s="732">
        <v>37272</v>
      </c>
      <c r="AQ19" s="732">
        <v>37272</v>
      </c>
      <c r="AR19" s="732">
        <v>37272</v>
      </c>
      <c r="AS19" s="732">
        <v>37272</v>
      </c>
      <c r="AT19" s="732">
        <v>37272</v>
      </c>
      <c r="AU19" s="732">
        <v>37272</v>
      </c>
      <c r="AV19" s="732">
        <v>37272</v>
      </c>
      <c r="AW19" s="732">
        <v>37272</v>
      </c>
      <c r="AX19" s="732">
        <v>37272</v>
      </c>
      <c r="AY19" s="733">
        <v>37272</v>
      </c>
      <c r="AZ19" s="737">
        <f t="shared" si="14"/>
        <v>372720</v>
      </c>
      <c r="BA19" s="732">
        <f t="shared" si="15"/>
        <v>447264</v>
      </c>
    </row>
    <row r="20" spans="1:53" x14ac:dyDescent="0.25">
      <c r="A20" s="378" t="s">
        <v>99</v>
      </c>
      <c r="B20" s="626">
        <f>SUM(B21:B24)</f>
        <v>2369220.5317647061</v>
      </c>
      <c r="C20" s="626">
        <f>SUM(C21:C24)</f>
        <v>2269794.0611764709</v>
      </c>
      <c r="D20" s="617">
        <f t="shared" ref="D20:O20" si="93">SUM(D21:D24)</f>
        <v>72731.617647058825</v>
      </c>
      <c r="E20" s="617">
        <f t="shared" si="93"/>
        <v>77007.352941176476</v>
      </c>
      <c r="F20" s="617">
        <f t="shared" si="93"/>
        <v>1196519.0611764707</v>
      </c>
      <c r="G20" s="617">
        <f t="shared" si="93"/>
        <v>124658.08823529413</v>
      </c>
      <c r="H20" s="617">
        <f t="shared" si="93"/>
        <v>92004.411764705888</v>
      </c>
      <c r="I20" s="617">
        <f t="shared" si="93"/>
        <v>132316.17647058825</v>
      </c>
      <c r="J20" s="617">
        <f t="shared" si="93"/>
        <v>154151.4705882353</v>
      </c>
      <c r="K20" s="617">
        <f t="shared" si="93"/>
        <v>64977.941176470587</v>
      </c>
      <c r="L20" s="617">
        <f t="shared" si="93"/>
        <v>143085.29411764705</v>
      </c>
      <c r="M20" s="617">
        <f t="shared" si="93"/>
        <v>70150.73529411765</v>
      </c>
      <c r="N20" s="617">
        <f t="shared" si="93"/>
        <v>142191.91176470587</v>
      </c>
      <c r="O20" s="379">
        <f t="shared" si="93"/>
        <v>99426.470588235286</v>
      </c>
      <c r="P20" s="617">
        <f t="shared" ref="P20" si="94">SUM(P21:P24)</f>
        <v>10909.742647058822</v>
      </c>
      <c r="Q20" s="617">
        <f t="shared" ref="Q20" si="95">SUM(Q21:Q24)</f>
        <v>61821.875</v>
      </c>
      <c r="R20" s="617">
        <f t="shared" ref="R20" si="96">SUM(R21:R24)</f>
        <v>77007.352941176476</v>
      </c>
      <c r="S20" s="617">
        <f t="shared" ref="S20" si="97">SUM(S21:S24)</f>
        <v>1196519.0611764707</v>
      </c>
      <c r="T20" s="617">
        <f t="shared" ref="T20" si="98">SUM(T21:T24)</f>
        <v>124658.08823529413</v>
      </c>
      <c r="U20" s="617">
        <f t="shared" ref="U20" si="99">SUM(U21:U24)</f>
        <v>92004.411764705888</v>
      </c>
      <c r="V20" s="617">
        <f t="shared" ref="V20" si="100">SUM(V21:V24)</f>
        <v>132316.17647058825</v>
      </c>
      <c r="W20" s="617">
        <f t="shared" ref="W20" si="101">SUM(W21:W24)</f>
        <v>154151.4705882353</v>
      </c>
      <c r="X20" s="617">
        <f t="shared" ref="X20" si="102">SUM(X21:X24)</f>
        <v>64977.941176470587</v>
      </c>
      <c r="Y20" s="617">
        <f t="shared" ref="Y20" si="103">SUM(Y21:Y24)</f>
        <v>143085.29411764705</v>
      </c>
      <c r="Z20" s="617">
        <f t="shared" ref="Z20" si="104">SUM(Z21:Z24)</f>
        <v>70150.73529411765</v>
      </c>
      <c r="AA20" s="379">
        <f t="shared" ref="AA20:AY20" si="105">SUM(AA21:AA24)</f>
        <v>142191.91176470587</v>
      </c>
      <c r="AB20" s="617">
        <f t="shared" si="105"/>
        <v>312132.41666666669</v>
      </c>
      <c r="AC20" s="617">
        <f t="shared" si="105"/>
        <v>312132.41666666669</v>
      </c>
      <c r="AD20" s="617">
        <f t="shared" si="105"/>
        <v>312132.41666666669</v>
      </c>
      <c r="AE20" s="617">
        <f t="shared" si="105"/>
        <v>312132.41666666669</v>
      </c>
      <c r="AF20" s="617">
        <f t="shared" si="105"/>
        <v>312132.41666666669</v>
      </c>
      <c r="AG20" s="617">
        <f t="shared" si="105"/>
        <v>312132.41666666669</v>
      </c>
      <c r="AH20" s="617">
        <f t="shared" si="105"/>
        <v>312132.41666666669</v>
      </c>
      <c r="AI20" s="617">
        <f t="shared" si="105"/>
        <v>312132.41666666669</v>
      </c>
      <c r="AJ20" s="617">
        <f t="shared" si="105"/>
        <v>312132.41666666669</v>
      </c>
      <c r="AK20" s="617">
        <f t="shared" si="105"/>
        <v>312132.41666666669</v>
      </c>
      <c r="AL20" s="617">
        <f t="shared" si="105"/>
        <v>312132.41666666669</v>
      </c>
      <c r="AM20" s="379">
        <f t="shared" si="105"/>
        <v>312132.41666666669</v>
      </c>
      <c r="AN20" s="379">
        <f t="shared" si="105"/>
        <v>86666.666666666672</v>
      </c>
      <c r="AO20" s="379">
        <f t="shared" si="105"/>
        <v>86666.666666666672</v>
      </c>
      <c r="AP20" s="379">
        <f t="shared" si="105"/>
        <v>86666.666666666672</v>
      </c>
      <c r="AQ20" s="379">
        <f t="shared" si="105"/>
        <v>86666.666666666672</v>
      </c>
      <c r="AR20" s="379">
        <f t="shared" si="105"/>
        <v>86666.666666666672</v>
      </c>
      <c r="AS20" s="379">
        <f t="shared" si="105"/>
        <v>86666.666666666672</v>
      </c>
      <c r="AT20" s="379">
        <f t="shared" si="105"/>
        <v>86666.666666666672</v>
      </c>
      <c r="AU20" s="379">
        <f t="shared" si="105"/>
        <v>86666.666666666672</v>
      </c>
      <c r="AV20" s="379">
        <f t="shared" si="105"/>
        <v>86666.666666666672</v>
      </c>
      <c r="AW20" s="379">
        <f t="shared" si="105"/>
        <v>86666.666666666672</v>
      </c>
      <c r="AX20" s="379">
        <f t="shared" si="105"/>
        <v>86666.666666666672</v>
      </c>
      <c r="AY20" s="379">
        <f t="shared" si="105"/>
        <v>86666.666666666672</v>
      </c>
      <c r="AZ20" s="379">
        <f t="shared" si="14"/>
        <v>3745588.9999999995</v>
      </c>
      <c r="BA20" s="379">
        <f t="shared" si="15"/>
        <v>1039999.9999999999</v>
      </c>
    </row>
    <row r="21" spans="1:53" x14ac:dyDescent="0.25">
      <c r="A21" s="363" t="s">
        <v>85</v>
      </c>
      <c r="B21" s="625">
        <f>SUM(D21:O21)</f>
        <v>734828.13316176471</v>
      </c>
      <c r="C21" s="625">
        <f>SUM(P21:AA21)</f>
        <v>720265.63316176471</v>
      </c>
      <c r="D21" s="644">
        <f>+Legal_1!O17</f>
        <v>20602.941176470587</v>
      </c>
      <c r="E21" s="644">
        <f>+Legal_1!P17</f>
        <v>23305.147058823532</v>
      </c>
      <c r="F21" s="644">
        <f>+Legal_1!Q17</f>
        <v>439309.75080882356</v>
      </c>
      <c r="G21" s="644">
        <f>+Legal_1!R17</f>
        <v>37400.73529411765</v>
      </c>
      <c r="H21" s="644">
        <f>+Legal_1!S17</f>
        <v>21033.088235294119</v>
      </c>
      <c r="I21" s="644">
        <f>+Legal_1!T17</f>
        <v>37452.205882352944</v>
      </c>
      <c r="J21" s="644">
        <f>+Legal_1!U17</f>
        <v>38121.323529411762</v>
      </c>
      <c r="K21" s="644">
        <f>+Legal_1!V17</f>
        <v>11275.73529411765</v>
      </c>
      <c r="L21" s="644">
        <f>+Legal_1!W17</f>
        <v>47121.323529411762</v>
      </c>
      <c r="M21" s="644">
        <f>+Legal_1!X17</f>
        <v>17838.235294117647</v>
      </c>
      <c r="N21" s="644">
        <f>+Legal_1!Y17</f>
        <v>26805.147058823528</v>
      </c>
      <c r="O21" s="644">
        <f>+Legal_1!Z17</f>
        <v>14562.5</v>
      </c>
      <c r="P21" s="643">
        <f t="shared" ref="P21:P23" si="106">+D21*15%</f>
        <v>3090.4411764705878</v>
      </c>
      <c r="Q21" s="656">
        <f>+D21*85%</f>
        <v>17512.5</v>
      </c>
      <c r="R21" s="656">
        <f>+E21*100%</f>
        <v>23305.147058823532</v>
      </c>
      <c r="S21" s="656">
        <f t="shared" ref="S21:AA21" si="107">+F21*100%</f>
        <v>439309.75080882356</v>
      </c>
      <c r="T21" s="656">
        <f t="shared" si="107"/>
        <v>37400.73529411765</v>
      </c>
      <c r="U21" s="656">
        <f t="shared" si="107"/>
        <v>21033.088235294119</v>
      </c>
      <c r="V21" s="656">
        <f t="shared" si="107"/>
        <v>37452.205882352944</v>
      </c>
      <c r="W21" s="656">
        <f t="shared" si="107"/>
        <v>38121.323529411762</v>
      </c>
      <c r="X21" s="656">
        <f t="shared" si="107"/>
        <v>11275.73529411765</v>
      </c>
      <c r="Y21" s="656">
        <f t="shared" si="107"/>
        <v>47121.323529411762</v>
      </c>
      <c r="Z21" s="656">
        <f t="shared" si="107"/>
        <v>17838.235294117647</v>
      </c>
      <c r="AA21" s="657">
        <f t="shared" si="107"/>
        <v>26805.147058823528</v>
      </c>
      <c r="AB21" s="736">
        <v>64486.75</v>
      </c>
      <c r="AC21" s="736">
        <v>64486.75</v>
      </c>
      <c r="AD21" s="736">
        <v>64486.75</v>
      </c>
      <c r="AE21" s="736">
        <v>64486.75</v>
      </c>
      <c r="AF21" s="736">
        <v>64486.75</v>
      </c>
      <c r="AG21" s="736">
        <v>64486.75</v>
      </c>
      <c r="AH21" s="736">
        <v>64486.75</v>
      </c>
      <c r="AI21" s="736">
        <v>64486.75</v>
      </c>
      <c r="AJ21" s="736">
        <v>64486.75</v>
      </c>
      <c r="AK21" s="736">
        <v>64486.75</v>
      </c>
      <c r="AL21" s="736">
        <v>64486.75</v>
      </c>
      <c r="AM21" s="736">
        <v>64486.75</v>
      </c>
      <c r="AN21" s="732">
        <v>12500</v>
      </c>
      <c r="AO21" s="732">
        <v>12500</v>
      </c>
      <c r="AP21" s="732">
        <v>12500</v>
      </c>
      <c r="AQ21" s="732">
        <v>12500</v>
      </c>
      <c r="AR21" s="732">
        <v>12500</v>
      </c>
      <c r="AS21" s="732">
        <v>12500</v>
      </c>
      <c r="AT21" s="732">
        <v>12500</v>
      </c>
      <c r="AU21" s="732">
        <v>12500</v>
      </c>
      <c r="AV21" s="732">
        <v>12500</v>
      </c>
      <c r="AW21" s="732">
        <v>12500</v>
      </c>
      <c r="AX21" s="732">
        <v>12500</v>
      </c>
      <c r="AY21" s="732">
        <v>12500</v>
      </c>
      <c r="AZ21" s="736">
        <f t="shared" si="14"/>
        <v>773841</v>
      </c>
      <c r="BA21" s="732">
        <f t="shared" si="15"/>
        <v>150000</v>
      </c>
    </row>
    <row r="22" spans="1:53" x14ac:dyDescent="0.25">
      <c r="A22" s="363" t="s">
        <v>88</v>
      </c>
      <c r="B22" s="625">
        <f t="shared" ref="B22:B24" si="108">SUM(D22:O22)</f>
        <v>853671.81036764709</v>
      </c>
      <c r="C22" s="625">
        <f t="shared" ref="C22:C24" si="109">SUM(P22:AA22)</f>
        <v>852076.222132353</v>
      </c>
      <c r="D22" s="644">
        <f>+Legal_1!O18</f>
        <v>1860.2941176470588</v>
      </c>
      <c r="E22" s="644">
        <f>+Legal_1!P18</f>
        <v>3433.8235294117649</v>
      </c>
      <c r="F22" s="644">
        <f>+Legal_1!Q18</f>
        <v>672840.92801470589</v>
      </c>
      <c r="G22" s="644">
        <f>+Legal_1!R18</f>
        <v>26988.970588235294</v>
      </c>
      <c r="H22" s="644">
        <f>+Legal_1!S18</f>
        <v>19602.941176470591</v>
      </c>
      <c r="I22" s="644">
        <f>+Legal_1!T18</f>
        <v>1595.5882352941176</v>
      </c>
      <c r="J22" s="644">
        <f>+Legal_1!U18</f>
        <v>64661.764705882357</v>
      </c>
      <c r="K22" s="644">
        <f>+Legal_1!V18</f>
        <v>3433.8235294117649</v>
      </c>
      <c r="L22" s="644">
        <f>+Legal_1!W18</f>
        <v>1595.5882352941176</v>
      </c>
      <c r="M22" s="644">
        <f>+Legal_1!X18</f>
        <v>2044.1176470588234</v>
      </c>
      <c r="N22" s="644">
        <f>+Legal_1!Y18</f>
        <v>54018.382352941175</v>
      </c>
      <c r="O22" s="644">
        <f>+Legal_1!Z18</f>
        <v>1595.5882352941176</v>
      </c>
      <c r="P22" s="643">
        <f t="shared" si="106"/>
        <v>279.04411764705878</v>
      </c>
      <c r="Q22" s="656">
        <f t="shared" ref="Q22:Q24" si="110">+D22*85%</f>
        <v>1581.25</v>
      </c>
      <c r="R22" s="656">
        <f t="shared" ref="R22:R24" si="111">+E22*100%</f>
        <v>3433.8235294117649</v>
      </c>
      <c r="S22" s="656">
        <f t="shared" ref="S22:S24" si="112">+F22*100%</f>
        <v>672840.92801470589</v>
      </c>
      <c r="T22" s="656">
        <f t="shared" ref="T22:T24" si="113">+G22*100%</f>
        <v>26988.970588235294</v>
      </c>
      <c r="U22" s="656">
        <f t="shared" ref="U22:U24" si="114">+H22*100%</f>
        <v>19602.941176470591</v>
      </c>
      <c r="V22" s="656">
        <f t="shared" ref="V22:V24" si="115">+I22*100%</f>
        <v>1595.5882352941176</v>
      </c>
      <c r="W22" s="656">
        <f t="shared" ref="W22:W24" si="116">+J22*100%</f>
        <v>64661.764705882357</v>
      </c>
      <c r="X22" s="656">
        <f t="shared" ref="X22:X24" si="117">+K22*100%</f>
        <v>3433.8235294117649</v>
      </c>
      <c r="Y22" s="656">
        <f t="shared" ref="Y22:Y24" si="118">+L22*100%</f>
        <v>1595.5882352941176</v>
      </c>
      <c r="Z22" s="656">
        <f t="shared" ref="Z22:Z24" si="119">+M22*100%</f>
        <v>2044.1176470588234</v>
      </c>
      <c r="AA22" s="657">
        <f t="shared" ref="AA22:AA24" si="120">+N22*100%</f>
        <v>54018.382352941175</v>
      </c>
      <c r="AB22" s="736">
        <v>74931.166666666672</v>
      </c>
      <c r="AC22" s="736">
        <v>74931.166666666672</v>
      </c>
      <c r="AD22" s="736">
        <v>74931.166666666672</v>
      </c>
      <c r="AE22" s="736">
        <v>74931.166666666672</v>
      </c>
      <c r="AF22" s="736">
        <v>74931.166666666672</v>
      </c>
      <c r="AG22" s="736">
        <v>74931.166666666672</v>
      </c>
      <c r="AH22" s="736">
        <v>74931.166666666672</v>
      </c>
      <c r="AI22" s="736">
        <v>74931.166666666672</v>
      </c>
      <c r="AJ22" s="736">
        <v>74931.166666666672</v>
      </c>
      <c r="AK22" s="736">
        <v>74931.166666666672</v>
      </c>
      <c r="AL22" s="736">
        <v>74931.166666666672</v>
      </c>
      <c r="AM22" s="736">
        <v>74931.166666666672</v>
      </c>
      <c r="AN22" s="732">
        <v>29166.666666666668</v>
      </c>
      <c r="AO22" s="732">
        <v>29166.666666666668</v>
      </c>
      <c r="AP22" s="732">
        <v>29166.666666666668</v>
      </c>
      <c r="AQ22" s="732">
        <v>29166.666666666668</v>
      </c>
      <c r="AR22" s="732">
        <v>29166.666666666668</v>
      </c>
      <c r="AS22" s="732">
        <v>29166.666666666668</v>
      </c>
      <c r="AT22" s="732">
        <v>29166.666666666668</v>
      </c>
      <c r="AU22" s="732">
        <v>29166.666666666668</v>
      </c>
      <c r="AV22" s="732">
        <v>29166.666666666668</v>
      </c>
      <c r="AW22" s="732">
        <v>29166.666666666668</v>
      </c>
      <c r="AX22" s="732">
        <v>29166.666666666668</v>
      </c>
      <c r="AY22" s="732">
        <v>29166.666666666668</v>
      </c>
      <c r="AZ22" s="736">
        <f t="shared" si="14"/>
        <v>899173.99999999988</v>
      </c>
      <c r="BA22" s="732">
        <f t="shared" si="15"/>
        <v>350000.00000000006</v>
      </c>
    </row>
    <row r="23" spans="1:53" x14ac:dyDescent="0.25">
      <c r="A23" s="363" t="s">
        <v>1039</v>
      </c>
      <c r="B23" s="625">
        <f t="shared" si="108"/>
        <v>740720.58823529433</v>
      </c>
      <c r="C23" s="625">
        <f t="shared" si="109"/>
        <v>657452.20588235313</v>
      </c>
      <c r="D23" s="644">
        <f>+Legal_1!O19</f>
        <v>50268.382352941175</v>
      </c>
      <c r="E23" s="644">
        <f>+Legal_1!P19</f>
        <v>50268.382352941175</v>
      </c>
      <c r="F23" s="644">
        <f>+Legal_1!Q19</f>
        <v>84368.382352941175</v>
      </c>
      <c r="G23" s="644">
        <f>+Legal_1!R19</f>
        <v>50268.382352941175</v>
      </c>
      <c r="H23" s="644">
        <f>+Legal_1!S19</f>
        <v>51368.382352941175</v>
      </c>
      <c r="I23" s="644">
        <f>+Legal_1!T19</f>
        <v>83268.382352941175</v>
      </c>
      <c r="J23" s="644">
        <f>+Legal_1!U19</f>
        <v>51368.382352941175</v>
      </c>
      <c r="K23" s="644">
        <f>+Legal_1!V19</f>
        <v>50268.382352941175</v>
      </c>
      <c r="L23" s="644">
        <f>+Legal_1!W19</f>
        <v>84368.382352941175</v>
      </c>
      <c r="M23" s="644">
        <f>+Legal_1!X19</f>
        <v>50268.382352941175</v>
      </c>
      <c r="N23" s="644">
        <f>+Legal_1!Y19</f>
        <v>51368.382352941175</v>
      </c>
      <c r="O23" s="644">
        <f>+Legal_1!Z19</f>
        <v>83268.382352941175</v>
      </c>
      <c r="P23" s="643">
        <f t="shared" si="106"/>
        <v>7540.2573529411757</v>
      </c>
      <c r="Q23" s="656">
        <f t="shared" si="110"/>
        <v>42728.125</v>
      </c>
      <c r="R23" s="656">
        <f t="shared" si="111"/>
        <v>50268.382352941175</v>
      </c>
      <c r="S23" s="656">
        <f t="shared" si="112"/>
        <v>84368.382352941175</v>
      </c>
      <c r="T23" s="656">
        <f t="shared" si="113"/>
        <v>50268.382352941175</v>
      </c>
      <c r="U23" s="656">
        <f t="shared" si="114"/>
        <v>51368.382352941175</v>
      </c>
      <c r="V23" s="656">
        <f t="shared" si="115"/>
        <v>83268.382352941175</v>
      </c>
      <c r="W23" s="656">
        <f t="shared" si="116"/>
        <v>51368.382352941175</v>
      </c>
      <c r="X23" s="656">
        <f t="shared" si="117"/>
        <v>50268.382352941175</v>
      </c>
      <c r="Y23" s="656">
        <f t="shared" si="118"/>
        <v>84368.382352941175</v>
      </c>
      <c r="Z23" s="656">
        <f t="shared" si="119"/>
        <v>50268.382352941175</v>
      </c>
      <c r="AA23" s="657">
        <f t="shared" si="120"/>
        <v>51368.382352941175</v>
      </c>
      <c r="AB23" s="736">
        <v>169381.16666666666</v>
      </c>
      <c r="AC23" s="736">
        <v>169381.16666666666</v>
      </c>
      <c r="AD23" s="736">
        <v>169381.16666666666</v>
      </c>
      <c r="AE23" s="736">
        <v>169381.16666666666</v>
      </c>
      <c r="AF23" s="736">
        <v>169381.16666666666</v>
      </c>
      <c r="AG23" s="736">
        <v>169381.16666666666</v>
      </c>
      <c r="AH23" s="736">
        <v>169381.16666666666</v>
      </c>
      <c r="AI23" s="736">
        <v>169381.16666666666</v>
      </c>
      <c r="AJ23" s="736">
        <v>169381.16666666666</v>
      </c>
      <c r="AK23" s="736">
        <v>169381.16666666666</v>
      </c>
      <c r="AL23" s="736">
        <v>169381.16666666666</v>
      </c>
      <c r="AM23" s="736">
        <v>169381.16666666666</v>
      </c>
      <c r="AN23" s="732">
        <v>41666.666666666664</v>
      </c>
      <c r="AO23" s="732">
        <v>41666.666666666664</v>
      </c>
      <c r="AP23" s="732">
        <v>41666.666666666664</v>
      </c>
      <c r="AQ23" s="732">
        <v>41666.666666666664</v>
      </c>
      <c r="AR23" s="732">
        <v>41666.666666666664</v>
      </c>
      <c r="AS23" s="732">
        <v>41666.666666666664</v>
      </c>
      <c r="AT23" s="732">
        <v>41666.666666666664</v>
      </c>
      <c r="AU23" s="732">
        <v>41666.666666666664</v>
      </c>
      <c r="AV23" s="732">
        <v>41666.666666666664</v>
      </c>
      <c r="AW23" s="732">
        <v>41666.666666666664</v>
      </c>
      <c r="AX23" s="732">
        <v>41666.666666666664</v>
      </c>
      <c r="AY23" s="732">
        <v>41666.666666666664</v>
      </c>
      <c r="AZ23" s="736">
        <f t="shared" si="14"/>
        <v>2032574.0000000002</v>
      </c>
      <c r="BA23" s="732">
        <f t="shared" si="15"/>
        <v>500000.00000000006</v>
      </c>
    </row>
    <row r="24" spans="1:53" x14ac:dyDescent="0.25">
      <c r="A24" s="363" t="s">
        <v>94</v>
      </c>
      <c r="B24" s="625">
        <f t="shared" si="108"/>
        <v>40000</v>
      </c>
      <c r="C24" s="625">
        <f t="shared" si="109"/>
        <v>40000</v>
      </c>
      <c r="D24" s="644">
        <f>+Legal_1!O28</f>
        <v>0</v>
      </c>
      <c r="E24" s="644">
        <f>+Legal_1!P28</f>
        <v>0</v>
      </c>
      <c r="F24" s="644">
        <f>+Legal_1!Q28</f>
        <v>0</v>
      </c>
      <c r="G24" s="644">
        <f>+Legal_1!R28</f>
        <v>10000</v>
      </c>
      <c r="H24" s="644">
        <f>+Legal_1!S28</f>
        <v>0</v>
      </c>
      <c r="I24" s="644">
        <f>+Legal_1!T28</f>
        <v>10000</v>
      </c>
      <c r="J24" s="644">
        <f>+Legal_1!U28</f>
        <v>0</v>
      </c>
      <c r="K24" s="644">
        <f>+Legal_1!V28</f>
        <v>0</v>
      </c>
      <c r="L24" s="644">
        <f>+Legal_1!W28</f>
        <v>10000</v>
      </c>
      <c r="M24" s="644">
        <f>+Legal_1!X28</f>
        <v>0</v>
      </c>
      <c r="N24" s="644">
        <f>+Legal_1!Y28</f>
        <v>10000</v>
      </c>
      <c r="O24" s="644">
        <f>+Legal_1!Z28</f>
        <v>0</v>
      </c>
      <c r="P24" s="643">
        <f>+D24*15%</f>
        <v>0</v>
      </c>
      <c r="Q24" s="656">
        <f t="shared" si="110"/>
        <v>0</v>
      </c>
      <c r="R24" s="656">
        <f t="shared" si="111"/>
        <v>0</v>
      </c>
      <c r="S24" s="656">
        <f t="shared" si="112"/>
        <v>0</v>
      </c>
      <c r="T24" s="656">
        <f t="shared" si="113"/>
        <v>10000</v>
      </c>
      <c r="U24" s="656">
        <f t="shared" si="114"/>
        <v>0</v>
      </c>
      <c r="V24" s="656">
        <f t="shared" si="115"/>
        <v>10000</v>
      </c>
      <c r="W24" s="656">
        <f t="shared" si="116"/>
        <v>0</v>
      </c>
      <c r="X24" s="656">
        <f t="shared" si="117"/>
        <v>0</v>
      </c>
      <c r="Y24" s="656">
        <f t="shared" si="118"/>
        <v>10000</v>
      </c>
      <c r="Z24" s="656">
        <f t="shared" si="119"/>
        <v>0</v>
      </c>
      <c r="AA24" s="657">
        <f t="shared" si="120"/>
        <v>10000</v>
      </c>
      <c r="AB24" s="736">
        <v>3333.3333333333335</v>
      </c>
      <c r="AC24" s="736">
        <v>3333.3333333333335</v>
      </c>
      <c r="AD24" s="736">
        <v>3333.3333333333335</v>
      </c>
      <c r="AE24" s="736">
        <v>3333.3333333333335</v>
      </c>
      <c r="AF24" s="736">
        <v>3333.3333333333335</v>
      </c>
      <c r="AG24" s="736">
        <v>3333.3333333333335</v>
      </c>
      <c r="AH24" s="736">
        <v>3333.3333333333335</v>
      </c>
      <c r="AI24" s="736">
        <v>3333.3333333333335</v>
      </c>
      <c r="AJ24" s="736">
        <v>3333.3333333333335</v>
      </c>
      <c r="AK24" s="736">
        <v>3333.3333333333335</v>
      </c>
      <c r="AL24" s="736">
        <v>3333.3333333333335</v>
      </c>
      <c r="AM24" s="736">
        <v>3333.3333333333335</v>
      </c>
      <c r="AN24" s="732">
        <v>3333.3333333333335</v>
      </c>
      <c r="AO24" s="732">
        <v>3333.3333333333335</v>
      </c>
      <c r="AP24" s="732">
        <v>3333.3333333333335</v>
      </c>
      <c r="AQ24" s="732">
        <v>3333.3333333333335</v>
      </c>
      <c r="AR24" s="732">
        <v>3333.3333333333335</v>
      </c>
      <c r="AS24" s="732">
        <v>3333.3333333333335</v>
      </c>
      <c r="AT24" s="732">
        <v>3333.3333333333335</v>
      </c>
      <c r="AU24" s="732">
        <v>3333.3333333333335</v>
      </c>
      <c r="AV24" s="732">
        <v>3333.3333333333335</v>
      </c>
      <c r="AW24" s="732">
        <v>3333.3333333333335</v>
      </c>
      <c r="AX24" s="732">
        <v>3333.3333333333335</v>
      </c>
      <c r="AY24" s="732">
        <v>3333.3333333333335</v>
      </c>
      <c r="AZ24" s="736">
        <f t="shared" si="14"/>
        <v>40000</v>
      </c>
      <c r="BA24" s="732">
        <f t="shared" si="15"/>
        <v>40000</v>
      </c>
    </row>
    <row r="25" spans="1:53" x14ac:dyDescent="0.25">
      <c r="A25" s="378" t="s">
        <v>113</v>
      </c>
      <c r="B25" s="626">
        <f>SUM(B26:B32)</f>
        <v>11438382.105050711</v>
      </c>
      <c r="C25" s="626">
        <f>SUM(C26:C32)</f>
        <v>10881975.053860605</v>
      </c>
      <c r="D25" s="617">
        <f t="shared" ref="D25:AB25" si="121">SUM(D26:D32)</f>
        <v>1134069.2300777552</v>
      </c>
      <c r="E25" s="617">
        <f t="shared" si="121"/>
        <v>1519441.2575287353</v>
      </c>
      <c r="F25" s="617">
        <f t="shared" si="121"/>
        <v>993058.9830189317</v>
      </c>
      <c r="G25" s="617">
        <f t="shared" si="121"/>
        <v>978116.89118886646</v>
      </c>
      <c r="H25" s="617">
        <f t="shared" si="121"/>
        <v>1040835.2313849448</v>
      </c>
      <c r="I25" s="617">
        <f t="shared" si="121"/>
        <v>1356237.4470712193</v>
      </c>
      <c r="J25" s="617">
        <f t="shared" si="121"/>
        <v>856410.79609082709</v>
      </c>
      <c r="K25" s="617">
        <f t="shared" si="121"/>
        <v>816032.4441300428</v>
      </c>
      <c r="L25" s="617">
        <f t="shared" si="121"/>
        <v>811003.26667906228</v>
      </c>
      <c r="M25" s="617">
        <f t="shared" si="121"/>
        <v>812331.97256141528</v>
      </c>
      <c r="N25" s="617">
        <f t="shared" si="121"/>
        <v>627152.81569867022</v>
      </c>
      <c r="O25" s="379">
        <f t="shared" si="121"/>
        <v>493691.76962023892</v>
      </c>
      <c r="P25" s="379">
        <f t="shared" si="121"/>
        <v>170110.38451166329</v>
      </c>
      <c r="Q25" s="379">
        <f t="shared" si="121"/>
        <v>963958.84556609183</v>
      </c>
      <c r="R25" s="379">
        <f t="shared" si="121"/>
        <v>1367497.1317758621</v>
      </c>
      <c r="S25" s="379">
        <f t="shared" si="121"/>
        <v>1045697.210469912</v>
      </c>
      <c r="T25" s="379">
        <f t="shared" si="121"/>
        <v>979611.10037187301</v>
      </c>
      <c r="U25" s="379">
        <f t="shared" si="121"/>
        <v>1034563.397365337</v>
      </c>
      <c r="V25" s="379">
        <f t="shared" si="121"/>
        <v>1324697.2255025918</v>
      </c>
      <c r="W25" s="379">
        <f t="shared" si="121"/>
        <v>906393.46118886641</v>
      </c>
      <c r="X25" s="379">
        <f t="shared" si="121"/>
        <v>820070.27932612121</v>
      </c>
      <c r="Y25" s="379">
        <f t="shared" si="121"/>
        <v>811506.18442416051</v>
      </c>
      <c r="Z25" s="379">
        <f t="shared" si="121"/>
        <v>812199.10197318008</v>
      </c>
      <c r="AA25" s="379">
        <f t="shared" si="121"/>
        <v>645670.73138494475</v>
      </c>
      <c r="AB25" s="379">
        <f t="shared" si="121"/>
        <v>751250</v>
      </c>
      <c r="AC25" s="617">
        <f t="shared" ref="AC25:AY25" si="122">SUM(AC26:AC32)</f>
        <v>751250</v>
      </c>
      <c r="AD25" s="617">
        <f t="shared" si="122"/>
        <v>751250</v>
      </c>
      <c r="AE25" s="617">
        <f t="shared" si="122"/>
        <v>751250</v>
      </c>
      <c r="AF25" s="617">
        <f t="shared" si="122"/>
        <v>751250</v>
      </c>
      <c r="AG25" s="617">
        <f t="shared" si="122"/>
        <v>751250</v>
      </c>
      <c r="AH25" s="617">
        <f t="shared" si="122"/>
        <v>751250</v>
      </c>
      <c r="AI25" s="617">
        <f t="shared" si="122"/>
        <v>751250</v>
      </c>
      <c r="AJ25" s="617">
        <f t="shared" si="122"/>
        <v>751250</v>
      </c>
      <c r="AK25" s="617">
        <f t="shared" si="122"/>
        <v>751250</v>
      </c>
      <c r="AL25" s="617">
        <f t="shared" si="122"/>
        <v>751250</v>
      </c>
      <c r="AM25" s="379">
        <f t="shared" si="122"/>
        <v>751250</v>
      </c>
      <c r="AN25" s="379">
        <f t="shared" si="122"/>
        <v>1080416.6666666665</v>
      </c>
      <c r="AO25" s="379">
        <f t="shared" si="122"/>
        <v>1080416.6666666665</v>
      </c>
      <c r="AP25" s="379">
        <f t="shared" si="122"/>
        <v>1080416.6666666665</v>
      </c>
      <c r="AQ25" s="379">
        <f t="shared" si="122"/>
        <v>1080416.6666666665</v>
      </c>
      <c r="AR25" s="379">
        <f t="shared" si="122"/>
        <v>1080416.6666666665</v>
      </c>
      <c r="AS25" s="379">
        <f t="shared" si="122"/>
        <v>1080416.6666666665</v>
      </c>
      <c r="AT25" s="379">
        <f t="shared" si="122"/>
        <v>1080416.6666666665</v>
      </c>
      <c r="AU25" s="379">
        <f t="shared" si="122"/>
        <v>1080416.6666666665</v>
      </c>
      <c r="AV25" s="379">
        <f t="shared" si="122"/>
        <v>1080416.6666666665</v>
      </c>
      <c r="AW25" s="379">
        <f t="shared" si="122"/>
        <v>1080416.6666666665</v>
      </c>
      <c r="AX25" s="379">
        <f t="shared" si="122"/>
        <v>1080416.6666666665</v>
      </c>
      <c r="AY25" s="379">
        <f t="shared" si="122"/>
        <v>1080416.6666666665</v>
      </c>
      <c r="AZ25" s="379">
        <f t="shared" si="14"/>
        <v>9015000</v>
      </c>
      <c r="BA25" s="379">
        <f t="shared" si="15"/>
        <v>12964999.999999994</v>
      </c>
    </row>
    <row r="26" spans="1:53" x14ac:dyDescent="0.25">
      <c r="A26" s="363" t="s">
        <v>97</v>
      </c>
      <c r="B26" s="625">
        <f>SUM(D26:O26)</f>
        <v>456484</v>
      </c>
      <c r="C26" s="625">
        <f>SUM(P26:AA26)</f>
        <v>428086.3</v>
      </c>
      <c r="D26" s="644">
        <f>+Communication!O27</f>
        <v>39807</v>
      </c>
      <c r="E26" s="644">
        <f>+Communication!P27</f>
        <v>36807</v>
      </c>
      <c r="F26" s="644">
        <f>+Communication!Q27</f>
        <v>58007</v>
      </c>
      <c r="G26" s="644">
        <f>+Communication!R27</f>
        <v>48307</v>
      </c>
      <c r="H26" s="644">
        <f>+Communication!S27</f>
        <v>49907</v>
      </c>
      <c r="I26" s="644">
        <f>+Communication!T27</f>
        <v>42057</v>
      </c>
      <c r="J26" s="644">
        <f>+Communication!U27</f>
        <v>24907</v>
      </c>
      <c r="K26" s="644">
        <f>+Communication!V27</f>
        <v>37907</v>
      </c>
      <c r="L26" s="644">
        <f>+Communication!W27</f>
        <v>25907</v>
      </c>
      <c r="M26" s="644">
        <f>+Communication!X27</f>
        <v>33057</v>
      </c>
      <c r="N26" s="644">
        <f>+Communication!Y27</f>
        <v>34907</v>
      </c>
      <c r="O26" s="645">
        <f>+Communication!Z27</f>
        <v>24907</v>
      </c>
      <c r="P26" s="643">
        <f t="shared" ref="P26" si="123">+D26*15%</f>
        <v>5971.05</v>
      </c>
      <c r="Q26" s="656">
        <f t="shared" ref="Q26" si="124">+D26*85%</f>
        <v>33835.949999999997</v>
      </c>
      <c r="R26" s="656">
        <f t="shared" ref="R26" si="125">+E26*90%</f>
        <v>33126.300000000003</v>
      </c>
      <c r="S26" s="656">
        <f t="shared" ref="S26" si="126">+F26*90%+E26*10%</f>
        <v>55887</v>
      </c>
      <c r="T26" s="656">
        <f t="shared" ref="T26" si="127">+G26*90%+F26*10%</f>
        <v>49277</v>
      </c>
      <c r="U26" s="656">
        <f t="shared" ref="U26" si="128">+H26*90%+G26*10%</f>
        <v>49747</v>
      </c>
      <c r="V26" s="656">
        <f t="shared" ref="V26" si="129">+I26*90%+H26*10%</f>
        <v>42842</v>
      </c>
      <c r="W26" s="656">
        <f t="shared" ref="W26" si="130">+J26*90%+I26*10%</f>
        <v>26622</v>
      </c>
      <c r="X26" s="656">
        <f t="shared" ref="X26" si="131">+K26*90%+J26*10%</f>
        <v>36607</v>
      </c>
      <c r="Y26" s="656">
        <f t="shared" ref="Y26" si="132">+L26*90%+K26*10%</f>
        <v>27107</v>
      </c>
      <c r="Z26" s="656">
        <f t="shared" ref="Z26" si="133">+M26*90%+L26*10%</f>
        <v>32342</v>
      </c>
      <c r="AA26" s="657">
        <f t="shared" ref="AA26" si="134">+N26*90%+M26*10%</f>
        <v>34722</v>
      </c>
      <c r="AB26" s="736">
        <v>50000</v>
      </c>
      <c r="AC26" s="736">
        <v>50000</v>
      </c>
      <c r="AD26" s="736">
        <v>50000</v>
      </c>
      <c r="AE26" s="736">
        <v>50000</v>
      </c>
      <c r="AF26" s="736">
        <v>50000</v>
      </c>
      <c r="AG26" s="736">
        <v>50000</v>
      </c>
      <c r="AH26" s="736">
        <v>50000</v>
      </c>
      <c r="AI26" s="736">
        <v>50000</v>
      </c>
      <c r="AJ26" s="736">
        <v>50000</v>
      </c>
      <c r="AK26" s="736">
        <v>50000</v>
      </c>
      <c r="AL26" s="736">
        <v>50000</v>
      </c>
      <c r="AM26" s="737">
        <v>50000</v>
      </c>
      <c r="AN26" s="732">
        <v>54166.666666666664</v>
      </c>
      <c r="AO26" s="732">
        <v>54166.666666666664</v>
      </c>
      <c r="AP26" s="732">
        <v>54166.666666666664</v>
      </c>
      <c r="AQ26" s="732">
        <v>54166.666666666664</v>
      </c>
      <c r="AR26" s="732">
        <v>54166.666666666664</v>
      </c>
      <c r="AS26" s="732">
        <v>54166.666666666664</v>
      </c>
      <c r="AT26" s="732">
        <v>54166.666666666664</v>
      </c>
      <c r="AU26" s="732">
        <v>54166.666666666664</v>
      </c>
      <c r="AV26" s="732">
        <v>54166.666666666664</v>
      </c>
      <c r="AW26" s="732">
        <v>54166.666666666664</v>
      </c>
      <c r="AX26" s="732">
        <v>54166.666666666664</v>
      </c>
      <c r="AY26" s="733">
        <v>54166.666666666664</v>
      </c>
      <c r="AZ26" s="737">
        <f t="shared" si="14"/>
        <v>600000</v>
      </c>
      <c r="BA26" s="732">
        <f t="shared" si="15"/>
        <v>650000</v>
      </c>
    </row>
    <row r="27" spans="1:53" x14ac:dyDescent="0.25">
      <c r="A27" s="363" t="s">
        <v>100</v>
      </c>
      <c r="B27" s="625">
        <f t="shared" ref="B27:B32" si="135">SUM(D27:O27)</f>
        <v>758045</v>
      </c>
      <c r="C27" s="625">
        <f t="shared" ref="C27:C32" si="136">SUM(P27:AA27)</f>
        <v>690837.93333333358</v>
      </c>
      <c r="D27" s="644">
        <f>+Resettlement!O27</f>
        <v>65786.333333333328</v>
      </c>
      <c r="E27" s="644">
        <f>+Resettlement!P27</f>
        <v>65786.333333333328</v>
      </c>
      <c r="F27" s="644">
        <f>+Resettlement!Q27</f>
        <v>71191.333333333328</v>
      </c>
      <c r="G27" s="644">
        <f>+Resettlement!R27</f>
        <v>61097.333333333336</v>
      </c>
      <c r="H27" s="644">
        <f>+Resettlement!S27</f>
        <v>61097.333333333336</v>
      </c>
      <c r="I27" s="644">
        <f>+Resettlement!T27</f>
        <v>61097.333333333336</v>
      </c>
      <c r="J27" s="644">
        <f>+Resettlement!U27</f>
        <v>61097.333333333336</v>
      </c>
      <c r="K27" s="644">
        <f>+Resettlement!V27</f>
        <v>61097.333333333336</v>
      </c>
      <c r="L27" s="644">
        <f>+Resettlement!W27</f>
        <v>66502.333333333328</v>
      </c>
      <c r="M27" s="644">
        <f>+Resettlement!X27</f>
        <v>61097.333333333336</v>
      </c>
      <c r="N27" s="644">
        <f>+Resettlement!Y27</f>
        <v>61097.333333333336</v>
      </c>
      <c r="O27" s="645">
        <f>+Resettlement!Z27</f>
        <v>61097.333333333336</v>
      </c>
      <c r="P27" s="643">
        <f t="shared" ref="P27:P32" si="137">+D27*15%</f>
        <v>9867.9499999999989</v>
      </c>
      <c r="Q27" s="656">
        <f t="shared" ref="Q27:Q32" si="138">+D27*85%</f>
        <v>55918.383333333324</v>
      </c>
      <c r="R27" s="656">
        <f t="shared" ref="R27:R32" si="139">+E27*90%</f>
        <v>59207.7</v>
      </c>
      <c r="S27" s="656">
        <f t="shared" ref="S27:S32" si="140">+F27*90%+E27*10%</f>
        <v>70650.833333333328</v>
      </c>
      <c r="T27" s="656">
        <f t="shared" ref="T27:T32" si="141">+G27*90%+F27*10%</f>
        <v>62106.733333333337</v>
      </c>
      <c r="U27" s="656">
        <f t="shared" ref="U27:U32" si="142">+H27*90%+G27*10%</f>
        <v>61097.333333333343</v>
      </c>
      <c r="V27" s="656">
        <f t="shared" ref="V27:V32" si="143">+I27*90%+H27*10%</f>
        <v>61097.333333333343</v>
      </c>
      <c r="W27" s="656">
        <f t="shared" ref="W27:W32" si="144">+J27*90%+I27*10%</f>
        <v>61097.333333333343</v>
      </c>
      <c r="X27" s="656">
        <f t="shared" ref="X27:X32" si="145">+K27*90%+J27*10%</f>
        <v>61097.333333333343</v>
      </c>
      <c r="Y27" s="656">
        <f t="shared" ref="Y27:Y32" si="146">+L27*90%+K27*10%</f>
        <v>65961.833333333328</v>
      </c>
      <c r="Z27" s="656">
        <f t="shared" ref="Z27:Z32" si="147">+M27*90%+L27*10%</f>
        <v>61637.833333333343</v>
      </c>
      <c r="AA27" s="657">
        <f t="shared" ref="AA27:AA32" si="148">+N27*90%+M27*10%</f>
        <v>61097.333333333343</v>
      </c>
      <c r="AB27" s="736">
        <v>125000</v>
      </c>
      <c r="AC27" s="736">
        <v>125000</v>
      </c>
      <c r="AD27" s="736">
        <v>125000</v>
      </c>
      <c r="AE27" s="736">
        <v>125000</v>
      </c>
      <c r="AF27" s="736">
        <v>125000</v>
      </c>
      <c r="AG27" s="736">
        <v>125000</v>
      </c>
      <c r="AH27" s="736">
        <v>125000</v>
      </c>
      <c r="AI27" s="736">
        <v>125000</v>
      </c>
      <c r="AJ27" s="736">
        <v>125000</v>
      </c>
      <c r="AK27" s="736">
        <v>125000</v>
      </c>
      <c r="AL27" s="736">
        <v>125000</v>
      </c>
      <c r="AM27" s="737">
        <v>125000</v>
      </c>
      <c r="AN27" s="732">
        <v>166666.66666666666</v>
      </c>
      <c r="AO27" s="732">
        <v>166666.66666666666</v>
      </c>
      <c r="AP27" s="732">
        <v>166666.66666666666</v>
      </c>
      <c r="AQ27" s="732">
        <v>166666.66666666666</v>
      </c>
      <c r="AR27" s="732">
        <v>166666.66666666666</v>
      </c>
      <c r="AS27" s="732">
        <v>166666.66666666666</v>
      </c>
      <c r="AT27" s="732">
        <v>166666.66666666666</v>
      </c>
      <c r="AU27" s="732">
        <v>166666.66666666666</v>
      </c>
      <c r="AV27" s="732">
        <v>166666.66666666666</v>
      </c>
      <c r="AW27" s="732">
        <v>166666.66666666666</v>
      </c>
      <c r="AX27" s="732">
        <v>166666.66666666666</v>
      </c>
      <c r="AY27" s="733">
        <v>166666.66666666666</v>
      </c>
      <c r="AZ27" s="737">
        <f t="shared" si="14"/>
        <v>1500000</v>
      </c>
      <c r="BA27" s="732">
        <f t="shared" si="15"/>
        <v>2000000.0000000002</v>
      </c>
    </row>
    <row r="28" spans="1:53" x14ac:dyDescent="0.25">
      <c r="A28" s="363" t="s">
        <v>103</v>
      </c>
      <c r="B28" s="625">
        <f t="shared" si="135"/>
        <v>1660000</v>
      </c>
      <c r="C28" s="625">
        <f t="shared" si="136"/>
        <v>1551999.7</v>
      </c>
      <c r="D28" s="644">
        <f>+Development!O27</f>
        <v>30000</v>
      </c>
      <c r="E28" s="644">
        <f>+Development!P27</f>
        <v>20000</v>
      </c>
      <c r="F28" s="644">
        <f>+Development!Q27</f>
        <v>0</v>
      </c>
      <c r="G28" s="644">
        <f>+Development!R27</f>
        <v>95000</v>
      </c>
      <c r="H28" s="644">
        <f>+Development!S27</f>
        <v>256666</v>
      </c>
      <c r="I28" s="644">
        <f>+Development!T27</f>
        <v>103332</v>
      </c>
      <c r="J28" s="644">
        <f>+Development!U27</f>
        <v>215000</v>
      </c>
      <c r="K28" s="644">
        <f>+Development!V27</f>
        <v>196667</v>
      </c>
      <c r="L28" s="644">
        <f>+Development!W27</f>
        <v>203332</v>
      </c>
      <c r="M28" s="644">
        <f>+Development!X27</f>
        <v>90000</v>
      </c>
      <c r="N28" s="644">
        <f>+Development!Y27</f>
        <v>380003</v>
      </c>
      <c r="O28" s="645">
        <f>+Development!Z27</f>
        <v>70000</v>
      </c>
      <c r="P28" s="643">
        <f t="shared" si="137"/>
        <v>4500</v>
      </c>
      <c r="Q28" s="656">
        <f t="shared" si="138"/>
        <v>25500</v>
      </c>
      <c r="R28" s="656">
        <f t="shared" si="139"/>
        <v>18000</v>
      </c>
      <c r="S28" s="656">
        <f t="shared" si="140"/>
        <v>2000</v>
      </c>
      <c r="T28" s="656">
        <f t="shared" si="141"/>
        <v>85500</v>
      </c>
      <c r="U28" s="656">
        <f t="shared" si="142"/>
        <v>240499.4</v>
      </c>
      <c r="V28" s="656">
        <f t="shared" si="143"/>
        <v>118665.40000000001</v>
      </c>
      <c r="W28" s="656">
        <f t="shared" si="144"/>
        <v>203833.2</v>
      </c>
      <c r="X28" s="656">
        <f t="shared" si="145"/>
        <v>198500.30000000002</v>
      </c>
      <c r="Y28" s="656">
        <f t="shared" si="146"/>
        <v>202665.50000000003</v>
      </c>
      <c r="Z28" s="656">
        <f t="shared" si="147"/>
        <v>101333.2</v>
      </c>
      <c r="AA28" s="657">
        <f t="shared" si="148"/>
        <v>351002.7</v>
      </c>
      <c r="AB28" s="736">
        <v>150000</v>
      </c>
      <c r="AC28" s="736">
        <v>150000</v>
      </c>
      <c r="AD28" s="736">
        <v>150000</v>
      </c>
      <c r="AE28" s="736">
        <v>150000</v>
      </c>
      <c r="AF28" s="736">
        <v>150000</v>
      </c>
      <c r="AG28" s="736">
        <v>150000</v>
      </c>
      <c r="AH28" s="736">
        <v>150000</v>
      </c>
      <c r="AI28" s="736">
        <v>150000</v>
      </c>
      <c r="AJ28" s="736">
        <v>150000</v>
      </c>
      <c r="AK28" s="736">
        <v>150000</v>
      </c>
      <c r="AL28" s="736">
        <v>150000</v>
      </c>
      <c r="AM28" s="737">
        <v>150000</v>
      </c>
      <c r="AN28" s="732">
        <v>250000</v>
      </c>
      <c r="AO28" s="732">
        <v>250000</v>
      </c>
      <c r="AP28" s="732">
        <v>250000</v>
      </c>
      <c r="AQ28" s="732">
        <v>250000</v>
      </c>
      <c r="AR28" s="732">
        <v>250000</v>
      </c>
      <c r="AS28" s="732">
        <v>250000</v>
      </c>
      <c r="AT28" s="732">
        <v>250000</v>
      </c>
      <c r="AU28" s="732">
        <v>250000</v>
      </c>
      <c r="AV28" s="732">
        <v>250000</v>
      </c>
      <c r="AW28" s="732">
        <v>250000</v>
      </c>
      <c r="AX28" s="732">
        <v>250000</v>
      </c>
      <c r="AY28" s="733">
        <v>250000</v>
      </c>
      <c r="AZ28" s="737">
        <f t="shared" si="14"/>
        <v>1800000</v>
      </c>
      <c r="BA28" s="732">
        <f t="shared" si="15"/>
        <v>3000000</v>
      </c>
    </row>
    <row r="29" spans="1:53" x14ac:dyDescent="0.25">
      <c r="A29" s="363" t="s">
        <v>106</v>
      </c>
      <c r="B29" s="625">
        <f t="shared" si="135"/>
        <v>519999.97999999986</v>
      </c>
      <c r="C29" s="625">
        <f t="shared" si="136"/>
        <v>432866.64850000001</v>
      </c>
      <c r="D29" s="644">
        <f>+Engagement!O22</f>
        <v>16666.665000000001</v>
      </c>
      <c r="E29" s="650">
        <f>+Engagement!P22</f>
        <v>16666.665000000001</v>
      </c>
      <c r="F29" s="650">
        <f>+Engagement!Q22</f>
        <v>84666.664999999994</v>
      </c>
      <c r="G29" s="650">
        <f>+Engagement!R22</f>
        <v>24666.665000000001</v>
      </c>
      <c r="H29" s="650">
        <f>+Engagement!S22</f>
        <v>24666.665000000001</v>
      </c>
      <c r="I29" s="650">
        <f>+Engagement!T22</f>
        <v>84666.664999999994</v>
      </c>
      <c r="J29" s="650">
        <f>+Engagement!U22</f>
        <v>24666.665000000001</v>
      </c>
      <c r="K29" s="650">
        <f>+Engagement!V22</f>
        <v>24666.665000000001</v>
      </c>
      <c r="L29" s="650">
        <f>+Engagement!W22</f>
        <v>84666.664999999994</v>
      </c>
      <c r="M29" s="650">
        <f>+Engagement!X22</f>
        <v>24666.665000000001</v>
      </c>
      <c r="N29" s="650">
        <f>+Engagement!Y22</f>
        <v>24666.665000000001</v>
      </c>
      <c r="O29" s="651">
        <f>+Engagement!Z22</f>
        <v>84666.664999999994</v>
      </c>
      <c r="P29" s="643">
        <f t="shared" si="137"/>
        <v>2499.9997499999999</v>
      </c>
      <c r="Q29" s="656">
        <f t="shared" si="138"/>
        <v>14166.66525</v>
      </c>
      <c r="R29" s="656">
        <f t="shared" si="139"/>
        <v>14999.998500000002</v>
      </c>
      <c r="S29" s="656">
        <f t="shared" si="140"/>
        <v>77866.665000000008</v>
      </c>
      <c r="T29" s="656">
        <f t="shared" si="141"/>
        <v>30666.665000000001</v>
      </c>
      <c r="U29" s="656">
        <f t="shared" si="142"/>
        <v>24666.665000000001</v>
      </c>
      <c r="V29" s="656">
        <f t="shared" si="143"/>
        <v>78666.665000000008</v>
      </c>
      <c r="W29" s="656">
        <f t="shared" si="144"/>
        <v>30666.665000000001</v>
      </c>
      <c r="X29" s="656">
        <f t="shared" si="145"/>
        <v>24666.665000000001</v>
      </c>
      <c r="Y29" s="656">
        <f t="shared" si="146"/>
        <v>78666.665000000008</v>
      </c>
      <c r="Z29" s="656">
        <f t="shared" si="147"/>
        <v>30666.665000000001</v>
      </c>
      <c r="AA29" s="657">
        <f t="shared" si="148"/>
        <v>24666.665000000001</v>
      </c>
      <c r="AB29" s="736">
        <v>66666.666666666672</v>
      </c>
      <c r="AC29" s="740">
        <v>66666.666666666672</v>
      </c>
      <c r="AD29" s="740">
        <v>66666.666666666672</v>
      </c>
      <c r="AE29" s="740">
        <v>66666.666666666672</v>
      </c>
      <c r="AF29" s="740">
        <v>66666.666666666672</v>
      </c>
      <c r="AG29" s="740">
        <v>66666.666666666672</v>
      </c>
      <c r="AH29" s="740">
        <v>66666.666666666672</v>
      </c>
      <c r="AI29" s="740">
        <v>66666.666666666672</v>
      </c>
      <c r="AJ29" s="740">
        <v>66666.666666666672</v>
      </c>
      <c r="AK29" s="740">
        <v>66666.666666666672</v>
      </c>
      <c r="AL29" s="740">
        <v>66666.666666666672</v>
      </c>
      <c r="AM29" s="741">
        <v>66666.666666666672</v>
      </c>
      <c r="AN29" s="732">
        <v>250000</v>
      </c>
      <c r="AO29" s="749">
        <v>250000</v>
      </c>
      <c r="AP29" s="749">
        <v>250000</v>
      </c>
      <c r="AQ29" s="749">
        <v>250000</v>
      </c>
      <c r="AR29" s="749">
        <v>250000</v>
      </c>
      <c r="AS29" s="749">
        <v>250000</v>
      </c>
      <c r="AT29" s="749">
        <v>250000</v>
      </c>
      <c r="AU29" s="749">
        <v>250000</v>
      </c>
      <c r="AV29" s="749">
        <v>250000</v>
      </c>
      <c r="AW29" s="749">
        <v>250000</v>
      </c>
      <c r="AX29" s="749">
        <v>250000</v>
      </c>
      <c r="AY29" s="750">
        <v>250000</v>
      </c>
      <c r="AZ29" s="741">
        <f t="shared" si="14"/>
        <v>799999.99999999988</v>
      </c>
      <c r="BA29" s="749">
        <f t="shared" si="15"/>
        <v>3000000</v>
      </c>
    </row>
    <row r="30" spans="1:53" x14ac:dyDescent="0.25">
      <c r="A30" s="363" t="s">
        <v>35</v>
      </c>
      <c r="B30" s="625">
        <f t="shared" si="135"/>
        <v>6089064.9966193382</v>
      </c>
      <c r="C30" s="625">
        <f t="shared" si="136"/>
        <v>5931961.7746743299</v>
      </c>
      <c r="D30" s="644">
        <f>+'Environmental (GINE)'!O18</f>
        <v>607735.76148298394</v>
      </c>
      <c r="E30" s="644">
        <f>+'Environmental (GINE)'!P18</f>
        <v>1045552.2948163173</v>
      </c>
      <c r="F30" s="644">
        <f>+'Environmental (GINE)'!Q18</f>
        <v>432343.07913004281</v>
      </c>
      <c r="G30" s="644">
        <f>+'Environmental (GINE)'!R18</f>
        <v>618307.33011043502</v>
      </c>
      <c r="H30" s="644">
        <f>+'Environmental (GINE)'!S18</f>
        <v>531358.96148298401</v>
      </c>
      <c r="I30" s="644">
        <f>+'Environmental (GINE)'!T18</f>
        <v>943472.64775749389</v>
      </c>
      <c r="J30" s="644">
        <f>+'Environmental (GINE)'!U18</f>
        <v>448472.87913004274</v>
      </c>
      <c r="K30" s="644">
        <f>+'Environmental (GINE)'!V18</f>
        <v>399828.23599278793</v>
      </c>
      <c r="L30" s="644">
        <f>+'Environmental (GINE)'!W18</f>
        <v>343855.82030651334</v>
      </c>
      <c r="M30" s="644">
        <f>+'Environmental (GINE)'!X18</f>
        <v>521244.05560063099</v>
      </c>
      <c r="N30" s="644">
        <f>+'Environmental (GINE)'!Y18</f>
        <v>44211.898737885953</v>
      </c>
      <c r="O30" s="645">
        <f>+'Environmental (GINE)'!Z18</f>
        <v>152682.03207121929</v>
      </c>
      <c r="P30" s="643">
        <f t="shared" si="137"/>
        <v>91160.364222447592</v>
      </c>
      <c r="Q30" s="656">
        <f t="shared" si="138"/>
        <v>516575.39726053632</v>
      </c>
      <c r="R30" s="656">
        <f t="shared" si="139"/>
        <v>940997.06533468561</v>
      </c>
      <c r="S30" s="656">
        <f t="shared" si="140"/>
        <v>493664.00069867028</v>
      </c>
      <c r="T30" s="656">
        <f t="shared" si="141"/>
        <v>599710.90501239581</v>
      </c>
      <c r="U30" s="656">
        <f t="shared" si="142"/>
        <v>540053.79834572913</v>
      </c>
      <c r="V30" s="656">
        <f t="shared" si="143"/>
        <v>902261.27913004288</v>
      </c>
      <c r="W30" s="656">
        <f t="shared" si="144"/>
        <v>497972.85599278787</v>
      </c>
      <c r="X30" s="656">
        <f t="shared" si="145"/>
        <v>404692.7003065134</v>
      </c>
      <c r="Y30" s="656">
        <f t="shared" si="146"/>
        <v>349453.06187514082</v>
      </c>
      <c r="Z30" s="656">
        <f t="shared" si="147"/>
        <v>503505.23207121924</v>
      </c>
      <c r="AA30" s="657">
        <f t="shared" si="148"/>
        <v>91915.114424160463</v>
      </c>
      <c r="AB30" s="736">
        <v>225000</v>
      </c>
      <c r="AC30" s="736">
        <v>225000</v>
      </c>
      <c r="AD30" s="736">
        <v>225000</v>
      </c>
      <c r="AE30" s="736">
        <v>225000</v>
      </c>
      <c r="AF30" s="736">
        <v>225000</v>
      </c>
      <c r="AG30" s="736">
        <v>225000</v>
      </c>
      <c r="AH30" s="736">
        <v>225000</v>
      </c>
      <c r="AI30" s="736">
        <v>225000</v>
      </c>
      <c r="AJ30" s="736">
        <v>225000</v>
      </c>
      <c r="AK30" s="736">
        <v>225000</v>
      </c>
      <c r="AL30" s="736">
        <v>225000</v>
      </c>
      <c r="AM30" s="737">
        <v>225000</v>
      </c>
      <c r="AN30" s="732">
        <v>250000</v>
      </c>
      <c r="AO30" s="732">
        <v>250000</v>
      </c>
      <c r="AP30" s="732">
        <v>250000</v>
      </c>
      <c r="AQ30" s="732">
        <v>250000</v>
      </c>
      <c r="AR30" s="732">
        <v>250000</v>
      </c>
      <c r="AS30" s="732">
        <v>250000</v>
      </c>
      <c r="AT30" s="732">
        <v>250000</v>
      </c>
      <c r="AU30" s="732">
        <v>250000</v>
      </c>
      <c r="AV30" s="732">
        <v>250000</v>
      </c>
      <c r="AW30" s="732">
        <v>250000</v>
      </c>
      <c r="AX30" s="732">
        <v>250000</v>
      </c>
      <c r="AY30" s="733">
        <v>250000</v>
      </c>
      <c r="AZ30" s="737">
        <f t="shared" si="14"/>
        <v>2700000</v>
      </c>
      <c r="BA30" s="732">
        <f t="shared" si="15"/>
        <v>3000000</v>
      </c>
    </row>
    <row r="31" spans="1:53" x14ac:dyDescent="0.25">
      <c r="A31" s="363" t="s">
        <v>111</v>
      </c>
      <c r="B31" s="625">
        <f t="shared" si="135"/>
        <v>1527873.0343137258</v>
      </c>
      <c r="C31" s="625">
        <f t="shared" si="136"/>
        <v>1440618.4855882353</v>
      </c>
      <c r="D31" s="644">
        <f>+'Environmental (GINE)'!O17</f>
        <v>326879.55261437909</v>
      </c>
      <c r="E31" s="644">
        <f>+'Environmental (GINE)'!P17</f>
        <v>288132.49379084969</v>
      </c>
      <c r="F31" s="644">
        <f>+'Environmental (GINE)'!Q17</f>
        <v>292605.02320261439</v>
      </c>
      <c r="G31" s="644">
        <f>+'Environmental (GINE)'!R17</f>
        <v>76492.680392156864</v>
      </c>
      <c r="H31" s="644">
        <f>+'Environmental (GINE)'!S17</f>
        <v>62893.389215686264</v>
      </c>
      <c r="I31" s="644">
        <f>+'Environmental (GINE)'!T17</f>
        <v>67365.918627450985</v>
      </c>
      <c r="J31" s="644">
        <f>+'Environmental (GINE)'!U17</f>
        <v>62893.389215686264</v>
      </c>
      <c r="K31" s="644">
        <f>+'Environmental (GINE)'!V17</f>
        <v>76492.680392156864</v>
      </c>
      <c r="L31" s="644">
        <f>+'Environmental (GINE)'!W17</f>
        <v>67365.918627450985</v>
      </c>
      <c r="M31" s="644">
        <f>+'Environmental (GINE)'!X17</f>
        <v>62893.389215686264</v>
      </c>
      <c r="N31" s="644">
        <f>+'Environmental (GINE)'!Y17</f>
        <v>62893.389215686264</v>
      </c>
      <c r="O31" s="645">
        <f>+'Environmental (GINE)'!Z17</f>
        <v>80965.209803921563</v>
      </c>
      <c r="P31" s="643">
        <f t="shared" si="137"/>
        <v>49031.932892156859</v>
      </c>
      <c r="Q31" s="656">
        <f t="shared" si="138"/>
        <v>277847.61972222221</v>
      </c>
      <c r="R31" s="656">
        <f t="shared" si="139"/>
        <v>259319.24441176472</v>
      </c>
      <c r="S31" s="656">
        <f t="shared" si="140"/>
        <v>292157.77026143792</v>
      </c>
      <c r="T31" s="656">
        <f t="shared" si="141"/>
        <v>98103.914673202613</v>
      </c>
      <c r="U31" s="656">
        <f t="shared" si="142"/>
        <v>64253.318333333329</v>
      </c>
      <c r="V31" s="656">
        <f t="shared" si="143"/>
        <v>66918.665686274515</v>
      </c>
      <c r="W31" s="656">
        <f t="shared" si="144"/>
        <v>63340.642156862741</v>
      </c>
      <c r="X31" s="656">
        <f t="shared" si="145"/>
        <v>75132.751274509807</v>
      </c>
      <c r="Y31" s="656">
        <f t="shared" si="146"/>
        <v>68278.594803921573</v>
      </c>
      <c r="Z31" s="656">
        <f t="shared" si="147"/>
        <v>63340.642156862741</v>
      </c>
      <c r="AA31" s="657">
        <f t="shared" si="148"/>
        <v>62893.389215686264</v>
      </c>
      <c r="AB31" s="736">
        <v>67916.666666666672</v>
      </c>
      <c r="AC31" s="736">
        <v>67916.666666666672</v>
      </c>
      <c r="AD31" s="736">
        <v>67916.666666666672</v>
      </c>
      <c r="AE31" s="736">
        <v>67916.666666666672</v>
      </c>
      <c r="AF31" s="736">
        <v>67916.666666666672</v>
      </c>
      <c r="AG31" s="736">
        <v>67916.666666666672</v>
      </c>
      <c r="AH31" s="736">
        <v>67916.666666666672</v>
      </c>
      <c r="AI31" s="736">
        <v>67916.666666666672</v>
      </c>
      <c r="AJ31" s="736">
        <v>67916.666666666672</v>
      </c>
      <c r="AK31" s="736">
        <v>67916.666666666672</v>
      </c>
      <c r="AL31" s="736">
        <v>67916.666666666672</v>
      </c>
      <c r="AM31" s="737">
        <v>67916.666666666672</v>
      </c>
      <c r="AN31" s="732">
        <v>67916.666666666672</v>
      </c>
      <c r="AO31" s="732">
        <v>67916.666666666672</v>
      </c>
      <c r="AP31" s="732">
        <v>67916.666666666672</v>
      </c>
      <c r="AQ31" s="732">
        <v>67916.666666666672</v>
      </c>
      <c r="AR31" s="732">
        <v>67916.666666666672</v>
      </c>
      <c r="AS31" s="732">
        <v>67916.666666666672</v>
      </c>
      <c r="AT31" s="732">
        <v>67916.666666666672</v>
      </c>
      <c r="AU31" s="732">
        <v>67916.666666666672</v>
      </c>
      <c r="AV31" s="732">
        <v>67916.666666666672</v>
      </c>
      <c r="AW31" s="732">
        <v>67916.666666666672</v>
      </c>
      <c r="AX31" s="732">
        <v>67916.666666666672</v>
      </c>
      <c r="AY31" s="733">
        <v>67916.666666666672</v>
      </c>
      <c r="AZ31" s="737">
        <f t="shared" si="14"/>
        <v>814999.99999999988</v>
      </c>
      <c r="BA31" s="732">
        <f t="shared" si="15"/>
        <v>814999.99999999988</v>
      </c>
    </row>
    <row r="32" spans="1:53" x14ac:dyDescent="0.25">
      <c r="A32" s="363" t="s">
        <v>114</v>
      </c>
      <c r="B32" s="625">
        <f t="shared" si="135"/>
        <v>426915.09411764704</v>
      </c>
      <c r="C32" s="625">
        <f t="shared" si="136"/>
        <v>405604.21176470583</v>
      </c>
      <c r="D32" s="644">
        <f>+'Environmental (GINE)'!O19</f>
        <v>47193.917647058821</v>
      </c>
      <c r="E32" s="644">
        <f>+'Environmental (GINE)'!P19</f>
        <v>46496.470588235294</v>
      </c>
      <c r="F32" s="644">
        <f>+'Environmental (GINE)'!Q19</f>
        <v>54245.882352941175</v>
      </c>
      <c r="G32" s="644">
        <f>+'Environmental (GINE)'!R19</f>
        <v>54245.882352941175</v>
      </c>
      <c r="H32" s="644">
        <f>+'Environmental (GINE)'!S19</f>
        <v>54245.882352941175</v>
      </c>
      <c r="I32" s="644">
        <f>+'Environmental (GINE)'!T19</f>
        <v>54245.882352941175</v>
      </c>
      <c r="J32" s="644">
        <f>+'Environmental (GINE)'!U19</f>
        <v>19373.529411764706</v>
      </c>
      <c r="K32" s="644">
        <f>+'Environmental (GINE)'!V19</f>
        <v>19373.529411764706</v>
      </c>
      <c r="L32" s="644">
        <f>+'Environmental (GINE)'!W19</f>
        <v>19373.529411764706</v>
      </c>
      <c r="M32" s="644">
        <f>+'Environmental (GINE)'!X19</f>
        <v>19373.529411764706</v>
      </c>
      <c r="N32" s="644">
        <f>+'Environmental (GINE)'!Y19</f>
        <v>19373.529411764706</v>
      </c>
      <c r="O32" s="645">
        <f>+'Environmental (GINE)'!Z19</f>
        <v>19373.529411764706</v>
      </c>
      <c r="P32" s="643">
        <f t="shared" si="137"/>
        <v>7079.0876470588228</v>
      </c>
      <c r="Q32" s="656">
        <f t="shared" si="138"/>
        <v>40114.829999999994</v>
      </c>
      <c r="R32" s="656">
        <f t="shared" si="139"/>
        <v>41846.823529411762</v>
      </c>
      <c r="S32" s="656">
        <f t="shared" si="140"/>
        <v>53470.941176470587</v>
      </c>
      <c r="T32" s="656">
        <f t="shared" si="141"/>
        <v>54245.882352941175</v>
      </c>
      <c r="U32" s="656">
        <f t="shared" si="142"/>
        <v>54245.882352941175</v>
      </c>
      <c r="V32" s="656">
        <f t="shared" si="143"/>
        <v>54245.882352941175</v>
      </c>
      <c r="W32" s="656">
        <f t="shared" si="144"/>
        <v>22860.764705882357</v>
      </c>
      <c r="X32" s="656">
        <f t="shared" si="145"/>
        <v>19373.52941176471</v>
      </c>
      <c r="Y32" s="656">
        <f t="shared" si="146"/>
        <v>19373.52941176471</v>
      </c>
      <c r="Z32" s="656">
        <f t="shared" si="147"/>
        <v>19373.52941176471</v>
      </c>
      <c r="AA32" s="657">
        <f t="shared" si="148"/>
        <v>19373.52941176471</v>
      </c>
      <c r="AB32" s="736">
        <v>66666.666666666672</v>
      </c>
      <c r="AC32" s="736">
        <v>66666.666666666672</v>
      </c>
      <c r="AD32" s="736">
        <v>66666.666666666672</v>
      </c>
      <c r="AE32" s="736">
        <v>66666.666666666672</v>
      </c>
      <c r="AF32" s="736">
        <v>66666.666666666672</v>
      </c>
      <c r="AG32" s="736">
        <v>66666.666666666672</v>
      </c>
      <c r="AH32" s="736">
        <v>66666.666666666672</v>
      </c>
      <c r="AI32" s="736">
        <v>66666.666666666672</v>
      </c>
      <c r="AJ32" s="736">
        <v>66666.666666666672</v>
      </c>
      <c r="AK32" s="736">
        <v>66666.666666666672</v>
      </c>
      <c r="AL32" s="736">
        <v>66666.666666666672</v>
      </c>
      <c r="AM32" s="737">
        <v>66666.666666666672</v>
      </c>
      <c r="AN32" s="732">
        <v>41666.666666666664</v>
      </c>
      <c r="AO32" s="732">
        <v>41666.666666666664</v>
      </c>
      <c r="AP32" s="732">
        <v>41666.666666666664</v>
      </c>
      <c r="AQ32" s="732">
        <v>41666.666666666664</v>
      </c>
      <c r="AR32" s="732">
        <v>41666.666666666664</v>
      </c>
      <c r="AS32" s="732">
        <v>41666.666666666664</v>
      </c>
      <c r="AT32" s="732">
        <v>41666.666666666664</v>
      </c>
      <c r="AU32" s="732">
        <v>41666.666666666664</v>
      </c>
      <c r="AV32" s="732">
        <v>41666.666666666664</v>
      </c>
      <c r="AW32" s="732">
        <v>41666.666666666664</v>
      </c>
      <c r="AX32" s="732">
        <v>41666.666666666664</v>
      </c>
      <c r="AY32" s="733">
        <v>41666.666666666664</v>
      </c>
      <c r="AZ32" s="737">
        <f t="shared" si="14"/>
        <v>799999.99999999988</v>
      </c>
      <c r="BA32" s="732">
        <f t="shared" si="15"/>
        <v>500000.00000000006</v>
      </c>
    </row>
    <row r="33" spans="1:53" x14ac:dyDescent="0.25">
      <c r="A33" s="378" t="s">
        <v>1416</v>
      </c>
      <c r="B33" s="626">
        <f>SUM(B34:B38,B39,B41,B44)</f>
        <v>33477500.149018824</v>
      </c>
      <c r="C33" s="626">
        <f>SUM(C34:C38,C39,C41,C44)</f>
        <v>30628435.537187196</v>
      </c>
      <c r="D33" s="617">
        <f>SUM(D34:D38,D39,D41,D44)</f>
        <v>1236568.6842319607</v>
      </c>
      <c r="E33" s="617">
        <f t="shared" ref="E33:N33" si="149">SUM(E34:E38,E39,E41,E44)</f>
        <v>880651.0371731373</v>
      </c>
      <c r="F33" s="617">
        <f t="shared" si="149"/>
        <v>1933423.0698201961</v>
      </c>
      <c r="G33" s="617">
        <f t="shared" si="149"/>
        <v>1718545.1548201961</v>
      </c>
      <c r="H33" s="617">
        <f t="shared" si="149"/>
        <v>3176862.8018790195</v>
      </c>
      <c r="I33" s="617">
        <f t="shared" si="149"/>
        <v>4011603.9783496079</v>
      </c>
      <c r="J33" s="617">
        <f t="shared" si="149"/>
        <v>4222262.8018790195</v>
      </c>
      <c r="K33" s="617">
        <f t="shared" si="149"/>
        <v>3852509.8607025491</v>
      </c>
      <c r="L33" s="617">
        <f t="shared" si="149"/>
        <v>3605281.0380554902</v>
      </c>
      <c r="M33" s="617">
        <f t="shared" si="149"/>
        <v>3209200.1818790198</v>
      </c>
      <c r="N33" s="617">
        <f t="shared" si="149"/>
        <v>3090585.4759966666</v>
      </c>
      <c r="O33" s="379">
        <f>SUM(O34:O38,O39,O41,O44)</f>
        <v>2540006.0642319606</v>
      </c>
      <c r="P33" s="379">
        <f t="shared" ref="P33:AB33" si="150">SUM(P34:P38,P39,P41,P44)</f>
        <v>185485.30263479412</v>
      </c>
      <c r="Q33" s="379">
        <f t="shared" si="150"/>
        <v>1051083.3815971666</v>
      </c>
      <c r="R33" s="379">
        <f t="shared" si="150"/>
        <v>792585.93345582357</v>
      </c>
      <c r="S33" s="379">
        <f t="shared" si="150"/>
        <v>1828145.8665554903</v>
      </c>
      <c r="T33" s="379">
        <f t="shared" si="150"/>
        <v>1740032.9463201961</v>
      </c>
      <c r="U33" s="379">
        <f t="shared" si="150"/>
        <v>3031031.0371731371</v>
      </c>
      <c r="V33" s="379">
        <f t="shared" si="150"/>
        <v>3928129.8607025491</v>
      </c>
      <c r="W33" s="379">
        <f t="shared" si="150"/>
        <v>4201196.9195260787</v>
      </c>
      <c r="X33" s="379">
        <f t="shared" si="150"/>
        <v>3889485.1548201959</v>
      </c>
      <c r="Y33" s="379">
        <f t="shared" si="150"/>
        <v>3630003.9203201961</v>
      </c>
      <c r="Z33" s="379">
        <f t="shared" si="150"/>
        <v>3248808.2674966669</v>
      </c>
      <c r="AA33" s="379">
        <f t="shared" si="150"/>
        <v>3102446.9465849018</v>
      </c>
      <c r="AB33" s="379">
        <f t="shared" si="150"/>
        <v>12233333.333333334</v>
      </c>
      <c r="AC33" s="617">
        <f t="shared" ref="AC33:AL33" si="151">SUM(AC34:AC38,AC39,AC41,AC44)</f>
        <v>12233333.333333334</v>
      </c>
      <c r="AD33" s="617">
        <f t="shared" si="151"/>
        <v>12233333.333333334</v>
      </c>
      <c r="AE33" s="617">
        <f t="shared" si="151"/>
        <v>12233333.333333334</v>
      </c>
      <c r="AF33" s="617">
        <f t="shared" si="151"/>
        <v>12233333.333333334</v>
      </c>
      <c r="AG33" s="617">
        <f t="shared" si="151"/>
        <v>12233333.333333334</v>
      </c>
      <c r="AH33" s="617">
        <f t="shared" si="151"/>
        <v>12233333.333333334</v>
      </c>
      <c r="AI33" s="617">
        <f t="shared" si="151"/>
        <v>12233333.333333334</v>
      </c>
      <c r="AJ33" s="617">
        <f t="shared" si="151"/>
        <v>12233333.333333334</v>
      </c>
      <c r="AK33" s="617">
        <f t="shared" si="151"/>
        <v>12233333.333333334</v>
      </c>
      <c r="AL33" s="617">
        <f t="shared" si="151"/>
        <v>12233333.333333334</v>
      </c>
      <c r="AM33" s="379">
        <f>SUM(AM34:AM38,AM39,AM41,AM44)</f>
        <v>12233333.333333334</v>
      </c>
      <c r="AN33" s="379">
        <f t="shared" ref="AN33:AY33" si="152">SUM(AN34:AN38,AN39,AN41,AN44)</f>
        <v>8354166.666666667</v>
      </c>
      <c r="AO33" s="379">
        <f t="shared" si="152"/>
        <v>8354166.666666667</v>
      </c>
      <c r="AP33" s="379">
        <f t="shared" si="152"/>
        <v>8354166.666666667</v>
      </c>
      <c r="AQ33" s="379">
        <f t="shared" si="152"/>
        <v>8354166.666666667</v>
      </c>
      <c r="AR33" s="379">
        <f t="shared" si="152"/>
        <v>8354166.666666667</v>
      </c>
      <c r="AS33" s="379">
        <f t="shared" si="152"/>
        <v>8354166.666666667</v>
      </c>
      <c r="AT33" s="379">
        <f t="shared" si="152"/>
        <v>58079166.666666664</v>
      </c>
      <c r="AU33" s="379">
        <f t="shared" si="152"/>
        <v>58079166.666666664</v>
      </c>
      <c r="AV33" s="379">
        <f t="shared" si="152"/>
        <v>58079166.666666664</v>
      </c>
      <c r="AW33" s="379">
        <f t="shared" si="152"/>
        <v>58079166.666666664</v>
      </c>
      <c r="AX33" s="379">
        <f t="shared" si="152"/>
        <v>58079166.666666664</v>
      </c>
      <c r="AY33" s="379">
        <f t="shared" si="152"/>
        <v>58079166.666666664</v>
      </c>
      <c r="AZ33" s="379">
        <f t="shared" si="14"/>
        <v>146800000</v>
      </c>
      <c r="BA33" s="379">
        <f t="shared" si="15"/>
        <v>398600000</v>
      </c>
    </row>
    <row r="34" spans="1:53" x14ac:dyDescent="0.25">
      <c r="A34" s="363" t="s">
        <v>478</v>
      </c>
      <c r="B34" s="625">
        <f>SUM(D34:O34)</f>
        <v>15870000</v>
      </c>
      <c r="C34" s="625">
        <f>SUM(P34:AA34)</f>
        <v>14070000</v>
      </c>
      <c r="D34" s="644">
        <f>+Engineering!O17</f>
        <v>200000</v>
      </c>
      <c r="E34" s="644">
        <f>+Engineering!P17</f>
        <v>50000</v>
      </c>
      <c r="F34" s="644">
        <f>+Engineering!Q17</f>
        <v>50000</v>
      </c>
      <c r="G34" s="644">
        <f>+Engineering!R17</f>
        <v>380000</v>
      </c>
      <c r="H34" s="644">
        <f>+Engineering!S17</f>
        <v>1100000</v>
      </c>
      <c r="I34" s="644">
        <f>+Engineering!T17</f>
        <v>1730000</v>
      </c>
      <c r="J34" s="644">
        <f>+Engineering!U17</f>
        <v>2200000</v>
      </c>
      <c r="K34" s="644">
        <f>+Engineering!V17</f>
        <v>2230000</v>
      </c>
      <c r="L34" s="644">
        <f>+Engineering!W17</f>
        <v>2200000</v>
      </c>
      <c r="M34" s="644">
        <f>+Engineering!X17</f>
        <v>2130000</v>
      </c>
      <c r="N34" s="644">
        <f>+Engineering!Y17</f>
        <v>2000000</v>
      </c>
      <c r="O34" s="645">
        <f>+Engineering!Z17</f>
        <v>1600000</v>
      </c>
      <c r="P34" s="643">
        <f t="shared" ref="P34" si="153">+D34*15%</f>
        <v>30000</v>
      </c>
      <c r="Q34" s="656">
        <f t="shared" ref="Q34" si="154">+D34*85%</f>
        <v>170000</v>
      </c>
      <c r="R34" s="656">
        <f t="shared" ref="R34" si="155">+E34*90%</f>
        <v>45000</v>
      </c>
      <c r="S34" s="656">
        <f>+F34*90%+E34*10%</f>
        <v>50000</v>
      </c>
      <c r="T34" s="656">
        <f t="shared" ref="T34" si="156">+G34*90%+F34*10%</f>
        <v>347000</v>
      </c>
      <c r="U34" s="656">
        <f t="shared" ref="U34" si="157">+H34*90%+G34*10%</f>
        <v>1028000</v>
      </c>
      <c r="V34" s="656">
        <f t="shared" ref="V34" si="158">+I34*90%+H34*10%</f>
        <v>1667000</v>
      </c>
      <c r="W34" s="656">
        <f t="shared" ref="W34" si="159">+J34*90%+I34*10%</f>
        <v>2153000</v>
      </c>
      <c r="X34" s="656">
        <f t="shared" ref="X34" si="160">+K34*90%+J34*10%</f>
        <v>2227000</v>
      </c>
      <c r="Y34" s="656">
        <f t="shared" ref="Y34" si="161">+L34*90%+K34*10%</f>
        <v>2203000</v>
      </c>
      <c r="Z34" s="656">
        <f t="shared" ref="Z34" si="162">+M34*90%+L34*10%</f>
        <v>2137000</v>
      </c>
      <c r="AA34" s="657">
        <f t="shared" ref="AA34" si="163">+N34*90%+M34*10%</f>
        <v>2013000</v>
      </c>
      <c r="AB34" s="736">
        <v>10833333.333333334</v>
      </c>
      <c r="AC34" s="736">
        <v>10833333.333333334</v>
      </c>
      <c r="AD34" s="736">
        <v>10833333.333333334</v>
      </c>
      <c r="AE34" s="736">
        <v>10833333.333333334</v>
      </c>
      <c r="AF34" s="736">
        <v>10833333.333333334</v>
      </c>
      <c r="AG34" s="736">
        <v>10833333.333333334</v>
      </c>
      <c r="AH34" s="736">
        <v>10833333.333333334</v>
      </c>
      <c r="AI34" s="736">
        <v>10833333.333333334</v>
      </c>
      <c r="AJ34" s="736">
        <v>10833333.333333334</v>
      </c>
      <c r="AK34" s="736">
        <v>10833333.333333334</v>
      </c>
      <c r="AL34" s="736">
        <v>10833333.333333334</v>
      </c>
      <c r="AM34" s="737">
        <v>10833333.333333334</v>
      </c>
      <c r="AN34" s="732">
        <v>8287500</v>
      </c>
      <c r="AO34" s="732">
        <v>8287500</v>
      </c>
      <c r="AP34" s="732">
        <v>8287500</v>
      </c>
      <c r="AQ34" s="732">
        <v>8287500</v>
      </c>
      <c r="AR34" s="732">
        <v>8287500</v>
      </c>
      <c r="AS34" s="732">
        <v>8287500</v>
      </c>
      <c r="AT34" s="732">
        <v>58012500</v>
      </c>
      <c r="AU34" s="732">
        <v>58012500</v>
      </c>
      <c r="AV34" s="732">
        <v>58012500</v>
      </c>
      <c r="AW34" s="732">
        <v>58012500</v>
      </c>
      <c r="AX34" s="732">
        <v>58012500</v>
      </c>
      <c r="AY34" s="733">
        <v>58012500</v>
      </c>
      <c r="AZ34" s="737">
        <f t="shared" si="14"/>
        <v>129999999.99999999</v>
      </c>
      <c r="BA34" s="732">
        <f t="shared" si="15"/>
        <v>397800000</v>
      </c>
    </row>
    <row r="35" spans="1:53" x14ac:dyDescent="0.25">
      <c r="A35" s="363" t="s">
        <v>479</v>
      </c>
      <c r="B35" s="625">
        <f t="shared" ref="B35:B38" si="164">SUM(D35:O35)</f>
        <v>5270000</v>
      </c>
      <c r="C35" s="625">
        <f t="shared" ref="C35:C38" si="165">SUM(P35:AA35)</f>
        <v>5172500</v>
      </c>
      <c r="D35" s="644">
        <f>+Engineering!O18</f>
        <v>265000</v>
      </c>
      <c r="E35" s="644">
        <f>+Engineering!P18</f>
        <v>265000</v>
      </c>
      <c r="F35" s="644">
        <f>+Engineering!Q18</f>
        <v>815000</v>
      </c>
      <c r="G35" s="644">
        <f>+Engineering!R18</f>
        <v>615000</v>
      </c>
      <c r="H35" s="644">
        <f>+Engineering!S18</f>
        <v>765000</v>
      </c>
      <c r="I35" s="644">
        <f>+Engineering!T18</f>
        <v>815000</v>
      </c>
      <c r="J35" s="644">
        <f>+Engineering!U18</f>
        <v>565000</v>
      </c>
      <c r="K35" s="644">
        <f>+Engineering!V18</f>
        <v>415000</v>
      </c>
      <c r="L35" s="644">
        <f>+Engineering!W18</f>
        <v>325000</v>
      </c>
      <c r="M35" s="644">
        <f>+Engineering!X18</f>
        <v>125000</v>
      </c>
      <c r="N35" s="644">
        <f>+Engineering!Y18</f>
        <v>225000</v>
      </c>
      <c r="O35" s="645">
        <f>+Engineering!Z18</f>
        <v>75000</v>
      </c>
      <c r="P35" s="643">
        <f t="shared" ref="P35:P38" si="166">+D35*15%</f>
        <v>39750</v>
      </c>
      <c r="Q35" s="656">
        <f t="shared" ref="Q35:Q38" si="167">+D35*85%</f>
        <v>225250</v>
      </c>
      <c r="R35" s="656">
        <f t="shared" ref="R35:R38" si="168">+E35*90%</f>
        <v>238500</v>
      </c>
      <c r="S35" s="656">
        <f t="shared" ref="S35:S38" si="169">+F35*90%+E35*10%</f>
        <v>760000</v>
      </c>
      <c r="T35" s="656">
        <f t="shared" ref="T35:T38" si="170">+G35*90%+F35*10%</f>
        <v>635000</v>
      </c>
      <c r="U35" s="656">
        <f t="shared" ref="U35:U38" si="171">+H35*90%+G35*10%</f>
        <v>750000</v>
      </c>
      <c r="V35" s="656">
        <f t="shared" ref="V35:V38" si="172">+I35*90%+H35*10%</f>
        <v>810000</v>
      </c>
      <c r="W35" s="656">
        <f t="shared" ref="W35:W38" si="173">+J35*90%+I35*10%</f>
        <v>590000</v>
      </c>
      <c r="X35" s="656">
        <f t="shared" ref="X35:X38" si="174">+K35*90%+J35*10%</f>
        <v>430000</v>
      </c>
      <c r="Y35" s="656">
        <f t="shared" ref="Y35:Y38" si="175">+L35*90%+K35*10%</f>
        <v>334000</v>
      </c>
      <c r="Z35" s="656">
        <f t="shared" ref="Z35:Z38" si="176">+M35*90%+L35*10%</f>
        <v>145000</v>
      </c>
      <c r="AA35" s="657">
        <f t="shared" ref="AA35:AA38" si="177">+N35*90%+M35*10%</f>
        <v>215000</v>
      </c>
      <c r="AB35" s="736">
        <v>0</v>
      </c>
      <c r="AC35" s="736">
        <v>0</v>
      </c>
      <c r="AD35" s="736">
        <v>0</v>
      </c>
      <c r="AE35" s="736">
        <v>0</v>
      </c>
      <c r="AF35" s="736">
        <v>0</v>
      </c>
      <c r="AG35" s="736">
        <v>0</v>
      </c>
      <c r="AH35" s="736">
        <v>0</v>
      </c>
      <c r="AI35" s="736">
        <v>0</v>
      </c>
      <c r="AJ35" s="736">
        <v>0</v>
      </c>
      <c r="AK35" s="736">
        <v>0</v>
      </c>
      <c r="AL35" s="736">
        <v>0</v>
      </c>
      <c r="AM35" s="737">
        <v>0</v>
      </c>
      <c r="AN35" s="732">
        <f>+Summary!G35</f>
        <v>0</v>
      </c>
      <c r="AO35" s="732">
        <f>+Engineering!AZ18</f>
        <v>0</v>
      </c>
      <c r="AP35" s="732">
        <f>+Engineering!BA18</f>
        <v>0</v>
      </c>
      <c r="AQ35" s="732">
        <f>+Engineering!BB18</f>
        <v>0</v>
      </c>
      <c r="AR35" s="732">
        <f>+Engineering!BC18</f>
        <v>0</v>
      </c>
      <c r="AS35" s="732">
        <f>+Engineering!BD18</f>
        <v>0</v>
      </c>
      <c r="AT35" s="732">
        <f>+Engineering!BE18</f>
        <v>0</v>
      </c>
      <c r="AU35" s="732">
        <f>+Engineering!BF18</f>
        <v>0</v>
      </c>
      <c r="AV35" s="732">
        <f>+Engineering!BG18</f>
        <v>0</v>
      </c>
      <c r="AW35" s="732">
        <f>+Engineering!BH18</f>
        <v>0</v>
      </c>
      <c r="AX35" s="732">
        <f>+Engineering!BI18</f>
        <v>0</v>
      </c>
      <c r="AY35" s="733">
        <f>+Engineering!BJ18</f>
        <v>0</v>
      </c>
      <c r="AZ35" s="737">
        <f t="shared" si="14"/>
        <v>0</v>
      </c>
      <c r="BA35" s="732">
        <f t="shared" si="15"/>
        <v>0</v>
      </c>
    </row>
    <row r="36" spans="1:53" x14ac:dyDescent="0.25">
      <c r="A36" s="363" t="s">
        <v>122</v>
      </c>
      <c r="B36" s="625">
        <f t="shared" si="164"/>
        <v>7723000</v>
      </c>
      <c r="C36" s="625">
        <f t="shared" si="165"/>
        <v>6894040</v>
      </c>
      <c r="D36" s="644">
        <f>+Engineering!O19</f>
        <v>0</v>
      </c>
      <c r="E36" s="644">
        <f>+Engineering!P19</f>
        <v>0</v>
      </c>
      <c r="F36" s="644">
        <f>+Engineering!Q19</f>
        <v>39600</v>
      </c>
      <c r="G36" s="644">
        <f>+Engineering!R19</f>
        <v>39600</v>
      </c>
      <c r="H36" s="644">
        <f>+Engineering!S19</f>
        <v>968600</v>
      </c>
      <c r="I36" s="644">
        <f>+Engineering!T19</f>
        <v>1118600</v>
      </c>
      <c r="J36" s="644">
        <f>+Engineering!U19</f>
        <v>1118600</v>
      </c>
      <c r="K36" s="644">
        <f>+Engineering!V19</f>
        <v>1118600</v>
      </c>
      <c r="L36" s="644">
        <f>+Engineering!W19</f>
        <v>968600</v>
      </c>
      <c r="M36" s="644">
        <f>+Engineering!X19</f>
        <v>843600</v>
      </c>
      <c r="N36" s="644">
        <f>+Engineering!Y19</f>
        <v>753600</v>
      </c>
      <c r="O36" s="645">
        <f>+Engineering!Z19</f>
        <v>753600</v>
      </c>
      <c r="P36" s="643">
        <f t="shared" si="166"/>
        <v>0</v>
      </c>
      <c r="Q36" s="656">
        <f t="shared" si="167"/>
        <v>0</v>
      </c>
      <c r="R36" s="656">
        <f t="shared" si="168"/>
        <v>0</v>
      </c>
      <c r="S36" s="656">
        <f t="shared" si="169"/>
        <v>35640</v>
      </c>
      <c r="T36" s="656">
        <f t="shared" si="170"/>
        <v>39600</v>
      </c>
      <c r="U36" s="656">
        <f t="shared" si="171"/>
        <v>875700</v>
      </c>
      <c r="V36" s="656">
        <f t="shared" si="172"/>
        <v>1103600</v>
      </c>
      <c r="W36" s="656">
        <f t="shared" si="173"/>
        <v>1118600</v>
      </c>
      <c r="X36" s="656">
        <f t="shared" si="174"/>
        <v>1118600</v>
      </c>
      <c r="Y36" s="656">
        <f t="shared" si="175"/>
        <v>983600</v>
      </c>
      <c r="Z36" s="656">
        <f t="shared" si="176"/>
        <v>856100</v>
      </c>
      <c r="AA36" s="657">
        <f t="shared" si="177"/>
        <v>762600</v>
      </c>
      <c r="AB36" s="736">
        <v>0</v>
      </c>
      <c r="AC36" s="736">
        <v>0</v>
      </c>
      <c r="AD36" s="736">
        <v>0</v>
      </c>
      <c r="AE36" s="736">
        <v>0</v>
      </c>
      <c r="AF36" s="736">
        <v>0</v>
      </c>
      <c r="AG36" s="736">
        <v>0</v>
      </c>
      <c r="AH36" s="736">
        <v>0</v>
      </c>
      <c r="AI36" s="736">
        <v>0</v>
      </c>
      <c r="AJ36" s="736">
        <v>0</v>
      </c>
      <c r="AK36" s="736">
        <v>0</v>
      </c>
      <c r="AL36" s="736">
        <v>0</v>
      </c>
      <c r="AM36" s="737">
        <v>0</v>
      </c>
      <c r="AN36" s="732">
        <f>+Summary!G36</f>
        <v>0</v>
      </c>
      <c r="AO36" s="732">
        <f>+Engineering!AZ19</f>
        <v>0</v>
      </c>
      <c r="AP36" s="732">
        <f>+Engineering!BA19</f>
        <v>0</v>
      </c>
      <c r="AQ36" s="732">
        <f>+Engineering!BB19</f>
        <v>0</v>
      </c>
      <c r="AR36" s="732">
        <f>+Engineering!BC19</f>
        <v>0</v>
      </c>
      <c r="AS36" s="732">
        <f>+Engineering!BD19</f>
        <v>0</v>
      </c>
      <c r="AT36" s="732">
        <f>+Engineering!BE19</f>
        <v>0</v>
      </c>
      <c r="AU36" s="732">
        <f>+Engineering!BF19</f>
        <v>0</v>
      </c>
      <c r="AV36" s="732">
        <f>+Engineering!BG19</f>
        <v>0</v>
      </c>
      <c r="AW36" s="732">
        <f>+Engineering!BH19</f>
        <v>0</v>
      </c>
      <c r="AX36" s="732">
        <f>+Engineering!BI19</f>
        <v>0</v>
      </c>
      <c r="AY36" s="733">
        <f>+Engineering!BJ19</f>
        <v>0</v>
      </c>
      <c r="AZ36" s="737">
        <f t="shared" si="14"/>
        <v>0</v>
      </c>
      <c r="BA36" s="732">
        <f t="shared" si="15"/>
        <v>0</v>
      </c>
    </row>
    <row r="37" spans="1:53" x14ac:dyDescent="0.25">
      <c r="A37" s="363" t="s">
        <v>1396</v>
      </c>
      <c r="B37" s="625">
        <f t="shared" si="164"/>
        <v>0</v>
      </c>
      <c r="C37" s="625">
        <f t="shared" si="165"/>
        <v>0</v>
      </c>
      <c r="D37" s="644">
        <v>0</v>
      </c>
      <c r="E37" s="644">
        <v>0</v>
      </c>
      <c r="F37" s="644">
        <v>0</v>
      </c>
      <c r="G37" s="644">
        <v>0</v>
      </c>
      <c r="H37" s="644">
        <v>0</v>
      </c>
      <c r="I37" s="644">
        <v>0</v>
      </c>
      <c r="J37" s="644">
        <v>0</v>
      </c>
      <c r="K37" s="644">
        <v>0</v>
      </c>
      <c r="L37" s="644">
        <v>0</v>
      </c>
      <c r="M37" s="644">
        <v>0</v>
      </c>
      <c r="N37" s="644">
        <v>0</v>
      </c>
      <c r="O37" s="645">
        <v>0</v>
      </c>
      <c r="P37" s="643">
        <v>0</v>
      </c>
      <c r="Q37" s="656">
        <v>0</v>
      </c>
      <c r="R37" s="656">
        <v>0</v>
      </c>
      <c r="S37" s="656">
        <v>0</v>
      </c>
      <c r="T37" s="656">
        <v>0</v>
      </c>
      <c r="U37" s="656">
        <f>+H37*90%+G37*10%</f>
        <v>0</v>
      </c>
      <c r="V37" s="656">
        <v>0</v>
      </c>
      <c r="W37" s="656">
        <v>0</v>
      </c>
      <c r="X37" s="656">
        <v>0</v>
      </c>
      <c r="Y37" s="656">
        <v>0</v>
      </c>
      <c r="Z37" s="656">
        <v>0</v>
      </c>
      <c r="AA37" s="657">
        <v>0</v>
      </c>
      <c r="AB37" s="736">
        <v>0</v>
      </c>
      <c r="AC37" s="736">
        <v>0</v>
      </c>
      <c r="AD37" s="736">
        <v>0</v>
      </c>
      <c r="AE37" s="736">
        <v>0</v>
      </c>
      <c r="AF37" s="736">
        <v>0</v>
      </c>
      <c r="AG37" s="736">
        <v>0</v>
      </c>
      <c r="AH37" s="736">
        <v>0</v>
      </c>
      <c r="AI37" s="736">
        <v>0</v>
      </c>
      <c r="AJ37" s="736">
        <v>0</v>
      </c>
      <c r="AK37" s="736">
        <v>0</v>
      </c>
      <c r="AL37" s="736">
        <v>0</v>
      </c>
      <c r="AM37" s="737">
        <v>0</v>
      </c>
      <c r="AN37" s="732">
        <f>+Summary!G37</f>
        <v>0</v>
      </c>
      <c r="AO37" s="732">
        <v>0</v>
      </c>
      <c r="AP37" s="732">
        <v>0</v>
      </c>
      <c r="AQ37" s="732">
        <v>0</v>
      </c>
      <c r="AR37" s="732">
        <v>0</v>
      </c>
      <c r="AS37" s="732">
        <v>0</v>
      </c>
      <c r="AT37" s="732">
        <v>0</v>
      </c>
      <c r="AU37" s="732">
        <v>0</v>
      </c>
      <c r="AV37" s="732">
        <v>0</v>
      </c>
      <c r="AW37" s="732">
        <v>0</v>
      </c>
      <c r="AX37" s="732">
        <v>0</v>
      </c>
      <c r="AY37" s="733">
        <v>0</v>
      </c>
      <c r="AZ37" s="737">
        <f t="shared" si="14"/>
        <v>0</v>
      </c>
      <c r="BA37" s="732">
        <f t="shared" si="15"/>
        <v>0</v>
      </c>
    </row>
    <row r="38" spans="1:53" x14ac:dyDescent="0.25">
      <c r="A38" s="363" t="s">
        <v>128</v>
      </c>
      <c r="B38" s="625">
        <f t="shared" si="164"/>
        <v>100000</v>
      </c>
      <c r="C38" s="625">
        <f t="shared" si="165"/>
        <v>93120</v>
      </c>
      <c r="D38" s="644">
        <f>+Healt_and_saffety!O27</f>
        <v>6600</v>
      </c>
      <c r="E38" s="644">
        <f>+Healt_and_saffety!P27</f>
        <v>5800</v>
      </c>
      <c r="F38" s="644">
        <f>+Healt_and_saffety!Q27</f>
        <v>6600</v>
      </c>
      <c r="G38" s="644">
        <f>+Healt_and_saffety!R27</f>
        <v>12800</v>
      </c>
      <c r="H38" s="644">
        <f>+Healt_and_saffety!S27</f>
        <v>12000</v>
      </c>
      <c r="I38" s="644">
        <f>+Healt_and_saffety!T27</f>
        <v>14800</v>
      </c>
      <c r="J38" s="644">
        <f>+Healt_and_saffety!U27</f>
        <v>7400</v>
      </c>
      <c r="K38" s="644">
        <f>+Healt_and_saffety!V27</f>
        <v>6000</v>
      </c>
      <c r="L38" s="644">
        <f>+Healt_and_saffety!W27</f>
        <v>5800</v>
      </c>
      <c r="M38" s="644">
        <f>+Healt_and_saffety!X27</f>
        <v>7400</v>
      </c>
      <c r="N38" s="644">
        <f>+Healt_and_saffety!Y27</f>
        <v>8800</v>
      </c>
      <c r="O38" s="645">
        <f>+Healt_and_saffety!Z27</f>
        <v>6000</v>
      </c>
      <c r="P38" s="643">
        <f t="shared" si="166"/>
        <v>990</v>
      </c>
      <c r="Q38" s="656">
        <f t="shared" si="167"/>
        <v>5610</v>
      </c>
      <c r="R38" s="656">
        <f t="shared" si="168"/>
        <v>5220</v>
      </c>
      <c r="S38" s="656">
        <f t="shared" si="169"/>
        <v>6520</v>
      </c>
      <c r="T38" s="656">
        <f t="shared" si="170"/>
        <v>12180</v>
      </c>
      <c r="U38" s="656">
        <f t="shared" si="171"/>
        <v>12080</v>
      </c>
      <c r="V38" s="656">
        <f t="shared" si="172"/>
        <v>14520</v>
      </c>
      <c r="W38" s="656">
        <f t="shared" si="173"/>
        <v>8140</v>
      </c>
      <c r="X38" s="656">
        <f t="shared" si="174"/>
        <v>6140</v>
      </c>
      <c r="Y38" s="656">
        <f t="shared" si="175"/>
        <v>5820</v>
      </c>
      <c r="Z38" s="656">
        <f t="shared" si="176"/>
        <v>7240</v>
      </c>
      <c r="AA38" s="657">
        <f t="shared" si="177"/>
        <v>8660</v>
      </c>
      <c r="AB38" s="736">
        <v>0</v>
      </c>
      <c r="AC38" s="736">
        <v>0</v>
      </c>
      <c r="AD38" s="736">
        <v>0</v>
      </c>
      <c r="AE38" s="736">
        <v>0</v>
      </c>
      <c r="AF38" s="736">
        <v>0</v>
      </c>
      <c r="AG38" s="736">
        <v>0</v>
      </c>
      <c r="AH38" s="736">
        <v>0</v>
      </c>
      <c r="AI38" s="736">
        <v>0</v>
      </c>
      <c r="AJ38" s="736">
        <v>0</v>
      </c>
      <c r="AK38" s="736">
        <v>0</v>
      </c>
      <c r="AL38" s="736">
        <v>0</v>
      </c>
      <c r="AM38" s="737">
        <v>0</v>
      </c>
      <c r="AN38" s="732">
        <f>+Summary!G38</f>
        <v>0</v>
      </c>
      <c r="AO38" s="732">
        <f>+Healt_and_saffety!AZ27</f>
        <v>0</v>
      </c>
      <c r="AP38" s="732">
        <f>+Healt_and_saffety!BA27</f>
        <v>0</v>
      </c>
      <c r="AQ38" s="732">
        <f>+Healt_and_saffety!BB27</f>
        <v>0</v>
      </c>
      <c r="AR38" s="732">
        <f>+Healt_and_saffety!BC27</f>
        <v>0</v>
      </c>
      <c r="AS38" s="732">
        <f>+Healt_and_saffety!BD27</f>
        <v>0</v>
      </c>
      <c r="AT38" s="732">
        <f>+Healt_and_saffety!BE27</f>
        <v>0</v>
      </c>
      <c r="AU38" s="732">
        <f>+Healt_and_saffety!BF27</f>
        <v>0</v>
      </c>
      <c r="AV38" s="732">
        <f>+Healt_and_saffety!BG27</f>
        <v>0</v>
      </c>
      <c r="AW38" s="732">
        <f>+Healt_and_saffety!BH27</f>
        <v>0</v>
      </c>
      <c r="AX38" s="732">
        <f>+Healt_and_saffety!BI27</f>
        <v>0</v>
      </c>
      <c r="AY38" s="733">
        <f>+Healt_and_saffety!BJ27</f>
        <v>0</v>
      </c>
      <c r="AZ38" s="737">
        <f t="shared" si="14"/>
        <v>0</v>
      </c>
      <c r="BA38" s="732">
        <f t="shared" si="15"/>
        <v>0</v>
      </c>
    </row>
    <row r="39" spans="1:53" x14ac:dyDescent="0.25">
      <c r="A39" s="147" t="s">
        <v>131</v>
      </c>
      <c r="B39" s="627">
        <f>SUM(B40)</f>
        <v>3170000</v>
      </c>
      <c r="C39" s="627">
        <f>SUM(C40)</f>
        <v>3126000</v>
      </c>
      <c r="D39" s="646">
        <f t="shared" ref="D39:AM39" si="178">SUM(D40)</f>
        <v>140000</v>
      </c>
      <c r="E39" s="646">
        <f t="shared" si="178"/>
        <v>435000</v>
      </c>
      <c r="F39" s="646">
        <f t="shared" si="178"/>
        <v>895000</v>
      </c>
      <c r="G39" s="646">
        <f t="shared" si="178"/>
        <v>630000</v>
      </c>
      <c r="H39" s="646">
        <f t="shared" si="178"/>
        <v>290000</v>
      </c>
      <c r="I39" s="646">
        <f t="shared" si="178"/>
        <v>290000</v>
      </c>
      <c r="J39" s="646">
        <f t="shared" si="178"/>
        <v>290000</v>
      </c>
      <c r="K39" s="646">
        <f t="shared" si="178"/>
        <v>40000</v>
      </c>
      <c r="L39" s="646">
        <f t="shared" si="178"/>
        <v>40000</v>
      </c>
      <c r="M39" s="646">
        <f t="shared" si="178"/>
        <v>40000</v>
      </c>
      <c r="N39" s="646">
        <f t="shared" si="178"/>
        <v>40000</v>
      </c>
      <c r="O39" s="647">
        <f t="shared" si="178"/>
        <v>40000</v>
      </c>
      <c r="P39" s="647">
        <f t="shared" si="178"/>
        <v>21000</v>
      </c>
      <c r="Q39" s="647">
        <f t="shared" si="178"/>
        <v>119000</v>
      </c>
      <c r="R39" s="647">
        <f t="shared" si="178"/>
        <v>391500</v>
      </c>
      <c r="S39" s="647">
        <f t="shared" si="178"/>
        <v>849000</v>
      </c>
      <c r="T39" s="647">
        <f t="shared" si="178"/>
        <v>656500</v>
      </c>
      <c r="U39" s="647">
        <f t="shared" si="178"/>
        <v>324000</v>
      </c>
      <c r="V39" s="647">
        <f t="shared" si="178"/>
        <v>290000</v>
      </c>
      <c r="W39" s="647">
        <f t="shared" si="178"/>
        <v>290000</v>
      </c>
      <c r="X39" s="647">
        <f t="shared" si="178"/>
        <v>65000</v>
      </c>
      <c r="Y39" s="647">
        <f t="shared" si="178"/>
        <v>40000</v>
      </c>
      <c r="Z39" s="647">
        <f t="shared" si="178"/>
        <v>40000</v>
      </c>
      <c r="AA39" s="647">
        <f t="shared" si="178"/>
        <v>40000</v>
      </c>
      <c r="AB39" s="738">
        <f t="shared" si="178"/>
        <v>83333.333333333328</v>
      </c>
      <c r="AC39" s="738">
        <f t="shared" si="178"/>
        <v>83333.333333333328</v>
      </c>
      <c r="AD39" s="738">
        <f t="shared" si="178"/>
        <v>83333.333333333328</v>
      </c>
      <c r="AE39" s="738">
        <f t="shared" si="178"/>
        <v>83333.333333333328</v>
      </c>
      <c r="AF39" s="738">
        <f t="shared" si="178"/>
        <v>83333.333333333328</v>
      </c>
      <c r="AG39" s="738">
        <f t="shared" si="178"/>
        <v>83333.333333333328</v>
      </c>
      <c r="AH39" s="738">
        <f t="shared" si="178"/>
        <v>83333.333333333328</v>
      </c>
      <c r="AI39" s="738">
        <f t="shared" si="178"/>
        <v>83333.333333333328</v>
      </c>
      <c r="AJ39" s="738">
        <f t="shared" si="178"/>
        <v>83333.333333333328</v>
      </c>
      <c r="AK39" s="738">
        <f t="shared" si="178"/>
        <v>83333.333333333328</v>
      </c>
      <c r="AL39" s="738">
        <f t="shared" si="178"/>
        <v>83333.333333333328</v>
      </c>
      <c r="AM39" s="738">
        <f t="shared" si="178"/>
        <v>83333.333333333328</v>
      </c>
      <c r="AN39" s="732">
        <f>+Summary!G39</f>
        <v>0</v>
      </c>
      <c r="AO39" s="735">
        <f t="shared" ref="AO39:AY39" si="179">SUM(AO40)</f>
        <v>0</v>
      </c>
      <c r="AP39" s="735">
        <f t="shared" si="179"/>
        <v>0</v>
      </c>
      <c r="AQ39" s="735">
        <f t="shared" si="179"/>
        <v>0</v>
      </c>
      <c r="AR39" s="735">
        <f t="shared" si="179"/>
        <v>0</v>
      </c>
      <c r="AS39" s="735">
        <f t="shared" si="179"/>
        <v>0</v>
      </c>
      <c r="AT39" s="735">
        <f t="shared" si="179"/>
        <v>0</v>
      </c>
      <c r="AU39" s="735">
        <f t="shared" si="179"/>
        <v>0</v>
      </c>
      <c r="AV39" s="735">
        <f t="shared" si="179"/>
        <v>0</v>
      </c>
      <c r="AW39" s="735">
        <f t="shared" si="179"/>
        <v>0</v>
      </c>
      <c r="AX39" s="735">
        <f t="shared" si="179"/>
        <v>0</v>
      </c>
      <c r="AY39" s="734">
        <f t="shared" si="179"/>
        <v>0</v>
      </c>
      <c r="AZ39" s="738">
        <f t="shared" si="14"/>
        <v>1000000.0000000001</v>
      </c>
      <c r="BA39" s="735">
        <f t="shared" si="15"/>
        <v>0</v>
      </c>
    </row>
    <row r="40" spans="1:53" x14ac:dyDescent="0.25">
      <c r="A40" s="363" t="s">
        <v>131</v>
      </c>
      <c r="B40" s="625">
        <f>SUM(D40:O40)</f>
        <v>3170000</v>
      </c>
      <c r="C40" s="625">
        <f>SUM(P40:AA40)</f>
        <v>3126000</v>
      </c>
      <c r="D40" s="644">
        <f>+Metallurgy!O27</f>
        <v>140000</v>
      </c>
      <c r="E40" s="644">
        <f>+Metallurgy!P27</f>
        <v>435000</v>
      </c>
      <c r="F40" s="644">
        <f>+Metallurgy!Q27</f>
        <v>895000</v>
      </c>
      <c r="G40" s="644">
        <f>+Metallurgy!R27</f>
        <v>630000</v>
      </c>
      <c r="H40" s="644">
        <f>+Metallurgy!S27</f>
        <v>290000</v>
      </c>
      <c r="I40" s="644">
        <f>+Metallurgy!T27</f>
        <v>290000</v>
      </c>
      <c r="J40" s="644">
        <f>+Metallurgy!U27</f>
        <v>290000</v>
      </c>
      <c r="K40" s="644">
        <f>+Metallurgy!V27</f>
        <v>40000</v>
      </c>
      <c r="L40" s="644">
        <f>+Metallurgy!W27</f>
        <v>40000</v>
      </c>
      <c r="M40" s="644">
        <f>+Metallurgy!X27</f>
        <v>40000</v>
      </c>
      <c r="N40" s="644">
        <f>+Metallurgy!Y27</f>
        <v>40000</v>
      </c>
      <c r="O40" s="645">
        <f>+Metallurgy!Z27</f>
        <v>40000</v>
      </c>
      <c r="P40" s="643">
        <f t="shared" ref="P40" si="180">+D40*15%</f>
        <v>21000</v>
      </c>
      <c r="Q40" s="656">
        <f t="shared" ref="Q40" si="181">+D40*85%</f>
        <v>119000</v>
      </c>
      <c r="R40" s="656">
        <f t="shared" ref="R40" si="182">+E40*90%</f>
        <v>391500</v>
      </c>
      <c r="S40" s="656">
        <f t="shared" ref="S40" si="183">+F40*90%+E40*10%</f>
        <v>849000</v>
      </c>
      <c r="T40" s="656">
        <f t="shared" ref="T40" si="184">+G40*90%+F40*10%</f>
        <v>656500</v>
      </c>
      <c r="U40" s="656">
        <f t="shared" ref="U40" si="185">+H40*90%+G40*10%</f>
        <v>324000</v>
      </c>
      <c r="V40" s="656">
        <f t="shared" ref="V40" si="186">+I40*90%+H40*10%</f>
        <v>290000</v>
      </c>
      <c r="W40" s="656">
        <f t="shared" ref="W40" si="187">+J40*90%+I40*10%</f>
        <v>290000</v>
      </c>
      <c r="X40" s="656">
        <f t="shared" ref="X40" si="188">+K40*90%+J40*10%</f>
        <v>65000</v>
      </c>
      <c r="Y40" s="656">
        <f t="shared" ref="Y40" si="189">+L40*90%+K40*10%</f>
        <v>40000</v>
      </c>
      <c r="Z40" s="656">
        <f t="shared" ref="Z40" si="190">+M40*90%+L40*10%</f>
        <v>40000</v>
      </c>
      <c r="AA40" s="657">
        <f t="shared" ref="AA40" si="191">+N40*90%+M40*10%</f>
        <v>40000</v>
      </c>
      <c r="AB40" s="736">
        <v>83333.333333333328</v>
      </c>
      <c r="AC40" s="736">
        <v>83333.333333333328</v>
      </c>
      <c r="AD40" s="736">
        <v>83333.333333333328</v>
      </c>
      <c r="AE40" s="736">
        <v>83333.333333333328</v>
      </c>
      <c r="AF40" s="736">
        <v>83333.333333333328</v>
      </c>
      <c r="AG40" s="736">
        <v>83333.333333333328</v>
      </c>
      <c r="AH40" s="736">
        <v>83333.333333333328</v>
      </c>
      <c r="AI40" s="736">
        <v>83333.333333333328</v>
      </c>
      <c r="AJ40" s="736">
        <v>83333.333333333328</v>
      </c>
      <c r="AK40" s="736">
        <v>83333.333333333328</v>
      </c>
      <c r="AL40" s="736">
        <v>83333.333333333328</v>
      </c>
      <c r="AM40" s="737">
        <v>83333.333333333328</v>
      </c>
      <c r="AN40" s="732">
        <f>+Summary!G40</f>
        <v>0</v>
      </c>
      <c r="AO40" s="732">
        <f>+Metallurgy!AZ27</f>
        <v>0</v>
      </c>
      <c r="AP40" s="732">
        <f>+Metallurgy!BA27</f>
        <v>0</v>
      </c>
      <c r="AQ40" s="732">
        <f>+Metallurgy!BB27</f>
        <v>0</v>
      </c>
      <c r="AR40" s="732">
        <f>+Metallurgy!BC27</f>
        <v>0</v>
      </c>
      <c r="AS40" s="732">
        <f>+Metallurgy!BD27</f>
        <v>0</v>
      </c>
      <c r="AT40" s="732">
        <f>+Metallurgy!BE27</f>
        <v>0</v>
      </c>
      <c r="AU40" s="732">
        <f>+Metallurgy!BF27</f>
        <v>0</v>
      </c>
      <c r="AV40" s="732">
        <f>+Metallurgy!BG27</f>
        <v>0</v>
      </c>
      <c r="AW40" s="732">
        <f>+Metallurgy!BH27</f>
        <v>0</v>
      </c>
      <c r="AX40" s="732">
        <f>+Metallurgy!BI27</f>
        <v>0</v>
      </c>
      <c r="AY40" s="733">
        <f>+Metallurgy!BJ27</f>
        <v>0</v>
      </c>
      <c r="AZ40" s="737">
        <f t="shared" si="14"/>
        <v>1000000.0000000001</v>
      </c>
      <c r="BA40" s="732">
        <f t="shared" si="15"/>
        <v>0</v>
      </c>
    </row>
    <row r="41" spans="1:53" x14ac:dyDescent="0.25">
      <c r="A41" s="147" t="s">
        <v>162</v>
      </c>
      <c r="B41" s="627">
        <f>SUM(B42:B43)</f>
        <v>744500</v>
      </c>
      <c r="C41" s="627">
        <f>SUM(C42)</f>
        <v>744500</v>
      </c>
      <c r="D41" s="646">
        <f t="shared" ref="D41:AM41" si="192">SUM(D42:D43)</f>
        <v>581500</v>
      </c>
      <c r="E41" s="646">
        <f t="shared" si="192"/>
        <v>81500</v>
      </c>
      <c r="F41" s="646">
        <f t="shared" si="192"/>
        <v>81500</v>
      </c>
      <c r="G41" s="646">
        <f t="shared" si="192"/>
        <v>0</v>
      </c>
      <c r="H41" s="646">
        <f t="shared" si="192"/>
        <v>0</v>
      </c>
      <c r="I41" s="646">
        <f t="shared" si="192"/>
        <v>0</v>
      </c>
      <c r="J41" s="646">
        <f t="shared" si="192"/>
        <v>0</v>
      </c>
      <c r="K41" s="646">
        <f t="shared" si="192"/>
        <v>0</v>
      </c>
      <c r="L41" s="646">
        <f t="shared" si="192"/>
        <v>0</v>
      </c>
      <c r="M41" s="646">
        <f t="shared" si="192"/>
        <v>0</v>
      </c>
      <c r="N41" s="646">
        <f t="shared" si="192"/>
        <v>0</v>
      </c>
      <c r="O41" s="647">
        <f t="shared" si="192"/>
        <v>0</v>
      </c>
      <c r="P41" s="647">
        <f t="shared" si="192"/>
        <v>87225</v>
      </c>
      <c r="Q41" s="647">
        <f t="shared" si="192"/>
        <v>494275</v>
      </c>
      <c r="R41" s="647">
        <f t="shared" si="192"/>
        <v>73350</v>
      </c>
      <c r="S41" s="647">
        <f t="shared" si="192"/>
        <v>81500</v>
      </c>
      <c r="T41" s="647">
        <f t="shared" si="192"/>
        <v>8150</v>
      </c>
      <c r="U41" s="647">
        <f t="shared" si="192"/>
        <v>0</v>
      </c>
      <c r="V41" s="647">
        <f t="shared" si="192"/>
        <v>0</v>
      </c>
      <c r="W41" s="647">
        <f t="shared" si="192"/>
        <v>0</v>
      </c>
      <c r="X41" s="647">
        <f t="shared" si="192"/>
        <v>0</v>
      </c>
      <c r="Y41" s="647">
        <f t="shared" si="192"/>
        <v>0</v>
      </c>
      <c r="Z41" s="647">
        <f t="shared" si="192"/>
        <v>0</v>
      </c>
      <c r="AA41" s="647">
        <f t="shared" si="192"/>
        <v>0</v>
      </c>
      <c r="AB41" s="738">
        <f t="shared" si="192"/>
        <v>1250000</v>
      </c>
      <c r="AC41" s="738">
        <f t="shared" si="192"/>
        <v>1250000</v>
      </c>
      <c r="AD41" s="738">
        <f t="shared" si="192"/>
        <v>1250000</v>
      </c>
      <c r="AE41" s="738">
        <f t="shared" si="192"/>
        <v>1250000</v>
      </c>
      <c r="AF41" s="738">
        <f t="shared" si="192"/>
        <v>1250000</v>
      </c>
      <c r="AG41" s="738">
        <f t="shared" si="192"/>
        <v>1250000</v>
      </c>
      <c r="AH41" s="738">
        <f t="shared" si="192"/>
        <v>1250000</v>
      </c>
      <c r="AI41" s="738">
        <f t="shared" si="192"/>
        <v>1250000</v>
      </c>
      <c r="AJ41" s="738">
        <f t="shared" si="192"/>
        <v>1250000</v>
      </c>
      <c r="AK41" s="738">
        <f t="shared" si="192"/>
        <v>1250000</v>
      </c>
      <c r="AL41" s="738">
        <f t="shared" si="192"/>
        <v>1250000</v>
      </c>
      <c r="AM41" s="738">
        <f t="shared" si="192"/>
        <v>1250000</v>
      </c>
      <c r="AN41" s="732">
        <f>+Summary!G41</f>
        <v>0</v>
      </c>
      <c r="AO41" s="735">
        <f t="shared" ref="AO41:AY41" si="193">SUM(AO42:AO43)</f>
        <v>0</v>
      </c>
      <c r="AP41" s="735">
        <f t="shared" si="193"/>
        <v>0</v>
      </c>
      <c r="AQ41" s="735">
        <f t="shared" si="193"/>
        <v>0</v>
      </c>
      <c r="AR41" s="735">
        <f t="shared" si="193"/>
        <v>0</v>
      </c>
      <c r="AS41" s="735">
        <f t="shared" si="193"/>
        <v>0</v>
      </c>
      <c r="AT41" s="735">
        <f t="shared" si="193"/>
        <v>0</v>
      </c>
      <c r="AU41" s="735">
        <f t="shared" si="193"/>
        <v>0</v>
      </c>
      <c r="AV41" s="735">
        <f t="shared" si="193"/>
        <v>0</v>
      </c>
      <c r="AW41" s="735">
        <f t="shared" si="193"/>
        <v>0</v>
      </c>
      <c r="AX41" s="735">
        <f t="shared" si="193"/>
        <v>0</v>
      </c>
      <c r="AY41" s="734">
        <f t="shared" si="193"/>
        <v>0</v>
      </c>
      <c r="AZ41" s="738">
        <f t="shared" si="14"/>
        <v>15000000</v>
      </c>
      <c r="BA41" s="735">
        <f t="shared" si="15"/>
        <v>0</v>
      </c>
    </row>
    <row r="42" spans="1:53" x14ac:dyDescent="0.25">
      <c r="A42" s="363" t="s">
        <v>480</v>
      </c>
      <c r="B42" s="625">
        <f>SUM(D42:O42)</f>
        <v>744500</v>
      </c>
      <c r="C42" s="625">
        <f>SUM(P42:AA42)</f>
        <v>744500</v>
      </c>
      <c r="D42" s="644">
        <f>+Drilling!O27</f>
        <v>581500</v>
      </c>
      <c r="E42" s="644">
        <f>+Drilling!P27</f>
        <v>81500</v>
      </c>
      <c r="F42" s="644">
        <f>+Drilling!Q27</f>
        <v>81500</v>
      </c>
      <c r="G42" s="644">
        <f>+Drilling!R27</f>
        <v>0</v>
      </c>
      <c r="H42" s="644">
        <f>+Drilling!S27</f>
        <v>0</v>
      </c>
      <c r="I42" s="644">
        <f>+Drilling!T27</f>
        <v>0</v>
      </c>
      <c r="J42" s="644">
        <f>+Drilling!U27</f>
        <v>0</v>
      </c>
      <c r="K42" s="644">
        <f>+Drilling!V27</f>
        <v>0</v>
      </c>
      <c r="L42" s="644">
        <f>+Drilling!W27</f>
        <v>0</v>
      </c>
      <c r="M42" s="644">
        <f>+Drilling!X27</f>
        <v>0</v>
      </c>
      <c r="N42" s="644">
        <f>+Drilling!Y27</f>
        <v>0</v>
      </c>
      <c r="O42" s="645">
        <f>+Drilling!Z27</f>
        <v>0</v>
      </c>
      <c r="P42" s="643">
        <f t="shared" ref="P42" si="194">+D42*15%</f>
        <v>87225</v>
      </c>
      <c r="Q42" s="656">
        <f t="shared" ref="Q42" si="195">+D42*85%</f>
        <v>494275</v>
      </c>
      <c r="R42" s="656">
        <f t="shared" ref="R42" si="196">+E42*90%</f>
        <v>73350</v>
      </c>
      <c r="S42" s="656">
        <f t="shared" ref="S42" si="197">+F42*90%+E42*10%</f>
        <v>81500</v>
      </c>
      <c r="T42" s="656">
        <f t="shared" ref="T42" si="198">+G42*90%+F42*10%</f>
        <v>8150</v>
      </c>
      <c r="U42" s="656">
        <f t="shared" ref="U42" si="199">+H42*90%+G42*10%</f>
        <v>0</v>
      </c>
      <c r="V42" s="656">
        <f t="shared" ref="V42" si="200">+I42*90%+H42*10%</f>
        <v>0</v>
      </c>
      <c r="W42" s="656">
        <f t="shared" ref="W42" si="201">+J42*90%+I42*10%</f>
        <v>0</v>
      </c>
      <c r="X42" s="656">
        <f t="shared" ref="X42" si="202">+K42*90%+J42*10%</f>
        <v>0</v>
      </c>
      <c r="Y42" s="656">
        <f t="shared" ref="Y42" si="203">+L42*90%+K42*10%</f>
        <v>0</v>
      </c>
      <c r="Z42" s="656">
        <f t="shared" ref="Z42" si="204">+M42*90%+L42*10%</f>
        <v>0</v>
      </c>
      <c r="AA42" s="657">
        <f t="shared" ref="AA42" si="205">+N42*90%+M42*10%</f>
        <v>0</v>
      </c>
      <c r="AB42" s="736">
        <v>625000</v>
      </c>
      <c r="AC42" s="736">
        <v>625000</v>
      </c>
      <c r="AD42" s="736">
        <v>625000</v>
      </c>
      <c r="AE42" s="736">
        <v>625000</v>
      </c>
      <c r="AF42" s="736">
        <v>625000</v>
      </c>
      <c r="AG42" s="736">
        <v>625000</v>
      </c>
      <c r="AH42" s="736">
        <v>625000</v>
      </c>
      <c r="AI42" s="736">
        <v>625000</v>
      </c>
      <c r="AJ42" s="736">
        <v>625000</v>
      </c>
      <c r="AK42" s="736">
        <v>625000</v>
      </c>
      <c r="AL42" s="736">
        <v>625000</v>
      </c>
      <c r="AM42" s="737">
        <v>625000</v>
      </c>
      <c r="AN42" s="732">
        <f>+Summary!G42</f>
        <v>0</v>
      </c>
      <c r="AO42" s="732">
        <f>+Drilling!AZ27</f>
        <v>0</v>
      </c>
      <c r="AP42" s="732">
        <f>+Drilling!BA27</f>
        <v>0</v>
      </c>
      <c r="AQ42" s="732">
        <f>+Drilling!BB27</f>
        <v>0</v>
      </c>
      <c r="AR42" s="732">
        <f>+Drilling!BC27</f>
        <v>0</v>
      </c>
      <c r="AS42" s="732">
        <f>+Drilling!BD27</f>
        <v>0</v>
      </c>
      <c r="AT42" s="732">
        <f>+Drilling!BE27</f>
        <v>0</v>
      </c>
      <c r="AU42" s="732">
        <f>+Drilling!BF27</f>
        <v>0</v>
      </c>
      <c r="AV42" s="732">
        <f>+Drilling!BG27</f>
        <v>0</v>
      </c>
      <c r="AW42" s="732">
        <f>+Drilling!BH27</f>
        <v>0</v>
      </c>
      <c r="AX42" s="732">
        <f>+Drilling!BI27</f>
        <v>0</v>
      </c>
      <c r="AY42" s="733">
        <f>+Drilling!BJ27</f>
        <v>0</v>
      </c>
      <c r="AZ42" s="737">
        <f t="shared" si="14"/>
        <v>7500000</v>
      </c>
      <c r="BA42" s="732">
        <f t="shared" si="15"/>
        <v>0</v>
      </c>
    </row>
    <row r="43" spans="1:53" x14ac:dyDescent="0.25">
      <c r="A43" s="363" t="s">
        <v>137</v>
      </c>
      <c r="B43" s="625">
        <f>SUM(D43:O43)</f>
        <v>0</v>
      </c>
      <c r="C43" s="625"/>
      <c r="D43" s="644">
        <v>0</v>
      </c>
      <c r="E43" s="644">
        <v>0</v>
      </c>
      <c r="F43" s="644">
        <v>0</v>
      </c>
      <c r="G43" s="644">
        <v>0</v>
      </c>
      <c r="H43" s="644">
        <v>0</v>
      </c>
      <c r="I43" s="644">
        <v>0</v>
      </c>
      <c r="J43" s="644">
        <v>0</v>
      </c>
      <c r="K43" s="644">
        <v>0</v>
      </c>
      <c r="L43" s="644">
        <v>0</v>
      </c>
      <c r="M43" s="644">
        <v>0</v>
      </c>
      <c r="N43" s="644">
        <v>0</v>
      </c>
      <c r="O43" s="645">
        <v>0</v>
      </c>
      <c r="P43" s="643">
        <v>0</v>
      </c>
      <c r="Q43" s="656">
        <v>0</v>
      </c>
      <c r="R43" s="656">
        <v>0</v>
      </c>
      <c r="S43" s="656">
        <v>0</v>
      </c>
      <c r="T43" s="656">
        <v>0</v>
      </c>
      <c r="U43" s="656">
        <v>0</v>
      </c>
      <c r="V43" s="656">
        <v>0</v>
      </c>
      <c r="W43" s="656">
        <v>0</v>
      </c>
      <c r="X43" s="656">
        <v>0</v>
      </c>
      <c r="Y43" s="656">
        <v>0</v>
      </c>
      <c r="Z43" s="656">
        <v>0</v>
      </c>
      <c r="AA43" s="657">
        <v>0</v>
      </c>
      <c r="AB43" s="736">
        <v>625000</v>
      </c>
      <c r="AC43" s="736">
        <v>625000</v>
      </c>
      <c r="AD43" s="736">
        <v>625000</v>
      </c>
      <c r="AE43" s="736">
        <v>625000</v>
      </c>
      <c r="AF43" s="736">
        <v>625000</v>
      </c>
      <c r="AG43" s="736">
        <v>625000</v>
      </c>
      <c r="AH43" s="736">
        <v>625000</v>
      </c>
      <c r="AI43" s="736">
        <v>625000</v>
      </c>
      <c r="AJ43" s="736">
        <v>625000</v>
      </c>
      <c r="AK43" s="736">
        <v>625000</v>
      </c>
      <c r="AL43" s="736">
        <v>625000</v>
      </c>
      <c r="AM43" s="737">
        <v>625000</v>
      </c>
      <c r="AN43" s="732">
        <f>+Summary!G43</f>
        <v>0</v>
      </c>
      <c r="AO43" s="732">
        <v>0</v>
      </c>
      <c r="AP43" s="732">
        <v>0</v>
      </c>
      <c r="AQ43" s="732">
        <v>0</v>
      </c>
      <c r="AR43" s="732">
        <v>0</v>
      </c>
      <c r="AS43" s="732">
        <v>0</v>
      </c>
      <c r="AT43" s="732">
        <v>0</v>
      </c>
      <c r="AU43" s="732">
        <v>0</v>
      </c>
      <c r="AV43" s="732">
        <v>0</v>
      </c>
      <c r="AW43" s="732">
        <v>0</v>
      </c>
      <c r="AX43" s="732">
        <v>0</v>
      </c>
      <c r="AY43" s="733">
        <v>0</v>
      </c>
      <c r="AZ43" s="737">
        <f t="shared" si="14"/>
        <v>7500000</v>
      </c>
      <c r="BA43" s="732">
        <f t="shared" si="15"/>
        <v>0</v>
      </c>
    </row>
    <row r="44" spans="1:53" x14ac:dyDescent="0.25">
      <c r="A44" s="147" t="s">
        <v>165</v>
      </c>
      <c r="B44" s="627">
        <f>SUM(B45)</f>
        <v>600000.14901882352</v>
      </c>
      <c r="C44" s="627">
        <f>SUM(C45)</f>
        <v>528275.53718719608</v>
      </c>
      <c r="D44" s="646">
        <f t="shared" ref="D44:AY44" si="206">SUM(D45)</f>
        <v>43468.684231960782</v>
      </c>
      <c r="E44" s="646">
        <f t="shared" si="206"/>
        <v>43351.037173137258</v>
      </c>
      <c r="F44" s="646">
        <f t="shared" si="206"/>
        <v>45723.069820196077</v>
      </c>
      <c r="G44" s="646">
        <f t="shared" si="206"/>
        <v>41145.154820196083</v>
      </c>
      <c r="H44" s="646">
        <f t="shared" si="206"/>
        <v>41262.801879019607</v>
      </c>
      <c r="I44" s="646">
        <f t="shared" si="206"/>
        <v>43203.978349607845</v>
      </c>
      <c r="J44" s="646">
        <f t="shared" si="206"/>
        <v>41262.801879019607</v>
      </c>
      <c r="K44" s="646">
        <f t="shared" si="206"/>
        <v>42909.86070254902</v>
      </c>
      <c r="L44" s="646">
        <f t="shared" si="206"/>
        <v>65881.038055490193</v>
      </c>
      <c r="M44" s="646">
        <f t="shared" si="206"/>
        <v>63200.181879019612</v>
      </c>
      <c r="N44" s="646">
        <f t="shared" si="206"/>
        <v>63185.475996666661</v>
      </c>
      <c r="O44" s="647">
        <f t="shared" si="206"/>
        <v>65406.064231960787</v>
      </c>
      <c r="P44" s="647">
        <f t="shared" si="206"/>
        <v>6520.3026347941168</v>
      </c>
      <c r="Q44" s="647">
        <f t="shared" si="206"/>
        <v>36948.381597166663</v>
      </c>
      <c r="R44" s="647">
        <f t="shared" si="206"/>
        <v>39015.933455823535</v>
      </c>
      <c r="S44" s="647">
        <f t="shared" si="206"/>
        <v>45485.866555490196</v>
      </c>
      <c r="T44" s="647">
        <f t="shared" si="206"/>
        <v>41602.94632019609</v>
      </c>
      <c r="U44" s="647">
        <f t="shared" si="206"/>
        <v>41251.037173137258</v>
      </c>
      <c r="V44" s="647">
        <f t="shared" si="206"/>
        <v>43009.86070254902</v>
      </c>
      <c r="W44" s="647">
        <f t="shared" si="206"/>
        <v>41456.919526078433</v>
      </c>
      <c r="X44" s="647">
        <f t="shared" si="206"/>
        <v>42745.154820196083</v>
      </c>
      <c r="Y44" s="647">
        <f t="shared" si="206"/>
        <v>63583.920320196077</v>
      </c>
      <c r="Z44" s="647">
        <f t="shared" si="206"/>
        <v>63468.267496666675</v>
      </c>
      <c r="AA44" s="647">
        <f t="shared" si="206"/>
        <v>63186.946584901962</v>
      </c>
      <c r="AB44" s="738">
        <f t="shared" si="206"/>
        <v>66666.666666666672</v>
      </c>
      <c r="AC44" s="738">
        <f t="shared" si="206"/>
        <v>66666.666666666672</v>
      </c>
      <c r="AD44" s="738">
        <f t="shared" si="206"/>
        <v>66666.666666666672</v>
      </c>
      <c r="AE44" s="738">
        <f t="shared" si="206"/>
        <v>66666.666666666672</v>
      </c>
      <c r="AF44" s="738">
        <f t="shared" si="206"/>
        <v>66666.666666666672</v>
      </c>
      <c r="AG44" s="738">
        <f t="shared" si="206"/>
        <v>66666.666666666672</v>
      </c>
      <c r="AH44" s="738">
        <f t="shared" si="206"/>
        <v>66666.666666666672</v>
      </c>
      <c r="AI44" s="738">
        <f t="shared" si="206"/>
        <v>66666.666666666672</v>
      </c>
      <c r="AJ44" s="738">
        <f t="shared" si="206"/>
        <v>66666.666666666672</v>
      </c>
      <c r="AK44" s="738">
        <f t="shared" si="206"/>
        <v>66666.666666666672</v>
      </c>
      <c r="AL44" s="738">
        <f t="shared" si="206"/>
        <v>66666.666666666672</v>
      </c>
      <c r="AM44" s="738">
        <f t="shared" si="206"/>
        <v>66666.666666666672</v>
      </c>
      <c r="AN44" s="734">
        <f t="shared" si="206"/>
        <v>66666.666666666672</v>
      </c>
      <c r="AO44" s="734">
        <f t="shared" si="206"/>
        <v>66666.666666666672</v>
      </c>
      <c r="AP44" s="734">
        <f t="shared" si="206"/>
        <v>66666.666666666672</v>
      </c>
      <c r="AQ44" s="734">
        <f t="shared" si="206"/>
        <v>66666.666666666672</v>
      </c>
      <c r="AR44" s="734">
        <f t="shared" si="206"/>
        <v>66666.666666666672</v>
      </c>
      <c r="AS44" s="734">
        <f t="shared" si="206"/>
        <v>66666.666666666672</v>
      </c>
      <c r="AT44" s="734">
        <f t="shared" si="206"/>
        <v>66666.666666666672</v>
      </c>
      <c r="AU44" s="734">
        <f t="shared" si="206"/>
        <v>66666.666666666672</v>
      </c>
      <c r="AV44" s="734">
        <f t="shared" si="206"/>
        <v>66666.666666666672</v>
      </c>
      <c r="AW44" s="734">
        <f t="shared" si="206"/>
        <v>66666.666666666672</v>
      </c>
      <c r="AX44" s="734">
        <f t="shared" si="206"/>
        <v>66666.666666666672</v>
      </c>
      <c r="AY44" s="734">
        <f t="shared" si="206"/>
        <v>66666.666666666672</v>
      </c>
      <c r="AZ44" s="738">
        <f t="shared" si="14"/>
        <v>799999.99999999988</v>
      </c>
      <c r="BA44" s="734">
        <f t="shared" si="15"/>
        <v>799999.99999999988</v>
      </c>
    </row>
    <row r="45" spans="1:53" x14ac:dyDescent="0.25">
      <c r="A45" s="363" t="s">
        <v>140</v>
      </c>
      <c r="B45" s="625">
        <f>SUM(D45:O45)</f>
        <v>600000.14901882352</v>
      </c>
      <c r="C45" s="625">
        <f>SUM(P45:AA45)</f>
        <v>528275.53718719608</v>
      </c>
      <c r="D45" s="644">
        <f>+Camp!O26</f>
        <v>43468.684231960782</v>
      </c>
      <c r="E45" s="644">
        <f>+Camp!P26</f>
        <v>43351.037173137258</v>
      </c>
      <c r="F45" s="644">
        <f>+Camp!Q26</f>
        <v>45723.069820196077</v>
      </c>
      <c r="G45" s="644">
        <f>+Camp!R26</f>
        <v>41145.154820196083</v>
      </c>
      <c r="H45" s="644">
        <f>+Camp!S26</f>
        <v>41262.801879019607</v>
      </c>
      <c r="I45" s="644">
        <f>+Camp!T26</f>
        <v>43203.978349607845</v>
      </c>
      <c r="J45" s="644">
        <f>+Camp!U26</f>
        <v>41262.801879019607</v>
      </c>
      <c r="K45" s="644">
        <f>+Camp!V26</f>
        <v>42909.86070254902</v>
      </c>
      <c r="L45" s="644">
        <f>+Camp!W26</f>
        <v>65881.038055490193</v>
      </c>
      <c r="M45" s="644">
        <f>+Camp!X26</f>
        <v>63200.181879019612</v>
      </c>
      <c r="N45" s="644">
        <f>+Camp!Y26</f>
        <v>63185.475996666661</v>
      </c>
      <c r="O45" s="645">
        <f>+Camp!Z26</f>
        <v>65406.064231960787</v>
      </c>
      <c r="P45" s="643">
        <f>+D45*15%</f>
        <v>6520.3026347941168</v>
      </c>
      <c r="Q45" s="656">
        <f t="shared" ref="Q45" si="207">+D45*85%</f>
        <v>36948.381597166663</v>
      </c>
      <c r="R45" s="656">
        <f t="shared" ref="R45" si="208">+E45*90%</f>
        <v>39015.933455823535</v>
      </c>
      <c r="S45" s="656">
        <f t="shared" ref="S45" si="209">+F45*90%+E45*10%</f>
        <v>45485.866555490196</v>
      </c>
      <c r="T45" s="656">
        <f t="shared" ref="T45" si="210">+G45*90%+F45*10%</f>
        <v>41602.94632019609</v>
      </c>
      <c r="U45" s="656">
        <f t="shared" ref="U45" si="211">+H45*90%+G45*10%</f>
        <v>41251.037173137258</v>
      </c>
      <c r="V45" s="656">
        <f t="shared" ref="V45" si="212">+I45*90%+H45*10%</f>
        <v>43009.86070254902</v>
      </c>
      <c r="W45" s="656">
        <f t="shared" ref="W45" si="213">+J45*90%+I45*10%</f>
        <v>41456.919526078433</v>
      </c>
      <c r="X45" s="656">
        <f t="shared" ref="X45" si="214">+K45*90%+J45*10%</f>
        <v>42745.154820196083</v>
      </c>
      <c r="Y45" s="656">
        <f t="shared" ref="Y45" si="215">+L45*90%+K45*10%</f>
        <v>63583.920320196077</v>
      </c>
      <c r="Z45" s="656">
        <f t="shared" ref="Z45" si="216">+M45*90%+L45*10%</f>
        <v>63468.267496666675</v>
      </c>
      <c r="AA45" s="657">
        <f t="shared" ref="AA45" si="217">+N45*90%+M45*10%</f>
        <v>63186.946584901962</v>
      </c>
      <c r="AB45" s="736">
        <v>66666.666666666672</v>
      </c>
      <c r="AC45" s="736">
        <v>66666.666666666672</v>
      </c>
      <c r="AD45" s="736">
        <v>66666.666666666672</v>
      </c>
      <c r="AE45" s="736">
        <v>66666.666666666672</v>
      </c>
      <c r="AF45" s="736">
        <v>66666.666666666672</v>
      </c>
      <c r="AG45" s="736">
        <v>66666.666666666672</v>
      </c>
      <c r="AH45" s="736">
        <v>66666.666666666672</v>
      </c>
      <c r="AI45" s="736">
        <v>66666.666666666672</v>
      </c>
      <c r="AJ45" s="736">
        <v>66666.666666666672</v>
      </c>
      <c r="AK45" s="736">
        <v>66666.666666666672</v>
      </c>
      <c r="AL45" s="736">
        <v>66666.666666666672</v>
      </c>
      <c r="AM45" s="737">
        <v>66666.666666666672</v>
      </c>
      <c r="AN45" s="732">
        <v>66666.666666666672</v>
      </c>
      <c r="AO45" s="732">
        <v>66666.666666666672</v>
      </c>
      <c r="AP45" s="732">
        <v>66666.666666666672</v>
      </c>
      <c r="AQ45" s="732">
        <v>66666.666666666672</v>
      </c>
      <c r="AR45" s="732">
        <v>66666.666666666672</v>
      </c>
      <c r="AS45" s="732">
        <v>66666.666666666672</v>
      </c>
      <c r="AT45" s="732">
        <v>66666.666666666672</v>
      </c>
      <c r="AU45" s="732">
        <v>66666.666666666672</v>
      </c>
      <c r="AV45" s="732">
        <v>66666.666666666672</v>
      </c>
      <c r="AW45" s="732">
        <v>66666.666666666672</v>
      </c>
      <c r="AX45" s="732">
        <v>66666.666666666672</v>
      </c>
      <c r="AY45" s="733">
        <v>66666.666666666672</v>
      </c>
      <c r="AZ45" s="737">
        <f t="shared" si="14"/>
        <v>799999.99999999988</v>
      </c>
      <c r="BA45" s="732">
        <f t="shared" si="15"/>
        <v>799999.99999999988</v>
      </c>
    </row>
    <row r="46" spans="1:53" x14ac:dyDescent="0.25">
      <c r="A46" s="378" t="s">
        <v>167</v>
      </c>
      <c r="B46" s="626">
        <f>SUM(B47,B49,B51)</f>
        <v>11566760.714570152</v>
      </c>
      <c r="C46" s="626">
        <f t="shared" ref="C46:O46" si="218">SUM(C47,C49,C51)</f>
        <v>10793824.391962675</v>
      </c>
      <c r="D46" s="617">
        <f t="shared" si="218"/>
        <v>212210.58974358975</v>
      </c>
      <c r="E46" s="617">
        <f t="shared" si="218"/>
        <v>1133771.8023897293</v>
      </c>
      <c r="F46" s="617">
        <f t="shared" si="218"/>
        <v>1877681.6520146523</v>
      </c>
      <c r="G46" s="617">
        <f t="shared" si="218"/>
        <v>2435197.196904324</v>
      </c>
      <c r="H46" s="617">
        <f t="shared" si="218"/>
        <v>920112.94688644679</v>
      </c>
      <c r="I46" s="617">
        <f t="shared" si="218"/>
        <v>1281124.4463548739</v>
      </c>
      <c r="J46" s="617">
        <f t="shared" si="218"/>
        <v>1109407.3776556777</v>
      </c>
      <c r="K46" s="617">
        <f t="shared" si="218"/>
        <v>587466.11302154069</v>
      </c>
      <c r="L46" s="617">
        <f t="shared" si="218"/>
        <v>323043.45540992328</v>
      </c>
      <c r="M46" s="617">
        <f t="shared" si="218"/>
        <v>247233.87110105579</v>
      </c>
      <c r="N46" s="617">
        <f t="shared" si="218"/>
        <v>740638.82275651151</v>
      </c>
      <c r="O46" s="379">
        <f t="shared" si="218"/>
        <v>698872.44033182494</v>
      </c>
      <c r="P46" s="617">
        <f t="shared" ref="P46" si="219">SUM(P47,P49,P51)</f>
        <v>31831.58846153846</v>
      </c>
      <c r="Q46" s="617">
        <f t="shared" ref="Q46" si="220">SUM(Q47,Q49,Q51)</f>
        <v>180379.00128205129</v>
      </c>
      <c r="R46" s="617">
        <f t="shared" ref="R46" si="221">SUM(R47,R49,R51)</f>
        <v>1020394.6221507564</v>
      </c>
      <c r="S46" s="617">
        <f t="shared" ref="S46" si="222">SUM(S47,S49,S51)</f>
        <v>1803290.6670521598</v>
      </c>
      <c r="T46" s="617">
        <f t="shared" ref="T46" si="223">SUM(T47,T49,T51)</f>
        <v>2379445.6424153568</v>
      </c>
      <c r="U46" s="617">
        <f t="shared" ref="U46" si="224">SUM(U47,U49,U51)</f>
        <v>1071621.3718882347</v>
      </c>
      <c r="V46" s="617">
        <f t="shared" ref="V46" si="225">SUM(V47,V49,V51)</f>
        <v>1245023.2964080314</v>
      </c>
      <c r="W46" s="617">
        <f t="shared" ref="W46" si="226">SUM(W47,W49,W51)</f>
        <v>1126579.0845255975</v>
      </c>
      <c r="X46" s="617">
        <f t="shared" ref="X46" si="227">SUM(X47,X49,X51)</f>
        <v>639660.23948495439</v>
      </c>
      <c r="Y46" s="617">
        <f t="shared" ref="Y46" si="228">SUM(Y47,Y49,Y51)</f>
        <v>349485.72117108508</v>
      </c>
      <c r="Z46" s="617">
        <f t="shared" ref="Z46" si="229">SUM(Z47,Z49,Z51)</f>
        <v>254814.82953194258</v>
      </c>
      <c r="AA46" s="379">
        <f t="shared" ref="AA46:AY46" si="230">SUM(AA47,AA49,AA51)</f>
        <v>691298.3275909659</v>
      </c>
      <c r="AB46" s="617">
        <f t="shared" si="230"/>
        <v>657641.91666666663</v>
      </c>
      <c r="AC46" s="617">
        <f t="shared" si="230"/>
        <v>657641.91666666663</v>
      </c>
      <c r="AD46" s="617">
        <f t="shared" si="230"/>
        <v>657641.91666666663</v>
      </c>
      <c r="AE46" s="617">
        <f t="shared" si="230"/>
        <v>657641.91666666663</v>
      </c>
      <c r="AF46" s="617">
        <f t="shared" si="230"/>
        <v>657641.91666666663</v>
      </c>
      <c r="AG46" s="617">
        <f t="shared" si="230"/>
        <v>657641.91666666663</v>
      </c>
      <c r="AH46" s="617">
        <f t="shared" si="230"/>
        <v>657641.91666666663</v>
      </c>
      <c r="AI46" s="617">
        <f t="shared" si="230"/>
        <v>657641.91666666663</v>
      </c>
      <c r="AJ46" s="617">
        <f t="shared" si="230"/>
        <v>657641.91666666663</v>
      </c>
      <c r="AK46" s="617">
        <f t="shared" si="230"/>
        <v>657641.91666666663</v>
      </c>
      <c r="AL46" s="617">
        <f t="shared" si="230"/>
        <v>657641.91666666663</v>
      </c>
      <c r="AM46" s="379">
        <f t="shared" si="230"/>
        <v>657641.91666666663</v>
      </c>
      <c r="AN46" s="379">
        <f t="shared" si="230"/>
        <v>879833.33333333337</v>
      </c>
      <c r="AO46" s="617">
        <f t="shared" si="230"/>
        <v>879833.33333333337</v>
      </c>
      <c r="AP46" s="617">
        <f t="shared" si="230"/>
        <v>879833.33333333337</v>
      </c>
      <c r="AQ46" s="617">
        <f t="shared" si="230"/>
        <v>879833.33333333337</v>
      </c>
      <c r="AR46" s="617">
        <f t="shared" si="230"/>
        <v>879833.33333333337</v>
      </c>
      <c r="AS46" s="617">
        <f t="shared" si="230"/>
        <v>879833.33333333337</v>
      </c>
      <c r="AT46" s="617">
        <f t="shared" si="230"/>
        <v>879833.33333333337</v>
      </c>
      <c r="AU46" s="617">
        <f t="shared" si="230"/>
        <v>879833.33333333337</v>
      </c>
      <c r="AV46" s="617">
        <f t="shared" si="230"/>
        <v>879833.33333333337</v>
      </c>
      <c r="AW46" s="617">
        <f t="shared" si="230"/>
        <v>879833.33333333337</v>
      </c>
      <c r="AX46" s="617">
        <f t="shared" si="230"/>
        <v>879833.33333333337</v>
      </c>
      <c r="AY46" s="379">
        <f t="shared" si="230"/>
        <v>879833.33333333337</v>
      </c>
      <c r="AZ46" s="379">
        <f t="shared" si="14"/>
        <v>7891703.0000000009</v>
      </c>
      <c r="BA46" s="617">
        <f t="shared" si="15"/>
        <v>10558000</v>
      </c>
    </row>
    <row r="47" spans="1:53" x14ac:dyDescent="0.25">
      <c r="A47" s="147" t="s">
        <v>168</v>
      </c>
      <c r="B47" s="627">
        <f>SUM(B48)</f>
        <v>1154000</v>
      </c>
      <c r="C47" s="627">
        <f t="shared" ref="C47:AY47" si="231">SUM(C48)</f>
        <v>1051150</v>
      </c>
      <c r="D47" s="646">
        <f t="shared" si="231"/>
        <v>61500</v>
      </c>
      <c r="E47" s="646">
        <f t="shared" si="231"/>
        <v>61500</v>
      </c>
      <c r="F47" s="646">
        <f t="shared" si="231"/>
        <v>157500</v>
      </c>
      <c r="G47" s="646">
        <f t="shared" si="231"/>
        <v>145000</v>
      </c>
      <c r="H47" s="646">
        <f t="shared" si="231"/>
        <v>75000</v>
      </c>
      <c r="I47" s="646">
        <f t="shared" si="231"/>
        <v>75000</v>
      </c>
      <c r="J47" s="646">
        <f t="shared" si="231"/>
        <v>75000</v>
      </c>
      <c r="K47" s="646">
        <f t="shared" si="231"/>
        <v>105500</v>
      </c>
      <c r="L47" s="646">
        <f t="shared" si="231"/>
        <v>105500</v>
      </c>
      <c r="M47" s="646">
        <f t="shared" si="231"/>
        <v>105500</v>
      </c>
      <c r="N47" s="646">
        <f t="shared" si="231"/>
        <v>93500</v>
      </c>
      <c r="O47" s="647">
        <f t="shared" si="231"/>
        <v>93500</v>
      </c>
      <c r="P47" s="647">
        <f t="shared" si="231"/>
        <v>9225</v>
      </c>
      <c r="Q47" s="647">
        <f t="shared" si="231"/>
        <v>52275</v>
      </c>
      <c r="R47" s="647">
        <f t="shared" si="231"/>
        <v>55350</v>
      </c>
      <c r="S47" s="647">
        <f t="shared" si="231"/>
        <v>147900</v>
      </c>
      <c r="T47" s="647">
        <f t="shared" si="231"/>
        <v>146250</v>
      </c>
      <c r="U47" s="647">
        <f t="shared" si="231"/>
        <v>82000</v>
      </c>
      <c r="V47" s="647">
        <f t="shared" si="231"/>
        <v>75000</v>
      </c>
      <c r="W47" s="647">
        <f t="shared" si="231"/>
        <v>75000</v>
      </c>
      <c r="X47" s="647">
        <f t="shared" si="231"/>
        <v>102450</v>
      </c>
      <c r="Y47" s="647">
        <f t="shared" si="231"/>
        <v>105500</v>
      </c>
      <c r="Z47" s="647">
        <f t="shared" si="231"/>
        <v>105500</v>
      </c>
      <c r="AA47" s="647">
        <f t="shared" si="231"/>
        <v>94700</v>
      </c>
      <c r="AB47" s="738">
        <f t="shared" si="231"/>
        <v>67000</v>
      </c>
      <c r="AC47" s="738">
        <f t="shared" si="231"/>
        <v>67000</v>
      </c>
      <c r="AD47" s="738">
        <f t="shared" si="231"/>
        <v>67000</v>
      </c>
      <c r="AE47" s="738">
        <f t="shared" si="231"/>
        <v>67000</v>
      </c>
      <c r="AF47" s="738">
        <f t="shared" si="231"/>
        <v>67000</v>
      </c>
      <c r="AG47" s="738">
        <f t="shared" si="231"/>
        <v>67000</v>
      </c>
      <c r="AH47" s="738">
        <f t="shared" si="231"/>
        <v>67000</v>
      </c>
      <c r="AI47" s="738">
        <f t="shared" si="231"/>
        <v>67000</v>
      </c>
      <c r="AJ47" s="738">
        <f t="shared" si="231"/>
        <v>67000</v>
      </c>
      <c r="AK47" s="738">
        <f t="shared" si="231"/>
        <v>67000</v>
      </c>
      <c r="AL47" s="738">
        <f t="shared" si="231"/>
        <v>67000</v>
      </c>
      <c r="AM47" s="738">
        <f t="shared" si="231"/>
        <v>67000</v>
      </c>
      <c r="AN47" s="734">
        <f t="shared" si="231"/>
        <v>75333.333333333328</v>
      </c>
      <c r="AO47" s="734">
        <f t="shared" si="231"/>
        <v>75333.333333333328</v>
      </c>
      <c r="AP47" s="734">
        <f t="shared" si="231"/>
        <v>75333.333333333328</v>
      </c>
      <c r="AQ47" s="734">
        <f t="shared" si="231"/>
        <v>75333.333333333328</v>
      </c>
      <c r="AR47" s="734">
        <f t="shared" si="231"/>
        <v>75333.333333333328</v>
      </c>
      <c r="AS47" s="734">
        <f t="shared" si="231"/>
        <v>75333.333333333328</v>
      </c>
      <c r="AT47" s="734">
        <f t="shared" si="231"/>
        <v>75333.333333333328</v>
      </c>
      <c r="AU47" s="734">
        <f t="shared" si="231"/>
        <v>75333.333333333328</v>
      </c>
      <c r="AV47" s="734">
        <f t="shared" si="231"/>
        <v>75333.333333333328</v>
      </c>
      <c r="AW47" s="734">
        <f t="shared" si="231"/>
        <v>75333.333333333328</v>
      </c>
      <c r="AX47" s="734">
        <f t="shared" si="231"/>
        <v>75333.333333333328</v>
      </c>
      <c r="AY47" s="734">
        <f t="shared" si="231"/>
        <v>75333.333333333328</v>
      </c>
      <c r="AZ47" s="738">
        <f t="shared" si="14"/>
        <v>804000</v>
      </c>
      <c r="BA47" s="734">
        <f t="shared" si="15"/>
        <v>904000.00000000012</v>
      </c>
    </row>
    <row r="48" spans="1:53" x14ac:dyDescent="0.25">
      <c r="A48" s="363" t="s">
        <v>143</v>
      </c>
      <c r="B48" s="625">
        <f>SUM(D48:O48)</f>
        <v>1154000</v>
      </c>
      <c r="C48" s="625">
        <f>SUM(P48:AA48)</f>
        <v>1051150</v>
      </c>
      <c r="D48" s="644">
        <f>+Mine!O22</f>
        <v>61500</v>
      </c>
      <c r="E48" s="644">
        <f>+Mine!P22</f>
        <v>61500</v>
      </c>
      <c r="F48" s="644">
        <f>+Mine!Q22</f>
        <v>157500</v>
      </c>
      <c r="G48" s="644">
        <f>+Mine!R22</f>
        <v>145000</v>
      </c>
      <c r="H48" s="644">
        <f>+Mine!S22</f>
        <v>75000</v>
      </c>
      <c r="I48" s="644">
        <f>+Mine!T22</f>
        <v>75000</v>
      </c>
      <c r="J48" s="644">
        <f>+Mine!U22</f>
        <v>75000</v>
      </c>
      <c r="K48" s="644">
        <f>+Mine!V22</f>
        <v>105500</v>
      </c>
      <c r="L48" s="644">
        <f>+Mine!W22</f>
        <v>105500</v>
      </c>
      <c r="M48" s="644">
        <f>+Mine!X22</f>
        <v>105500</v>
      </c>
      <c r="N48" s="644">
        <f>+Mine!Y22</f>
        <v>93500</v>
      </c>
      <c r="O48" s="645">
        <f>+Mine!Z22</f>
        <v>93500</v>
      </c>
      <c r="P48" s="643">
        <f>+D48*15%</f>
        <v>9225</v>
      </c>
      <c r="Q48" s="656">
        <f t="shared" ref="Q48" si="232">+D48*85%</f>
        <v>52275</v>
      </c>
      <c r="R48" s="656">
        <f t="shared" ref="R48" si="233">+E48*90%</f>
        <v>55350</v>
      </c>
      <c r="S48" s="656">
        <f t="shared" ref="S48" si="234">+F48*90%+E48*10%</f>
        <v>147900</v>
      </c>
      <c r="T48" s="656">
        <f t="shared" ref="T48" si="235">+G48*90%+F48*10%</f>
        <v>146250</v>
      </c>
      <c r="U48" s="656">
        <f t="shared" ref="U48" si="236">+H48*90%+G48*10%</f>
        <v>82000</v>
      </c>
      <c r="V48" s="656">
        <f t="shared" ref="V48" si="237">+I48*90%+H48*10%</f>
        <v>75000</v>
      </c>
      <c r="W48" s="656">
        <f t="shared" ref="W48" si="238">+J48*90%+I48*10%</f>
        <v>75000</v>
      </c>
      <c r="X48" s="656">
        <f t="shared" ref="X48" si="239">+K48*90%+J48*10%</f>
        <v>102450</v>
      </c>
      <c r="Y48" s="656">
        <f t="shared" ref="Y48" si="240">+L48*90%+K48*10%</f>
        <v>105500</v>
      </c>
      <c r="Z48" s="656">
        <f t="shared" ref="Z48" si="241">+M48*90%+L48*10%</f>
        <v>105500</v>
      </c>
      <c r="AA48" s="657">
        <f t="shared" ref="AA48" si="242">+N48*90%+M48*10%</f>
        <v>94700</v>
      </c>
      <c r="AB48" s="742">
        <v>67000</v>
      </c>
      <c r="AC48" s="736">
        <v>67000</v>
      </c>
      <c r="AD48" s="736">
        <v>67000</v>
      </c>
      <c r="AE48" s="736">
        <v>67000</v>
      </c>
      <c r="AF48" s="736">
        <v>67000</v>
      </c>
      <c r="AG48" s="736">
        <v>67000</v>
      </c>
      <c r="AH48" s="736">
        <v>67000</v>
      </c>
      <c r="AI48" s="736">
        <v>67000</v>
      </c>
      <c r="AJ48" s="736">
        <v>67000</v>
      </c>
      <c r="AK48" s="736">
        <v>67000</v>
      </c>
      <c r="AL48" s="736">
        <v>67000</v>
      </c>
      <c r="AM48" s="737">
        <v>67000</v>
      </c>
      <c r="AN48" s="732">
        <v>75333.333333333328</v>
      </c>
      <c r="AO48" s="732">
        <v>75333.333333333328</v>
      </c>
      <c r="AP48" s="732">
        <v>75333.333333333328</v>
      </c>
      <c r="AQ48" s="732">
        <v>75333.333333333328</v>
      </c>
      <c r="AR48" s="732">
        <v>75333.333333333328</v>
      </c>
      <c r="AS48" s="732">
        <v>75333.333333333328</v>
      </c>
      <c r="AT48" s="732">
        <v>75333.333333333328</v>
      </c>
      <c r="AU48" s="732">
        <v>75333.333333333328</v>
      </c>
      <c r="AV48" s="732">
        <v>75333.333333333328</v>
      </c>
      <c r="AW48" s="732">
        <v>75333.333333333328</v>
      </c>
      <c r="AX48" s="732">
        <v>75333.333333333328</v>
      </c>
      <c r="AY48" s="733">
        <v>75333.333333333328</v>
      </c>
      <c r="AZ48" s="737">
        <f t="shared" si="14"/>
        <v>804000</v>
      </c>
      <c r="BA48" s="732">
        <f t="shared" si="15"/>
        <v>904000.00000000012</v>
      </c>
    </row>
    <row r="49" spans="1:53" x14ac:dyDescent="0.25">
      <c r="A49" s="147" t="s">
        <v>146</v>
      </c>
      <c r="B49" s="627">
        <f>SUM(B50)</f>
        <v>9266578.9890109897</v>
      </c>
      <c r="C49" s="627">
        <f>SUM(C50)</f>
        <v>8619327.8736263737</v>
      </c>
      <c r="D49" s="646">
        <f t="shared" ref="D49:AY49" si="243">SUM(D50)</f>
        <v>48586.923076923078</v>
      </c>
      <c r="E49" s="646">
        <f t="shared" si="243"/>
        <v>791372.98534798529</v>
      </c>
      <c r="F49" s="646">
        <f t="shared" si="243"/>
        <v>1597282.4853479855</v>
      </c>
      <c r="G49" s="646">
        <f t="shared" si="243"/>
        <v>2148899.2948717945</v>
      </c>
      <c r="H49" s="646">
        <f t="shared" si="243"/>
        <v>710146.28021978016</v>
      </c>
      <c r="I49" s="646">
        <f t="shared" si="243"/>
        <v>1153059.0443223442</v>
      </c>
      <c r="J49" s="646">
        <f t="shared" si="243"/>
        <v>999740.71098901099</v>
      </c>
      <c r="K49" s="646">
        <f t="shared" si="243"/>
        <v>428900.71098901099</v>
      </c>
      <c r="L49" s="646">
        <f t="shared" si="243"/>
        <v>104453.35384615384</v>
      </c>
      <c r="M49" s="646">
        <f t="shared" si="243"/>
        <v>104453.35384615384</v>
      </c>
      <c r="N49" s="646">
        <f t="shared" si="243"/>
        <v>591591.92307692301</v>
      </c>
      <c r="O49" s="647">
        <f t="shared" si="243"/>
        <v>588091.92307692301</v>
      </c>
      <c r="P49" s="647">
        <f t="shared" si="243"/>
        <v>7288.0384615384619</v>
      </c>
      <c r="Q49" s="647">
        <f t="shared" si="243"/>
        <v>41298.884615384617</v>
      </c>
      <c r="R49" s="647">
        <f t="shared" si="243"/>
        <v>712235.68681318674</v>
      </c>
      <c r="S49" s="647">
        <f t="shared" si="243"/>
        <v>1516691.5353479853</v>
      </c>
      <c r="T49" s="647">
        <f t="shared" si="243"/>
        <v>2093737.6139194136</v>
      </c>
      <c r="U49" s="647">
        <f t="shared" si="243"/>
        <v>854021.58168498171</v>
      </c>
      <c r="V49" s="647">
        <f t="shared" si="243"/>
        <v>1108767.767912088</v>
      </c>
      <c r="W49" s="647">
        <f t="shared" si="243"/>
        <v>1015072.5443223444</v>
      </c>
      <c r="X49" s="647">
        <f t="shared" si="243"/>
        <v>485984.71098901099</v>
      </c>
      <c r="Y49" s="647">
        <f t="shared" si="243"/>
        <v>136898.08956043958</v>
      </c>
      <c r="Z49" s="647">
        <f t="shared" si="243"/>
        <v>104453.35384615386</v>
      </c>
      <c r="AA49" s="647">
        <f t="shared" si="243"/>
        <v>542878.0661538461</v>
      </c>
      <c r="AB49" s="738">
        <f t="shared" si="243"/>
        <v>472500</v>
      </c>
      <c r="AC49" s="738">
        <f t="shared" si="243"/>
        <v>472500</v>
      </c>
      <c r="AD49" s="738">
        <f t="shared" si="243"/>
        <v>472500</v>
      </c>
      <c r="AE49" s="738">
        <f t="shared" si="243"/>
        <v>472500</v>
      </c>
      <c r="AF49" s="738">
        <f t="shared" si="243"/>
        <v>472500</v>
      </c>
      <c r="AG49" s="738">
        <f t="shared" si="243"/>
        <v>472500</v>
      </c>
      <c r="AH49" s="738">
        <f t="shared" si="243"/>
        <v>472500</v>
      </c>
      <c r="AI49" s="738">
        <f t="shared" si="243"/>
        <v>472500</v>
      </c>
      <c r="AJ49" s="738">
        <f t="shared" si="243"/>
        <v>472500</v>
      </c>
      <c r="AK49" s="738">
        <f t="shared" si="243"/>
        <v>472500</v>
      </c>
      <c r="AL49" s="738">
        <f t="shared" si="243"/>
        <v>472500</v>
      </c>
      <c r="AM49" s="738">
        <f t="shared" si="243"/>
        <v>472500</v>
      </c>
      <c r="AN49" s="734">
        <f t="shared" si="243"/>
        <v>764583.33333333337</v>
      </c>
      <c r="AO49" s="734">
        <f t="shared" si="243"/>
        <v>764583.33333333337</v>
      </c>
      <c r="AP49" s="734">
        <f t="shared" si="243"/>
        <v>764583.33333333337</v>
      </c>
      <c r="AQ49" s="734">
        <f t="shared" si="243"/>
        <v>764583.33333333337</v>
      </c>
      <c r="AR49" s="734">
        <f t="shared" si="243"/>
        <v>764583.33333333337</v>
      </c>
      <c r="AS49" s="734">
        <f t="shared" si="243"/>
        <v>764583.33333333337</v>
      </c>
      <c r="AT49" s="734">
        <f t="shared" si="243"/>
        <v>764583.33333333337</v>
      </c>
      <c r="AU49" s="734">
        <f t="shared" si="243"/>
        <v>764583.33333333337</v>
      </c>
      <c r="AV49" s="734">
        <f t="shared" si="243"/>
        <v>764583.33333333337</v>
      </c>
      <c r="AW49" s="734">
        <f t="shared" si="243"/>
        <v>764583.33333333337</v>
      </c>
      <c r="AX49" s="734">
        <f t="shared" si="243"/>
        <v>764583.33333333337</v>
      </c>
      <c r="AY49" s="734">
        <f t="shared" si="243"/>
        <v>764583.33333333337</v>
      </c>
      <c r="AZ49" s="738">
        <f t="shared" si="14"/>
        <v>5670000</v>
      </c>
      <c r="BA49" s="734">
        <f t="shared" si="15"/>
        <v>9175000</v>
      </c>
    </row>
    <row r="50" spans="1:53" x14ac:dyDescent="0.25">
      <c r="A50" s="363" t="s">
        <v>146</v>
      </c>
      <c r="B50" s="625">
        <f>SUM(D50:O50)</f>
        <v>9266578.9890109897</v>
      </c>
      <c r="C50" s="625">
        <f>SUM(P50:AA50)</f>
        <v>8619327.8736263737</v>
      </c>
      <c r="D50" s="644">
        <f>+Geology!O27</f>
        <v>48586.923076923078</v>
      </c>
      <c r="E50" s="644">
        <f>+Geology!P27</f>
        <v>791372.98534798529</v>
      </c>
      <c r="F50" s="644">
        <f>+Geology!Q27</f>
        <v>1597282.4853479855</v>
      </c>
      <c r="G50" s="644">
        <f>+Geology!R27</f>
        <v>2148899.2948717945</v>
      </c>
      <c r="H50" s="644">
        <f>+Geology!S27</f>
        <v>710146.28021978016</v>
      </c>
      <c r="I50" s="644">
        <f>+Geology!T27</f>
        <v>1153059.0443223442</v>
      </c>
      <c r="J50" s="644">
        <f>+Geology!U27</f>
        <v>999740.71098901099</v>
      </c>
      <c r="K50" s="644">
        <f>+Geology!V27</f>
        <v>428900.71098901099</v>
      </c>
      <c r="L50" s="644">
        <f>+Geology!W27</f>
        <v>104453.35384615384</v>
      </c>
      <c r="M50" s="644">
        <f>+Geology!X27</f>
        <v>104453.35384615384</v>
      </c>
      <c r="N50" s="644">
        <f>+Geology!Y27</f>
        <v>591591.92307692301</v>
      </c>
      <c r="O50" s="645">
        <f>+Geology!Z27</f>
        <v>588091.92307692301</v>
      </c>
      <c r="P50" s="643">
        <f>+D50*15%</f>
        <v>7288.0384615384619</v>
      </c>
      <c r="Q50" s="656">
        <f t="shared" ref="Q50" si="244">+D50*85%</f>
        <v>41298.884615384617</v>
      </c>
      <c r="R50" s="656">
        <f t="shared" ref="R50" si="245">+E50*90%</f>
        <v>712235.68681318674</v>
      </c>
      <c r="S50" s="656">
        <f t="shared" ref="S50" si="246">+F50*90%+E50*10%</f>
        <v>1516691.5353479853</v>
      </c>
      <c r="T50" s="656">
        <f t="shared" ref="T50" si="247">+G50*90%+F50*10%</f>
        <v>2093737.6139194136</v>
      </c>
      <c r="U50" s="656">
        <f t="shared" ref="U50" si="248">+H50*90%+G50*10%</f>
        <v>854021.58168498171</v>
      </c>
      <c r="V50" s="656">
        <f t="shared" ref="V50" si="249">+I50*90%+H50*10%</f>
        <v>1108767.767912088</v>
      </c>
      <c r="W50" s="656">
        <f t="shared" ref="W50" si="250">+J50*90%+I50*10%</f>
        <v>1015072.5443223444</v>
      </c>
      <c r="X50" s="656">
        <f t="shared" ref="X50" si="251">+K50*90%+J50*10%</f>
        <v>485984.71098901099</v>
      </c>
      <c r="Y50" s="656">
        <f t="shared" ref="Y50" si="252">+L50*90%+K50*10%</f>
        <v>136898.08956043958</v>
      </c>
      <c r="Z50" s="656">
        <f t="shared" ref="Z50" si="253">+M50*90%+L50*10%</f>
        <v>104453.35384615386</v>
      </c>
      <c r="AA50" s="657">
        <f t="shared" ref="AA50" si="254">+N50*90%+M50*10%</f>
        <v>542878.0661538461</v>
      </c>
      <c r="AB50" s="742">
        <v>472500</v>
      </c>
      <c r="AC50" s="736">
        <v>472500</v>
      </c>
      <c r="AD50" s="736">
        <v>472500</v>
      </c>
      <c r="AE50" s="736">
        <v>472500</v>
      </c>
      <c r="AF50" s="736">
        <v>472500</v>
      </c>
      <c r="AG50" s="736">
        <v>472500</v>
      </c>
      <c r="AH50" s="736">
        <v>472500</v>
      </c>
      <c r="AI50" s="736">
        <v>472500</v>
      </c>
      <c r="AJ50" s="736">
        <v>472500</v>
      </c>
      <c r="AK50" s="736">
        <v>472500</v>
      </c>
      <c r="AL50" s="736">
        <v>472500</v>
      </c>
      <c r="AM50" s="737">
        <v>472500</v>
      </c>
      <c r="AN50" s="732">
        <v>764583.33333333337</v>
      </c>
      <c r="AO50" s="732">
        <v>764583.33333333337</v>
      </c>
      <c r="AP50" s="732">
        <v>764583.33333333337</v>
      </c>
      <c r="AQ50" s="732">
        <v>764583.33333333337</v>
      </c>
      <c r="AR50" s="732">
        <v>764583.33333333337</v>
      </c>
      <c r="AS50" s="732">
        <v>764583.33333333337</v>
      </c>
      <c r="AT50" s="732">
        <v>764583.33333333337</v>
      </c>
      <c r="AU50" s="732">
        <v>764583.33333333337</v>
      </c>
      <c r="AV50" s="732">
        <v>764583.33333333337</v>
      </c>
      <c r="AW50" s="732">
        <v>764583.33333333337</v>
      </c>
      <c r="AX50" s="732">
        <v>764583.33333333337</v>
      </c>
      <c r="AY50" s="733">
        <v>764583.33333333337</v>
      </c>
      <c r="AZ50" s="737">
        <f t="shared" si="14"/>
        <v>5670000</v>
      </c>
      <c r="BA50" s="732">
        <f t="shared" si="15"/>
        <v>9175000</v>
      </c>
    </row>
    <row r="51" spans="1:53" x14ac:dyDescent="0.25">
      <c r="A51" s="147" t="s">
        <v>149</v>
      </c>
      <c r="B51" s="627">
        <f>SUM(B52)</f>
        <v>1146181.7255591617</v>
      </c>
      <c r="C51" s="627">
        <f t="shared" ref="C51:AY51" si="255">SUM(C52)</f>
        <v>1123346.518336301</v>
      </c>
      <c r="D51" s="646">
        <f t="shared" si="255"/>
        <v>102123.66666666667</v>
      </c>
      <c r="E51" s="646">
        <f t="shared" si="255"/>
        <v>280898.81704174407</v>
      </c>
      <c r="F51" s="646">
        <f t="shared" si="255"/>
        <v>122899.16666666667</v>
      </c>
      <c r="G51" s="646">
        <f t="shared" si="255"/>
        <v>141297.90203252964</v>
      </c>
      <c r="H51" s="646">
        <f t="shared" si="255"/>
        <v>134966.66666666666</v>
      </c>
      <c r="I51" s="646">
        <f t="shared" si="255"/>
        <v>53065.402032529659</v>
      </c>
      <c r="J51" s="646">
        <f t="shared" si="255"/>
        <v>34666.666666666672</v>
      </c>
      <c r="K51" s="646">
        <f t="shared" si="255"/>
        <v>53065.402032529659</v>
      </c>
      <c r="L51" s="646">
        <f t="shared" si="255"/>
        <v>113090.10156376947</v>
      </c>
      <c r="M51" s="646">
        <f t="shared" si="255"/>
        <v>37280.517254901963</v>
      </c>
      <c r="N51" s="646">
        <f t="shared" si="255"/>
        <v>55546.899679588474</v>
      </c>
      <c r="O51" s="647">
        <f t="shared" si="255"/>
        <v>17280.517254901963</v>
      </c>
      <c r="P51" s="647">
        <f t="shared" si="255"/>
        <v>15318.55</v>
      </c>
      <c r="Q51" s="647">
        <f t="shared" si="255"/>
        <v>86805.116666666669</v>
      </c>
      <c r="R51" s="647">
        <f t="shared" si="255"/>
        <v>252808.93533756968</v>
      </c>
      <c r="S51" s="647">
        <f t="shared" si="255"/>
        <v>138699.13170417442</v>
      </c>
      <c r="T51" s="647">
        <f t="shared" si="255"/>
        <v>139458.02849594335</v>
      </c>
      <c r="U51" s="647">
        <f t="shared" si="255"/>
        <v>135599.79020325295</v>
      </c>
      <c r="V51" s="647">
        <f t="shared" si="255"/>
        <v>61255.528495943356</v>
      </c>
      <c r="W51" s="647">
        <f t="shared" si="255"/>
        <v>36506.540203252967</v>
      </c>
      <c r="X51" s="647">
        <f t="shared" si="255"/>
        <v>51225.528495943356</v>
      </c>
      <c r="Y51" s="647">
        <f t="shared" si="255"/>
        <v>107087.63161064549</v>
      </c>
      <c r="Z51" s="647">
        <f t="shared" si="255"/>
        <v>44861.475685788719</v>
      </c>
      <c r="AA51" s="647">
        <f t="shared" si="255"/>
        <v>53720.261437119821</v>
      </c>
      <c r="AB51" s="738">
        <f t="shared" si="255"/>
        <v>118141.91666666667</v>
      </c>
      <c r="AC51" s="738">
        <f t="shared" si="255"/>
        <v>118141.91666666667</v>
      </c>
      <c r="AD51" s="738">
        <f t="shared" si="255"/>
        <v>118141.91666666667</v>
      </c>
      <c r="AE51" s="738">
        <f t="shared" si="255"/>
        <v>118141.91666666667</v>
      </c>
      <c r="AF51" s="738">
        <f t="shared" si="255"/>
        <v>118141.91666666667</v>
      </c>
      <c r="AG51" s="738">
        <f t="shared" si="255"/>
        <v>118141.91666666667</v>
      </c>
      <c r="AH51" s="738">
        <f t="shared" si="255"/>
        <v>118141.91666666667</v>
      </c>
      <c r="AI51" s="738">
        <f t="shared" si="255"/>
        <v>118141.91666666667</v>
      </c>
      <c r="AJ51" s="738">
        <f t="shared" si="255"/>
        <v>118141.91666666667</v>
      </c>
      <c r="AK51" s="738">
        <f t="shared" si="255"/>
        <v>118141.91666666667</v>
      </c>
      <c r="AL51" s="738">
        <f t="shared" si="255"/>
        <v>118141.91666666667</v>
      </c>
      <c r="AM51" s="738">
        <f t="shared" si="255"/>
        <v>118141.91666666667</v>
      </c>
      <c r="AN51" s="734">
        <f t="shared" si="255"/>
        <v>39916.666666666664</v>
      </c>
      <c r="AO51" s="734">
        <f t="shared" si="255"/>
        <v>39916.666666666664</v>
      </c>
      <c r="AP51" s="734">
        <f t="shared" si="255"/>
        <v>39916.666666666664</v>
      </c>
      <c r="AQ51" s="734">
        <f t="shared" si="255"/>
        <v>39916.666666666664</v>
      </c>
      <c r="AR51" s="734">
        <f t="shared" si="255"/>
        <v>39916.666666666664</v>
      </c>
      <c r="AS51" s="734">
        <f t="shared" si="255"/>
        <v>39916.666666666664</v>
      </c>
      <c r="AT51" s="734">
        <f t="shared" si="255"/>
        <v>39916.666666666664</v>
      </c>
      <c r="AU51" s="734">
        <f t="shared" si="255"/>
        <v>39916.666666666664</v>
      </c>
      <c r="AV51" s="734">
        <f t="shared" si="255"/>
        <v>39916.666666666664</v>
      </c>
      <c r="AW51" s="734">
        <f t="shared" si="255"/>
        <v>39916.666666666664</v>
      </c>
      <c r="AX51" s="734">
        <f t="shared" si="255"/>
        <v>39916.666666666664</v>
      </c>
      <c r="AY51" s="734">
        <f t="shared" si="255"/>
        <v>39916.666666666664</v>
      </c>
      <c r="AZ51" s="738">
        <f t="shared" si="14"/>
        <v>1417703.0000000002</v>
      </c>
      <c r="BA51" s="734">
        <f t="shared" si="15"/>
        <v>479000.00000000006</v>
      </c>
    </row>
    <row r="52" spans="1:53" x14ac:dyDescent="0.25">
      <c r="A52" s="363" t="s">
        <v>149</v>
      </c>
      <c r="B52" s="625">
        <f>SUM(D52:O52)</f>
        <v>1146181.7255591617</v>
      </c>
      <c r="C52" s="625">
        <f>SUM(P52:AA52)</f>
        <v>1123346.518336301</v>
      </c>
      <c r="D52" s="644">
        <f>+Geotechnical!O27</f>
        <v>102123.66666666667</v>
      </c>
      <c r="E52" s="650">
        <f>+Geotechnical!P27</f>
        <v>280898.81704174407</v>
      </c>
      <c r="F52" s="650">
        <f>+Geotechnical!Q27</f>
        <v>122899.16666666667</v>
      </c>
      <c r="G52" s="650">
        <f>+Geotechnical!R27</f>
        <v>141297.90203252964</v>
      </c>
      <c r="H52" s="650">
        <f>+Geotechnical!S27</f>
        <v>134966.66666666666</v>
      </c>
      <c r="I52" s="650">
        <f>+Geotechnical!T27</f>
        <v>53065.402032529659</v>
      </c>
      <c r="J52" s="650">
        <f>+Geotechnical!U27</f>
        <v>34666.666666666672</v>
      </c>
      <c r="K52" s="650">
        <f>+Geotechnical!V27</f>
        <v>53065.402032529659</v>
      </c>
      <c r="L52" s="650">
        <f>+Geotechnical!W27</f>
        <v>113090.10156376947</v>
      </c>
      <c r="M52" s="650">
        <f>+Geotechnical!X27</f>
        <v>37280.517254901963</v>
      </c>
      <c r="N52" s="650">
        <f>+Geotechnical!Y27</f>
        <v>55546.899679588474</v>
      </c>
      <c r="O52" s="651">
        <f>+Geotechnical!Z27</f>
        <v>17280.517254901963</v>
      </c>
      <c r="P52" s="643">
        <f>+D52*15%</f>
        <v>15318.55</v>
      </c>
      <c r="Q52" s="656">
        <f t="shared" ref="Q52" si="256">+D52*85%</f>
        <v>86805.116666666669</v>
      </c>
      <c r="R52" s="656">
        <f t="shared" ref="R52" si="257">+E52*90%</f>
        <v>252808.93533756968</v>
      </c>
      <c r="S52" s="656">
        <f t="shared" ref="S52" si="258">+F52*90%+E52*10%</f>
        <v>138699.13170417442</v>
      </c>
      <c r="T52" s="656">
        <f t="shared" ref="T52" si="259">+G52*90%+F52*10%</f>
        <v>139458.02849594335</v>
      </c>
      <c r="U52" s="656">
        <f t="shared" ref="U52" si="260">+H52*90%+G52*10%</f>
        <v>135599.79020325295</v>
      </c>
      <c r="V52" s="656">
        <f t="shared" ref="V52" si="261">+I52*90%+H52*10%</f>
        <v>61255.528495943356</v>
      </c>
      <c r="W52" s="656">
        <f t="shared" ref="W52" si="262">+J52*90%+I52*10%</f>
        <v>36506.540203252967</v>
      </c>
      <c r="X52" s="656">
        <f t="shared" ref="X52" si="263">+K52*90%+J52*10%</f>
        <v>51225.528495943356</v>
      </c>
      <c r="Y52" s="656">
        <f t="shared" ref="Y52" si="264">+L52*90%+K52*10%</f>
        <v>107087.63161064549</v>
      </c>
      <c r="Z52" s="656">
        <f t="shared" ref="Z52" si="265">+M52*90%+L52*10%</f>
        <v>44861.475685788719</v>
      </c>
      <c r="AA52" s="657">
        <f t="shared" ref="AA52" si="266">+N52*90%+M52*10%</f>
        <v>53720.261437119821</v>
      </c>
      <c r="AB52" s="742">
        <v>118141.91666666667</v>
      </c>
      <c r="AC52" s="740">
        <v>118141.91666666667</v>
      </c>
      <c r="AD52" s="740">
        <v>118141.91666666667</v>
      </c>
      <c r="AE52" s="740">
        <v>118141.91666666667</v>
      </c>
      <c r="AF52" s="740">
        <v>118141.91666666667</v>
      </c>
      <c r="AG52" s="740">
        <v>118141.91666666667</v>
      </c>
      <c r="AH52" s="740">
        <v>118141.91666666667</v>
      </c>
      <c r="AI52" s="740">
        <v>118141.91666666667</v>
      </c>
      <c r="AJ52" s="740">
        <v>118141.91666666667</v>
      </c>
      <c r="AK52" s="740">
        <v>118141.91666666667</v>
      </c>
      <c r="AL52" s="740">
        <v>118141.91666666667</v>
      </c>
      <c r="AM52" s="741">
        <v>118141.91666666667</v>
      </c>
      <c r="AN52" s="732">
        <v>39916.666666666664</v>
      </c>
      <c r="AO52" s="749">
        <v>39916.666666666664</v>
      </c>
      <c r="AP52" s="749">
        <v>39916.666666666664</v>
      </c>
      <c r="AQ52" s="749">
        <v>39916.666666666664</v>
      </c>
      <c r="AR52" s="749">
        <v>39916.666666666664</v>
      </c>
      <c r="AS52" s="749">
        <v>39916.666666666664</v>
      </c>
      <c r="AT52" s="749">
        <v>39916.666666666664</v>
      </c>
      <c r="AU52" s="749">
        <v>39916.666666666664</v>
      </c>
      <c r="AV52" s="749">
        <v>39916.666666666664</v>
      </c>
      <c r="AW52" s="749">
        <v>39916.666666666664</v>
      </c>
      <c r="AX52" s="749">
        <v>39916.666666666664</v>
      </c>
      <c r="AY52" s="750">
        <v>39916.666666666664</v>
      </c>
      <c r="AZ52" s="741">
        <f t="shared" si="14"/>
        <v>1417703.0000000002</v>
      </c>
      <c r="BA52" s="749">
        <f t="shared" si="15"/>
        <v>479000.00000000006</v>
      </c>
    </row>
    <row r="53" spans="1:53" x14ac:dyDescent="0.25">
      <c r="A53" s="383" t="s">
        <v>172</v>
      </c>
      <c r="B53" s="628">
        <f>SUM(B54:B55)</f>
        <v>1018000.0000000001</v>
      </c>
      <c r="C53" s="628">
        <f t="shared" ref="C53:AB53" si="267">SUM(C54:C55)</f>
        <v>924683.33333333337</v>
      </c>
      <c r="D53" s="619">
        <f t="shared" si="267"/>
        <v>84833.333333333328</v>
      </c>
      <c r="E53" s="619">
        <f t="shared" si="267"/>
        <v>84833.333333333328</v>
      </c>
      <c r="F53" s="619">
        <f t="shared" si="267"/>
        <v>84833.333333333328</v>
      </c>
      <c r="G53" s="619">
        <f t="shared" si="267"/>
        <v>84833.333333333328</v>
      </c>
      <c r="H53" s="619">
        <f t="shared" si="267"/>
        <v>84833.333333333328</v>
      </c>
      <c r="I53" s="619">
        <f t="shared" si="267"/>
        <v>84833.333333333328</v>
      </c>
      <c r="J53" s="619">
        <f t="shared" si="267"/>
        <v>84833.333333333328</v>
      </c>
      <c r="K53" s="619">
        <f t="shared" si="267"/>
        <v>84833.333333333328</v>
      </c>
      <c r="L53" s="619">
        <f t="shared" si="267"/>
        <v>84833.333333333328</v>
      </c>
      <c r="M53" s="619">
        <f t="shared" si="267"/>
        <v>84833.333333333328</v>
      </c>
      <c r="N53" s="619">
        <f t="shared" si="267"/>
        <v>84833.333333333328</v>
      </c>
      <c r="O53" s="384">
        <f t="shared" si="267"/>
        <v>84833.333333333328</v>
      </c>
      <c r="P53" s="384">
        <f t="shared" si="267"/>
        <v>12724.999999999998</v>
      </c>
      <c r="Q53" s="384">
        <f t="shared" si="267"/>
        <v>72108.333333333328</v>
      </c>
      <c r="R53" s="384">
        <f t="shared" si="267"/>
        <v>76350</v>
      </c>
      <c r="S53" s="384">
        <f t="shared" si="267"/>
        <v>84833.333333333328</v>
      </c>
      <c r="T53" s="384">
        <f t="shared" si="267"/>
        <v>84833.333333333328</v>
      </c>
      <c r="U53" s="384">
        <f t="shared" si="267"/>
        <v>84833.333333333328</v>
      </c>
      <c r="V53" s="384">
        <f t="shared" si="267"/>
        <v>84833.333333333328</v>
      </c>
      <c r="W53" s="384">
        <f t="shared" si="267"/>
        <v>84833.333333333328</v>
      </c>
      <c r="X53" s="384">
        <f t="shared" si="267"/>
        <v>84833.333333333328</v>
      </c>
      <c r="Y53" s="384">
        <f t="shared" si="267"/>
        <v>84833.333333333328</v>
      </c>
      <c r="Z53" s="384">
        <f t="shared" si="267"/>
        <v>84833.333333333328</v>
      </c>
      <c r="AA53" s="384">
        <f t="shared" si="267"/>
        <v>84833.333333333328</v>
      </c>
      <c r="AB53" s="384">
        <f t="shared" si="267"/>
        <v>101800</v>
      </c>
      <c r="AC53" s="619">
        <f t="shared" ref="AC53:AY53" si="268">SUM(AC54:AC55)</f>
        <v>101800</v>
      </c>
      <c r="AD53" s="619">
        <f t="shared" si="268"/>
        <v>101800</v>
      </c>
      <c r="AE53" s="619">
        <f t="shared" si="268"/>
        <v>101800</v>
      </c>
      <c r="AF53" s="619">
        <f t="shared" si="268"/>
        <v>101800</v>
      </c>
      <c r="AG53" s="619">
        <f t="shared" si="268"/>
        <v>101800</v>
      </c>
      <c r="AH53" s="619">
        <f t="shared" si="268"/>
        <v>101800</v>
      </c>
      <c r="AI53" s="619">
        <f t="shared" si="268"/>
        <v>101800</v>
      </c>
      <c r="AJ53" s="619">
        <f t="shared" si="268"/>
        <v>101800</v>
      </c>
      <c r="AK53" s="619">
        <f t="shared" si="268"/>
        <v>101800</v>
      </c>
      <c r="AL53" s="619">
        <f t="shared" si="268"/>
        <v>101800</v>
      </c>
      <c r="AM53" s="384">
        <f t="shared" si="268"/>
        <v>101800</v>
      </c>
      <c r="AN53" s="384">
        <f t="shared" si="268"/>
        <v>122160</v>
      </c>
      <c r="AO53" s="384">
        <f t="shared" si="268"/>
        <v>122160</v>
      </c>
      <c r="AP53" s="384">
        <f t="shared" si="268"/>
        <v>122160</v>
      </c>
      <c r="AQ53" s="384">
        <f t="shared" si="268"/>
        <v>122160</v>
      </c>
      <c r="AR53" s="384">
        <f t="shared" si="268"/>
        <v>122160</v>
      </c>
      <c r="AS53" s="384">
        <f t="shared" si="268"/>
        <v>122160</v>
      </c>
      <c r="AT53" s="384">
        <f t="shared" si="268"/>
        <v>122160</v>
      </c>
      <c r="AU53" s="384">
        <f t="shared" si="268"/>
        <v>122160</v>
      </c>
      <c r="AV53" s="384">
        <f t="shared" si="268"/>
        <v>122160</v>
      </c>
      <c r="AW53" s="384">
        <f t="shared" si="268"/>
        <v>122160</v>
      </c>
      <c r="AX53" s="384">
        <f t="shared" si="268"/>
        <v>122160</v>
      </c>
      <c r="AY53" s="384">
        <f t="shared" si="268"/>
        <v>122160</v>
      </c>
      <c r="AZ53" s="384">
        <f t="shared" si="14"/>
        <v>1221600</v>
      </c>
      <c r="BA53" s="384">
        <f t="shared" si="15"/>
        <v>1465920</v>
      </c>
    </row>
    <row r="54" spans="1:53" x14ac:dyDescent="0.25">
      <c r="A54" s="363" t="s">
        <v>1397</v>
      </c>
      <c r="B54" s="629">
        <f>SUM(D54:O54)</f>
        <v>18000</v>
      </c>
      <c r="C54" s="629">
        <f>SUM(P54:AA54)</f>
        <v>16350</v>
      </c>
      <c r="D54" s="652">
        <f>+General_Management!O27</f>
        <v>1500</v>
      </c>
      <c r="E54" s="652">
        <f>+General_Management!P27</f>
        <v>1500</v>
      </c>
      <c r="F54" s="652">
        <f>+General_Management!Q27</f>
        <v>1500</v>
      </c>
      <c r="G54" s="652">
        <f>+General_Management!R27</f>
        <v>1500</v>
      </c>
      <c r="H54" s="652">
        <f>+General_Management!S27</f>
        <v>1500</v>
      </c>
      <c r="I54" s="652">
        <f>+General_Management!T27</f>
        <v>1500</v>
      </c>
      <c r="J54" s="652">
        <f>+General_Management!U27</f>
        <v>1500</v>
      </c>
      <c r="K54" s="652">
        <f>+General_Management!V27</f>
        <v>1500</v>
      </c>
      <c r="L54" s="652">
        <f>+General_Management!W27</f>
        <v>1500</v>
      </c>
      <c r="M54" s="652">
        <f>+General_Management!X27</f>
        <v>1500</v>
      </c>
      <c r="N54" s="652">
        <f>+General_Management!Y27</f>
        <v>1500</v>
      </c>
      <c r="O54" s="653">
        <f>+General_Management!Z27</f>
        <v>1500</v>
      </c>
      <c r="P54" s="660">
        <f t="shared" ref="P54:P55" si="269">+D54*15%</f>
        <v>225</v>
      </c>
      <c r="Q54" s="658">
        <f t="shared" ref="Q54:Q55" si="270">+D54*85%</f>
        <v>1275</v>
      </c>
      <c r="R54" s="658">
        <f t="shared" ref="R54:R55" si="271">+E54*90%</f>
        <v>1350</v>
      </c>
      <c r="S54" s="658">
        <f t="shared" ref="S54:S55" si="272">+F54*90%+E54*10%</f>
        <v>1500</v>
      </c>
      <c r="T54" s="658">
        <f t="shared" ref="T54:T55" si="273">+G54*90%+F54*10%</f>
        <v>1500</v>
      </c>
      <c r="U54" s="658">
        <f t="shared" ref="U54:U55" si="274">+H54*90%+G54*10%</f>
        <v>1500</v>
      </c>
      <c r="V54" s="658">
        <f t="shared" ref="V54:V55" si="275">+I54*90%+H54*10%</f>
        <v>1500</v>
      </c>
      <c r="W54" s="658">
        <f t="shared" ref="W54:W55" si="276">+J54*90%+I54*10%</f>
        <v>1500</v>
      </c>
      <c r="X54" s="658">
        <f t="shared" ref="X54:X55" si="277">+K54*90%+J54*10%</f>
        <v>1500</v>
      </c>
      <c r="Y54" s="658">
        <f t="shared" ref="Y54:Y55" si="278">+L54*90%+K54*10%</f>
        <v>1500</v>
      </c>
      <c r="Z54" s="658">
        <f t="shared" ref="Z54:Z55" si="279">+M54*90%+L54*10%</f>
        <v>1500</v>
      </c>
      <c r="AA54" s="659">
        <f t="shared" ref="AA54:AA55" si="280">+N54*90%+M54*10%</f>
        <v>1500</v>
      </c>
      <c r="AB54" s="742">
        <v>1800</v>
      </c>
      <c r="AC54" s="743">
        <v>1800</v>
      </c>
      <c r="AD54" s="743">
        <v>1800</v>
      </c>
      <c r="AE54" s="743">
        <v>1800</v>
      </c>
      <c r="AF54" s="743">
        <v>1800</v>
      </c>
      <c r="AG54" s="743">
        <v>1800</v>
      </c>
      <c r="AH54" s="743">
        <v>1800</v>
      </c>
      <c r="AI54" s="743">
        <v>1800</v>
      </c>
      <c r="AJ54" s="743">
        <v>1800</v>
      </c>
      <c r="AK54" s="743">
        <v>1800</v>
      </c>
      <c r="AL54" s="743">
        <v>1800</v>
      </c>
      <c r="AM54" s="744">
        <v>1800</v>
      </c>
      <c r="AN54" s="732">
        <v>2160</v>
      </c>
      <c r="AO54" s="751">
        <v>2160</v>
      </c>
      <c r="AP54" s="751">
        <v>2160</v>
      </c>
      <c r="AQ54" s="751">
        <v>2160</v>
      </c>
      <c r="AR54" s="751">
        <v>2160</v>
      </c>
      <c r="AS54" s="751">
        <v>2160</v>
      </c>
      <c r="AT54" s="751">
        <v>2160</v>
      </c>
      <c r="AU54" s="751">
        <v>2160</v>
      </c>
      <c r="AV54" s="751">
        <v>2160</v>
      </c>
      <c r="AW54" s="751">
        <v>2160</v>
      </c>
      <c r="AX54" s="751">
        <v>2160</v>
      </c>
      <c r="AY54" s="752">
        <v>2160</v>
      </c>
      <c r="AZ54" s="744">
        <f t="shared" si="14"/>
        <v>21600</v>
      </c>
      <c r="BA54" s="751">
        <f t="shared" si="15"/>
        <v>25920</v>
      </c>
    </row>
    <row r="55" spans="1:53" x14ac:dyDescent="0.25">
      <c r="A55" s="363" t="s">
        <v>155</v>
      </c>
      <c r="B55" s="629">
        <f>SUM(D55:O55)</f>
        <v>1000000.0000000001</v>
      </c>
      <c r="C55" s="629">
        <f>SUM(P55:AA55)</f>
        <v>908333.33333333337</v>
      </c>
      <c r="D55" s="652">
        <v>83333.333333333328</v>
      </c>
      <c r="E55" s="654">
        <v>83333.333333333328</v>
      </c>
      <c r="F55" s="654">
        <v>83333.333333333328</v>
      </c>
      <c r="G55" s="654">
        <v>83333.333333333328</v>
      </c>
      <c r="H55" s="654">
        <v>83333.333333333328</v>
      </c>
      <c r="I55" s="654">
        <v>83333.333333333328</v>
      </c>
      <c r="J55" s="654">
        <v>83333.333333333328</v>
      </c>
      <c r="K55" s="654">
        <v>83333.333333333328</v>
      </c>
      <c r="L55" s="654">
        <v>83333.333333333328</v>
      </c>
      <c r="M55" s="654">
        <v>83333.333333333328</v>
      </c>
      <c r="N55" s="654">
        <v>83333.333333333328</v>
      </c>
      <c r="O55" s="655">
        <v>83333.333333333328</v>
      </c>
      <c r="P55" s="660">
        <f t="shared" si="269"/>
        <v>12499.999999999998</v>
      </c>
      <c r="Q55" s="658">
        <f t="shared" si="270"/>
        <v>70833.333333333328</v>
      </c>
      <c r="R55" s="658">
        <f t="shared" si="271"/>
        <v>75000</v>
      </c>
      <c r="S55" s="658">
        <f t="shared" si="272"/>
        <v>83333.333333333328</v>
      </c>
      <c r="T55" s="658">
        <f t="shared" si="273"/>
        <v>83333.333333333328</v>
      </c>
      <c r="U55" s="658">
        <f t="shared" si="274"/>
        <v>83333.333333333328</v>
      </c>
      <c r="V55" s="658">
        <f t="shared" si="275"/>
        <v>83333.333333333328</v>
      </c>
      <c r="W55" s="658">
        <f t="shared" si="276"/>
        <v>83333.333333333328</v>
      </c>
      <c r="X55" s="658">
        <f t="shared" si="277"/>
        <v>83333.333333333328</v>
      </c>
      <c r="Y55" s="658">
        <f t="shared" si="278"/>
        <v>83333.333333333328</v>
      </c>
      <c r="Z55" s="658">
        <f t="shared" si="279"/>
        <v>83333.333333333328</v>
      </c>
      <c r="AA55" s="659">
        <f t="shared" si="280"/>
        <v>83333.333333333328</v>
      </c>
      <c r="AB55" s="742">
        <v>100000</v>
      </c>
      <c r="AC55" s="745">
        <v>100000</v>
      </c>
      <c r="AD55" s="745">
        <v>100000</v>
      </c>
      <c r="AE55" s="745">
        <v>100000</v>
      </c>
      <c r="AF55" s="745">
        <v>100000</v>
      </c>
      <c r="AG55" s="745">
        <v>100000</v>
      </c>
      <c r="AH55" s="745">
        <v>100000</v>
      </c>
      <c r="AI55" s="745">
        <v>100000</v>
      </c>
      <c r="AJ55" s="745">
        <v>100000</v>
      </c>
      <c r="AK55" s="745">
        <v>100000</v>
      </c>
      <c r="AL55" s="745">
        <v>100000</v>
      </c>
      <c r="AM55" s="746">
        <v>100000</v>
      </c>
      <c r="AN55" s="732">
        <v>120000</v>
      </c>
      <c r="AO55" s="753">
        <v>120000</v>
      </c>
      <c r="AP55" s="753">
        <v>120000</v>
      </c>
      <c r="AQ55" s="753">
        <v>120000</v>
      </c>
      <c r="AR55" s="753">
        <v>120000</v>
      </c>
      <c r="AS55" s="753">
        <v>120000</v>
      </c>
      <c r="AT55" s="753">
        <v>120000</v>
      </c>
      <c r="AU55" s="753">
        <v>120000</v>
      </c>
      <c r="AV55" s="753">
        <v>120000</v>
      </c>
      <c r="AW55" s="753">
        <v>120000</v>
      </c>
      <c r="AX55" s="753">
        <v>120000</v>
      </c>
      <c r="AY55" s="754">
        <v>120000</v>
      </c>
      <c r="AZ55" s="746">
        <f t="shared" si="14"/>
        <v>1200000</v>
      </c>
      <c r="BA55" s="753">
        <f t="shared" si="15"/>
        <v>1440000</v>
      </c>
    </row>
    <row r="56" spans="1:53" ht="15.75" thickBot="1" x14ac:dyDescent="0.3">
      <c r="A56" s="388" t="s">
        <v>475</v>
      </c>
      <c r="B56" s="630">
        <f>SUM(B7,B9,B20,B25,B33,B46,B53)</f>
        <v>78782497.461759165</v>
      </c>
      <c r="C56" s="630">
        <f>SUM(C7,C9,C20,C25,C33,C46,C53)</f>
        <v>69732749.013034299</v>
      </c>
      <c r="D56" s="620">
        <f>SUM(D7,D9,D20,D25,D33,D46,D53)</f>
        <v>4298932.3130894648</v>
      </c>
      <c r="E56" s="620">
        <f t="shared" ref="E56:AA56" si="281">SUM(E7,E9,E20,E25,E33,E46,E53)</f>
        <v>5172150.8484513434</v>
      </c>
      <c r="F56" s="620">
        <f t="shared" si="281"/>
        <v>7737817.8693242408</v>
      </c>
      <c r="G56" s="620">
        <f t="shared" si="281"/>
        <v>6847816.0306292437</v>
      </c>
      <c r="H56" s="620">
        <f t="shared" si="281"/>
        <v>6793755.6093621915</v>
      </c>
      <c r="I56" s="620">
        <f t="shared" si="281"/>
        <v>8494708.3172623515</v>
      </c>
      <c r="J56" s="620">
        <f t="shared" si="281"/>
        <v>8124873.1336338473</v>
      </c>
      <c r="K56" s="620">
        <f t="shared" si="281"/>
        <v>7108798.5390945002</v>
      </c>
      <c r="L56" s="620">
        <f t="shared" si="281"/>
        <v>6681538.1531782895</v>
      </c>
      <c r="M56" s="620">
        <f t="shared" si="281"/>
        <v>6040587.7905413937</v>
      </c>
      <c r="N56" s="620">
        <f t="shared" si="281"/>
        <v>6152545.696661042</v>
      </c>
      <c r="O56" s="389">
        <f t="shared" si="281"/>
        <v>5328973.1605312433</v>
      </c>
      <c r="P56" s="620">
        <f t="shared" si="281"/>
        <v>644839.8469634197</v>
      </c>
      <c r="Q56" s="620">
        <f t="shared" si="281"/>
        <v>3654092.4661260457</v>
      </c>
      <c r="R56" s="620">
        <f t="shared" si="281"/>
        <v>4761811.4989003269</v>
      </c>
      <c r="S56" s="620">
        <f t="shared" si="281"/>
        <v>7593202.3380604805</v>
      </c>
      <c r="T56" s="620">
        <f t="shared" si="281"/>
        <v>6829630.1172046252</v>
      </c>
      <c r="U56" s="620">
        <f t="shared" si="281"/>
        <v>6795896.2838418381</v>
      </c>
      <c r="V56" s="620">
        <f t="shared" si="281"/>
        <v>8328644.2229429241</v>
      </c>
      <c r="W56" s="620">
        <f t="shared" si="281"/>
        <v>8164040.181408463</v>
      </c>
      <c r="X56" s="620">
        <f t="shared" si="281"/>
        <v>7201488.6456072582</v>
      </c>
      <c r="Y56" s="620">
        <f t="shared" si="281"/>
        <v>6732074.9270640276</v>
      </c>
      <c r="Z56" s="620">
        <f t="shared" si="281"/>
        <v>6097389.3709227294</v>
      </c>
      <c r="AA56" s="389">
        <f t="shared" si="281"/>
        <v>6148554.0236961357</v>
      </c>
      <c r="AB56" s="620">
        <f>SUM(AB7,AB9,AB20,AB25,AB33,AB46,AB53)</f>
        <v>15947421.062802143</v>
      </c>
      <c r="AC56" s="620">
        <f t="shared" ref="AC56:AM56" si="282">SUM(AC7,AC9,AC20,AC25,AC33,AC46,AC53)</f>
        <v>15947421.062802143</v>
      </c>
      <c r="AD56" s="620">
        <f t="shared" si="282"/>
        <v>15947421.062802143</v>
      </c>
      <c r="AE56" s="620">
        <f t="shared" si="282"/>
        <v>15947421.062802143</v>
      </c>
      <c r="AF56" s="620">
        <f t="shared" si="282"/>
        <v>15947421.062802143</v>
      </c>
      <c r="AG56" s="620">
        <f t="shared" si="282"/>
        <v>15947421.062802143</v>
      </c>
      <c r="AH56" s="620">
        <f t="shared" si="282"/>
        <v>15947421.062802143</v>
      </c>
      <c r="AI56" s="620">
        <f t="shared" si="282"/>
        <v>15947421.062802143</v>
      </c>
      <c r="AJ56" s="620">
        <f t="shared" si="282"/>
        <v>15947421.062802143</v>
      </c>
      <c r="AK56" s="620">
        <f t="shared" si="282"/>
        <v>15947421.062802143</v>
      </c>
      <c r="AL56" s="620">
        <f t="shared" si="282"/>
        <v>15947421.062802143</v>
      </c>
      <c r="AM56" s="389">
        <f t="shared" si="282"/>
        <v>15947421.062802143</v>
      </c>
      <c r="AN56" s="620">
        <f>SUM(AN7,AN9,AN20,AN25,AN33,AN46,AN53)</f>
        <v>13609299.011260008</v>
      </c>
      <c r="AO56" s="620">
        <f t="shared" ref="AO56:AY56" si="283">SUM(AO7,AO9,AO20,AO25,AO33,AO46,AO53)</f>
        <v>13609299.011260008</v>
      </c>
      <c r="AP56" s="620">
        <f t="shared" si="283"/>
        <v>13609299.011260008</v>
      </c>
      <c r="AQ56" s="620">
        <f t="shared" si="283"/>
        <v>13609299.011260008</v>
      </c>
      <c r="AR56" s="620">
        <f t="shared" si="283"/>
        <v>13609299.011260008</v>
      </c>
      <c r="AS56" s="620">
        <f t="shared" si="283"/>
        <v>13609299.011260008</v>
      </c>
      <c r="AT56" s="620">
        <f t="shared" si="283"/>
        <v>63334299.01126001</v>
      </c>
      <c r="AU56" s="620">
        <f t="shared" si="283"/>
        <v>63334299.01126001</v>
      </c>
      <c r="AV56" s="620">
        <f t="shared" si="283"/>
        <v>63334299.01126001</v>
      </c>
      <c r="AW56" s="620">
        <f t="shared" si="283"/>
        <v>63334299.01126001</v>
      </c>
      <c r="AX56" s="620">
        <f t="shared" si="283"/>
        <v>63334299.01126001</v>
      </c>
      <c r="AY56" s="389">
        <f t="shared" si="283"/>
        <v>63334299.01126001</v>
      </c>
      <c r="AZ56" s="389">
        <f t="shared" si="14"/>
        <v>191369052.75362566</v>
      </c>
      <c r="BA56" s="620">
        <f t="shared" si="15"/>
        <v>461661588.13512015</v>
      </c>
    </row>
    <row r="57" spans="1:53" x14ac:dyDescent="0.25">
      <c r="A57" s="378" t="s">
        <v>1415</v>
      </c>
      <c r="B57" s="626">
        <f>SUM(D57:O57)</f>
        <v>22840021.49848659</v>
      </c>
      <c r="C57" s="626">
        <f>SUM(P57:AA57)</f>
        <v>20721705.980212048</v>
      </c>
      <c r="D57" s="617">
        <f>SUM(Legal_1!O20,Legal_1!O21,Legal_1!O22,Legal_1!O23,Legal_1!O24,Legal_1!O25,Legal_1!O26,Legal_1!O27)</f>
        <v>392370</v>
      </c>
      <c r="E57" s="617">
        <f>SUM(Legal_1!P20,Legal_1!P21,Legal_1!P22,Legal_1!P23,Legal_1!P24,Legal_1!P25,Legal_1!P26,Legal_1!P27)</f>
        <v>221458.23529411765</v>
      </c>
      <c r="F57" s="617">
        <f>SUM(Legal_1!Q20,Legal_1!Q21,Legal_1!Q22,Legal_1!Q23,Legal_1!Q24,Legal_1!Q25,Legal_1!Q26,Legal_1!Q27)</f>
        <v>958506.89114823518</v>
      </c>
      <c r="G57" s="617">
        <f>SUM(Legal_1!R20,Legal_1!R21,Legal_1!R22,Legal_1!R23,Legal_1!R24,Legal_1!R25,Legal_1!R26,Legal_1!R27)</f>
        <v>627421.4705882353</v>
      </c>
      <c r="H57" s="617">
        <f>SUM(Legal_1!S20,Legal_1!S21,Legal_1!S22,Legal_1!S23,Legal_1!S24,Legal_1!S25,Legal_1!S26,Legal_1!S27)</f>
        <v>1761126.16</v>
      </c>
      <c r="I57" s="617">
        <f>SUM(Legal_1!T20,Legal_1!T21,Legal_1!T22,Legal_1!T23,Legal_1!T24,Legal_1!T25,Legal_1!T26,Legal_1!T27)</f>
        <v>5309018.5294117648</v>
      </c>
      <c r="J57" s="617">
        <f>SUM(Legal_1!U20,Legal_1!U21,Legal_1!U22,Legal_1!U23,Legal_1!U24,Legal_1!U25,Legal_1!U26,Legal_1!U27)</f>
        <v>517442.05882352928</v>
      </c>
      <c r="K57" s="617">
        <f>SUM(Legal_1!V20,Legal_1!V21,Legal_1!V22,Legal_1!V23,Legal_1!V24,Legal_1!V25,Legal_1!V26,Legal_1!V27)</f>
        <v>1902513.662352941</v>
      </c>
      <c r="L57" s="617">
        <f>SUM(Legal_1!W20,Legal_1!W21,Legal_1!W22,Legal_1!W23,Legal_1!W24,Legal_1!W25,Legal_1!W26,Legal_1!W27)</f>
        <v>3119507.270475294</v>
      </c>
      <c r="M57" s="617">
        <f>SUM(Legal_1!X20,Legal_1!X21,Legal_1!X22,Legal_1!X23,Legal_1!X24,Legal_1!X25,Legal_1!X26,Legal_1!X27)</f>
        <v>521735.4411764706</v>
      </c>
      <c r="N57" s="617">
        <f>SUM(Legal_1!Y20,Legal_1!Y21,Legal_1!Y22,Legal_1!Y23,Legal_1!Y24,Legal_1!Y25,Legal_1!Y26,Legal_1!Y27)</f>
        <v>5989562.5121571776</v>
      </c>
      <c r="O57" s="617">
        <f>SUM(Legal_1!Z20,Legal_1!Z21,Legal_1!Z22,Legal_1!Z23,Legal_1!Z24,Legal_1!Z25,Legal_1!Z26,Legal_1!Z27)</f>
        <v>1519359.2670588237</v>
      </c>
      <c r="P57" s="617">
        <f t="shared" ref="P57" si="284">+D57*15%</f>
        <v>58855.5</v>
      </c>
      <c r="Q57" s="381">
        <f t="shared" ref="Q57" si="285">+D57*85%</f>
        <v>333514.5</v>
      </c>
      <c r="R57" s="381">
        <f t="shared" ref="R57" si="286">+E57*90%</f>
        <v>199312.4117647059</v>
      </c>
      <c r="S57" s="381">
        <f t="shared" ref="S57" si="287">+F57*90%+E57*10%</f>
        <v>884802.02556282352</v>
      </c>
      <c r="T57" s="381">
        <f t="shared" ref="T57" si="288">+G57*90%+F57*10%</f>
        <v>660530.01264423528</v>
      </c>
      <c r="U57" s="381">
        <f t="shared" ref="U57" si="289">+H57*90%+G57*10%</f>
        <v>1647755.6910588236</v>
      </c>
      <c r="V57" s="381">
        <f t="shared" ref="V57" si="290">+I57*90%+H57*10%</f>
        <v>4954229.2924705893</v>
      </c>
      <c r="W57" s="381">
        <f t="shared" ref="W57" si="291">+J57*90%+I57*10%</f>
        <v>996599.70588235289</v>
      </c>
      <c r="X57" s="381">
        <f t="shared" ref="X57" si="292">+K57*90%+J57*10%</f>
        <v>1764006.5019999999</v>
      </c>
      <c r="Y57" s="381">
        <f t="shared" ref="Y57" si="293">+L57*90%+K57*10%</f>
        <v>2997807.9096630584</v>
      </c>
      <c r="Z57" s="381">
        <f t="shared" ref="Z57" si="294">+M57*90%+L57*10%</f>
        <v>781512.62410635292</v>
      </c>
      <c r="AA57" s="618">
        <f t="shared" ref="AA57" si="295">+N57*90%+M57*10%</f>
        <v>5442779.805059107</v>
      </c>
      <c r="AB57" s="617">
        <v>3272506.9166666665</v>
      </c>
      <c r="AC57" s="617">
        <v>3272506.9166666665</v>
      </c>
      <c r="AD57" s="617">
        <v>3272506.9166666665</v>
      </c>
      <c r="AE57" s="617">
        <v>3272506.9166666665</v>
      </c>
      <c r="AF57" s="617">
        <v>3272506.9166666665</v>
      </c>
      <c r="AG57" s="617">
        <v>3272506.9166666665</v>
      </c>
      <c r="AH57" s="617">
        <v>3272506.9166666665</v>
      </c>
      <c r="AI57" s="617">
        <v>3272506.9166666665</v>
      </c>
      <c r="AJ57" s="617">
        <v>3272506.9166666665</v>
      </c>
      <c r="AK57" s="617">
        <v>3272506.9166666665</v>
      </c>
      <c r="AL57" s="617">
        <v>3272506.9166666665</v>
      </c>
      <c r="AM57" s="617">
        <v>3272506.9166666665</v>
      </c>
      <c r="AN57" s="617">
        <v>833333.33333333337</v>
      </c>
      <c r="AO57" s="617">
        <v>833333.33333333337</v>
      </c>
      <c r="AP57" s="617">
        <v>833333.33333333337</v>
      </c>
      <c r="AQ57" s="617">
        <v>833333.33333333337</v>
      </c>
      <c r="AR57" s="617">
        <v>833333.33333333337</v>
      </c>
      <c r="AS57" s="617">
        <v>833333.33333333337</v>
      </c>
      <c r="AT57" s="617">
        <v>833333.33333333337</v>
      </c>
      <c r="AU57" s="617">
        <v>833333.33333333337</v>
      </c>
      <c r="AV57" s="617">
        <v>833333.33333333337</v>
      </c>
      <c r="AW57" s="617">
        <v>833333.33333333337</v>
      </c>
      <c r="AX57" s="617">
        <v>833333.33333333337</v>
      </c>
      <c r="AY57" s="617">
        <v>833333.33333333337</v>
      </c>
      <c r="AZ57" s="617">
        <f t="shared" si="14"/>
        <v>39270083</v>
      </c>
      <c r="BA57" s="617">
        <f t="shared" si="15"/>
        <v>10000000</v>
      </c>
    </row>
    <row r="58" spans="1:53" x14ac:dyDescent="0.25">
      <c r="A58" s="596" t="s">
        <v>1447</v>
      </c>
      <c r="B58" s="626">
        <f>SUM(B56,B57)</f>
        <v>101622518.96024576</v>
      </c>
      <c r="C58" s="626">
        <f>SUM(C56,C57)</f>
        <v>90454454.993246347</v>
      </c>
      <c r="D58" s="617">
        <f>SUM(D56,D57)</f>
        <v>4691302.3130894648</v>
      </c>
      <c r="E58" s="617">
        <f t="shared" ref="E58:O58" si="296">SUM(E56,E57)</f>
        <v>5393609.083745461</v>
      </c>
      <c r="F58" s="617">
        <f t="shared" si="296"/>
        <v>8696324.7604724765</v>
      </c>
      <c r="G58" s="617">
        <f t="shared" si="296"/>
        <v>7475237.5012174789</v>
      </c>
      <c r="H58" s="617">
        <f t="shared" si="296"/>
        <v>8554881.7693621907</v>
      </c>
      <c r="I58" s="617">
        <f t="shared" si="296"/>
        <v>13803726.846674116</v>
      </c>
      <c r="J58" s="617">
        <f t="shared" si="296"/>
        <v>8642315.192457376</v>
      </c>
      <c r="K58" s="617">
        <f t="shared" si="296"/>
        <v>9011312.2014474422</v>
      </c>
      <c r="L58" s="617">
        <f t="shared" si="296"/>
        <v>9801045.423653584</v>
      </c>
      <c r="M58" s="617">
        <f t="shared" si="296"/>
        <v>6562323.2317178641</v>
      </c>
      <c r="N58" s="617">
        <f t="shared" si="296"/>
        <v>12142108.20881822</v>
      </c>
      <c r="O58" s="379">
        <f t="shared" si="296"/>
        <v>6848332.4275900666</v>
      </c>
      <c r="P58" s="617">
        <f>SUM(P56:P57)</f>
        <v>703695.3469634197</v>
      </c>
      <c r="Q58" s="617">
        <f t="shared" ref="Q58:AA58" si="297">SUM(Q56:Q57)</f>
        <v>3987606.9661260457</v>
      </c>
      <c r="R58" s="617">
        <f t="shared" si="297"/>
        <v>4961123.9106650325</v>
      </c>
      <c r="S58" s="617">
        <f t="shared" si="297"/>
        <v>8478004.3636233043</v>
      </c>
      <c r="T58" s="617">
        <f t="shared" si="297"/>
        <v>7490160.1298488602</v>
      </c>
      <c r="U58" s="617">
        <f t="shared" si="297"/>
        <v>8443651.974900661</v>
      </c>
      <c r="V58" s="617">
        <f t="shared" si="297"/>
        <v>13282873.515413513</v>
      </c>
      <c r="W58" s="617">
        <f t="shared" si="297"/>
        <v>9160639.8872908168</v>
      </c>
      <c r="X58" s="617">
        <f t="shared" si="297"/>
        <v>8965495.1476072576</v>
      </c>
      <c r="Y58" s="617">
        <f t="shared" si="297"/>
        <v>9729882.8367270865</v>
      </c>
      <c r="Z58" s="617">
        <f t="shared" si="297"/>
        <v>6878901.9950290825</v>
      </c>
      <c r="AA58" s="379">
        <f t="shared" si="297"/>
        <v>11591333.828755243</v>
      </c>
      <c r="AB58" s="617">
        <f>SUM(AB56,AB57)</f>
        <v>19219927.979468811</v>
      </c>
      <c r="AC58" s="617">
        <f t="shared" ref="AC58:AM58" si="298">SUM(AC56,AC57)</f>
        <v>19219927.979468811</v>
      </c>
      <c r="AD58" s="617">
        <f t="shared" si="298"/>
        <v>19219927.979468811</v>
      </c>
      <c r="AE58" s="617">
        <f t="shared" si="298"/>
        <v>19219927.979468811</v>
      </c>
      <c r="AF58" s="617">
        <f t="shared" si="298"/>
        <v>19219927.979468811</v>
      </c>
      <c r="AG58" s="617">
        <f t="shared" si="298"/>
        <v>19219927.979468811</v>
      </c>
      <c r="AH58" s="617">
        <f t="shared" si="298"/>
        <v>19219927.979468811</v>
      </c>
      <c r="AI58" s="617">
        <f t="shared" si="298"/>
        <v>19219927.979468811</v>
      </c>
      <c r="AJ58" s="617">
        <f t="shared" si="298"/>
        <v>19219927.979468811</v>
      </c>
      <c r="AK58" s="617">
        <f t="shared" si="298"/>
        <v>19219927.979468811</v>
      </c>
      <c r="AL58" s="617">
        <f t="shared" si="298"/>
        <v>19219927.979468811</v>
      </c>
      <c r="AM58" s="379">
        <f t="shared" si="298"/>
        <v>19219927.979468811</v>
      </c>
      <c r="AN58" s="617">
        <f>SUM(AN56,AN57)</f>
        <v>14442632.344593342</v>
      </c>
      <c r="AO58" s="617">
        <f t="shared" ref="AO58:AY58" si="299">SUM(AO56,AO57)</f>
        <v>14442632.344593342</v>
      </c>
      <c r="AP58" s="617">
        <f t="shared" si="299"/>
        <v>14442632.344593342</v>
      </c>
      <c r="AQ58" s="617">
        <f t="shared" si="299"/>
        <v>14442632.344593342</v>
      </c>
      <c r="AR58" s="617">
        <f t="shared" si="299"/>
        <v>14442632.344593342</v>
      </c>
      <c r="AS58" s="617">
        <f t="shared" si="299"/>
        <v>14442632.344593342</v>
      </c>
      <c r="AT58" s="617">
        <f t="shared" si="299"/>
        <v>64167632.344593346</v>
      </c>
      <c r="AU58" s="617">
        <f t="shared" si="299"/>
        <v>64167632.344593346</v>
      </c>
      <c r="AV58" s="617">
        <f t="shared" si="299"/>
        <v>64167632.344593346</v>
      </c>
      <c r="AW58" s="617">
        <f t="shared" si="299"/>
        <v>64167632.344593346</v>
      </c>
      <c r="AX58" s="617">
        <f t="shared" si="299"/>
        <v>64167632.344593346</v>
      </c>
      <c r="AY58" s="379">
        <f t="shared" si="299"/>
        <v>64167632.344593346</v>
      </c>
      <c r="AZ58" s="379">
        <f t="shared" si="14"/>
        <v>230639135.75362578</v>
      </c>
      <c r="BA58" s="617">
        <f t="shared" si="15"/>
        <v>471661588.13512015</v>
      </c>
    </row>
    <row r="59" spans="1:53" ht="15.75" thickBot="1" x14ac:dyDescent="0.3">
      <c r="A59" s="378" t="s">
        <v>1450</v>
      </c>
      <c r="B59" s="631"/>
      <c r="C59" s="631"/>
      <c r="D59" s="620"/>
      <c r="E59" s="391"/>
      <c r="F59" s="391"/>
      <c r="G59" s="391"/>
      <c r="H59" s="391"/>
      <c r="I59" s="391"/>
      <c r="J59" s="391"/>
      <c r="K59" s="391"/>
      <c r="L59" s="391"/>
      <c r="M59" s="391"/>
      <c r="N59" s="391"/>
      <c r="O59" s="621"/>
      <c r="P59" s="620"/>
      <c r="Q59" s="391"/>
      <c r="R59" s="391"/>
      <c r="S59" s="391"/>
      <c r="T59" s="391"/>
      <c r="U59" s="391"/>
      <c r="V59" s="391"/>
      <c r="W59" s="391"/>
      <c r="X59" s="391"/>
      <c r="Y59" s="391"/>
      <c r="Z59" s="391"/>
      <c r="AA59" s="621"/>
      <c r="AB59" s="620"/>
      <c r="AC59" s="391"/>
      <c r="AD59" s="391"/>
      <c r="AE59" s="391"/>
      <c r="AF59" s="391"/>
      <c r="AG59" s="391"/>
      <c r="AH59" s="391"/>
      <c r="AI59" s="391"/>
      <c r="AJ59" s="391"/>
      <c r="AK59" s="391"/>
      <c r="AL59" s="391"/>
      <c r="AM59" s="621"/>
      <c r="AN59" s="620"/>
      <c r="AO59" s="391"/>
      <c r="AP59" s="391"/>
      <c r="AQ59" s="391"/>
      <c r="AR59" s="391"/>
      <c r="AS59" s="391"/>
      <c r="AT59" s="391"/>
      <c r="AU59" s="391"/>
      <c r="AV59" s="391"/>
      <c r="AW59" s="391"/>
      <c r="AX59" s="391"/>
      <c r="AY59" s="621"/>
      <c r="AZ59" s="621">
        <f t="shared" si="14"/>
        <v>0</v>
      </c>
      <c r="BA59" s="391"/>
    </row>
    <row r="60" spans="1:53" ht="15.75" thickTop="1" x14ac:dyDescent="0.25"/>
    <row r="61" spans="1:53" hidden="1" x14ac:dyDescent="0.25">
      <c r="A61" s="604" t="s">
        <v>1451</v>
      </c>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c r="AB61" s="381"/>
      <c r="AC61" s="381"/>
      <c r="AD61" s="381"/>
      <c r="AE61" s="381"/>
      <c r="AF61" s="381"/>
      <c r="AG61" s="381"/>
      <c r="AH61" s="381"/>
      <c r="AI61" s="381"/>
      <c r="AJ61" s="381"/>
      <c r="AK61" s="381"/>
      <c r="AL61" s="381"/>
      <c r="AM61" s="381"/>
      <c r="AN61" s="381"/>
      <c r="AO61" s="381"/>
      <c r="AP61" s="381"/>
      <c r="AQ61" s="381"/>
      <c r="AR61" s="381"/>
      <c r="AS61" s="381"/>
      <c r="AT61" s="381"/>
      <c r="AU61" s="381"/>
      <c r="AV61" s="381"/>
      <c r="AW61" s="381"/>
      <c r="AX61" s="381"/>
      <c r="AY61" s="381"/>
      <c r="AZ61" s="381"/>
      <c r="BA61" s="381"/>
    </row>
    <row r="62" spans="1:53" hidden="1" x14ac:dyDescent="0.25">
      <c r="A62" s="596" t="s">
        <v>1452</v>
      </c>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c r="AB62" s="381"/>
      <c r="AC62" s="381"/>
      <c r="AD62" s="381"/>
      <c r="AE62" s="381"/>
      <c r="AF62" s="381"/>
      <c r="AG62" s="381"/>
      <c r="AH62" s="381"/>
      <c r="AI62" s="381"/>
      <c r="AJ62" s="381"/>
      <c r="AK62" s="381"/>
      <c r="AL62" s="381"/>
      <c r="AM62" s="381"/>
      <c r="AN62" s="381"/>
      <c r="AO62" s="381"/>
      <c r="AP62" s="381"/>
      <c r="AQ62" s="381"/>
      <c r="AR62" s="381"/>
      <c r="AS62" s="381"/>
      <c r="AT62" s="381"/>
      <c r="AU62" s="381"/>
      <c r="AV62" s="381"/>
      <c r="AW62" s="381"/>
      <c r="AX62" s="381"/>
      <c r="AY62" s="381"/>
      <c r="AZ62" s="381"/>
      <c r="BA62" s="381"/>
    </row>
    <row r="63" spans="1:53" hidden="1" x14ac:dyDescent="0.25">
      <c r="A63" s="596" t="s">
        <v>1453</v>
      </c>
      <c r="B63" s="381"/>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1"/>
      <c r="AC63" s="381"/>
      <c r="AD63" s="381"/>
      <c r="AE63" s="381"/>
      <c r="AF63" s="381"/>
      <c r="AG63" s="381"/>
      <c r="AH63" s="381"/>
      <c r="AI63" s="381"/>
      <c r="AJ63" s="381"/>
      <c r="AK63" s="381"/>
      <c r="AL63" s="381"/>
      <c r="AM63" s="381"/>
      <c r="AN63" s="381"/>
      <c r="AO63" s="381"/>
      <c r="AP63" s="381"/>
      <c r="AQ63" s="381"/>
      <c r="AR63" s="381"/>
      <c r="AS63" s="381"/>
      <c r="AT63" s="381"/>
      <c r="AU63" s="381"/>
      <c r="AV63" s="381"/>
      <c r="AW63" s="381"/>
      <c r="AX63" s="381"/>
      <c r="AY63" s="381"/>
      <c r="AZ63" s="381"/>
      <c r="BA63" s="381"/>
    </row>
    <row r="64" spans="1:53" hidden="1" x14ac:dyDescent="0.25">
      <c r="A64" s="596" t="s">
        <v>1454</v>
      </c>
      <c r="B64" s="381"/>
      <c r="C64" s="381"/>
      <c r="D64" s="381"/>
      <c r="E64" s="381"/>
      <c r="F64" s="381"/>
      <c r="G64" s="381"/>
      <c r="H64" s="381"/>
      <c r="I64" s="381"/>
      <c r="J64" s="381"/>
      <c r="K64" s="381"/>
      <c r="L64" s="381"/>
      <c r="M64" s="381"/>
      <c r="N64" s="381"/>
      <c r="O64" s="381"/>
      <c r="P64" s="381"/>
      <c r="Q64" s="381"/>
      <c r="R64" s="381"/>
      <c r="S64" s="381"/>
      <c r="T64" s="381"/>
      <c r="U64" s="381"/>
      <c r="V64" s="381"/>
      <c r="W64" s="381"/>
      <c r="X64" s="381"/>
      <c r="Y64" s="381"/>
      <c r="Z64" s="381"/>
      <c r="AA64" s="381"/>
      <c r="AB64" s="381"/>
      <c r="AC64" s="381"/>
      <c r="AD64" s="381"/>
      <c r="AE64" s="381"/>
      <c r="AF64" s="381"/>
      <c r="AG64" s="381"/>
      <c r="AH64" s="381"/>
      <c r="AI64" s="381"/>
      <c r="AJ64" s="381"/>
      <c r="AK64" s="381"/>
      <c r="AL64" s="381"/>
      <c r="AM64" s="381"/>
      <c r="AN64" s="381"/>
      <c r="AO64" s="381"/>
      <c r="AP64" s="381"/>
      <c r="AQ64" s="381"/>
      <c r="AR64" s="381"/>
      <c r="AS64" s="381"/>
      <c r="AT64" s="381"/>
      <c r="AU64" s="381"/>
      <c r="AV64" s="381"/>
      <c r="AW64" s="381"/>
      <c r="AX64" s="381"/>
      <c r="AY64" s="381"/>
      <c r="AZ64" s="381"/>
      <c r="BA64" s="381"/>
    </row>
    <row r="65" spans="1:53" hidden="1" x14ac:dyDescent="0.25"/>
    <row r="67" spans="1:53" ht="15.75" thickBot="1" x14ac:dyDescent="0.3"/>
    <row r="68" spans="1:53" ht="15.75" thickBot="1" x14ac:dyDescent="0.3">
      <c r="B68" s="993" t="s">
        <v>1484</v>
      </c>
      <c r="C68" s="994"/>
      <c r="D68" s="669" t="s">
        <v>1455</v>
      </c>
      <c r="E68" s="667" t="s">
        <v>43</v>
      </c>
      <c r="F68" s="667" t="s">
        <v>44</v>
      </c>
      <c r="G68" s="667" t="s">
        <v>1456</v>
      </c>
      <c r="H68" s="667" t="s">
        <v>195</v>
      </c>
      <c r="I68" s="667" t="s">
        <v>47</v>
      </c>
      <c r="J68" s="667" t="s">
        <v>48</v>
      </c>
      <c r="K68" s="667" t="s">
        <v>1486</v>
      </c>
      <c r="L68" s="667" t="s">
        <v>50</v>
      </c>
      <c r="M68" s="667" t="s">
        <v>207</v>
      </c>
      <c r="N68" s="667" t="s">
        <v>210</v>
      </c>
      <c r="O68" s="668" t="s">
        <v>1457</v>
      </c>
      <c r="AB68" s="669" t="s">
        <v>1455</v>
      </c>
      <c r="AC68" s="667" t="s">
        <v>43</v>
      </c>
      <c r="AD68" s="667" t="s">
        <v>44</v>
      </c>
      <c r="AE68" s="667" t="s">
        <v>1456</v>
      </c>
      <c r="AF68" s="667" t="s">
        <v>195</v>
      </c>
      <c r="AG68" s="667" t="s">
        <v>47</v>
      </c>
      <c r="AH68" s="667" t="s">
        <v>48</v>
      </c>
      <c r="AI68" s="667" t="s">
        <v>1486</v>
      </c>
      <c r="AJ68" s="667" t="s">
        <v>50</v>
      </c>
      <c r="AK68" s="667" t="s">
        <v>207</v>
      </c>
      <c r="AL68" s="667" t="s">
        <v>210</v>
      </c>
      <c r="AM68" s="668" t="s">
        <v>1457</v>
      </c>
      <c r="AN68" s="669" t="s">
        <v>1455</v>
      </c>
      <c r="AO68" s="667" t="s">
        <v>43</v>
      </c>
      <c r="AP68" s="667" t="s">
        <v>44</v>
      </c>
      <c r="AQ68" s="667" t="s">
        <v>1456</v>
      </c>
      <c r="AR68" s="667" t="s">
        <v>195</v>
      </c>
      <c r="AS68" s="667" t="s">
        <v>47</v>
      </c>
      <c r="AT68" s="667" t="s">
        <v>48</v>
      </c>
      <c r="AU68" s="667" t="s">
        <v>1486</v>
      </c>
      <c r="AV68" s="667" t="s">
        <v>50</v>
      </c>
      <c r="AW68" s="667" t="s">
        <v>207</v>
      </c>
      <c r="AX68" s="667" t="s">
        <v>210</v>
      </c>
      <c r="AY68" s="668" t="s">
        <v>1457</v>
      </c>
      <c r="AZ68" s="668"/>
      <c r="BA68" s="667"/>
    </row>
    <row r="69" spans="1:53" x14ac:dyDescent="0.25">
      <c r="B69" s="995" t="s">
        <v>1461</v>
      </c>
      <c r="C69" s="996"/>
      <c r="D69" s="670">
        <f>+D56</f>
        <v>4298932.3130894648</v>
      </c>
      <c r="E69" s="666">
        <f t="shared" ref="E69:O69" si="300">+E56</f>
        <v>5172150.8484513434</v>
      </c>
      <c r="F69" s="666">
        <f t="shared" si="300"/>
        <v>7737817.8693242408</v>
      </c>
      <c r="G69" s="666">
        <f t="shared" si="300"/>
        <v>6847816.0306292437</v>
      </c>
      <c r="H69" s="666">
        <f t="shared" si="300"/>
        <v>6793755.6093621915</v>
      </c>
      <c r="I69" s="666">
        <f t="shared" si="300"/>
        <v>8494708.3172623515</v>
      </c>
      <c r="J69" s="666">
        <f t="shared" si="300"/>
        <v>8124873.1336338473</v>
      </c>
      <c r="K69" s="666">
        <f t="shared" si="300"/>
        <v>7108798.5390945002</v>
      </c>
      <c r="L69" s="666">
        <f t="shared" si="300"/>
        <v>6681538.1531782895</v>
      </c>
      <c r="M69" s="666">
        <f t="shared" si="300"/>
        <v>6040587.7905413937</v>
      </c>
      <c r="N69" s="666">
        <f t="shared" si="300"/>
        <v>6152545.696661042</v>
      </c>
      <c r="O69" s="666">
        <f t="shared" si="300"/>
        <v>5328973.1605312433</v>
      </c>
      <c r="AB69" s="670">
        <f>+AB56</f>
        <v>15947421.062802143</v>
      </c>
      <c r="AC69" s="666">
        <f t="shared" ref="AC69:AM69" si="301">+AC56</f>
        <v>15947421.062802143</v>
      </c>
      <c r="AD69" s="666">
        <f t="shared" si="301"/>
        <v>15947421.062802143</v>
      </c>
      <c r="AE69" s="666">
        <f t="shared" si="301"/>
        <v>15947421.062802143</v>
      </c>
      <c r="AF69" s="666">
        <f t="shared" si="301"/>
        <v>15947421.062802143</v>
      </c>
      <c r="AG69" s="666">
        <f t="shared" si="301"/>
        <v>15947421.062802143</v>
      </c>
      <c r="AH69" s="666">
        <f t="shared" si="301"/>
        <v>15947421.062802143</v>
      </c>
      <c r="AI69" s="666">
        <f t="shared" si="301"/>
        <v>15947421.062802143</v>
      </c>
      <c r="AJ69" s="666">
        <f t="shared" si="301"/>
        <v>15947421.062802143</v>
      </c>
      <c r="AK69" s="666">
        <f t="shared" si="301"/>
        <v>15947421.062802143</v>
      </c>
      <c r="AL69" s="666">
        <f t="shared" si="301"/>
        <v>15947421.062802143</v>
      </c>
      <c r="AM69" s="666">
        <f t="shared" si="301"/>
        <v>15947421.062802143</v>
      </c>
      <c r="AN69" s="670">
        <f>+AN56</f>
        <v>13609299.011260008</v>
      </c>
      <c r="AO69" s="666">
        <f t="shared" ref="AO69:AY69" si="302">+AO56</f>
        <v>13609299.011260008</v>
      </c>
      <c r="AP69" s="666">
        <f t="shared" si="302"/>
        <v>13609299.011260008</v>
      </c>
      <c r="AQ69" s="666">
        <f t="shared" si="302"/>
        <v>13609299.011260008</v>
      </c>
      <c r="AR69" s="666">
        <f t="shared" si="302"/>
        <v>13609299.011260008</v>
      </c>
      <c r="AS69" s="666">
        <f t="shared" si="302"/>
        <v>13609299.011260008</v>
      </c>
      <c r="AT69" s="666">
        <f t="shared" si="302"/>
        <v>63334299.01126001</v>
      </c>
      <c r="AU69" s="666">
        <f t="shared" si="302"/>
        <v>63334299.01126001</v>
      </c>
      <c r="AV69" s="666">
        <f t="shared" si="302"/>
        <v>63334299.01126001</v>
      </c>
      <c r="AW69" s="666">
        <f t="shared" si="302"/>
        <v>63334299.01126001</v>
      </c>
      <c r="AX69" s="666">
        <f t="shared" si="302"/>
        <v>63334299.01126001</v>
      </c>
      <c r="AY69" s="666">
        <f t="shared" si="302"/>
        <v>63334299.01126001</v>
      </c>
      <c r="AZ69" s="666"/>
      <c r="BA69" s="666"/>
    </row>
    <row r="70" spans="1:53" ht="15.75" thickBot="1" x14ac:dyDescent="0.3">
      <c r="B70" s="991" t="s">
        <v>1458</v>
      </c>
      <c r="C70" s="992"/>
      <c r="D70" s="671">
        <f>+P56+8535000</f>
        <v>9179839.8469634205</v>
      </c>
      <c r="E70" s="665">
        <f>+Q56+2000000</f>
        <v>5654092.4661260452</v>
      </c>
      <c r="F70" s="665">
        <f t="shared" ref="F70:O70" si="303">+R56</f>
        <v>4761811.4989003269</v>
      </c>
      <c r="G70" s="665">
        <f t="shared" si="303"/>
        <v>7593202.3380604805</v>
      </c>
      <c r="H70" s="665">
        <f t="shared" si="303"/>
        <v>6829630.1172046252</v>
      </c>
      <c r="I70" s="665">
        <f t="shared" si="303"/>
        <v>6795896.2838418381</v>
      </c>
      <c r="J70" s="665">
        <f t="shared" si="303"/>
        <v>8328644.2229429241</v>
      </c>
      <c r="K70" s="665">
        <f t="shared" si="303"/>
        <v>8164040.181408463</v>
      </c>
      <c r="L70" s="665">
        <f t="shared" si="303"/>
        <v>7201488.6456072582</v>
      </c>
      <c r="M70" s="665">
        <f t="shared" si="303"/>
        <v>6732074.9270640276</v>
      </c>
      <c r="N70" s="665">
        <f t="shared" si="303"/>
        <v>6097389.3709227294</v>
      </c>
      <c r="O70" s="665">
        <f t="shared" si="303"/>
        <v>6148554.0236961357</v>
      </c>
      <c r="AB70" s="671">
        <f>+AN56+8535000</f>
        <v>22144299.01126001</v>
      </c>
      <c r="AC70" s="665">
        <f>+AO56+2000000</f>
        <v>15609299.011260008</v>
      </c>
      <c r="AD70" s="665">
        <f t="shared" ref="AD70" si="304">+AP56</f>
        <v>13609299.011260008</v>
      </c>
      <c r="AE70" s="665">
        <f t="shared" ref="AE70" si="305">+AQ56</f>
        <v>13609299.011260008</v>
      </c>
      <c r="AF70" s="665">
        <f t="shared" ref="AF70" si="306">+AR56</f>
        <v>13609299.011260008</v>
      </c>
      <c r="AG70" s="665">
        <f t="shared" ref="AG70" si="307">+AS56</f>
        <v>13609299.011260008</v>
      </c>
      <c r="AH70" s="665">
        <f t="shared" ref="AH70" si="308">+AT56</f>
        <v>63334299.01126001</v>
      </c>
      <c r="AI70" s="665">
        <f t="shared" ref="AI70" si="309">+AU56</f>
        <v>63334299.01126001</v>
      </c>
      <c r="AJ70" s="665">
        <f t="shared" ref="AJ70" si="310">+AV56</f>
        <v>63334299.01126001</v>
      </c>
      <c r="AK70" s="665">
        <f t="shared" ref="AK70" si="311">+AW56</f>
        <v>63334299.01126001</v>
      </c>
      <c r="AL70" s="665">
        <f t="shared" ref="AL70" si="312">+AX56</f>
        <v>63334299.01126001</v>
      </c>
      <c r="AM70" s="665">
        <f t="shared" ref="AM70" si="313">+AY56</f>
        <v>63334299.01126001</v>
      </c>
      <c r="AN70" s="671">
        <f>+AZ56+8535000</f>
        <v>199904052.75362566</v>
      </c>
      <c r="AO70" s="665">
        <f>+BA56+2000000</f>
        <v>463661588.13512015</v>
      </c>
      <c r="AP70" s="665">
        <f t="shared" ref="AP70" si="314">+BB56</f>
        <v>0</v>
      </c>
      <c r="AQ70" s="665">
        <f t="shared" ref="AQ70" si="315">+BC56</f>
        <v>0</v>
      </c>
      <c r="AR70" s="665">
        <f t="shared" ref="AR70" si="316">+BD56</f>
        <v>0</v>
      </c>
      <c r="AS70" s="665">
        <f t="shared" ref="AS70" si="317">+BE56</f>
        <v>0</v>
      </c>
      <c r="AT70" s="665">
        <f t="shared" ref="AT70" si="318">+BF56</f>
        <v>0</v>
      </c>
      <c r="AU70" s="665">
        <f t="shared" ref="AU70" si="319">+BG56</f>
        <v>0</v>
      </c>
      <c r="AV70" s="665">
        <f t="shared" ref="AV70" si="320">+BH56</f>
        <v>0</v>
      </c>
      <c r="AW70" s="665">
        <f t="shared" ref="AW70" si="321">+BI56</f>
        <v>0</v>
      </c>
      <c r="AX70" s="665">
        <f t="shared" ref="AX70" si="322">+BJ56</f>
        <v>0</v>
      </c>
      <c r="AY70" s="665">
        <f t="shared" ref="AY70" si="323">+BK56</f>
        <v>0</v>
      </c>
      <c r="AZ70" s="665"/>
      <c r="BA70" s="665"/>
    </row>
    <row r="71" spans="1:53" x14ac:dyDescent="0.25">
      <c r="A71" s="605"/>
      <c r="B71" s="182"/>
    </row>
    <row r="72" spans="1:53" x14ac:dyDescent="0.25">
      <c r="A72" s="605"/>
      <c r="B72" s="182"/>
    </row>
    <row r="73" spans="1:53" ht="15.75" thickBot="1" x14ac:dyDescent="0.3">
      <c r="A73" s="605"/>
      <c r="B73" s="605"/>
    </row>
    <row r="74" spans="1:53" ht="15.75" thickBot="1" x14ac:dyDescent="0.3">
      <c r="A74" s="605"/>
      <c r="B74" s="993" t="s">
        <v>1485</v>
      </c>
      <c r="C74" s="994"/>
      <c r="D74" s="669" t="s">
        <v>1455</v>
      </c>
      <c r="E74" s="667" t="s">
        <v>43</v>
      </c>
      <c r="F74" s="667" t="s">
        <v>44</v>
      </c>
      <c r="G74" s="667" t="s">
        <v>1456</v>
      </c>
      <c r="H74" s="667" t="s">
        <v>195</v>
      </c>
      <c r="I74" s="667" t="s">
        <v>47</v>
      </c>
      <c r="J74" s="667" t="s">
        <v>48</v>
      </c>
      <c r="K74" s="667" t="s">
        <v>1486</v>
      </c>
      <c r="L74" s="667" t="s">
        <v>50</v>
      </c>
      <c r="M74" s="667" t="s">
        <v>207</v>
      </c>
      <c r="N74" s="667" t="s">
        <v>210</v>
      </c>
      <c r="O74" s="668" t="s">
        <v>1457</v>
      </c>
      <c r="AB74" s="669" t="s">
        <v>1455</v>
      </c>
      <c r="AC74" s="667" t="s">
        <v>43</v>
      </c>
      <c r="AD74" s="667" t="s">
        <v>44</v>
      </c>
      <c r="AE74" s="667" t="s">
        <v>1456</v>
      </c>
      <c r="AF74" s="667" t="s">
        <v>195</v>
      </c>
      <c r="AG74" s="667" t="s">
        <v>47</v>
      </c>
      <c r="AH74" s="667" t="s">
        <v>48</v>
      </c>
      <c r="AI74" s="667" t="s">
        <v>1486</v>
      </c>
      <c r="AJ74" s="667" t="s">
        <v>50</v>
      </c>
      <c r="AK74" s="667" t="s">
        <v>207</v>
      </c>
      <c r="AL74" s="667" t="s">
        <v>210</v>
      </c>
      <c r="AM74" s="668" t="s">
        <v>1457</v>
      </c>
      <c r="AN74" s="669" t="s">
        <v>1455</v>
      </c>
      <c r="AO74" s="667" t="s">
        <v>43</v>
      </c>
      <c r="AP74" s="667" t="s">
        <v>44</v>
      </c>
      <c r="AQ74" s="667" t="s">
        <v>1456</v>
      </c>
      <c r="AR74" s="667" t="s">
        <v>195</v>
      </c>
      <c r="AS74" s="667" t="s">
        <v>47</v>
      </c>
      <c r="AT74" s="667" t="s">
        <v>48</v>
      </c>
      <c r="AU74" s="667" t="s">
        <v>1486</v>
      </c>
      <c r="AV74" s="667" t="s">
        <v>50</v>
      </c>
      <c r="AW74" s="667" t="s">
        <v>207</v>
      </c>
      <c r="AX74" s="667" t="s">
        <v>210</v>
      </c>
      <c r="AY74" s="668" t="s">
        <v>1457</v>
      </c>
      <c r="AZ74" s="668"/>
      <c r="BA74" s="667"/>
    </row>
    <row r="75" spans="1:53" x14ac:dyDescent="0.25">
      <c r="B75" s="995" t="s">
        <v>1461</v>
      </c>
      <c r="C75" s="996"/>
      <c r="D75" s="670">
        <f>+D58</f>
        <v>4691302.3130894648</v>
      </c>
      <c r="E75" s="670">
        <f t="shared" ref="E75:O75" si="324">+E58</f>
        <v>5393609.083745461</v>
      </c>
      <c r="F75" s="670">
        <f t="shared" si="324"/>
        <v>8696324.7604724765</v>
      </c>
      <c r="G75" s="670">
        <f t="shared" si="324"/>
        <v>7475237.5012174789</v>
      </c>
      <c r="H75" s="670">
        <f t="shared" si="324"/>
        <v>8554881.7693621907</v>
      </c>
      <c r="I75" s="670">
        <f t="shared" si="324"/>
        <v>13803726.846674116</v>
      </c>
      <c r="J75" s="670">
        <f t="shared" si="324"/>
        <v>8642315.192457376</v>
      </c>
      <c r="K75" s="670">
        <f t="shared" si="324"/>
        <v>9011312.2014474422</v>
      </c>
      <c r="L75" s="670">
        <f t="shared" si="324"/>
        <v>9801045.423653584</v>
      </c>
      <c r="M75" s="670">
        <f t="shared" si="324"/>
        <v>6562323.2317178641</v>
      </c>
      <c r="N75" s="670">
        <f t="shared" si="324"/>
        <v>12142108.20881822</v>
      </c>
      <c r="O75" s="670">
        <f t="shared" si="324"/>
        <v>6848332.4275900666</v>
      </c>
      <c r="P75" s="151">
        <f>SUM(D75:O75)</f>
        <v>101622518.96024576</v>
      </c>
      <c r="AB75" s="670">
        <f>+AB58</f>
        <v>19219927.979468811</v>
      </c>
      <c r="AC75" s="670">
        <f t="shared" ref="AC75:AM75" si="325">+AC58</f>
        <v>19219927.979468811</v>
      </c>
      <c r="AD75" s="670">
        <f t="shared" si="325"/>
        <v>19219927.979468811</v>
      </c>
      <c r="AE75" s="670">
        <f t="shared" si="325"/>
        <v>19219927.979468811</v>
      </c>
      <c r="AF75" s="670">
        <f t="shared" si="325"/>
        <v>19219927.979468811</v>
      </c>
      <c r="AG75" s="670">
        <f t="shared" si="325"/>
        <v>19219927.979468811</v>
      </c>
      <c r="AH75" s="670">
        <f t="shared" si="325"/>
        <v>19219927.979468811</v>
      </c>
      <c r="AI75" s="670">
        <f t="shared" si="325"/>
        <v>19219927.979468811</v>
      </c>
      <c r="AJ75" s="670">
        <f t="shared" si="325"/>
        <v>19219927.979468811</v>
      </c>
      <c r="AK75" s="670">
        <f t="shared" si="325"/>
        <v>19219927.979468811</v>
      </c>
      <c r="AL75" s="670">
        <f t="shared" si="325"/>
        <v>19219927.979468811</v>
      </c>
      <c r="AM75" s="670">
        <f t="shared" si="325"/>
        <v>19219927.979468811</v>
      </c>
      <c r="AN75" s="670">
        <f>+AN58</f>
        <v>14442632.344593342</v>
      </c>
      <c r="AO75" s="670">
        <f t="shared" ref="AO75:AY75" si="326">+AO58</f>
        <v>14442632.344593342</v>
      </c>
      <c r="AP75" s="670">
        <f t="shared" si="326"/>
        <v>14442632.344593342</v>
      </c>
      <c r="AQ75" s="670">
        <f t="shared" si="326"/>
        <v>14442632.344593342</v>
      </c>
      <c r="AR75" s="670">
        <f t="shared" si="326"/>
        <v>14442632.344593342</v>
      </c>
      <c r="AS75" s="670">
        <f t="shared" si="326"/>
        <v>14442632.344593342</v>
      </c>
      <c r="AT75" s="670">
        <f t="shared" si="326"/>
        <v>64167632.344593346</v>
      </c>
      <c r="AU75" s="670">
        <f t="shared" si="326"/>
        <v>64167632.344593346</v>
      </c>
      <c r="AV75" s="670">
        <f t="shared" si="326"/>
        <v>64167632.344593346</v>
      </c>
      <c r="AW75" s="670">
        <f t="shared" si="326"/>
        <v>64167632.344593346</v>
      </c>
      <c r="AX75" s="670">
        <f t="shared" si="326"/>
        <v>64167632.344593346</v>
      </c>
      <c r="AY75" s="670">
        <f t="shared" si="326"/>
        <v>64167632.344593346</v>
      </c>
      <c r="AZ75" s="670"/>
      <c r="BA75" s="670"/>
    </row>
    <row r="76" spans="1:53" ht="15.75" thickBot="1" x14ac:dyDescent="0.3">
      <c r="B76" s="991" t="s">
        <v>1458</v>
      </c>
      <c r="C76" s="992"/>
      <c r="D76" s="671">
        <f>+P58+8535000</f>
        <v>9238695.3469634205</v>
      </c>
      <c r="E76" s="671">
        <f>+Q58+2000000</f>
        <v>5987606.9661260452</v>
      </c>
      <c r="F76" s="671">
        <f t="shared" ref="F76:O76" si="327">+R58</f>
        <v>4961123.9106650325</v>
      </c>
      <c r="G76" s="671">
        <f t="shared" si="327"/>
        <v>8478004.3636233043</v>
      </c>
      <c r="H76" s="671">
        <f t="shared" si="327"/>
        <v>7490160.1298488602</v>
      </c>
      <c r="I76" s="671">
        <f t="shared" si="327"/>
        <v>8443651.974900661</v>
      </c>
      <c r="J76" s="671">
        <f t="shared" si="327"/>
        <v>13282873.515413513</v>
      </c>
      <c r="K76" s="671">
        <f t="shared" si="327"/>
        <v>9160639.8872908168</v>
      </c>
      <c r="L76" s="671">
        <f t="shared" si="327"/>
        <v>8965495.1476072576</v>
      </c>
      <c r="M76" s="671">
        <f t="shared" si="327"/>
        <v>9729882.8367270865</v>
      </c>
      <c r="N76" s="671">
        <f t="shared" si="327"/>
        <v>6878901.9950290825</v>
      </c>
      <c r="O76" s="671">
        <f t="shared" si="327"/>
        <v>11591333.828755243</v>
      </c>
      <c r="P76" s="151">
        <f>SUM(D76:O76)</f>
        <v>104208369.90295032</v>
      </c>
      <c r="AB76" s="671">
        <f>+AN58+8535000</f>
        <v>22977632.344593342</v>
      </c>
      <c r="AC76" s="671">
        <f>+AO58+2000000</f>
        <v>16442632.344593342</v>
      </c>
      <c r="AD76" s="671">
        <f t="shared" ref="AD76" si="328">+AP58</f>
        <v>14442632.344593342</v>
      </c>
      <c r="AE76" s="671">
        <f t="shared" ref="AE76" si="329">+AQ58</f>
        <v>14442632.344593342</v>
      </c>
      <c r="AF76" s="671">
        <f t="shared" ref="AF76" si="330">+AR58</f>
        <v>14442632.344593342</v>
      </c>
      <c r="AG76" s="671">
        <f t="shared" ref="AG76" si="331">+AS58</f>
        <v>14442632.344593342</v>
      </c>
      <c r="AH76" s="671">
        <f t="shared" ref="AH76" si="332">+AT58</f>
        <v>64167632.344593346</v>
      </c>
      <c r="AI76" s="671">
        <f t="shared" ref="AI76" si="333">+AU58</f>
        <v>64167632.344593346</v>
      </c>
      <c r="AJ76" s="671">
        <f t="shared" ref="AJ76" si="334">+AV58</f>
        <v>64167632.344593346</v>
      </c>
      <c r="AK76" s="671">
        <f t="shared" ref="AK76" si="335">+AW58</f>
        <v>64167632.344593346</v>
      </c>
      <c r="AL76" s="671">
        <f t="shared" ref="AL76" si="336">+AX58</f>
        <v>64167632.344593346</v>
      </c>
      <c r="AM76" s="671">
        <f t="shared" ref="AM76" si="337">+AY58</f>
        <v>64167632.344593346</v>
      </c>
      <c r="AN76" s="671">
        <f>+AZ58+8535000</f>
        <v>239174135.75362578</v>
      </c>
      <c r="AO76" s="671">
        <f>+BA58+2000000</f>
        <v>473661588.13512015</v>
      </c>
      <c r="AP76" s="671">
        <f t="shared" ref="AP76" si="338">+BB58</f>
        <v>0</v>
      </c>
      <c r="AQ76" s="671">
        <f t="shared" ref="AQ76" si="339">+BC58</f>
        <v>0</v>
      </c>
      <c r="AR76" s="671">
        <f t="shared" ref="AR76" si="340">+BD58</f>
        <v>0</v>
      </c>
      <c r="AS76" s="671">
        <f t="shared" ref="AS76" si="341">+BE58</f>
        <v>0</v>
      </c>
      <c r="AT76" s="671">
        <f t="shared" ref="AT76" si="342">+BF58</f>
        <v>0</v>
      </c>
      <c r="AU76" s="671">
        <f t="shared" ref="AU76" si="343">+BG58</f>
        <v>0</v>
      </c>
      <c r="AV76" s="671">
        <f t="shared" ref="AV76" si="344">+BH58</f>
        <v>0</v>
      </c>
      <c r="AW76" s="671">
        <f t="shared" ref="AW76" si="345">+BI58</f>
        <v>0</v>
      </c>
      <c r="AX76" s="671">
        <f t="shared" ref="AX76" si="346">+BJ58</f>
        <v>0</v>
      </c>
      <c r="AY76" s="671">
        <f t="shared" ref="AY76" si="347">+BK58</f>
        <v>0</v>
      </c>
      <c r="AZ76" s="671"/>
      <c r="BA76" s="671"/>
    </row>
  </sheetData>
  <mergeCells count="6">
    <mergeCell ref="B76:C76"/>
    <mergeCell ref="B68:C68"/>
    <mergeCell ref="B69:C69"/>
    <mergeCell ref="B70:C70"/>
    <mergeCell ref="B74:C74"/>
    <mergeCell ref="B75:C75"/>
  </mergeCells>
  <pageMargins left="0.70866141732283472" right="0.70866141732283472" top="0.74803149606299213" bottom="0.74803149606299213" header="0.31496062992125984" footer="0.31496062992125984"/>
  <pageSetup scale="1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AR79"/>
  <sheetViews>
    <sheetView showGridLines="0" workbookViewId="0">
      <selection activeCell="AS21" sqref="AS21"/>
    </sheetView>
  </sheetViews>
  <sheetFormatPr baseColWidth="10" defaultRowHeight="15" x14ac:dyDescent="0.25"/>
  <cols>
    <col min="1" max="1" width="49.7109375" style="182" customWidth="1"/>
    <col min="2" max="2" width="18.140625" style="151" customWidth="1"/>
    <col min="3" max="4" width="11" style="151" hidden="1" customWidth="1"/>
    <col min="5" max="5" width="11.140625" style="151" hidden="1" customWidth="1"/>
    <col min="6" max="6" width="11" style="151" hidden="1" customWidth="1"/>
    <col min="7" max="7" width="11.140625" style="151" hidden="1" customWidth="1"/>
    <col min="8" max="14" width="11" style="151" hidden="1" customWidth="1"/>
    <col min="15" max="15" width="13.28515625" style="151" hidden="1" customWidth="1"/>
    <col min="16" max="26" width="12.28515625" style="151" hidden="1" customWidth="1"/>
    <col min="27" max="27" width="14.28515625" style="151" hidden="1" customWidth="1"/>
    <col min="28" max="28" width="13.140625" style="151" hidden="1" customWidth="1"/>
    <col min="29" max="38" width="12.28515625" style="151" hidden="1" customWidth="1"/>
    <col min="39" max="40" width="13.28515625" style="151" hidden="1" customWidth="1"/>
    <col min="41" max="42" width="13.28515625" style="151" customWidth="1"/>
    <col min="43" max="43" width="20.85546875" style="151" bestFit="1" customWidth="1"/>
  </cols>
  <sheetData>
    <row r="1" spans="1:43" x14ac:dyDescent="0.25">
      <c r="A1" s="146" t="s">
        <v>1483</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row>
    <row r="2" spans="1:43" x14ac:dyDescent="0.25">
      <c r="A2" s="366" t="s">
        <v>477</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row>
    <row r="3" spans="1:43" x14ac:dyDescent="0.25">
      <c r="A3" s="146" t="s">
        <v>472</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row>
    <row r="4" spans="1:43" ht="15.75" thickBot="1" x14ac:dyDescent="0.3">
      <c r="A4" s="146"/>
      <c r="B4" s="640"/>
      <c r="C4" s="148"/>
      <c r="D4" s="148"/>
      <c r="E4" s="762"/>
      <c r="F4" s="762"/>
      <c r="G4" s="762" t="s">
        <v>1551</v>
      </c>
      <c r="H4" s="762"/>
      <c r="I4" s="762"/>
      <c r="J4" s="762"/>
      <c r="K4" s="762"/>
      <c r="L4" s="762"/>
      <c r="M4" s="762"/>
      <c r="N4" s="762"/>
      <c r="O4" s="762"/>
      <c r="P4" s="762"/>
      <c r="Q4" s="762"/>
      <c r="R4" s="763"/>
      <c r="S4" s="763"/>
      <c r="T4" s="763"/>
      <c r="U4" s="763"/>
      <c r="V4" s="763"/>
      <c r="W4" s="763"/>
      <c r="X4" s="763"/>
      <c r="Y4" s="763"/>
      <c r="Z4" s="763"/>
      <c r="AA4" s="763" t="s">
        <v>1552</v>
      </c>
      <c r="AB4" s="763"/>
      <c r="AC4" s="763"/>
      <c r="AD4" s="763"/>
      <c r="AE4" s="763"/>
      <c r="AF4" s="761"/>
      <c r="AG4" s="761"/>
      <c r="AH4" s="761" t="s">
        <v>1553</v>
      </c>
      <c r="AI4" s="761"/>
      <c r="AJ4" s="761"/>
      <c r="AK4" s="761"/>
      <c r="AL4" s="761"/>
      <c r="AM4" s="148"/>
      <c r="AN4" s="148"/>
      <c r="AO4" s="148"/>
      <c r="AP4" s="148"/>
      <c r="AQ4" s="148"/>
    </row>
    <row r="5" spans="1:43" ht="15.75" thickBot="1" x14ac:dyDescent="0.3">
      <c r="A5" s="146"/>
      <c r="B5" s="641"/>
      <c r="C5" s="609" t="s">
        <v>1461</v>
      </c>
      <c r="D5" s="610"/>
      <c r="E5" s="610"/>
      <c r="F5" s="610"/>
      <c r="G5" s="610"/>
      <c r="H5" s="610"/>
      <c r="I5" s="610"/>
      <c r="J5" s="610"/>
      <c r="K5" s="610"/>
      <c r="L5" s="610"/>
      <c r="M5" s="610"/>
      <c r="N5" s="611"/>
      <c r="O5" s="726" t="s">
        <v>1550</v>
      </c>
      <c r="P5" s="727"/>
      <c r="Q5" s="727"/>
      <c r="R5" s="727"/>
      <c r="S5" s="727"/>
      <c r="T5" s="727"/>
      <c r="U5" s="727"/>
      <c r="V5" s="727"/>
      <c r="W5" s="727"/>
      <c r="X5" s="727"/>
      <c r="Y5" s="727"/>
      <c r="Z5" s="728"/>
      <c r="AA5" s="755" t="s">
        <v>1554</v>
      </c>
      <c r="AB5" s="756"/>
      <c r="AC5" s="756"/>
      <c r="AD5" s="756"/>
      <c r="AE5" s="756"/>
      <c r="AF5" s="756"/>
      <c r="AG5" s="756"/>
      <c r="AH5" s="756"/>
      <c r="AI5" s="756"/>
      <c r="AJ5" s="756"/>
      <c r="AK5" s="756"/>
      <c r="AL5" s="757"/>
      <c r="AM5" s="728"/>
      <c r="AN5" s="148"/>
      <c r="AO5" s="148"/>
      <c r="AP5" s="148"/>
      <c r="AQ5" s="148"/>
    </row>
    <row r="6" spans="1:43" ht="22.15" customHeight="1" thickBot="1" x14ac:dyDescent="0.3">
      <c r="A6" s="367" t="s">
        <v>473</v>
      </c>
      <c r="B6" s="639" t="s">
        <v>1460</v>
      </c>
      <c r="C6" s="614" t="s">
        <v>1455</v>
      </c>
      <c r="D6" s="612" t="s">
        <v>43</v>
      </c>
      <c r="E6" s="612" t="s">
        <v>44</v>
      </c>
      <c r="F6" s="612" t="s">
        <v>1456</v>
      </c>
      <c r="G6" s="612" t="s">
        <v>195</v>
      </c>
      <c r="H6" s="612" t="s">
        <v>47</v>
      </c>
      <c r="I6" s="612" t="s">
        <v>48</v>
      </c>
      <c r="J6" s="612" t="s">
        <v>1486</v>
      </c>
      <c r="K6" s="612" t="s">
        <v>50</v>
      </c>
      <c r="L6" s="612" t="s">
        <v>207</v>
      </c>
      <c r="M6" s="612" t="s">
        <v>210</v>
      </c>
      <c r="N6" s="615" t="s">
        <v>1457</v>
      </c>
      <c r="O6" s="729" t="s">
        <v>1455</v>
      </c>
      <c r="P6" s="730" t="s">
        <v>43</v>
      </c>
      <c r="Q6" s="730" t="s">
        <v>44</v>
      </c>
      <c r="R6" s="730" t="s">
        <v>1456</v>
      </c>
      <c r="S6" s="730" t="s">
        <v>195</v>
      </c>
      <c r="T6" s="730" t="s">
        <v>47</v>
      </c>
      <c r="U6" s="730" t="s">
        <v>48</v>
      </c>
      <c r="V6" s="730" t="s">
        <v>1486</v>
      </c>
      <c r="W6" s="730" t="s">
        <v>50</v>
      </c>
      <c r="X6" s="730" t="s">
        <v>207</v>
      </c>
      <c r="Y6" s="730" t="s">
        <v>210</v>
      </c>
      <c r="Z6" s="731" t="s">
        <v>1457</v>
      </c>
      <c r="AA6" s="758" t="s">
        <v>1455</v>
      </c>
      <c r="AB6" s="759" t="s">
        <v>43</v>
      </c>
      <c r="AC6" s="759" t="s">
        <v>44</v>
      </c>
      <c r="AD6" s="759" t="s">
        <v>1456</v>
      </c>
      <c r="AE6" s="759" t="s">
        <v>195</v>
      </c>
      <c r="AF6" s="759" t="s">
        <v>47</v>
      </c>
      <c r="AG6" s="759" t="s">
        <v>48</v>
      </c>
      <c r="AH6" s="759" t="s">
        <v>1486</v>
      </c>
      <c r="AI6" s="759" t="s">
        <v>50</v>
      </c>
      <c r="AJ6" s="759" t="s">
        <v>207</v>
      </c>
      <c r="AK6" s="759" t="s">
        <v>210</v>
      </c>
      <c r="AL6" s="760" t="s">
        <v>1457</v>
      </c>
      <c r="AM6" s="731">
        <v>2019</v>
      </c>
      <c r="AN6" s="759">
        <v>2020</v>
      </c>
      <c r="AO6" s="766" t="s">
        <v>1551</v>
      </c>
      <c r="AP6" s="765" t="s">
        <v>1555</v>
      </c>
      <c r="AQ6" s="764" t="s">
        <v>1556</v>
      </c>
    </row>
    <row r="7" spans="1:43" x14ac:dyDescent="0.25">
      <c r="A7" s="373" t="s">
        <v>60</v>
      </c>
      <c r="B7" s="624">
        <f>SUM(B8)</f>
        <v>11901000</v>
      </c>
      <c r="C7" s="616">
        <f>SUM(C8)</f>
        <v>991750</v>
      </c>
      <c r="D7" s="616">
        <f t="shared" ref="D7:N7" si="0">SUM(D8)</f>
        <v>991750</v>
      </c>
      <c r="E7" s="616">
        <f t="shared" si="0"/>
        <v>991750</v>
      </c>
      <c r="F7" s="616">
        <f t="shared" si="0"/>
        <v>991750</v>
      </c>
      <c r="G7" s="616">
        <f t="shared" si="0"/>
        <v>991750</v>
      </c>
      <c r="H7" s="616">
        <f t="shared" si="0"/>
        <v>991750</v>
      </c>
      <c r="I7" s="616">
        <f t="shared" si="0"/>
        <v>991750</v>
      </c>
      <c r="J7" s="616">
        <f t="shared" si="0"/>
        <v>991750</v>
      </c>
      <c r="K7" s="616">
        <f t="shared" si="0"/>
        <v>991750</v>
      </c>
      <c r="L7" s="616">
        <f t="shared" si="0"/>
        <v>991750</v>
      </c>
      <c r="M7" s="616">
        <f t="shared" si="0"/>
        <v>991750</v>
      </c>
      <c r="N7" s="374">
        <f t="shared" si="0"/>
        <v>991750</v>
      </c>
      <c r="O7" s="616">
        <f>SUM(O8)</f>
        <v>1190100</v>
      </c>
      <c r="P7" s="616">
        <f t="shared" ref="P7:Z7" si="1">SUM(P8)</f>
        <v>1190100</v>
      </c>
      <c r="Q7" s="616">
        <f t="shared" si="1"/>
        <v>1190100</v>
      </c>
      <c r="R7" s="616">
        <f t="shared" si="1"/>
        <v>1190100</v>
      </c>
      <c r="S7" s="616">
        <f t="shared" si="1"/>
        <v>1190100</v>
      </c>
      <c r="T7" s="616">
        <f t="shared" si="1"/>
        <v>1190100</v>
      </c>
      <c r="U7" s="616">
        <f t="shared" si="1"/>
        <v>1190100</v>
      </c>
      <c r="V7" s="616">
        <f t="shared" si="1"/>
        <v>1190100</v>
      </c>
      <c r="W7" s="616">
        <f t="shared" si="1"/>
        <v>1190100</v>
      </c>
      <c r="X7" s="616">
        <f t="shared" si="1"/>
        <v>1190100</v>
      </c>
      <c r="Y7" s="616">
        <f t="shared" si="1"/>
        <v>1190100</v>
      </c>
      <c r="Z7" s="374">
        <f t="shared" si="1"/>
        <v>1190100</v>
      </c>
      <c r="AA7" s="616">
        <f>SUM(AA8)</f>
        <v>1606635</v>
      </c>
      <c r="AB7" s="616">
        <f t="shared" ref="AB7:AL7" si="2">SUM(AB8)</f>
        <v>1606635</v>
      </c>
      <c r="AC7" s="616">
        <f t="shared" si="2"/>
        <v>1606635</v>
      </c>
      <c r="AD7" s="616">
        <f t="shared" si="2"/>
        <v>1606635</v>
      </c>
      <c r="AE7" s="616">
        <f t="shared" si="2"/>
        <v>1606635</v>
      </c>
      <c r="AF7" s="616">
        <f t="shared" si="2"/>
        <v>1606635</v>
      </c>
      <c r="AG7" s="616">
        <f t="shared" si="2"/>
        <v>1606635</v>
      </c>
      <c r="AH7" s="616">
        <f t="shared" si="2"/>
        <v>1606635</v>
      </c>
      <c r="AI7" s="616">
        <f t="shared" si="2"/>
        <v>1606635</v>
      </c>
      <c r="AJ7" s="616">
        <f t="shared" si="2"/>
        <v>1606635</v>
      </c>
      <c r="AK7" s="616">
        <f t="shared" si="2"/>
        <v>1606635</v>
      </c>
      <c r="AL7" s="374">
        <f t="shared" si="2"/>
        <v>1606635</v>
      </c>
      <c r="AM7" s="374">
        <f>SUM(O7:Z7)</f>
        <v>14281200</v>
      </c>
      <c r="AN7" s="616">
        <f>SUM(AA7:AL7)</f>
        <v>19279620</v>
      </c>
      <c r="AO7" s="616">
        <f>+AO8</f>
        <v>13487800</v>
      </c>
      <c r="AP7" s="616">
        <f t="shared" ref="AP7:AQ7" si="3">+AP8</f>
        <v>18744075</v>
      </c>
      <c r="AQ7" s="616">
        <f t="shared" si="3"/>
        <v>11246445</v>
      </c>
    </row>
    <row r="8" spans="1:43" x14ac:dyDescent="0.25">
      <c r="A8" s="363" t="s">
        <v>61</v>
      </c>
      <c r="B8" s="625">
        <f>SUM(C8:N8)</f>
        <v>11901000</v>
      </c>
      <c r="C8" s="644">
        <v>991750</v>
      </c>
      <c r="D8" s="648">
        <v>991750</v>
      </c>
      <c r="E8" s="648">
        <v>991750</v>
      </c>
      <c r="F8" s="648">
        <v>991750</v>
      </c>
      <c r="G8" s="648">
        <v>991750</v>
      </c>
      <c r="H8" s="648">
        <v>991750</v>
      </c>
      <c r="I8" s="648">
        <v>991750</v>
      </c>
      <c r="J8" s="648">
        <v>991750</v>
      </c>
      <c r="K8" s="648">
        <v>991750</v>
      </c>
      <c r="L8" s="648">
        <v>991750</v>
      </c>
      <c r="M8" s="648">
        <v>991750</v>
      </c>
      <c r="N8" s="649">
        <v>991750</v>
      </c>
      <c r="O8" s="736">
        <v>1190100</v>
      </c>
      <c r="P8" s="736">
        <v>1190100</v>
      </c>
      <c r="Q8" s="736">
        <v>1190100</v>
      </c>
      <c r="R8" s="736">
        <v>1190100</v>
      </c>
      <c r="S8" s="736">
        <v>1190100</v>
      </c>
      <c r="T8" s="736">
        <v>1190100</v>
      </c>
      <c r="U8" s="736">
        <v>1190100</v>
      </c>
      <c r="V8" s="736">
        <v>1190100</v>
      </c>
      <c r="W8" s="736">
        <v>1190100</v>
      </c>
      <c r="X8" s="736">
        <v>1190100</v>
      </c>
      <c r="Y8" s="736">
        <v>1190100</v>
      </c>
      <c r="Z8" s="736">
        <v>1190100</v>
      </c>
      <c r="AA8" s="732">
        <v>1606635</v>
      </c>
      <c r="AB8" s="747">
        <v>1606635</v>
      </c>
      <c r="AC8" s="747">
        <v>1606635</v>
      </c>
      <c r="AD8" s="747">
        <v>1606635</v>
      </c>
      <c r="AE8" s="747">
        <v>1606635</v>
      </c>
      <c r="AF8" s="747">
        <v>1606635</v>
      </c>
      <c r="AG8" s="747">
        <v>1606635</v>
      </c>
      <c r="AH8" s="747">
        <v>1606635</v>
      </c>
      <c r="AI8" s="747">
        <v>1606635</v>
      </c>
      <c r="AJ8" s="747">
        <v>1606635</v>
      </c>
      <c r="AK8" s="747">
        <v>1606635</v>
      </c>
      <c r="AL8" s="748">
        <v>1606635</v>
      </c>
      <c r="AM8" s="736">
        <f t="shared" ref="AM8:AM59" si="4">SUM(O8:Z8)</f>
        <v>14281200</v>
      </c>
      <c r="AN8" s="747">
        <f t="shared" ref="AN8:AN58" si="5">SUM(AA8:AL8)</f>
        <v>19279620</v>
      </c>
      <c r="AO8" s="747">
        <f t="shared" ref="AO8:AO39" si="6">SUM(E8:Q8)</f>
        <v>13487800</v>
      </c>
      <c r="AP8" s="747">
        <f>SUM(R8:AE8)</f>
        <v>18744075</v>
      </c>
      <c r="AQ8" s="747">
        <f>SUM(AF8:AL8)</f>
        <v>11246445</v>
      </c>
    </row>
    <row r="9" spans="1:43" x14ac:dyDescent="0.25">
      <c r="A9" s="378" t="s">
        <v>66</v>
      </c>
      <c r="B9" s="626">
        <f>SUM(B10:B13,B14,B16,B18)</f>
        <v>7011633.9613547651</v>
      </c>
      <c r="C9" s="617">
        <f t="shared" ref="C9:AL9" si="7">SUM(C10:C13,C14,C16,C18)</f>
        <v>566768.85805576725</v>
      </c>
      <c r="D9" s="617">
        <f t="shared" si="7"/>
        <v>484696.06508523162</v>
      </c>
      <c r="E9" s="617">
        <f t="shared" si="7"/>
        <v>660551.76996065688</v>
      </c>
      <c r="F9" s="617">
        <f t="shared" si="7"/>
        <v>514715.36614722933</v>
      </c>
      <c r="G9" s="617">
        <f t="shared" si="7"/>
        <v>487356.88411374122</v>
      </c>
      <c r="H9" s="617">
        <f t="shared" si="7"/>
        <v>636842.93568272947</v>
      </c>
      <c r="I9" s="617">
        <f t="shared" si="7"/>
        <v>706057.35408675543</v>
      </c>
      <c r="J9" s="617">
        <f t="shared" si="7"/>
        <v>711228.84673056367</v>
      </c>
      <c r="K9" s="617">
        <f t="shared" si="7"/>
        <v>722541.76558283356</v>
      </c>
      <c r="L9" s="617">
        <f t="shared" si="7"/>
        <v>625087.69637245126</v>
      </c>
      <c r="M9" s="617">
        <f t="shared" si="7"/>
        <v>475393.33711115521</v>
      </c>
      <c r="N9" s="379">
        <f t="shared" si="7"/>
        <v>420393.08242565027</v>
      </c>
      <c r="O9" s="617">
        <f t="shared" si="7"/>
        <v>701163.39613547642</v>
      </c>
      <c r="P9" s="617">
        <f t="shared" si="7"/>
        <v>701163.39613547642</v>
      </c>
      <c r="Q9" s="617">
        <f t="shared" si="7"/>
        <v>701163.39613547642</v>
      </c>
      <c r="R9" s="617">
        <f t="shared" si="7"/>
        <v>701163.39613547642</v>
      </c>
      <c r="S9" s="617">
        <f t="shared" si="7"/>
        <v>701163.39613547642</v>
      </c>
      <c r="T9" s="617">
        <f t="shared" si="7"/>
        <v>701163.39613547642</v>
      </c>
      <c r="U9" s="617">
        <f t="shared" si="7"/>
        <v>701163.39613547642</v>
      </c>
      <c r="V9" s="617">
        <f t="shared" si="7"/>
        <v>701163.39613547642</v>
      </c>
      <c r="W9" s="617">
        <f t="shared" si="7"/>
        <v>701163.39613547642</v>
      </c>
      <c r="X9" s="617">
        <f t="shared" si="7"/>
        <v>701163.39613547642</v>
      </c>
      <c r="Y9" s="617">
        <f t="shared" si="7"/>
        <v>701163.39613547642</v>
      </c>
      <c r="Z9" s="379">
        <f t="shared" si="7"/>
        <v>701163.39613547642</v>
      </c>
      <c r="AA9" s="617">
        <f t="shared" si="7"/>
        <v>1479420.6779266745</v>
      </c>
      <c r="AB9" s="617">
        <f t="shared" si="7"/>
        <v>1479420.6779266745</v>
      </c>
      <c r="AC9" s="617">
        <f t="shared" si="7"/>
        <v>1479420.6779266745</v>
      </c>
      <c r="AD9" s="617">
        <f t="shared" si="7"/>
        <v>1479420.6779266745</v>
      </c>
      <c r="AE9" s="617">
        <f t="shared" si="7"/>
        <v>1479420.6779266745</v>
      </c>
      <c r="AF9" s="617">
        <f t="shared" si="7"/>
        <v>1479420.6779266745</v>
      </c>
      <c r="AG9" s="617">
        <f t="shared" si="7"/>
        <v>1479420.6779266745</v>
      </c>
      <c r="AH9" s="617">
        <f t="shared" si="7"/>
        <v>1479420.6779266745</v>
      </c>
      <c r="AI9" s="617">
        <f t="shared" si="7"/>
        <v>1479420.6779266745</v>
      </c>
      <c r="AJ9" s="617">
        <f t="shared" si="7"/>
        <v>1479420.6779266745</v>
      </c>
      <c r="AK9" s="617">
        <f t="shared" si="7"/>
        <v>1479420.6779266745</v>
      </c>
      <c r="AL9" s="379">
        <f t="shared" si="7"/>
        <v>1479420.6779266745</v>
      </c>
      <c r="AM9" s="379">
        <f t="shared" si="4"/>
        <v>8413960.753625717</v>
      </c>
      <c r="AN9" s="617">
        <f t="shared" si="5"/>
        <v>17753048.135120094</v>
      </c>
      <c r="AO9" s="617">
        <f t="shared" si="6"/>
        <v>8063659.2266201954</v>
      </c>
      <c r="AP9" s="617">
        <f t="shared" ref="AP9:AP34" si="8">SUM(R9:AE9)</f>
        <v>13707573.954852659</v>
      </c>
      <c r="AQ9" s="617">
        <f>SUM(AF9:AL9)</f>
        <v>10355944.745486721</v>
      </c>
    </row>
    <row r="10" spans="1:43" x14ac:dyDescent="0.25">
      <c r="A10" s="363" t="s">
        <v>64</v>
      </c>
      <c r="B10" s="625">
        <f>SUM(C10:N10)</f>
        <v>1096900</v>
      </c>
      <c r="C10" s="644">
        <f>+Administration!O18</f>
        <v>77100</v>
      </c>
      <c r="D10" s="644">
        <f>+Administration!P18</f>
        <v>77100</v>
      </c>
      <c r="E10" s="644">
        <f>+Administration!Q18</f>
        <v>149100</v>
      </c>
      <c r="F10" s="644">
        <f>+Administration!R18</f>
        <v>65400</v>
      </c>
      <c r="G10" s="644">
        <f>+Administration!S18</f>
        <v>65400</v>
      </c>
      <c r="H10" s="644">
        <f>+Administration!T18</f>
        <v>65400</v>
      </c>
      <c r="I10" s="644">
        <f>+Administration!U18</f>
        <v>65400</v>
      </c>
      <c r="J10" s="644">
        <f>+Administration!V18</f>
        <v>141400</v>
      </c>
      <c r="K10" s="644">
        <f>+Administration!W18</f>
        <v>85400</v>
      </c>
      <c r="L10" s="644">
        <f>+Administration!X18</f>
        <v>78400</v>
      </c>
      <c r="M10" s="644">
        <f>+Administration!Y18</f>
        <v>105400</v>
      </c>
      <c r="N10" s="645">
        <f>+Administration!Z18</f>
        <v>121400</v>
      </c>
      <c r="O10" s="736">
        <v>109690</v>
      </c>
      <c r="P10" s="736">
        <v>109690</v>
      </c>
      <c r="Q10" s="736">
        <v>109690</v>
      </c>
      <c r="R10" s="736">
        <v>109690</v>
      </c>
      <c r="S10" s="736">
        <v>109690</v>
      </c>
      <c r="T10" s="736">
        <v>109690</v>
      </c>
      <c r="U10" s="736">
        <v>109690</v>
      </c>
      <c r="V10" s="736">
        <v>109690</v>
      </c>
      <c r="W10" s="736">
        <v>109690</v>
      </c>
      <c r="X10" s="736">
        <v>109690</v>
      </c>
      <c r="Y10" s="736">
        <v>109690</v>
      </c>
      <c r="Z10" s="737">
        <v>109690</v>
      </c>
      <c r="AA10" s="732">
        <v>606414.83333333337</v>
      </c>
      <c r="AB10" s="732">
        <v>606414.83333333337</v>
      </c>
      <c r="AC10" s="732">
        <v>606414.83333333337</v>
      </c>
      <c r="AD10" s="732">
        <v>606414.83333333337</v>
      </c>
      <c r="AE10" s="732">
        <v>606414.83333333337</v>
      </c>
      <c r="AF10" s="732">
        <v>606414.83333333337</v>
      </c>
      <c r="AG10" s="732">
        <v>606414.83333333337</v>
      </c>
      <c r="AH10" s="732">
        <v>606414.83333333337</v>
      </c>
      <c r="AI10" s="732">
        <v>606414.83333333337</v>
      </c>
      <c r="AJ10" s="732">
        <v>606414.83333333337</v>
      </c>
      <c r="AK10" s="732">
        <v>606414.83333333337</v>
      </c>
      <c r="AL10" s="733">
        <v>606414.83333333337</v>
      </c>
      <c r="AM10" s="737">
        <f t="shared" si="4"/>
        <v>1316280</v>
      </c>
      <c r="AN10" s="732">
        <f t="shared" si="5"/>
        <v>7276977.9999999991</v>
      </c>
      <c r="AO10" s="732">
        <f t="shared" si="6"/>
        <v>1271770</v>
      </c>
      <c r="AP10" s="732">
        <f t="shared" si="8"/>
        <v>4019284.1666666674</v>
      </c>
      <c r="AQ10" s="732">
        <f t="shared" ref="AQ10:AQ34" si="9">SUM(AF10:AL10)</f>
        <v>4244903.833333334</v>
      </c>
    </row>
    <row r="11" spans="1:43" x14ac:dyDescent="0.25">
      <c r="A11" s="363" t="s">
        <v>67</v>
      </c>
      <c r="B11" s="625">
        <f>SUM(C11:N11)</f>
        <v>1500000</v>
      </c>
      <c r="C11" s="644">
        <f>+Administration!O19</f>
        <v>91121.495327102806</v>
      </c>
      <c r="D11" s="644">
        <f>+Administration!P19</f>
        <v>119158.87850467289</v>
      </c>
      <c r="E11" s="644">
        <f>+Administration!Q19</f>
        <v>161214.95327102803</v>
      </c>
      <c r="F11" s="644">
        <f>+Administration!R19</f>
        <v>119158.87850467289</v>
      </c>
      <c r="G11" s="644">
        <f>+Administration!S19</f>
        <v>133177.57009345794</v>
      </c>
      <c r="H11" s="644">
        <f>+Administration!T19</f>
        <v>84112.149532710275</v>
      </c>
      <c r="I11" s="644">
        <f>+Administration!U19</f>
        <v>175233.6448598131</v>
      </c>
      <c r="J11" s="644">
        <f>+Administration!V19</f>
        <v>112149.53271028037</v>
      </c>
      <c r="K11" s="644">
        <f>+Administration!W19</f>
        <v>168224.29906542055</v>
      </c>
      <c r="L11" s="644">
        <f>+Administration!X19</f>
        <v>105140.18691588784</v>
      </c>
      <c r="M11" s="644">
        <f>+Administration!Y19</f>
        <v>154205.60747663552</v>
      </c>
      <c r="N11" s="645">
        <f>+Administration!Z19</f>
        <v>77102.803738317758</v>
      </c>
      <c r="O11" s="736">
        <v>150000</v>
      </c>
      <c r="P11" s="736">
        <v>150000</v>
      </c>
      <c r="Q11" s="736">
        <v>150000</v>
      </c>
      <c r="R11" s="736">
        <v>150000</v>
      </c>
      <c r="S11" s="736">
        <v>150000</v>
      </c>
      <c r="T11" s="736">
        <v>150000</v>
      </c>
      <c r="U11" s="736">
        <v>150000</v>
      </c>
      <c r="V11" s="736">
        <v>150000</v>
      </c>
      <c r="W11" s="736">
        <v>150000</v>
      </c>
      <c r="X11" s="736">
        <v>150000</v>
      </c>
      <c r="Y11" s="736">
        <v>150000</v>
      </c>
      <c r="Z11" s="737">
        <v>150000</v>
      </c>
      <c r="AA11" s="732">
        <v>202500</v>
      </c>
      <c r="AB11" s="732">
        <v>202500</v>
      </c>
      <c r="AC11" s="732">
        <v>202500</v>
      </c>
      <c r="AD11" s="732">
        <v>202500</v>
      </c>
      <c r="AE11" s="732">
        <v>202500</v>
      </c>
      <c r="AF11" s="732">
        <v>202500</v>
      </c>
      <c r="AG11" s="732">
        <v>202500</v>
      </c>
      <c r="AH11" s="732">
        <v>202500</v>
      </c>
      <c r="AI11" s="732">
        <v>202500</v>
      </c>
      <c r="AJ11" s="732">
        <v>202500</v>
      </c>
      <c r="AK11" s="732">
        <v>202500</v>
      </c>
      <c r="AL11" s="733">
        <v>202500</v>
      </c>
      <c r="AM11" s="737">
        <f t="shared" si="4"/>
        <v>1800000</v>
      </c>
      <c r="AN11" s="732">
        <f t="shared" si="5"/>
        <v>2430000</v>
      </c>
      <c r="AO11" s="732">
        <f t="shared" si="6"/>
        <v>1739719.6261682243</v>
      </c>
      <c r="AP11" s="732">
        <f t="shared" si="8"/>
        <v>2362500</v>
      </c>
      <c r="AQ11" s="732">
        <f t="shared" si="9"/>
        <v>1417500</v>
      </c>
    </row>
    <row r="12" spans="1:43" x14ac:dyDescent="0.25">
      <c r="A12" s="363" t="s">
        <v>70</v>
      </c>
      <c r="B12" s="625">
        <f>SUM(C12:N12)</f>
        <v>414784.61538461549</v>
      </c>
      <c r="C12" s="644">
        <f>+Administration!O20</f>
        <v>33076.923076923085</v>
      </c>
      <c r="D12" s="644">
        <f>+Administration!P20</f>
        <v>32415.384615384617</v>
      </c>
      <c r="E12" s="644">
        <f>+Administration!Q20</f>
        <v>38369.23076923078</v>
      </c>
      <c r="F12" s="644">
        <f>+Administration!R20</f>
        <v>31092.307692307699</v>
      </c>
      <c r="G12" s="644">
        <f>+Administration!S20</f>
        <v>37046.153846153858</v>
      </c>
      <c r="H12" s="644">
        <f>+Administration!T20</f>
        <v>31092.307692307691</v>
      </c>
      <c r="I12" s="644">
        <f>+Administration!U20</f>
        <v>38369.23076923078</v>
      </c>
      <c r="J12" s="644">
        <f>+Administration!V20</f>
        <v>28446.153846153848</v>
      </c>
      <c r="K12" s="644">
        <f>+Administration!W20</f>
        <v>34400.000000000007</v>
      </c>
      <c r="L12" s="644">
        <f>+Administration!X20</f>
        <v>35061.538461538476</v>
      </c>
      <c r="M12" s="644">
        <f>+Administration!Y20</f>
        <v>35723.076923076922</v>
      </c>
      <c r="N12" s="645">
        <f>+Administration!Z20</f>
        <v>39692.307692307717</v>
      </c>
      <c r="O12" s="736">
        <v>41478.461538461546</v>
      </c>
      <c r="P12" s="736">
        <v>41478.461538461546</v>
      </c>
      <c r="Q12" s="736">
        <v>41478.461538461546</v>
      </c>
      <c r="R12" s="736">
        <v>41478.461538461546</v>
      </c>
      <c r="S12" s="736">
        <v>41478.461538461546</v>
      </c>
      <c r="T12" s="736">
        <v>41478.461538461546</v>
      </c>
      <c r="U12" s="736">
        <v>41478.461538461546</v>
      </c>
      <c r="V12" s="736">
        <v>41478.461538461546</v>
      </c>
      <c r="W12" s="736">
        <v>41478.461538461546</v>
      </c>
      <c r="X12" s="736">
        <v>41478.461538461546</v>
      </c>
      <c r="Y12" s="736">
        <v>41478.461538461546</v>
      </c>
      <c r="Z12" s="737">
        <v>41478.461538461546</v>
      </c>
      <c r="AA12" s="732">
        <v>180995.92307692309</v>
      </c>
      <c r="AB12" s="732">
        <v>180995.92307692309</v>
      </c>
      <c r="AC12" s="732">
        <v>180995.92307692309</v>
      </c>
      <c r="AD12" s="732">
        <v>180995.92307692309</v>
      </c>
      <c r="AE12" s="732">
        <v>180995.92307692309</v>
      </c>
      <c r="AF12" s="732">
        <v>180995.92307692309</v>
      </c>
      <c r="AG12" s="732">
        <v>180995.92307692309</v>
      </c>
      <c r="AH12" s="732">
        <v>180995.92307692309</v>
      </c>
      <c r="AI12" s="732">
        <v>180995.92307692309</v>
      </c>
      <c r="AJ12" s="732">
        <v>180995.92307692309</v>
      </c>
      <c r="AK12" s="732">
        <v>180995.92307692309</v>
      </c>
      <c r="AL12" s="733">
        <v>180995.92307692309</v>
      </c>
      <c r="AM12" s="737">
        <f t="shared" si="4"/>
        <v>497741.53846153867</v>
      </c>
      <c r="AN12" s="732">
        <f t="shared" si="5"/>
        <v>2171951.0769230765</v>
      </c>
      <c r="AO12" s="732">
        <f t="shared" si="6"/>
        <v>473727.69230769243</v>
      </c>
      <c r="AP12" s="732">
        <f t="shared" si="8"/>
        <v>1278285.7692307695</v>
      </c>
      <c r="AQ12" s="732">
        <f t="shared" si="9"/>
        <v>1266971.4615384615</v>
      </c>
    </row>
    <row r="13" spans="1:43" x14ac:dyDescent="0.25">
      <c r="A13" s="363" t="s">
        <v>73</v>
      </c>
      <c r="B13" s="625">
        <f>SUM(C13:N13)</f>
        <v>634400</v>
      </c>
      <c r="C13" s="644">
        <f>+Administration!O17</f>
        <v>61200</v>
      </c>
      <c r="D13" s="644">
        <f>+Administration!P17</f>
        <v>61200</v>
      </c>
      <c r="E13" s="644">
        <f>+Administration!Q17</f>
        <v>61200</v>
      </c>
      <c r="F13" s="644">
        <f>+Administration!R17</f>
        <v>61200</v>
      </c>
      <c r="G13" s="644">
        <f>+Administration!S17</f>
        <v>48700</v>
      </c>
      <c r="H13" s="644">
        <f>+Administration!T17</f>
        <v>48700</v>
      </c>
      <c r="I13" s="644">
        <f>+Administration!U17</f>
        <v>48700</v>
      </c>
      <c r="J13" s="644">
        <f>+Administration!V17</f>
        <v>48700</v>
      </c>
      <c r="K13" s="644">
        <f>+Administration!W17</f>
        <v>48700</v>
      </c>
      <c r="L13" s="644">
        <f>+Administration!X17</f>
        <v>48700</v>
      </c>
      <c r="M13" s="644">
        <f>+Administration!Y17</f>
        <v>48700</v>
      </c>
      <c r="N13" s="645">
        <f>+Administration!Z17</f>
        <v>48700</v>
      </c>
      <c r="O13" s="736">
        <v>63440</v>
      </c>
      <c r="P13" s="736">
        <v>63440</v>
      </c>
      <c r="Q13" s="736">
        <v>63440</v>
      </c>
      <c r="R13" s="736">
        <v>63440</v>
      </c>
      <c r="S13" s="736">
        <v>63440</v>
      </c>
      <c r="T13" s="736">
        <v>63440</v>
      </c>
      <c r="U13" s="736">
        <v>63440</v>
      </c>
      <c r="V13" s="736">
        <v>63440</v>
      </c>
      <c r="W13" s="736">
        <v>63440</v>
      </c>
      <c r="X13" s="736">
        <v>63440</v>
      </c>
      <c r="Y13" s="736">
        <v>63440</v>
      </c>
      <c r="Z13" s="737">
        <v>63440</v>
      </c>
      <c r="AA13" s="732">
        <v>85644.000000000015</v>
      </c>
      <c r="AB13" s="732">
        <v>85644.000000000015</v>
      </c>
      <c r="AC13" s="732">
        <v>85644.000000000015</v>
      </c>
      <c r="AD13" s="732">
        <v>85644.000000000015</v>
      </c>
      <c r="AE13" s="732">
        <v>85644.000000000015</v>
      </c>
      <c r="AF13" s="732">
        <v>85644.000000000015</v>
      </c>
      <c r="AG13" s="732">
        <v>85644.000000000015</v>
      </c>
      <c r="AH13" s="732">
        <v>85644.000000000015</v>
      </c>
      <c r="AI13" s="732">
        <v>85644.000000000015</v>
      </c>
      <c r="AJ13" s="732">
        <v>85644.000000000015</v>
      </c>
      <c r="AK13" s="732">
        <v>85644.000000000015</v>
      </c>
      <c r="AL13" s="733">
        <v>85644.000000000015</v>
      </c>
      <c r="AM13" s="737">
        <f t="shared" si="4"/>
        <v>761280</v>
      </c>
      <c r="AN13" s="732">
        <f t="shared" si="5"/>
        <v>1027728.0000000001</v>
      </c>
      <c r="AO13" s="732">
        <f t="shared" si="6"/>
        <v>702320</v>
      </c>
      <c r="AP13" s="732">
        <f t="shared" si="8"/>
        <v>999180</v>
      </c>
      <c r="AQ13" s="732">
        <f t="shared" si="9"/>
        <v>599508.00000000012</v>
      </c>
    </row>
    <row r="14" spans="1:43" x14ac:dyDescent="0.25">
      <c r="A14" s="147" t="s">
        <v>81</v>
      </c>
      <c r="B14" s="627">
        <f>SUM(B15)</f>
        <v>1309949.3459701494</v>
      </c>
      <c r="C14" s="646">
        <f t="shared" ref="C14:AL14" si="10">SUM(C15)</f>
        <v>241216.10631840795</v>
      </c>
      <c r="D14" s="646">
        <f t="shared" si="10"/>
        <v>131917.46863184081</v>
      </c>
      <c r="E14" s="646">
        <f t="shared" si="10"/>
        <v>139401.25258706469</v>
      </c>
      <c r="F14" s="646">
        <f t="shared" si="10"/>
        <v>113259.84661691543</v>
      </c>
      <c r="G14" s="646">
        <f t="shared" si="10"/>
        <v>100528.82684079601</v>
      </c>
      <c r="H14" s="646">
        <f t="shared" si="10"/>
        <v>104472.14512437812</v>
      </c>
      <c r="I14" s="646">
        <f t="shared" si="10"/>
        <v>77200.145124378119</v>
      </c>
      <c r="J14" s="646">
        <f t="shared" si="10"/>
        <v>84028.826840796013</v>
      </c>
      <c r="K14" s="646">
        <f t="shared" si="10"/>
        <v>101501.1331840796</v>
      </c>
      <c r="L14" s="646">
        <f t="shared" si="10"/>
        <v>71831.637661691551</v>
      </c>
      <c r="M14" s="646">
        <f t="shared" si="10"/>
        <v>72760.319378109445</v>
      </c>
      <c r="N14" s="647">
        <f t="shared" si="10"/>
        <v>71831.637661691551</v>
      </c>
      <c r="O14" s="738">
        <f t="shared" si="10"/>
        <v>130994.93459701492</v>
      </c>
      <c r="P14" s="739">
        <f t="shared" si="10"/>
        <v>130994.93459701492</v>
      </c>
      <c r="Q14" s="739">
        <f t="shared" si="10"/>
        <v>130994.93459701492</v>
      </c>
      <c r="R14" s="739">
        <f t="shared" si="10"/>
        <v>130994.93459701492</v>
      </c>
      <c r="S14" s="739">
        <f t="shared" si="10"/>
        <v>130994.93459701492</v>
      </c>
      <c r="T14" s="739">
        <f t="shared" si="10"/>
        <v>130994.93459701492</v>
      </c>
      <c r="U14" s="739">
        <f t="shared" si="10"/>
        <v>130994.93459701492</v>
      </c>
      <c r="V14" s="739">
        <f t="shared" si="10"/>
        <v>130994.93459701492</v>
      </c>
      <c r="W14" s="739">
        <f t="shared" si="10"/>
        <v>130994.93459701492</v>
      </c>
      <c r="X14" s="739">
        <f t="shared" si="10"/>
        <v>130994.93459701492</v>
      </c>
      <c r="Y14" s="739">
        <f t="shared" si="10"/>
        <v>130994.93459701492</v>
      </c>
      <c r="Z14" s="738">
        <f t="shared" si="10"/>
        <v>130994.93459701492</v>
      </c>
      <c r="AA14" s="734">
        <f t="shared" si="10"/>
        <v>157193.9215164179</v>
      </c>
      <c r="AB14" s="734">
        <f t="shared" si="10"/>
        <v>157193.9215164179</v>
      </c>
      <c r="AC14" s="734">
        <f t="shared" si="10"/>
        <v>157193.9215164179</v>
      </c>
      <c r="AD14" s="734">
        <f t="shared" si="10"/>
        <v>157193.9215164179</v>
      </c>
      <c r="AE14" s="734">
        <f t="shared" si="10"/>
        <v>157193.9215164179</v>
      </c>
      <c r="AF14" s="734">
        <f t="shared" si="10"/>
        <v>157193.9215164179</v>
      </c>
      <c r="AG14" s="734">
        <f t="shared" si="10"/>
        <v>157193.9215164179</v>
      </c>
      <c r="AH14" s="734">
        <f t="shared" si="10"/>
        <v>157193.9215164179</v>
      </c>
      <c r="AI14" s="734">
        <f t="shared" si="10"/>
        <v>157193.9215164179</v>
      </c>
      <c r="AJ14" s="734">
        <f t="shared" si="10"/>
        <v>157193.9215164179</v>
      </c>
      <c r="AK14" s="734">
        <f t="shared" si="10"/>
        <v>157193.9215164179</v>
      </c>
      <c r="AL14" s="734">
        <f t="shared" si="10"/>
        <v>157193.9215164179</v>
      </c>
      <c r="AM14" s="738">
        <f t="shared" si="4"/>
        <v>1571939.215164179</v>
      </c>
      <c r="AN14" s="734">
        <f t="shared" si="5"/>
        <v>1886327.0581970152</v>
      </c>
      <c r="AO14" s="734">
        <f t="shared" si="6"/>
        <v>1329800.5748109452</v>
      </c>
      <c r="AP14" s="734">
        <f t="shared" si="8"/>
        <v>1964924.0189552242</v>
      </c>
      <c r="AQ14" s="734">
        <f t="shared" si="9"/>
        <v>1100357.4506149252</v>
      </c>
    </row>
    <row r="15" spans="1:43" x14ac:dyDescent="0.25">
      <c r="A15" s="363" t="s">
        <v>76</v>
      </c>
      <c r="B15" s="625">
        <f>SUM(C15:N15)</f>
        <v>1309949.3459701494</v>
      </c>
      <c r="C15" s="644">
        <f>+IT!O23</f>
        <v>241216.10631840795</v>
      </c>
      <c r="D15" s="644">
        <f>+IT!P23</f>
        <v>131917.46863184081</v>
      </c>
      <c r="E15" s="644">
        <f>+IT!Q23</f>
        <v>139401.25258706469</v>
      </c>
      <c r="F15" s="644">
        <f>+IT!R23</f>
        <v>113259.84661691543</v>
      </c>
      <c r="G15" s="644">
        <f>+IT!S23</f>
        <v>100528.82684079601</v>
      </c>
      <c r="H15" s="644">
        <f>+IT!T23</f>
        <v>104472.14512437812</v>
      </c>
      <c r="I15" s="644">
        <f>+IT!U23</f>
        <v>77200.145124378119</v>
      </c>
      <c r="J15" s="644">
        <f>+IT!V23</f>
        <v>84028.826840796013</v>
      </c>
      <c r="K15" s="644">
        <f>+IT!W23</f>
        <v>101501.1331840796</v>
      </c>
      <c r="L15" s="644">
        <f>+IT!X23</f>
        <v>71831.637661691551</v>
      </c>
      <c r="M15" s="644">
        <f>+IT!Y23</f>
        <v>72760.319378109445</v>
      </c>
      <c r="N15" s="645">
        <f>+IT!Z23</f>
        <v>71831.637661691551</v>
      </c>
      <c r="O15" s="736">
        <v>130994.93459701492</v>
      </c>
      <c r="P15" s="736">
        <v>130994.93459701492</v>
      </c>
      <c r="Q15" s="736">
        <v>130994.93459701492</v>
      </c>
      <c r="R15" s="736">
        <v>130994.93459701492</v>
      </c>
      <c r="S15" s="736">
        <v>130994.93459701492</v>
      </c>
      <c r="T15" s="736">
        <v>130994.93459701492</v>
      </c>
      <c r="U15" s="736">
        <v>130994.93459701492</v>
      </c>
      <c r="V15" s="736">
        <v>130994.93459701492</v>
      </c>
      <c r="W15" s="736">
        <v>130994.93459701492</v>
      </c>
      <c r="X15" s="736">
        <v>130994.93459701492</v>
      </c>
      <c r="Y15" s="736">
        <v>130994.93459701492</v>
      </c>
      <c r="Z15" s="737">
        <v>130994.93459701492</v>
      </c>
      <c r="AA15" s="732">
        <v>157193.9215164179</v>
      </c>
      <c r="AB15" s="732">
        <v>157193.9215164179</v>
      </c>
      <c r="AC15" s="732">
        <v>157193.9215164179</v>
      </c>
      <c r="AD15" s="732">
        <v>157193.9215164179</v>
      </c>
      <c r="AE15" s="732">
        <v>157193.9215164179</v>
      </c>
      <c r="AF15" s="732">
        <v>157193.9215164179</v>
      </c>
      <c r="AG15" s="732">
        <v>157193.9215164179</v>
      </c>
      <c r="AH15" s="732">
        <v>157193.9215164179</v>
      </c>
      <c r="AI15" s="732">
        <v>157193.9215164179</v>
      </c>
      <c r="AJ15" s="732">
        <v>157193.9215164179</v>
      </c>
      <c r="AK15" s="732">
        <v>157193.9215164179</v>
      </c>
      <c r="AL15" s="733">
        <v>157193.9215164179</v>
      </c>
      <c r="AM15" s="737">
        <f t="shared" si="4"/>
        <v>1571939.215164179</v>
      </c>
      <c r="AN15" s="732">
        <f t="shared" si="5"/>
        <v>1886327.0581970152</v>
      </c>
      <c r="AO15" s="732">
        <f t="shared" si="6"/>
        <v>1329800.5748109452</v>
      </c>
      <c r="AP15" s="732">
        <f t="shared" si="8"/>
        <v>1964924.0189552242</v>
      </c>
      <c r="AQ15" s="732">
        <f t="shared" si="9"/>
        <v>1100357.4506149252</v>
      </c>
    </row>
    <row r="16" spans="1:43" x14ac:dyDescent="0.25">
      <c r="A16" s="147" t="s">
        <v>1378</v>
      </c>
      <c r="B16" s="627">
        <f>SUM(B17)</f>
        <v>1744999.9999999998</v>
      </c>
      <c r="C16" s="646">
        <f t="shared" ref="C16:AL16" si="11">SUM(C17)</f>
        <v>37333.333333333336</v>
      </c>
      <c r="D16" s="646">
        <f t="shared" si="11"/>
        <v>37333.333333333336</v>
      </c>
      <c r="E16" s="646">
        <f t="shared" si="11"/>
        <v>84833.333333333343</v>
      </c>
      <c r="F16" s="646">
        <f t="shared" si="11"/>
        <v>99033.333333333328</v>
      </c>
      <c r="G16" s="646">
        <f t="shared" si="11"/>
        <v>76783.333333333343</v>
      </c>
      <c r="H16" s="646">
        <f t="shared" si="11"/>
        <v>276783.33333333337</v>
      </c>
      <c r="I16" s="646">
        <f t="shared" si="11"/>
        <v>275433.33333333337</v>
      </c>
      <c r="J16" s="646">
        <f t="shared" si="11"/>
        <v>270933.33333333337</v>
      </c>
      <c r="K16" s="646">
        <f t="shared" si="11"/>
        <v>257883.33333333334</v>
      </c>
      <c r="L16" s="646">
        <f t="shared" si="11"/>
        <v>260383.33333333334</v>
      </c>
      <c r="M16" s="646">
        <f t="shared" si="11"/>
        <v>32883.333333333328</v>
      </c>
      <c r="N16" s="647">
        <f t="shared" si="11"/>
        <v>35383.333333333328</v>
      </c>
      <c r="O16" s="738">
        <f t="shared" si="11"/>
        <v>174500</v>
      </c>
      <c r="P16" s="739">
        <f t="shared" si="11"/>
        <v>174500</v>
      </c>
      <c r="Q16" s="739">
        <f t="shared" si="11"/>
        <v>174500</v>
      </c>
      <c r="R16" s="739">
        <f t="shared" si="11"/>
        <v>174500</v>
      </c>
      <c r="S16" s="739">
        <f t="shared" si="11"/>
        <v>174500</v>
      </c>
      <c r="T16" s="739">
        <f t="shared" si="11"/>
        <v>174500</v>
      </c>
      <c r="U16" s="739">
        <f t="shared" si="11"/>
        <v>174500</v>
      </c>
      <c r="V16" s="739">
        <f t="shared" si="11"/>
        <v>174500</v>
      </c>
      <c r="W16" s="739">
        <f t="shared" si="11"/>
        <v>174500</v>
      </c>
      <c r="X16" s="739">
        <f t="shared" si="11"/>
        <v>174500</v>
      </c>
      <c r="Y16" s="739">
        <f t="shared" si="11"/>
        <v>174500</v>
      </c>
      <c r="Z16" s="738">
        <f t="shared" si="11"/>
        <v>174500</v>
      </c>
      <c r="AA16" s="734">
        <f t="shared" si="11"/>
        <v>209400</v>
      </c>
      <c r="AB16" s="734">
        <f t="shared" si="11"/>
        <v>209400</v>
      </c>
      <c r="AC16" s="734">
        <f t="shared" si="11"/>
        <v>209400</v>
      </c>
      <c r="AD16" s="734">
        <f t="shared" si="11"/>
        <v>209400</v>
      </c>
      <c r="AE16" s="734">
        <f t="shared" si="11"/>
        <v>209400</v>
      </c>
      <c r="AF16" s="734">
        <f t="shared" si="11"/>
        <v>209400</v>
      </c>
      <c r="AG16" s="734">
        <f t="shared" si="11"/>
        <v>209400</v>
      </c>
      <c r="AH16" s="734">
        <f t="shared" si="11"/>
        <v>209400</v>
      </c>
      <c r="AI16" s="734">
        <f t="shared" si="11"/>
        <v>209400</v>
      </c>
      <c r="AJ16" s="734">
        <f t="shared" si="11"/>
        <v>209400</v>
      </c>
      <c r="AK16" s="734">
        <f t="shared" si="11"/>
        <v>209400</v>
      </c>
      <c r="AL16" s="734">
        <f t="shared" si="11"/>
        <v>209400</v>
      </c>
      <c r="AM16" s="738">
        <f t="shared" si="4"/>
        <v>2094000</v>
      </c>
      <c r="AN16" s="734">
        <f t="shared" si="5"/>
        <v>2512800</v>
      </c>
      <c r="AO16" s="734">
        <f t="shared" si="6"/>
        <v>2193833.333333333</v>
      </c>
      <c r="AP16" s="734">
        <f t="shared" si="8"/>
        <v>2617500</v>
      </c>
      <c r="AQ16" s="734">
        <f t="shared" si="9"/>
        <v>1465800</v>
      </c>
    </row>
    <row r="17" spans="1:44" x14ac:dyDescent="0.25">
      <c r="A17" s="363" t="s">
        <v>1378</v>
      </c>
      <c r="B17" s="625">
        <f>SUM(C17:N17)</f>
        <v>1744999.9999999998</v>
      </c>
      <c r="C17" s="644">
        <f>+Business_Service!O22</f>
        <v>37333.333333333336</v>
      </c>
      <c r="D17" s="644">
        <f>+Business_Service!P22</f>
        <v>37333.333333333336</v>
      </c>
      <c r="E17" s="644">
        <f>+Business_Service!Q22</f>
        <v>84833.333333333343</v>
      </c>
      <c r="F17" s="644">
        <f>+Business_Service!R22</f>
        <v>99033.333333333328</v>
      </c>
      <c r="G17" s="644">
        <f>+Business_Service!S22</f>
        <v>76783.333333333343</v>
      </c>
      <c r="H17" s="644">
        <f>+Business_Service!T22</f>
        <v>276783.33333333337</v>
      </c>
      <c r="I17" s="644">
        <f>+Business_Service!U22</f>
        <v>275433.33333333337</v>
      </c>
      <c r="J17" s="644">
        <f>+Business_Service!V22</f>
        <v>270933.33333333337</v>
      </c>
      <c r="K17" s="644">
        <f>+Business_Service!W22</f>
        <v>257883.33333333334</v>
      </c>
      <c r="L17" s="644">
        <f>+Business_Service!X22</f>
        <v>260383.33333333334</v>
      </c>
      <c r="M17" s="644">
        <f>+Business_Service!Y22</f>
        <v>32883.333333333328</v>
      </c>
      <c r="N17" s="645">
        <f>+Business_Service!Z22</f>
        <v>35383.333333333328</v>
      </c>
      <c r="O17" s="736">
        <v>174500</v>
      </c>
      <c r="P17" s="736">
        <v>174500</v>
      </c>
      <c r="Q17" s="736">
        <v>174500</v>
      </c>
      <c r="R17" s="736">
        <v>174500</v>
      </c>
      <c r="S17" s="736">
        <v>174500</v>
      </c>
      <c r="T17" s="736">
        <v>174500</v>
      </c>
      <c r="U17" s="736">
        <v>174500</v>
      </c>
      <c r="V17" s="736">
        <v>174500</v>
      </c>
      <c r="W17" s="736">
        <v>174500</v>
      </c>
      <c r="X17" s="736">
        <v>174500</v>
      </c>
      <c r="Y17" s="736">
        <v>174500</v>
      </c>
      <c r="Z17" s="736">
        <v>174500</v>
      </c>
      <c r="AA17" s="732">
        <v>209400</v>
      </c>
      <c r="AB17" s="732">
        <v>209400</v>
      </c>
      <c r="AC17" s="732">
        <v>209400</v>
      </c>
      <c r="AD17" s="732">
        <v>209400</v>
      </c>
      <c r="AE17" s="732">
        <v>209400</v>
      </c>
      <c r="AF17" s="732">
        <v>209400</v>
      </c>
      <c r="AG17" s="732">
        <v>209400</v>
      </c>
      <c r="AH17" s="732">
        <v>209400</v>
      </c>
      <c r="AI17" s="732">
        <v>209400</v>
      </c>
      <c r="AJ17" s="732">
        <v>209400</v>
      </c>
      <c r="AK17" s="732">
        <v>209400</v>
      </c>
      <c r="AL17" s="733">
        <v>209400</v>
      </c>
      <c r="AM17" s="736">
        <f t="shared" si="4"/>
        <v>2094000</v>
      </c>
      <c r="AN17" s="732">
        <f t="shared" si="5"/>
        <v>2512800</v>
      </c>
      <c r="AO17" s="732">
        <f t="shared" si="6"/>
        <v>2193833.333333333</v>
      </c>
      <c r="AP17" s="732">
        <f t="shared" si="8"/>
        <v>2617500</v>
      </c>
      <c r="AQ17" s="732">
        <f t="shared" si="9"/>
        <v>1465800</v>
      </c>
    </row>
    <row r="18" spans="1:44" x14ac:dyDescent="0.25">
      <c r="A18" s="147" t="s">
        <v>93</v>
      </c>
      <c r="B18" s="627">
        <f>SUM(B19)</f>
        <v>310600</v>
      </c>
      <c r="C18" s="646">
        <f t="shared" ref="C18:AL18" si="12">SUM(C19)</f>
        <v>25721</v>
      </c>
      <c r="D18" s="646">
        <f t="shared" si="12"/>
        <v>25571</v>
      </c>
      <c r="E18" s="646">
        <f t="shared" si="12"/>
        <v>26433</v>
      </c>
      <c r="F18" s="646">
        <f t="shared" si="12"/>
        <v>25571</v>
      </c>
      <c r="G18" s="646">
        <f t="shared" si="12"/>
        <v>25721</v>
      </c>
      <c r="H18" s="646">
        <f t="shared" si="12"/>
        <v>26283</v>
      </c>
      <c r="I18" s="646">
        <f t="shared" si="12"/>
        <v>25721</v>
      </c>
      <c r="J18" s="646">
        <f t="shared" si="12"/>
        <v>25571</v>
      </c>
      <c r="K18" s="646">
        <f t="shared" si="12"/>
        <v>26433</v>
      </c>
      <c r="L18" s="646">
        <f t="shared" si="12"/>
        <v>25571</v>
      </c>
      <c r="M18" s="646">
        <f t="shared" si="12"/>
        <v>25721</v>
      </c>
      <c r="N18" s="647">
        <f t="shared" si="12"/>
        <v>26283</v>
      </c>
      <c r="O18" s="738">
        <f t="shared" si="12"/>
        <v>31060</v>
      </c>
      <c r="P18" s="739">
        <f t="shared" si="12"/>
        <v>31060</v>
      </c>
      <c r="Q18" s="739">
        <f t="shared" si="12"/>
        <v>31060</v>
      </c>
      <c r="R18" s="739">
        <f t="shared" si="12"/>
        <v>31060</v>
      </c>
      <c r="S18" s="739">
        <f t="shared" si="12"/>
        <v>31060</v>
      </c>
      <c r="T18" s="739">
        <f t="shared" si="12"/>
        <v>31060</v>
      </c>
      <c r="U18" s="739">
        <f t="shared" si="12"/>
        <v>31060</v>
      </c>
      <c r="V18" s="739">
        <f t="shared" si="12"/>
        <v>31060</v>
      </c>
      <c r="W18" s="739">
        <f t="shared" si="12"/>
        <v>31060</v>
      </c>
      <c r="X18" s="739">
        <f t="shared" si="12"/>
        <v>31060</v>
      </c>
      <c r="Y18" s="739">
        <f t="shared" si="12"/>
        <v>31060</v>
      </c>
      <c r="Z18" s="738">
        <f t="shared" si="12"/>
        <v>31060</v>
      </c>
      <c r="AA18" s="734">
        <f t="shared" si="12"/>
        <v>37272</v>
      </c>
      <c r="AB18" s="734">
        <f t="shared" si="12"/>
        <v>37272</v>
      </c>
      <c r="AC18" s="734">
        <f t="shared" si="12"/>
        <v>37272</v>
      </c>
      <c r="AD18" s="734">
        <f t="shared" si="12"/>
        <v>37272</v>
      </c>
      <c r="AE18" s="734">
        <f t="shared" si="12"/>
        <v>37272</v>
      </c>
      <c r="AF18" s="734">
        <f t="shared" si="12"/>
        <v>37272</v>
      </c>
      <c r="AG18" s="734">
        <f t="shared" si="12"/>
        <v>37272</v>
      </c>
      <c r="AH18" s="734">
        <f t="shared" si="12"/>
        <v>37272</v>
      </c>
      <c r="AI18" s="734">
        <f t="shared" si="12"/>
        <v>37272</v>
      </c>
      <c r="AJ18" s="734">
        <f t="shared" si="12"/>
        <v>37272</v>
      </c>
      <c r="AK18" s="734">
        <f t="shared" si="12"/>
        <v>37272</v>
      </c>
      <c r="AL18" s="734">
        <f t="shared" si="12"/>
        <v>37272</v>
      </c>
      <c r="AM18" s="738">
        <f t="shared" si="4"/>
        <v>372720</v>
      </c>
      <c r="AN18" s="734">
        <f t="shared" si="5"/>
        <v>447264</v>
      </c>
      <c r="AO18" s="734">
        <f t="shared" si="6"/>
        <v>352488</v>
      </c>
      <c r="AP18" s="734">
        <f t="shared" si="8"/>
        <v>465900</v>
      </c>
      <c r="AQ18" s="734">
        <f t="shared" si="9"/>
        <v>260904</v>
      </c>
    </row>
    <row r="19" spans="1:44" x14ac:dyDescent="0.25">
      <c r="A19" s="363" t="s">
        <v>82</v>
      </c>
      <c r="B19" s="625">
        <f>SUM(C19:N19)</f>
        <v>310600</v>
      </c>
      <c r="C19" s="644">
        <f>+Office_Vallenar!O21</f>
        <v>25721</v>
      </c>
      <c r="D19" s="644">
        <f>+Office_Vallenar!P21</f>
        <v>25571</v>
      </c>
      <c r="E19" s="644">
        <f>+Office_Vallenar!Q21</f>
        <v>26433</v>
      </c>
      <c r="F19" s="644">
        <f>+Office_Vallenar!R21</f>
        <v>25571</v>
      </c>
      <c r="G19" s="644">
        <f>+Office_Vallenar!S21</f>
        <v>25721</v>
      </c>
      <c r="H19" s="644">
        <f>+Office_Vallenar!T21</f>
        <v>26283</v>
      </c>
      <c r="I19" s="644">
        <f>+Office_Vallenar!U21</f>
        <v>25721</v>
      </c>
      <c r="J19" s="644">
        <f>+Office_Vallenar!V21</f>
        <v>25571</v>
      </c>
      <c r="K19" s="644">
        <f>+Office_Vallenar!W21</f>
        <v>26433</v>
      </c>
      <c r="L19" s="644">
        <f>+Office_Vallenar!X21</f>
        <v>25571</v>
      </c>
      <c r="M19" s="644">
        <f>+Office_Vallenar!Y21</f>
        <v>25721</v>
      </c>
      <c r="N19" s="645">
        <f>+Office_Vallenar!Z21</f>
        <v>26283</v>
      </c>
      <c r="O19" s="736">
        <v>31060</v>
      </c>
      <c r="P19" s="736">
        <v>31060</v>
      </c>
      <c r="Q19" s="736">
        <v>31060</v>
      </c>
      <c r="R19" s="736">
        <v>31060</v>
      </c>
      <c r="S19" s="736">
        <v>31060</v>
      </c>
      <c r="T19" s="736">
        <v>31060</v>
      </c>
      <c r="U19" s="736">
        <v>31060</v>
      </c>
      <c r="V19" s="736">
        <v>31060</v>
      </c>
      <c r="W19" s="736">
        <v>31060</v>
      </c>
      <c r="X19" s="736">
        <v>31060</v>
      </c>
      <c r="Y19" s="736">
        <v>31060</v>
      </c>
      <c r="Z19" s="737">
        <v>31060</v>
      </c>
      <c r="AA19" s="732">
        <v>37272</v>
      </c>
      <c r="AB19" s="732">
        <v>37272</v>
      </c>
      <c r="AC19" s="732">
        <v>37272</v>
      </c>
      <c r="AD19" s="732">
        <v>37272</v>
      </c>
      <c r="AE19" s="732">
        <v>37272</v>
      </c>
      <c r="AF19" s="732">
        <v>37272</v>
      </c>
      <c r="AG19" s="732">
        <v>37272</v>
      </c>
      <c r="AH19" s="732">
        <v>37272</v>
      </c>
      <c r="AI19" s="732">
        <v>37272</v>
      </c>
      <c r="AJ19" s="732">
        <v>37272</v>
      </c>
      <c r="AK19" s="732">
        <v>37272</v>
      </c>
      <c r="AL19" s="733">
        <v>37272</v>
      </c>
      <c r="AM19" s="737">
        <f t="shared" si="4"/>
        <v>372720</v>
      </c>
      <c r="AN19" s="732">
        <f t="shared" si="5"/>
        <v>447264</v>
      </c>
      <c r="AO19" s="732">
        <f t="shared" si="6"/>
        <v>352488</v>
      </c>
      <c r="AP19" s="732">
        <f t="shared" si="8"/>
        <v>465900</v>
      </c>
      <c r="AQ19" s="732">
        <f t="shared" si="9"/>
        <v>260904</v>
      </c>
    </row>
    <row r="20" spans="1:44" x14ac:dyDescent="0.25">
      <c r="A20" s="378" t="s">
        <v>99</v>
      </c>
      <c r="B20" s="626">
        <f>SUM(B21:B24)</f>
        <v>2369220.5317647061</v>
      </c>
      <c r="C20" s="617">
        <f t="shared" ref="C20:AL20" si="13">SUM(C21:C24)</f>
        <v>72731.617647058825</v>
      </c>
      <c r="D20" s="617">
        <f t="shared" si="13"/>
        <v>77007.352941176476</v>
      </c>
      <c r="E20" s="617">
        <f t="shared" si="13"/>
        <v>1196519.0611764707</v>
      </c>
      <c r="F20" s="617">
        <f t="shared" si="13"/>
        <v>124658.08823529413</v>
      </c>
      <c r="G20" s="617">
        <f t="shared" si="13"/>
        <v>92004.411764705888</v>
      </c>
      <c r="H20" s="617">
        <f t="shared" si="13"/>
        <v>132316.17647058825</v>
      </c>
      <c r="I20" s="617">
        <f t="shared" si="13"/>
        <v>154151.4705882353</v>
      </c>
      <c r="J20" s="617">
        <f t="shared" si="13"/>
        <v>64977.941176470587</v>
      </c>
      <c r="K20" s="617">
        <f t="shared" si="13"/>
        <v>143085.29411764705</v>
      </c>
      <c r="L20" s="617">
        <f t="shared" si="13"/>
        <v>70150.73529411765</v>
      </c>
      <c r="M20" s="617">
        <f t="shared" si="13"/>
        <v>142191.91176470587</v>
      </c>
      <c r="N20" s="379">
        <f t="shared" si="13"/>
        <v>99426.470588235286</v>
      </c>
      <c r="O20" s="617">
        <f t="shared" si="13"/>
        <v>73988.783823529418</v>
      </c>
      <c r="P20" s="617">
        <f t="shared" si="13"/>
        <v>78583.673529408232</v>
      </c>
      <c r="Q20" s="617">
        <f t="shared" si="13"/>
        <v>1252737.6245294122</v>
      </c>
      <c r="R20" s="617">
        <f t="shared" si="13"/>
        <v>129277.38970588236</v>
      </c>
      <c r="S20" s="617">
        <f t="shared" si="13"/>
        <v>94275.36764705884</v>
      </c>
      <c r="T20" s="617">
        <f t="shared" si="13"/>
        <v>134504.7794117647</v>
      </c>
      <c r="U20" s="617">
        <f t="shared" si="13"/>
        <v>159529.7794117647</v>
      </c>
      <c r="V20" s="617">
        <f t="shared" si="13"/>
        <v>65944.48529411765</v>
      </c>
      <c r="W20" s="617">
        <f t="shared" si="13"/>
        <v>145760.29411764711</v>
      </c>
      <c r="X20" s="617">
        <f t="shared" si="13"/>
        <v>71425.919117647063</v>
      </c>
      <c r="Y20" s="617">
        <f t="shared" si="13"/>
        <v>147192.4632352941</v>
      </c>
      <c r="Z20" s="379">
        <f t="shared" si="13"/>
        <v>100515.44117647065</v>
      </c>
      <c r="AA20" s="379">
        <f t="shared" si="13"/>
        <v>81963.783823529418</v>
      </c>
      <c r="AB20" s="379">
        <f t="shared" si="13"/>
        <v>86558.673529408232</v>
      </c>
      <c r="AC20" s="379">
        <f t="shared" si="13"/>
        <v>1313488.3570000005</v>
      </c>
      <c r="AD20" s="379">
        <f t="shared" si="13"/>
        <v>137252.38970588235</v>
      </c>
      <c r="AE20" s="379">
        <f t="shared" si="13"/>
        <v>102250.36764705884</v>
      </c>
      <c r="AF20" s="379">
        <f t="shared" si="13"/>
        <v>142479.7794117647</v>
      </c>
      <c r="AG20" s="379">
        <f t="shared" si="13"/>
        <v>167504.7794117647</v>
      </c>
      <c r="AH20" s="379">
        <f t="shared" si="13"/>
        <v>73919.48529411765</v>
      </c>
      <c r="AI20" s="379">
        <f t="shared" si="13"/>
        <v>153735.29411764711</v>
      </c>
      <c r="AJ20" s="379">
        <f t="shared" si="13"/>
        <v>79400.919117647063</v>
      </c>
      <c r="AK20" s="379">
        <f t="shared" si="13"/>
        <v>155167.4632352941</v>
      </c>
      <c r="AL20" s="379">
        <f t="shared" si="13"/>
        <v>108490.44117647065</v>
      </c>
      <c r="AM20" s="379">
        <f t="shared" si="4"/>
        <v>2453736.0009999974</v>
      </c>
      <c r="AN20" s="379">
        <f t="shared" si="5"/>
        <v>2602211.7334705857</v>
      </c>
      <c r="AO20" s="379">
        <f t="shared" si="6"/>
        <v>3624791.6430588206</v>
      </c>
      <c r="AP20" s="379">
        <f t="shared" si="8"/>
        <v>2769939.4908235264</v>
      </c>
      <c r="AQ20" s="379">
        <f t="shared" si="9"/>
        <v>880698.16176470602</v>
      </c>
      <c r="AR20" s="724"/>
    </row>
    <row r="21" spans="1:44" x14ac:dyDescent="0.25">
      <c r="A21" s="363" t="s">
        <v>85</v>
      </c>
      <c r="B21" s="625">
        <f>+Summary!E21</f>
        <v>734828.13316176471</v>
      </c>
      <c r="C21" s="644">
        <f>+Legal_1!O17</f>
        <v>20602.941176470587</v>
      </c>
      <c r="D21" s="644">
        <f>+Legal_1!P17</f>
        <v>23305.147058823532</v>
      </c>
      <c r="E21" s="644">
        <f>+Legal_1!Q17</f>
        <v>439309.75080882356</v>
      </c>
      <c r="F21" s="644">
        <f>+Legal_1!R17</f>
        <v>37400.73529411765</v>
      </c>
      <c r="G21" s="644">
        <f>+Legal_1!S17</f>
        <v>21033.088235294119</v>
      </c>
      <c r="H21" s="644">
        <f>+Legal_1!T17</f>
        <v>37452.205882352944</v>
      </c>
      <c r="I21" s="644">
        <f>+Legal_1!U17</f>
        <v>38121.323529411762</v>
      </c>
      <c r="J21" s="644">
        <f>+Legal_1!V17</f>
        <v>11275.73529411765</v>
      </c>
      <c r="K21" s="644">
        <f>+Legal_1!W17</f>
        <v>47121.323529411762</v>
      </c>
      <c r="L21" s="644">
        <f>+Legal_1!X17</f>
        <v>17838.235294117647</v>
      </c>
      <c r="M21" s="644">
        <f>+Legal_1!Y17</f>
        <v>26805.147058823528</v>
      </c>
      <c r="N21" s="644">
        <f>+Legal_1!Z17</f>
        <v>14562.5</v>
      </c>
      <c r="O21" s="736">
        <f>+'Legal (2019)'!O17</f>
        <v>21792.46323529413</v>
      </c>
      <c r="P21" s="736">
        <f>+'Legal (2019)'!P17</f>
        <v>24735.147058819999</v>
      </c>
      <c r="Q21" s="736">
        <f>+'Legal (2019)'!Q17</f>
        <v>461434.61334926484</v>
      </c>
      <c r="R21" s="736">
        <f>+'Legal (2019)'!R17</f>
        <v>39422.058823529413</v>
      </c>
      <c r="S21" s="736">
        <f>+'Legal (2019)'!S17</f>
        <v>22244.117647058807</v>
      </c>
      <c r="T21" s="736">
        <f>+'Legal (2019)'!T17</f>
        <v>39481.25</v>
      </c>
      <c r="U21" s="736">
        <f>+'Legal (2019)'!U17</f>
        <v>40186.764705882393</v>
      </c>
      <c r="V21" s="736">
        <f>+'Legal (2019)'!V17</f>
        <v>11990.808823529416</v>
      </c>
      <c r="W21" s="736">
        <f>+'Legal (2019)'!W17</f>
        <v>49636.764705882393</v>
      </c>
      <c r="X21" s="736">
        <f>+'Legal (2019)'!X17</f>
        <v>18931.433823529416</v>
      </c>
      <c r="Y21" s="736">
        <f>+'Legal (2019)'!Y17</f>
        <v>28493.749999999949</v>
      </c>
      <c r="Z21" s="736">
        <f>+'Legal (2019)'!Z17</f>
        <v>15491.911764705937</v>
      </c>
      <c r="AA21" s="732">
        <f>+'Legal (2020)'!O17</f>
        <v>21792.46323529413</v>
      </c>
      <c r="AB21" s="732">
        <f>+'Legal (2020)'!P17</f>
        <v>24735.147058819999</v>
      </c>
      <c r="AC21" s="732">
        <f>+'Legal (2020)'!Q17</f>
        <v>481019.9538308825</v>
      </c>
      <c r="AD21" s="732">
        <f>+'Legal (2020)'!R17</f>
        <v>39422.058823529413</v>
      </c>
      <c r="AE21" s="732">
        <f>+'Legal (2020)'!S17</f>
        <v>22244.117647058807</v>
      </c>
      <c r="AF21" s="732">
        <f>+'Legal (2020)'!T17</f>
        <v>39481.25</v>
      </c>
      <c r="AG21" s="732">
        <f>+'Legal (2020)'!U17</f>
        <v>40186.764705882393</v>
      </c>
      <c r="AH21" s="732">
        <f>+'Legal (2020)'!V17</f>
        <v>11990.808823529416</v>
      </c>
      <c r="AI21" s="732">
        <f>+'Legal (2020)'!W17</f>
        <v>49636.764705882393</v>
      </c>
      <c r="AJ21" s="732">
        <f>+'Legal (2020)'!X17</f>
        <v>18931.433823529416</v>
      </c>
      <c r="AK21" s="732">
        <f>+'Legal (2020)'!Y17</f>
        <v>28493.749999999949</v>
      </c>
      <c r="AL21" s="732">
        <f>+'Legal (2020)'!Z17</f>
        <v>15491.911764705937</v>
      </c>
      <c r="AM21" s="736">
        <f t="shared" si="4"/>
        <v>773841.08393749665</v>
      </c>
      <c r="AN21" s="732">
        <f t="shared" si="5"/>
        <v>793426.42441911437</v>
      </c>
      <c r="AO21" s="732">
        <f t="shared" si="6"/>
        <v>1198882.2685698494</v>
      </c>
      <c r="AP21" s="732">
        <f t="shared" si="8"/>
        <v>855092.60088970256</v>
      </c>
      <c r="AQ21" s="732">
        <f t="shared" si="9"/>
        <v>204212.68382352951</v>
      </c>
    </row>
    <row r="22" spans="1:44" x14ac:dyDescent="0.25">
      <c r="A22" s="363" t="s">
        <v>88</v>
      </c>
      <c r="B22" s="625">
        <f>+Summary!E22</f>
        <v>853671.81036764709</v>
      </c>
      <c r="C22" s="644">
        <f>+Legal_1!O18</f>
        <v>1860.2941176470588</v>
      </c>
      <c r="D22" s="644">
        <f>+Legal_1!P18</f>
        <v>3433.8235294117649</v>
      </c>
      <c r="E22" s="644">
        <f>+Legal_1!Q18</f>
        <v>672840.92801470589</v>
      </c>
      <c r="F22" s="644">
        <f>+Legal_1!R18</f>
        <v>26988.970588235294</v>
      </c>
      <c r="G22" s="644">
        <f>+Legal_1!S18</f>
        <v>19602.941176470591</v>
      </c>
      <c r="H22" s="644">
        <f>+Legal_1!T18</f>
        <v>1595.5882352941176</v>
      </c>
      <c r="I22" s="644">
        <f>+Legal_1!U18</f>
        <v>64661.764705882357</v>
      </c>
      <c r="J22" s="644">
        <f>+Legal_1!V18</f>
        <v>3433.8235294117649</v>
      </c>
      <c r="K22" s="644">
        <f>+Legal_1!W18</f>
        <v>1595.5882352941176</v>
      </c>
      <c r="L22" s="644">
        <f>+Legal_1!X18</f>
        <v>2044.1176470588234</v>
      </c>
      <c r="M22" s="644">
        <f>+Legal_1!Y18</f>
        <v>54018.382352941175</v>
      </c>
      <c r="N22" s="644">
        <f>+Legal_1!Z18</f>
        <v>1595.5882352941176</v>
      </c>
      <c r="O22" s="736">
        <f>+'Legal (2019)'!O18</f>
        <v>1927.9382352941179</v>
      </c>
      <c r="P22" s="736">
        <f>+'Legal (2019)'!P18</f>
        <v>3580.1441176470626</v>
      </c>
      <c r="Q22" s="736">
        <f>+'Legal (2019)'!Q18</f>
        <v>706934.62882720621</v>
      </c>
      <c r="R22" s="736">
        <f>+'Legal (2019)'!R18</f>
        <v>29586.948529411773</v>
      </c>
      <c r="S22" s="736">
        <f>+'Legal (2019)'!S18</f>
        <v>20662.867647058858</v>
      </c>
      <c r="T22" s="736">
        <f>+'Legal (2019)'!T18</f>
        <v>1755.1470588235297</v>
      </c>
      <c r="U22" s="736">
        <f>+'Legal (2019)'!U18</f>
        <v>67974.632352941146</v>
      </c>
      <c r="V22" s="736">
        <f>+'Legal (2019)'!V18</f>
        <v>3685.2941176470626</v>
      </c>
      <c r="W22" s="736">
        <f>+'Legal (2019)'!W18</f>
        <v>1755.1470588235297</v>
      </c>
      <c r="X22" s="736">
        <f>+'Legal (2019)'!X18</f>
        <v>2226.1029411764712</v>
      </c>
      <c r="Y22" s="736">
        <f>+'Legal (2019)'!Y18</f>
        <v>57330.330882352988</v>
      </c>
      <c r="Z22" s="736">
        <f>+'Legal (2019)'!Z18</f>
        <v>1755.1470588235297</v>
      </c>
      <c r="AA22" s="732">
        <f>+'Legal (2020)'!O18</f>
        <v>1927.9382352941179</v>
      </c>
      <c r="AB22" s="732">
        <f>+'Legal (2020)'!P18</f>
        <v>3580.1441176470626</v>
      </c>
      <c r="AC22" s="732">
        <f>+'Legal (2020)'!Q18</f>
        <v>740125.02081617678</v>
      </c>
      <c r="AD22" s="732">
        <f>+'Legal (2020)'!R18</f>
        <v>29586.948529411773</v>
      </c>
      <c r="AE22" s="732">
        <f>+'Legal (2020)'!S18</f>
        <v>20662.867647058858</v>
      </c>
      <c r="AF22" s="732">
        <f>+'Legal (2020)'!T18</f>
        <v>1755.1470588235297</v>
      </c>
      <c r="AG22" s="732">
        <f>+'Legal (2020)'!U18</f>
        <v>67974.632352941146</v>
      </c>
      <c r="AH22" s="732">
        <f>+'Legal (2020)'!V18</f>
        <v>3685.2941176470626</v>
      </c>
      <c r="AI22" s="732">
        <f>+'Legal (2020)'!W18</f>
        <v>1755.1470588235297</v>
      </c>
      <c r="AJ22" s="732">
        <f>+'Legal (2020)'!X18</f>
        <v>2226.1029411764712</v>
      </c>
      <c r="AK22" s="732">
        <f>+'Legal (2020)'!Y18</f>
        <v>57330.330882352988</v>
      </c>
      <c r="AL22" s="732">
        <f>+'Legal (2020)'!Z18</f>
        <v>1755.1470588235297</v>
      </c>
      <c r="AM22" s="736">
        <f t="shared" si="4"/>
        <v>899174.32882720628</v>
      </c>
      <c r="AN22" s="732">
        <f t="shared" si="5"/>
        <v>932364.72081617685</v>
      </c>
      <c r="AO22" s="732">
        <f t="shared" si="6"/>
        <v>1560820.4039007355</v>
      </c>
      <c r="AP22" s="732">
        <f t="shared" si="8"/>
        <v>982614.53699264757</v>
      </c>
      <c r="AQ22" s="732">
        <f t="shared" si="9"/>
        <v>136481.80147058825</v>
      </c>
    </row>
    <row r="23" spans="1:44" x14ac:dyDescent="0.25">
      <c r="A23" s="363" t="s">
        <v>1039</v>
      </c>
      <c r="B23" s="625">
        <f>+Summary!E23</f>
        <v>740720.58823529433</v>
      </c>
      <c r="C23" s="644">
        <f>+Legal_1!O19</f>
        <v>50268.382352941175</v>
      </c>
      <c r="D23" s="644">
        <f>+Legal_1!P19</f>
        <v>50268.382352941175</v>
      </c>
      <c r="E23" s="644">
        <f>+Legal_1!Q19</f>
        <v>84368.382352941175</v>
      </c>
      <c r="F23" s="644">
        <f>+Legal_1!R19</f>
        <v>50268.382352941175</v>
      </c>
      <c r="G23" s="644">
        <f>+Legal_1!S19</f>
        <v>51368.382352941175</v>
      </c>
      <c r="H23" s="644">
        <f>+Legal_1!T19</f>
        <v>83268.382352941175</v>
      </c>
      <c r="I23" s="644">
        <f>+Legal_1!U19</f>
        <v>51368.382352941175</v>
      </c>
      <c r="J23" s="644">
        <f>+Legal_1!V19</f>
        <v>50268.382352941175</v>
      </c>
      <c r="K23" s="644">
        <f>+Legal_1!W19</f>
        <v>84368.382352941175</v>
      </c>
      <c r="L23" s="644">
        <f>+Legal_1!X19</f>
        <v>50268.382352941175</v>
      </c>
      <c r="M23" s="644">
        <f>+Legal_1!Y19</f>
        <v>51368.382352941175</v>
      </c>
      <c r="N23" s="644">
        <f>+Legal_1!Z19</f>
        <v>83268.382352941175</v>
      </c>
      <c r="O23" s="736">
        <f>+'Legal (2019)'!O19</f>
        <v>50268.382352941175</v>
      </c>
      <c r="P23" s="736">
        <f>+'Legal (2019)'!P19</f>
        <v>50268.382352941175</v>
      </c>
      <c r="Q23" s="736">
        <f>+'Legal (2019)'!Q19</f>
        <v>84368.382352941175</v>
      </c>
      <c r="R23" s="736">
        <f>+'Legal (2019)'!R19</f>
        <v>50268.382352941175</v>
      </c>
      <c r="S23" s="736">
        <f>+'Legal (2019)'!S19</f>
        <v>51368.382352941175</v>
      </c>
      <c r="T23" s="736">
        <f>+'Legal (2019)'!T19</f>
        <v>83268.382352941175</v>
      </c>
      <c r="U23" s="736">
        <f>+'Legal (2019)'!U19</f>
        <v>51368.382352941175</v>
      </c>
      <c r="V23" s="736">
        <f>+'Legal (2019)'!V19</f>
        <v>50268.382352941175</v>
      </c>
      <c r="W23" s="736">
        <f>+'Legal (2019)'!W19</f>
        <v>84368.382352941175</v>
      </c>
      <c r="X23" s="736">
        <f>+'Legal (2019)'!X19</f>
        <v>50268.382352941175</v>
      </c>
      <c r="Y23" s="736">
        <f>+'Legal (2019)'!Y19</f>
        <v>51368.382352941175</v>
      </c>
      <c r="Z23" s="736">
        <f>+'Legal (2019)'!Z19</f>
        <v>83268.382352941175</v>
      </c>
      <c r="AA23" s="732">
        <f>+'Legal (2020)'!O19</f>
        <v>58243.382352941175</v>
      </c>
      <c r="AB23" s="732">
        <f>+'Legal (2020)'!P19</f>
        <v>58243.382352941175</v>
      </c>
      <c r="AC23" s="732">
        <f>+'Legal (2020)'!Q19</f>
        <v>92343.382352941175</v>
      </c>
      <c r="AD23" s="732">
        <f>+'Legal (2020)'!R19</f>
        <v>58243.382352941175</v>
      </c>
      <c r="AE23" s="732">
        <f>+'Legal (2020)'!S19</f>
        <v>59343.382352941175</v>
      </c>
      <c r="AF23" s="732">
        <f>+'Legal (2020)'!T19</f>
        <v>91243.382352941175</v>
      </c>
      <c r="AG23" s="732">
        <f>+'Legal (2020)'!U19</f>
        <v>59343.382352941175</v>
      </c>
      <c r="AH23" s="732">
        <f>+'Legal (2020)'!V19</f>
        <v>58243.382352941175</v>
      </c>
      <c r="AI23" s="732">
        <f>+'Legal (2020)'!W19</f>
        <v>92343.382352941175</v>
      </c>
      <c r="AJ23" s="732">
        <f>+'Legal (2020)'!X19</f>
        <v>58243.382352941175</v>
      </c>
      <c r="AK23" s="732">
        <f>+'Legal (2020)'!Y19</f>
        <v>59343.382352941175</v>
      </c>
      <c r="AL23" s="732">
        <f>+'Legal (2020)'!Z19</f>
        <v>91243.382352941175</v>
      </c>
      <c r="AM23" s="736">
        <f t="shared" si="4"/>
        <v>740720.58823529433</v>
      </c>
      <c r="AN23" s="732">
        <f t="shared" si="5"/>
        <v>836420.58823529433</v>
      </c>
      <c r="AO23" s="732">
        <f t="shared" si="6"/>
        <v>825088.97058823553</v>
      </c>
      <c r="AP23" s="732">
        <f t="shared" si="8"/>
        <v>882232.35294117674</v>
      </c>
      <c r="AQ23" s="732">
        <f t="shared" si="9"/>
        <v>510003.67647058831</v>
      </c>
    </row>
    <row r="24" spans="1:44" x14ac:dyDescent="0.25">
      <c r="A24" s="363" t="s">
        <v>94</v>
      </c>
      <c r="B24" s="625">
        <f>+Summary!E24</f>
        <v>40000</v>
      </c>
      <c r="C24" s="644">
        <f>+Legal_1!O28</f>
        <v>0</v>
      </c>
      <c r="D24" s="644">
        <f>+Legal_1!P28</f>
        <v>0</v>
      </c>
      <c r="E24" s="644">
        <f>+Legal_1!Q28</f>
        <v>0</v>
      </c>
      <c r="F24" s="644">
        <f>+Legal_1!R28</f>
        <v>10000</v>
      </c>
      <c r="G24" s="644">
        <f>+Legal_1!S28</f>
        <v>0</v>
      </c>
      <c r="H24" s="644">
        <f>+Legal_1!T28</f>
        <v>10000</v>
      </c>
      <c r="I24" s="644">
        <f>+Legal_1!U28</f>
        <v>0</v>
      </c>
      <c r="J24" s="644">
        <f>+Legal_1!V28</f>
        <v>0</v>
      </c>
      <c r="K24" s="644">
        <f>+Legal_1!W28</f>
        <v>10000</v>
      </c>
      <c r="L24" s="644">
        <f>+Legal_1!X28</f>
        <v>0</v>
      </c>
      <c r="M24" s="644">
        <f>+Legal_1!Y28</f>
        <v>10000</v>
      </c>
      <c r="N24" s="644">
        <f>+Legal_1!Z28</f>
        <v>0</v>
      </c>
      <c r="O24" s="736">
        <f>+'Legal (2019)'!O28</f>
        <v>0</v>
      </c>
      <c r="P24" s="736">
        <f>+'Legal (2019)'!P28</f>
        <v>0</v>
      </c>
      <c r="Q24" s="736">
        <f>+'Legal (2019)'!Q28</f>
        <v>0</v>
      </c>
      <c r="R24" s="736">
        <f>+'Legal (2019)'!R28</f>
        <v>10000</v>
      </c>
      <c r="S24" s="736">
        <f>+'Legal (2019)'!S28</f>
        <v>0</v>
      </c>
      <c r="T24" s="736">
        <f>+'Legal (2019)'!T28</f>
        <v>10000</v>
      </c>
      <c r="U24" s="736">
        <f>+'Legal (2019)'!U28</f>
        <v>0</v>
      </c>
      <c r="V24" s="736">
        <f>+'Legal (2019)'!V28</f>
        <v>0</v>
      </c>
      <c r="W24" s="736">
        <f>+'Legal (2019)'!W28</f>
        <v>10000</v>
      </c>
      <c r="X24" s="736">
        <f>+'Legal (2019)'!X28</f>
        <v>0</v>
      </c>
      <c r="Y24" s="736">
        <f>+'Legal (2019)'!Y28</f>
        <v>10000</v>
      </c>
      <c r="Z24" s="736">
        <f>+'Legal (2019)'!Z28</f>
        <v>0</v>
      </c>
      <c r="AA24" s="732">
        <f>+'Legal (2020)'!O28</f>
        <v>0</v>
      </c>
      <c r="AB24" s="732">
        <f>+'Legal (2020)'!P28</f>
        <v>0</v>
      </c>
      <c r="AC24" s="732">
        <f>+'Legal (2020)'!Q28</f>
        <v>0</v>
      </c>
      <c r="AD24" s="732">
        <f>+'Legal (2020)'!R28</f>
        <v>10000</v>
      </c>
      <c r="AE24" s="732">
        <f>+'Legal (2020)'!S28</f>
        <v>0</v>
      </c>
      <c r="AF24" s="732">
        <f>+'Legal (2020)'!T28</f>
        <v>10000</v>
      </c>
      <c r="AG24" s="732">
        <f>+'Legal (2020)'!U28</f>
        <v>0</v>
      </c>
      <c r="AH24" s="732">
        <f>+'Legal (2020)'!V28</f>
        <v>0</v>
      </c>
      <c r="AI24" s="732">
        <f>+'Legal (2020)'!W28</f>
        <v>10000</v>
      </c>
      <c r="AJ24" s="732">
        <f>+'Legal (2020)'!X28</f>
        <v>0</v>
      </c>
      <c r="AK24" s="732">
        <f>+'Legal (2020)'!Y28</f>
        <v>10000</v>
      </c>
      <c r="AL24" s="732">
        <f>+'Legal (2020)'!Z28</f>
        <v>0</v>
      </c>
      <c r="AM24" s="736">
        <f t="shared" si="4"/>
        <v>40000</v>
      </c>
      <c r="AN24" s="732">
        <f t="shared" si="5"/>
        <v>40000</v>
      </c>
      <c r="AO24" s="732">
        <f t="shared" si="6"/>
        <v>40000</v>
      </c>
      <c r="AP24" s="732">
        <f t="shared" si="8"/>
        <v>50000</v>
      </c>
      <c r="AQ24" s="732">
        <f t="shared" si="9"/>
        <v>30000</v>
      </c>
    </row>
    <row r="25" spans="1:44" x14ac:dyDescent="0.25">
      <c r="A25" s="378" t="s">
        <v>113</v>
      </c>
      <c r="B25" s="626">
        <f>SUM(B26:B32)</f>
        <v>11438382.105050711</v>
      </c>
      <c r="C25" s="617">
        <f t="shared" ref="C25:AL25" si="14">SUM(C26:C32)</f>
        <v>1134069.2300777552</v>
      </c>
      <c r="D25" s="617">
        <f t="shared" si="14"/>
        <v>1519441.2575287353</v>
      </c>
      <c r="E25" s="617">
        <f t="shared" si="14"/>
        <v>993058.9830189317</v>
      </c>
      <c r="F25" s="617">
        <f t="shared" si="14"/>
        <v>978116.89118886646</v>
      </c>
      <c r="G25" s="617">
        <f t="shared" si="14"/>
        <v>1040835.2313849448</v>
      </c>
      <c r="H25" s="617">
        <f t="shared" si="14"/>
        <v>1356237.4470712193</v>
      </c>
      <c r="I25" s="617">
        <f t="shared" si="14"/>
        <v>856410.79609082709</v>
      </c>
      <c r="J25" s="617">
        <f t="shared" si="14"/>
        <v>816032.4441300428</v>
      </c>
      <c r="K25" s="617">
        <f t="shared" si="14"/>
        <v>811003.26667906228</v>
      </c>
      <c r="L25" s="617">
        <f t="shared" si="14"/>
        <v>812331.97256141528</v>
      </c>
      <c r="M25" s="617">
        <f t="shared" si="14"/>
        <v>627152.81569867022</v>
      </c>
      <c r="N25" s="379">
        <f t="shared" si="14"/>
        <v>493691.76962023892</v>
      </c>
      <c r="O25" s="379">
        <f t="shared" si="14"/>
        <v>751250</v>
      </c>
      <c r="P25" s="617">
        <f t="shared" si="14"/>
        <v>751250</v>
      </c>
      <c r="Q25" s="617">
        <f t="shared" si="14"/>
        <v>751250</v>
      </c>
      <c r="R25" s="617">
        <f t="shared" si="14"/>
        <v>751250</v>
      </c>
      <c r="S25" s="617">
        <f t="shared" si="14"/>
        <v>751250</v>
      </c>
      <c r="T25" s="617">
        <f t="shared" si="14"/>
        <v>751250</v>
      </c>
      <c r="U25" s="617">
        <f t="shared" si="14"/>
        <v>751250</v>
      </c>
      <c r="V25" s="617">
        <f t="shared" si="14"/>
        <v>751250</v>
      </c>
      <c r="W25" s="617">
        <f t="shared" si="14"/>
        <v>751250</v>
      </c>
      <c r="X25" s="617">
        <f t="shared" si="14"/>
        <v>751250</v>
      </c>
      <c r="Y25" s="617">
        <f t="shared" si="14"/>
        <v>751250</v>
      </c>
      <c r="Z25" s="379">
        <f t="shared" si="14"/>
        <v>751250</v>
      </c>
      <c r="AA25" s="379">
        <f t="shared" si="14"/>
        <v>1080416.6666666665</v>
      </c>
      <c r="AB25" s="379">
        <f t="shared" si="14"/>
        <v>1080416.6666666665</v>
      </c>
      <c r="AC25" s="379">
        <f t="shared" si="14"/>
        <v>1080416.6666666665</v>
      </c>
      <c r="AD25" s="379">
        <f t="shared" si="14"/>
        <v>1080416.6666666665</v>
      </c>
      <c r="AE25" s="379">
        <f t="shared" si="14"/>
        <v>1080416.6666666665</v>
      </c>
      <c r="AF25" s="379">
        <f t="shared" si="14"/>
        <v>1080416.6666666665</v>
      </c>
      <c r="AG25" s="379">
        <f t="shared" si="14"/>
        <v>1080416.6666666665</v>
      </c>
      <c r="AH25" s="379">
        <f t="shared" si="14"/>
        <v>1080416.6666666665</v>
      </c>
      <c r="AI25" s="379">
        <f t="shared" si="14"/>
        <v>1080416.6666666665</v>
      </c>
      <c r="AJ25" s="379">
        <f t="shared" si="14"/>
        <v>1080416.6666666665</v>
      </c>
      <c r="AK25" s="379">
        <f t="shared" si="14"/>
        <v>1080416.6666666665</v>
      </c>
      <c r="AL25" s="379">
        <f t="shared" si="14"/>
        <v>1080416.6666666665</v>
      </c>
      <c r="AM25" s="379">
        <f t="shared" si="4"/>
        <v>9015000</v>
      </c>
      <c r="AN25" s="379">
        <f t="shared" si="5"/>
        <v>12964999.999999994</v>
      </c>
      <c r="AO25" s="379">
        <f t="shared" si="6"/>
        <v>11038621.617444219</v>
      </c>
      <c r="AP25" s="379">
        <f t="shared" si="8"/>
        <v>12163333.33333333</v>
      </c>
      <c r="AQ25" s="379">
        <f t="shared" si="9"/>
        <v>7562916.6666666642</v>
      </c>
    </row>
    <row r="26" spans="1:44" x14ac:dyDescent="0.25">
      <c r="A26" s="363" t="s">
        <v>97</v>
      </c>
      <c r="B26" s="625">
        <f t="shared" ref="B26:B32" si="15">SUM(C26:N26)</f>
        <v>456484</v>
      </c>
      <c r="C26" s="644">
        <f>+Communication!O27</f>
        <v>39807</v>
      </c>
      <c r="D26" s="644">
        <f>+Communication!P27</f>
        <v>36807</v>
      </c>
      <c r="E26" s="644">
        <f>+Communication!Q27</f>
        <v>58007</v>
      </c>
      <c r="F26" s="644">
        <f>+Communication!R27</f>
        <v>48307</v>
      </c>
      <c r="G26" s="644">
        <f>+Communication!S27</f>
        <v>49907</v>
      </c>
      <c r="H26" s="644">
        <f>+Communication!T27</f>
        <v>42057</v>
      </c>
      <c r="I26" s="644">
        <f>+Communication!U27</f>
        <v>24907</v>
      </c>
      <c r="J26" s="644">
        <f>+Communication!V27</f>
        <v>37907</v>
      </c>
      <c r="K26" s="644">
        <f>+Communication!W27</f>
        <v>25907</v>
      </c>
      <c r="L26" s="644">
        <f>+Communication!X27</f>
        <v>33057</v>
      </c>
      <c r="M26" s="644">
        <f>+Communication!Y27</f>
        <v>34907</v>
      </c>
      <c r="N26" s="645">
        <f>+Communication!Z27</f>
        <v>24907</v>
      </c>
      <c r="O26" s="736">
        <v>50000</v>
      </c>
      <c r="P26" s="736">
        <v>50000</v>
      </c>
      <c r="Q26" s="736">
        <v>50000</v>
      </c>
      <c r="R26" s="736">
        <v>50000</v>
      </c>
      <c r="S26" s="736">
        <v>50000</v>
      </c>
      <c r="T26" s="736">
        <v>50000</v>
      </c>
      <c r="U26" s="736">
        <v>50000</v>
      </c>
      <c r="V26" s="736">
        <v>50000</v>
      </c>
      <c r="W26" s="736">
        <v>50000</v>
      </c>
      <c r="X26" s="736">
        <v>50000</v>
      </c>
      <c r="Y26" s="736">
        <v>50000</v>
      </c>
      <c r="Z26" s="737">
        <v>50000</v>
      </c>
      <c r="AA26" s="732">
        <v>54166.666666666664</v>
      </c>
      <c r="AB26" s="732">
        <v>54166.666666666664</v>
      </c>
      <c r="AC26" s="732">
        <v>54166.666666666664</v>
      </c>
      <c r="AD26" s="732">
        <v>54166.666666666664</v>
      </c>
      <c r="AE26" s="732">
        <v>54166.666666666664</v>
      </c>
      <c r="AF26" s="732">
        <v>54166.666666666664</v>
      </c>
      <c r="AG26" s="732">
        <v>54166.666666666664</v>
      </c>
      <c r="AH26" s="732">
        <v>54166.666666666664</v>
      </c>
      <c r="AI26" s="732">
        <v>54166.666666666664</v>
      </c>
      <c r="AJ26" s="732">
        <v>54166.666666666664</v>
      </c>
      <c r="AK26" s="732">
        <v>54166.666666666664</v>
      </c>
      <c r="AL26" s="733">
        <v>54166.666666666664</v>
      </c>
      <c r="AM26" s="737">
        <f t="shared" si="4"/>
        <v>600000</v>
      </c>
      <c r="AN26" s="732">
        <f t="shared" si="5"/>
        <v>650000</v>
      </c>
      <c r="AO26" s="732">
        <f t="shared" si="6"/>
        <v>529870</v>
      </c>
      <c r="AP26" s="732">
        <f t="shared" si="8"/>
        <v>720833.33333333326</v>
      </c>
      <c r="AQ26" s="732">
        <f t="shared" si="9"/>
        <v>379166.66666666669</v>
      </c>
    </row>
    <row r="27" spans="1:44" x14ac:dyDescent="0.25">
      <c r="A27" s="363" t="s">
        <v>100</v>
      </c>
      <c r="B27" s="625">
        <f t="shared" si="15"/>
        <v>758045</v>
      </c>
      <c r="C27" s="644">
        <f>+Resettlement!O27</f>
        <v>65786.333333333328</v>
      </c>
      <c r="D27" s="644">
        <f>+Resettlement!P27</f>
        <v>65786.333333333328</v>
      </c>
      <c r="E27" s="644">
        <f>+Resettlement!Q27</f>
        <v>71191.333333333328</v>
      </c>
      <c r="F27" s="644">
        <f>+Resettlement!R27</f>
        <v>61097.333333333336</v>
      </c>
      <c r="G27" s="644">
        <f>+Resettlement!S27</f>
        <v>61097.333333333336</v>
      </c>
      <c r="H27" s="644">
        <f>+Resettlement!T27</f>
        <v>61097.333333333336</v>
      </c>
      <c r="I27" s="644">
        <f>+Resettlement!U27</f>
        <v>61097.333333333336</v>
      </c>
      <c r="J27" s="644">
        <f>+Resettlement!V27</f>
        <v>61097.333333333336</v>
      </c>
      <c r="K27" s="644">
        <f>+Resettlement!W27</f>
        <v>66502.333333333328</v>
      </c>
      <c r="L27" s="644">
        <f>+Resettlement!X27</f>
        <v>61097.333333333336</v>
      </c>
      <c r="M27" s="644">
        <f>+Resettlement!Y27</f>
        <v>61097.333333333336</v>
      </c>
      <c r="N27" s="645">
        <f>+Resettlement!Z27</f>
        <v>61097.333333333336</v>
      </c>
      <c r="O27" s="736">
        <v>125000</v>
      </c>
      <c r="P27" s="736">
        <v>125000</v>
      </c>
      <c r="Q27" s="736">
        <v>125000</v>
      </c>
      <c r="R27" s="736">
        <v>125000</v>
      </c>
      <c r="S27" s="736">
        <v>125000</v>
      </c>
      <c r="T27" s="736">
        <v>125000</v>
      </c>
      <c r="U27" s="736">
        <v>125000</v>
      </c>
      <c r="V27" s="736">
        <v>125000</v>
      </c>
      <c r="W27" s="736">
        <v>125000</v>
      </c>
      <c r="X27" s="736">
        <v>125000</v>
      </c>
      <c r="Y27" s="736">
        <v>125000</v>
      </c>
      <c r="Z27" s="737">
        <v>125000</v>
      </c>
      <c r="AA27" s="732">
        <v>166666.66666666666</v>
      </c>
      <c r="AB27" s="732">
        <v>166666.66666666666</v>
      </c>
      <c r="AC27" s="732">
        <v>166666.66666666666</v>
      </c>
      <c r="AD27" s="732">
        <v>166666.66666666666</v>
      </c>
      <c r="AE27" s="732">
        <v>166666.66666666666</v>
      </c>
      <c r="AF27" s="732">
        <v>166666.66666666666</v>
      </c>
      <c r="AG27" s="732">
        <v>166666.66666666666</v>
      </c>
      <c r="AH27" s="732">
        <v>166666.66666666666</v>
      </c>
      <c r="AI27" s="732">
        <v>166666.66666666666</v>
      </c>
      <c r="AJ27" s="732">
        <v>166666.66666666666</v>
      </c>
      <c r="AK27" s="732">
        <v>166666.66666666666</v>
      </c>
      <c r="AL27" s="733">
        <v>166666.66666666666</v>
      </c>
      <c r="AM27" s="737">
        <f t="shared" si="4"/>
        <v>1500000</v>
      </c>
      <c r="AN27" s="732">
        <f t="shared" si="5"/>
        <v>2000000.0000000002</v>
      </c>
      <c r="AO27" s="732">
        <f t="shared" si="6"/>
        <v>1001472.3333333334</v>
      </c>
      <c r="AP27" s="732">
        <f t="shared" si="8"/>
        <v>1958333.3333333337</v>
      </c>
      <c r="AQ27" s="732">
        <f t="shared" si="9"/>
        <v>1166666.6666666665</v>
      </c>
    </row>
    <row r="28" spans="1:44" x14ac:dyDescent="0.25">
      <c r="A28" s="363" t="s">
        <v>103</v>
      </c>
      <c r="B28" s="625">
        <f t="shared" si="15"/>
        <v>1660000</v>
      </c>
      <c r="C28" s="644">
        <f>+Development!O27</f>
        <v>30000</v>
      </c>
      <c r="D28" s="644">
        <f>+Development!P27</f>
        <v>20000</v>
      </c>
      <c r="E28" s="644">
        <f>+Development!Q27</f>
        <v>0</v>
      </c>
      <c r="F28" s="644">
        <f>+Development!R27</f>
        <v>95000</v>
      </c>
      <c r="G28" s="644">
        <f>+Development!S27</f>
        <v>256666</v>
      </c>
      <c r="H28" s="644">
        <f>+Development!T27</f>
        <v>103332</v>
      </c>
      <c r="I28" s="644">
        <f>+Development!U27</f>
        <v>215000</v>
      </c>
      <c r="J28" s="644">
        <f>+Development!V27</f>
        <v>196667</v>
      </c>
      <c r="K28" s="644">
        <f>+Development!W27</f>
        <v>203332</v>
      </c>
      <c r="L28" s="644">
        <f>+Development!X27</f>
        <v>90000</v>
      </c>
      <c r="M28" s="644">
        <f>+Development!Y27</f>
        <v>380003</v>
      </c>
      <c r="N28" s="645">
        <f>+Development!Z27</f>
        <v>70000</v>
      </c>
      <c r="O28" s="736">
        <v>150000</v>
      </c>
      <c r="P28" s="736">
        <v>150000</v>
      </c>
      <c r="Q28" s="736">
        <v>150000</v>
      </c>
      <c r="R28" s="736">
        <v>150000</v>
      </c>
      <c r="S28" s="736">
        <v>150000</v>
      </c>
      <c r="T28" s="736">
        <v>150000</v>
      </c>
      <c r="U28" s="736">
        <v>150000</v>
      </c>
      <c r="V28" s="736">
        <v>150000</v>
      </c>
      <c r="W28" s="736">
        <v>150000</v>
      </c>
      <c r="X28" s="736">
        <v>150000</v>
      </c>
      <c r="Y28" s="736">
        <v>150000</v>
      </c>
      <c r="Z28" s="737">
        <v>150000</v>
      </c>
      <c r="AA28" s="732">
        <v>250000</v>
      </c>
      <c r="AB28" s="732">
        <v>250000</v>
      </c>
      <c r="AC28" s="732">
        <v>250000</v>
      </c>
      <c r="AD28" s="732">
        <v>250000</v>
      </c>
      <c r="AE28" s="732">
        <v>250000</v>
      </c>
      <c r="AF28" s="732">
        <v>250000</v>
      </c>
      <c r="AG28" s="732">
        <v>250000</v>
      </c>
      <c r="AH28" s="732">
        <v>250000</v>
      </c>
      <c r="AI28" s="732">
        <v>250000</v>
      </c>
      <c r="AJ28" s="732">
        <v>250000</v>
      </c>
      <c r="AK28" s="732">
        <v>250000</v>
      </c>
      <c r="AL28" s="733">
        <v>250000</v>
      </c>
      <c r="AM28" s="737">
        <f t="shared" si="4"/>
        <v>1800000</v>
      </c>
      <c r="AN28" s="732">
        <f t="shared" si="5"/>
        <v>3000000</v>
      </c>
      <c r="AO28" s="732">
        <f t="shared" si="6"/>
        <v>2060000</v>
      </c>
      <c r="AP28" s="732">
        <f t="shared" si="8"/>
        <v>2600000</v>
      </c>
      <c r="AQ28" s="732">
        <f t="shared" si="9"/>
        <v>1750000</v>
      </c>
    </row>
    <row r="29" spans="1:44" x14ac:dyDescent="0.25">
      <c r="A29" s="363" t="s">
        <v>106</v>
      </c>
      <c r="B29" s="625">
        <f t="shared" si="15"/>
        <v>519999.97999999986</v>
      </c>
      <c r="C29" s="644">
        <f>+Engagement!O22</f>
        <v>16666.665000000001</v>
      </c>
      <c r="D29" s="650">
        <f>+Engagement!P22</f>
        <v>16666.665000000001</v>
      </c>
      <c r="E29" s="650">
        <f>+Engagement!Q22</f>
        <v>84666.664999999994</v>
      </c>
      <c r="F29" s="650">
        <f>+Engagement!R22</f>
        <v>24666.665000000001</v>
      </c>
      <c r="G29" s="650">
        <f>+Engagement!S22</f>
        <v>24666.665000000001</v>
      </c>
      <c r="H29" s="650">
        <f>+Engagement!T22</f>
        <v>84666.664999999994</v>
      </c>
      <c r="I29" s="650">
        <f>+Engagement!U22</f>
        <v>24666.665000000001</v>
      </c>
      <c r="J29" s="650">
        <f>+Engagement!V22</f>
        <v>24666.665000000001</v>
      </c>
      <c r="K29" s="650">
        <f>+Engagement!W22</f>
        <v>84666.664999999994</v>
      </c>
      <c r="L29" s="650">
        <f>+Engagement!X22</f>
        <v>24666.665000000001</v>
      </c>
      <c r="M29" s="650">
        <f>+Engagement!Y22</f>
        <v>24666.665000000001</v>
      </c>
      <c r="N29" s="651">
        <f>+Engagement!Z22</f>
        <v>84666.664999999994</v>
      </c>
      <c r="O29" s="736">
        <v>66666.666666666672</v>
      </c>
      <c r="P29" s="740">
        <v>66666.666666666672</v>
      </c>
      <c r="Q29" s="740">
        <v>66666.666666666672</v>
      </c>
      <c r="R29" s="740">
        <v>66666.666666666672</v>
      </c>
      <c r="S29" s="740">
        <v>66666.666666666672</v>
      </c>
      <c r="T29" s="740">
        <v>66666.666666666672</v>
      </c>
      <c r="U29" s="740">
        <v>66666.666666666672</v>
      </c>
      <c r="V29" s="740">
        <v>66666.666666666672</v>
      </c>
      <c r="W29" s="740">
        <v>66666.666666666672</v>
      </c>
      <c r="X29" s="740">
        <v>66666.666666666672</v>
      </c>
      <c r="Y29" s="740">
        <v>66666.666666666672</v>
      </c>
      <c r="Z29" s="741">
        <v>66666.666666666672</v>
      </c>
      <c r="AA29" s="732">
        <v>250000</v>
      </c>
      <c r="AB29" s="749">
        <v>250000</v>
      </c>
      <c r="AC29" s="749">
        <v>250000</v>
      </c>
      <c r="AD29" s="749">
        <v>250000</v>
      </c>
      <c r="AE29" s="749">
        <v>250000</v>
      </c>
      <c r="AF29" s="749">
        <v>250000</v>
      </c>
      <c r="AG29" s="749">
        <v>250000</v>
      </c>
      <c r="AH29" s="749">
        <v>250000</v>
      </c>
      <c r="AI29" s="749">
        <v>250000</v>
      </c>
      <c r="AJ29" s="749">
        <v>250000</v>
      </c>
      <c r="AK29" s="749">
        <v>250000</v>
      </c>
      <c r="AL29" s="750">
        <v>250000</v>
      </c>
      <c r="AM29" s="741">
        <f t="shared" si="4"/>
        <v>799999.99999999988</v>
      </c>
      <c r="AN29" s="749">
        <f t="shared" si="5"/>
        <v>3000000</v>
      </c>
      <c r="AO29" s="749">
        <f t="shared" si="6"/>
        <v>686666.64999999979</v>
      </c>
      <c r="AP29" s="749">
        <f t="shared" si="8"/>
        <v>1850000</v>
      </c>
      <c r="AQ29" s="749">
        <f t="shared" si="9"/>
        <v>1750000</v>
      </c>
    </row>
    <row r="30" spans="1:44" x14ac:dyDescent="0.25">
      <c r="A30" s="363" t="s">
        <v>35</v>
      </c>
      <c r="B30" s="625">
        <f t="shared" si="15"/>
        <v>6089064.9966193382</v>
      </c>
      <c r="C30" s="644">
        <f>+'Environmental (GINE)'!O18</f>
        <v>607735.76148298394</v>
      </c>
      <c r="D30" s="644">
        <f>+'Environmental (GINE)'!P18</f>
        <v>1045552.2948163173</v>
      </c>
      <c r="E30" s="644">
        <f>+'Environmental (GINE)'!Q18</f>
        <v>432343.07913004281</v>
      </c>
      <c r="F30" s="644">
        <f>+'Environmental (GINE)'!R18</f>
        <v>618307.33011043502</v>
      </c>
      <c r="G30" s="644">
        <f>+'Environmental (GINE)'!S18</f>
        <v>531358.96148298401</v>
      </c>
      <c r="H30" s="644">
        <f>+'Environmental (GINE)'!T18</f>
        <v>943472.64775749389</v>
      </c>
      <c r="I30" s="644">
        <f>+'Environmental (GINE)'!U18</f>
        <v>448472.87913004274</v>
      </c>
      <c r="J30" s="644">
        <f>+'Environmental (GINE)'!V18</f>
        <v>399828.23599278793</v>
      </c>
      <c r="K30" s="644">
        <f>+'Environmental (GINE)'!W18</f>
        <v>343855.82030651334</v>
      </c>
      <c r="L30" s="644">
        <f>+'Environmental (GINE)'!X18</f>
        <v>521244.05560063099</v>
      </c>
      <c r="M30" s="644">
        <f>+'Environmental (GINE)'!Y18</f>
        <v>44211.898737885953</v>
      </c>
      <c r="N30" s="645">
        <f>+'Environmental (GINE)'!Z18</f>
        <v>152682.03207121929</v>
      </c>
      <c r="O30" s="736">
        <v>225000</v>
      </c>
      <c r="P30" s="736">
        <v>225000</v>
      </c>
      <c r="Q30" s="736">
        <v>225000</v>
      </c>
      <c r="R30" s="736">
        <v>225000</v>
      </c>
      <c r="S30" s="736">
        <v>225000</v>
      </c>
      <c r="T30" s="736">
        <v>225000</v>
      </c>
      <c r="U30" s="736">
        <v>225000</v>
      </c>
      <c r="V30" s="736">
        <v>225000</v>
      </c>
      <c r="W30" s="736">
        <v>225000</v>
      </c>
      <c r="X30" s="736">
        <v>225000</v>
      </c>
      <c r="Y30" s="736">
        <v>225000</v>
      </c>
      <c r="Z30" s="737">
        <v>225000</v>
      </c>
      <c r="AA30" s="732">
        <v>250000</v>
      </c>
      <c r="AB30" s="732">
        <v>250000</v>
      </c>
      <c r="AC30" s="732">
        <v>250000</v>
      </c>
      <c r="AD30" s="732">
        <v>250000</v>
      </c>
      <c r="AE30" s="732">
        <v>250000</v>
      </c>
      <c r="AF30" s="732">
        <v>250000</v>
      </c>
      <c r="AG30" s="732">
        <v>250000</v>
      </c>
      <c r="AH30" s="732">
        <v>250000</v>
      </c>
      <c r="AI30" s="732">
        <v>250000</v>
      </c>
      <c r="AJ30" s="732">
        <v>250000</v>
      </c>
      <c r="AK30" s="732">
        <v>250000</v>
      </c>
      <c r="AL30" s="733">
        <v>250000</v>
      </c>
      <c r="AM30" s="737">
        <f t="shared" si="4"/>
        <v>2700000</v>
      </c>
      <c r="AN30" s="732">
        <f t="shared" si="5"/>
        <v>3000000</v>
      </c>
      <c r="AO30" s="732">
        <f t="shared" si="6"/>
        <v>5110776.9403200354</v>
      </c>
      <c r="AP30" s="732">
        <f t="shared" si="8"/>
        <v>3275000</v>
      </c>
      <c r="AQ30" s="732">
        <f t="shared" si="9"/>
        <v>1750000</v>
      </c>
    </row>
    <row r="31" spans="1:44" x14ac:dyDescent="0.25">
      <c r="A31" s="363" t="s">
        <v>111</v>
      </c>
      <c r="B31" s="625">
        <f t="shared" si="15"/>
        <v>1527873.0343137258</v>
      </c>
      <c r="C31" s="644">
        <f>+'Environmental (GINE)'!O17</f>
        <v>326879.55261437909</v>
      </c>
      <c r="D31" s="644">
        <f>+'Environmental (GINE)'!P17</f>
        <v>288132.49379084969</v>
      </c>
      <c r="E31" s="644">
        <f>+'Environmental (GINE)'!Q17</f>
        <v>292605.02320261439</v>
      </c>
      <c r="F31" s="644">
        <f>+'Environmental (GINE)'!R17</f>
        <v>76492.680392156864</v>
      </c>
      <c r="G31" s="644">
        <f>+'Environmental (GINE)'!S17</f>
        <v>62893.389215686264</v>
      </c>
      <c r="H31" s="644">
        <f>+'Environmental (GINE)'!T17</f>
        <v>67365.918627450985</v>
      </c>
      <c r="I31" s="644">
        <f>+'Environmental (GINE)'!U17</f>
        <v>62893.389215686264</v>
      </c>
      <c r="J31" s="644">
        <f>+'Environmental (GINE)'!V17</f>
        <v>76492.680392156864</v>
      </c>
      <c r="K31" s="644">
        <f>+'Environmental (GINE)'!W17</f>
        <v>67365.918627450985</v>
      </c>
      <c r="L31" s="644">
        <f>+'Environmental (GINE)'!X17</f>
        <v>62893.389215686264</v>
      </c>
      <c r="M31" s="644">
        <f>+'Environmental (GINE)'!Y17</f>
        <v>62893.389215686264</v>
      </c>
      <c r="N31" s="645">
        <f>+'Environmental (GINE)'!Z17</f>
        <v>80965.209803921563</v>
      </c>
      <c r="O31" s="736">
        <v>67916.666666666672</v>
      </c>
      <c r="P31" s="736">
        <v>67916.666666666672</v>
      </c>
      <c r="Q31" s="736">
        <v>67916.666666666672</v>
      </c>
      <c r="R31" s="736">
        <v>67916.666666666672</v>
      </c>
      <c r="S31" s="736">
        <v>67916.666666666672</v>
      </c>
      <c r="T31" s="736">
        <v>67916.666666666672</v>
      </c>
      <c r="U31" s="736">
        <v>67916.666666666672</v>
      </c>
      <c r="V31" s="736">
        <v>67916.666666666672</v>
      </c>
      <c r="W31" s="736">
        <v>67916.666666666672</v>
      </c>
      <c r="X31" s="736">
        <v>67916.666666666672</v>
      </c>
      <c r="Y31" s="736">
        <v>67916.666666666672</v>
      </c>
      <c r="Z31" s="737">
        <v>67916.666666666672</v>
      </c>
      <c r="AA31" s="732">
        <v>67916.666666666672</v>
      </c>
      <c r="AB31" s="732">
        <v>67916.666666666672</v>
      </c>
      <c r="AC31" s="732">
        <v>67916.666666666672</v>
      </c>
      <c r="AD31" s="732">
        <v>67916.666666666672</v>
      </c>
      <c r="AE31" s="732">
        <v>67916.666666666672</v>
      </c>
      <c r="AF31" s="732">
        <v>67916.666666666672</v>
      </c>
      <c r="AG31" s="732">
        <v>67916.666666666672</v>
      </c>
      <c r="AH31" s="732">
        <v>67916.666666666672</v>
      </c>
      <c r="AI31" s="732">
        <v>67916.666666666672</v>
      </c>
      <c r="AJ31" s="732">
        <v>67916.666666666672</v>
      </c>
      <c r="AK31" s="732">
        <v>67916.666666666672</v>
      </c>
      <c r="AL31" s="733">
        <v>67916.666666666672</v>
      </c>
      <c r="AM31" s="737">
        <f t="shared" si="4"/>
        <v>814999.99999999988</v>
      </c>
      <c r="AN31" s="732">
        <f t="shared" si="5"/>
        <v>814999.99999999988</v>
      </c>
      <c r="AO31" s="732">
        <f t="shared" si="6"/>
        <v>1116610.9879084965</v>
      </c>
      <c r="AP31" s="732">
        <f t="shared" si="8"/>
        <v>950833.33333333314</v>
      </c>
      <c r="AQ31" s="732">
        <f t="shared" si="9"/>
        <v>475416.66666666674</v>
      </c>
    </row>
    <row r="32" spans="1:44" x14ac:dyDescent="0.25">
      <c r="A32" s="363" t="s">
        <v>114</v>
      </c>
      <c r="B32" s="625">
        <f t="shared" si="15"/>
        <v>426915.09411764704</v>
      </c>
      <c r="C32" s="644">
        <f>+'Environmental (GINE)'!O19</f>
        <v>47193.917647058821</v>
      </c>
      <c r="D32" s="644">
        <f>+'Environmental (GINE)'!P19</f>
        <v>46496.470588235294</v>
      </c>
      <c r="E32" s="644">
        <f>+'Environmental (GINE)'!Q19</f>
        <v>54245.882352941175</v>
      </c>
      <c r="F32" s="644">
        <f>+'Environmental (GINE)'!R19</f>
        <v>54245.882352941175</v>
      </c>
      <c r="G32" s="644">
        <f>+'Environmental (GINE)'!S19</f>
        <v>54245.882352941175</v>
      </c>
      <c r="H32" s="644">
        <f>+'Environmental (GINE)'!T19</f>
        <v>54245.882352941175</v>
      </c>
      <c r="I32" s="644">
        <f>+'Environmental (GINE)'!U19</f>
        <v>19373.529411764706</v>
      </c>
      <c r="J32" s="644">
        <f>+'Environmental (GINE)'!V19</f>
        <v>19373.529411764706</v>
      </c>
      <c r="K32" s="644">
        <f>+'Environmental (GINE)'!W19</f>
        <v>19373.529411764706</v>
      </c>
      <c r="L32" s="644">
        <f>+'Environmental (GINE)'!X19</f>
        <v>19373.529411764706</v>
      </c>
      <c r="M32" s="644">
        <f>+'Environmental (GINE)'!Y19</f>
        <v>19373.529411764706</v>
      </c>
      <c r="N32" s="645">
        <f>+'Environmental (GINE)'!Z19</f>
        <v>19373.529411764706</v>
      </c>
      <c r="O32" s="736">
        <v>66666.666666666672</v>
      </c>
      <c r="P32" s="736">
        <v>66666.666666666672</v>
      </c>
      <c r="Q32" s="736">
        <v>66666.666666666672</v>
      </c>
      <c r="R32" s="736">
        <v>66666.666666666672</v>
      </c>
      <c r="S32" s="736">
        <v>66666.666666666672</v>
      </c>
      <c r="T32" s="736">
        <v>66666.666666666672</v>
      </c>
      <c r="U32" s="736">
        <v>66666.666666666672</v>
      </c>
      <c r="V32" s="736">
        <v>66666.666666666672</v>
      </c>
      <c r="W32" s="736">
        <v>66666.666666666672</v>
      </c>
      <c r="X32" s="736">
        <v>66666.666666666672</v>
      </c>
      <c r="Y32" s="736">
        <v>66666.666666666672</v>
      </c>
      <c r="Z32" s="737">
        <v>66666.666666666672</v>
      </c>
      <c r="AA32" s="732">
        <v>41666.666666666664</v>
      </c>
      <c r="AB32" s="732">
        <v>41666.666666666664</v>
      </c>
      <c r="AC32" s="732">
        <v>41666.666666666664</v>
      </c>
      <c r="AD32" s="732">
        <v>41666.666666666664</v>
      </c>
      <c r="AE32" s="732">
        <v>41666.666666666664</v>
      </c>
      <c r="AF32" s="732">
        <v>41666.666666666664</v>
      </c>
      <c r="AG32" s="732">
        <v>41666.666666666664</v>
      </c>
      <c r="AH32" s="732">
        <v>41666.666666666664</v>
      </c>
      <c r="AI32" s="732">
        <v>41666.666666666664</v>
      </c>
      <c r="AJ32" s="732">
        <v>41666.666666666664</v>
      </c>
      <c r="AK32" s="732">
        <v>41666.666666666664</v>
      </c>
      <c r="AL32" s="733">
        <v>41666.666666666664</v>
      </c>
      <c r="AM32" s="737">
        <f t="shared" si="4"/>
        <v>799999.99999999988</v>
      </c>
      <c r="AN32" s="732">
        <f t="shared" si="5"/>
        <v>500000.00000000006</v>
      </c>
      <c r="AO32" s="732">
        <f t="shared" si="6"/>
        <v>533224.70588235289</v>
      </c>
      <c r="AP32" s="732">
        <f t="shared" si="8"/>
        <v>808333.33333333314</v>
      </c>
      <c r="AQ32" s="732">
        <f t="shared" si="9"/>
        <v>291666.66666666663</v>
      </c>
    </row>
    <row r="33" spans="1:43" x14ac:dyDescent="0.25">
      <c r="A33" s="378" t="s">
        <v>1416</v>
      </c>
      <c r="B33" s="626">
        <f>SUM(B34:B38,B39,B41,B44)</f>
        <v>33477500.149018824</v>
      </c>
      <c r="C33" s="617">
        <f>SUM(C34:C38,C39,C41,C44)</f>
        <v>1236568.6842319607</v>
      </c>
      <c r="D33" s="617">
        <f t="shared" ref="D33:M33" si="16">SUM(D34:D38,D39,D41,D44)</f>
        <v>880651.0371731373</v>
      </c>
      <c r="E33" s="617">
        <f t="shared" si="16"/>
        <v>1933423.0698201961</v>
      </c>
      <c r="F33" s="617">
        <f t="shared" si="16"/>
        <v>1718545.1548201961</v>
      </c>
      <c r="G33" s="617">
        <f t="shared" si="16"/>
        <v>3176862.8018790195</v>
      </c>
      <c r="H33" s="617">
        <f t="shared" si="16"/>
        <v>4011603.9783496079</v>
      </c>
      <c r="I33" s="617">
        <f t="shared" si="16"/>
        <v>4222262.8018790195</v>
      </c>
      <c r="J33" s="617">
        <f t="shared" si="16"/>
        <v>3852509.8607025491</v>
      </c>
      <c r="K33" s="617">
        <f t="shared" si="16"/>
        <v>3605281.0380554902</v>
      </c>
      <c r="L33" s="617">
        <f t="shared" si="16"/>
        <v>3209200.1818790198</v>
      </c>
      <c r="M33" s="617">
        <f t="shared" si="16"/>
        <v>3090585.4759966666</v>
      </c>
      <c r="N33" s="379">
        <f>SUM(N34:N38,N39,N41,N44)</f>
        <v>2540006.0642319606</v>
      </c>
      <c r="O33" s="379">
        <f t="shared" ref="O33:Y33" si="17">SUM(O34:O38,O39,O41,O44)</f>
        <v>12233333.333333334</v>
      </c>
      <c r="P33" s="617">
        <f t="shared" si="17"/>
        <v>12233333.333333334</v>
      </c>
      <c r="Q33" s="617">
        <f t="shared" si="17"/>
        <v>12233333.333333334</v>
      </c>
      <c r="R33" s="617">
        <f t="shared" si="17"/>
        <v>12233333.333333334</v>
      </c>
      <c r="S33" s="617">
        <f t="shared" si="17"/>
        <v>12233333.333333334</v>
      </c>
      <c r="T33" s="617">
        <f t="shared" si="17"/>
        <v>12233333.333333334</v>
      </c>
      <c r="U33" s="617">
        <f t="shared" si="17"/>
        <v>12233333.333333334</v>
      </c>
      <c r="V33" s="617">
        <f t="shared" si="17"/>
        <v>12233333.333333334</v>
      </c>
      <c r="W33" s="617">
        <f t="shared" si="17"/>
        <v>12233333.333333334</v>
      </c>
      <c r="X33" s="617">
        <f t="shared" si="17"/>
        <v>12233333.333333334</v>
      </c>
      <c r="Y33" s="617">
        <f t="shared" si="17"/>
        <v>12233333.333333334</v>
      </c>
      <c r="Z33" s="379">
        <f>SUM(Z34:Z38,Z39,Z41,Z44)</f>
        <v>12233333.333333334</v>
      </c>
      <c r="AA33" s="379">
        <f t="shared" ref="AA33:AL33" si="18">SUM(AA34:AA38,AA39,AA41,AA44)</f>
        <v>8354166.666666667</v>
      </c>
      <c r="AB33" s="379">
        <f t="shared" si="18"/>
        <v>8354166.666666667</v>
      </c>
      <c r="AC33" s="379">
        <f t="shared" si="18"/>
        <v>8354166.666666667</v>
      </c>
      <c r="AD33" s="379">
        <f t="shared" si="18"/>
        <v>8354166.666666667</v>
      </c>
      <c r="AE33" s="379">
        <f t="shared" si="18"/>
        <v>8354166.666666667</v>
      </c>
      <c r="AF33" s="379">
        <f t="shared" si="18"/>
        <v>8354166.666666667</v>
      </c>
      <c r="AG33" s="379">
        <f t="shared" si="18"/>
        <v>58079166.666666664</v>
      </c>
      <c r="AH33" s="379">
        <f t="shared" si="18"/>
        <v>58079166.666666664</v>
      </c>
      <c r="AI33" s="379">
        <f t="shared" si="18"/>
        <v>58079166.666666664</v>
      </c>
      <c r="AJ33" s="379">
        <f t="shared" si="18"/>
        <v>58079166.666666664</v>
      </c>
      <c r="AK33" s="379">
        <f t="shared" si="18"/>
        <v>58079166.666666664</v>
      </c>
      <c r="AL33" s="379">
        <f t="shared" si="18"/>
        <v>58079166.666666664</v>
      </c>
      <c r="AM33" s="379">
        <f t="shared" si="4"/>
        <v>146800000</v>
      </c>
      <c r="AN33" s="379">
        <f t="shared" si="5"/>
        <v>398600000</v>
      </c>
      <c r="AO33" s="379">
        <f t="shared" si="6"/>
        <v>68060280.427613735</v>
      </c>
      <c r="AP33" s="379">
        <f t="shared" si="8"/>
        <v>151870833.33333331</v>
      </c>
      <c r="AQ33" s="379">
        <f t="shared" si="9"/>
        <v>356829166.66666669</v>
      </c>
    </row>
    <row r="34" spans="1:43" x14ac:dyDescent="0.25">
      <c r="A34" s="363" t="s">
        <v>478</v>
      </c>
      <c r="B34" s="625">
        <f>SUM(C34:N34)</f>
        <v>15870000</v>
      </c>
      <c r="C34" s="644">
        <f>+Engineering!O17</f>
        <v>200000</v>
      </c>
      <c r="D34" s="644">
        <f>+Engineering!P17</f>
        <v>50000</v>
      </c>
      <c r="E34" s="644">
        <f>+Engineering!Q17</f>
        <v>50000</v>
      </c>
      <c r="F34" s="644">
        <f>+Engineering!R17</f>
        <v>380000</v>
      </c>
      <c r="G34" s="644">
        <f>+Engineering!S17</f>
        <v>1100000</v>
      </c>
      <c r="H34" s="644">
        <f>+Engineering!T17</f>
        <v>1730000</v>
      </c>
      <c r="I34" s="644">
        <f>+Engineering!U17</f>
        <v>2200000</v>
      </c>
      <c r="J34" s="644">
        <f>+Engineering!V17</f>
        <v>2230000</v>
      </c>
      <c r="K34" s="644">
        <f>+Engineering!W17</f>
        <v>2200000</v>
      </c>
      <c r="L34" s="644">
        <f>+Engineering!X17</f>
        <v>2130000</v>
      </c>
      <c r="M34" s="644">
        <f>+Engineering!Y17</f>
        <v>2000000</v>
      </c>
      <c r="N34" s="645">
        <f>+Engineering!Z17</f>
        <v>1600000</v>
      </c>
      <c r="O34" s="736">
        <v>10833333.333333334</v>
      </c>
      <c r="P34" s="736">
        <v>10833333.333333334</v>
      </c>
      <c r="Q34" s="736">
        <v>10833333.333333334</v>
      </c>
      <c r="R34" s="736">
        <v>10833333.333333334</v>
      </c>
      <c r="S34" s="736">
        <v>10833333.333333334</v>
      </c>
      <c r="T34" s="736">
        <v>10833333.333333334</v>
      </c>
      <c r="U34" s="736">
        <v>10833333.333333334</v>
      </c>
      <c r="V34" s="736">
        <v>10833333.333333334</v>
      </c>
      <c r="W34" s="736">
        <v>10833333.333333334</v>
      </c>
      <c r="X34" s="736">
        <v>10833333.333333334</v>
      </c>
      <c r="Y34" s="736">
        <v>10833333.333333334</v>
      </c>
      <c r="Z34" s="737">
        <v>10833333.333333334</v>
      </c>
      <c r="AA34" s="732">
        <v>8287500</v>
      </c>
      <c r="AB34" s="732">
        <v>8287500</v>
      </c>
      <c r="AC34" s="732">
        <v>8287500</v>
      </c>
      <c r="AD34" s="732">
        <v>8287500</v>
      </c>
      <c r="AE34" s="732">
        <v>8287500</v>
      </c>
      <c r="AF34" s="732">
        <v>8287500</v>
      </c>
      <c r="AG34" s="732">
        <v>58012500</v>
      </c>
      <c r="AH34" s="732">
        <v>58012500</v>
      </c>
      <c r="AI34" s="732">
        <v>58012500</v>
      </c>
      <c r="AJ34" s="732">
        <v>58012500</v>
      </c>
      <c r="AK34" s="732">
        <v>58012500</v>
      </c>
      <c r="AL34" s="733">
        <v>58012500</v>
      </c>
      <c r="AM34" s="737">
        <f t="shared" si="4"/>
        <v>129999999.99999999</v>
      </c>
      <c r="AN34" s="732">
        <f t="shared" si="5"/>
        <v>397800000</v>
      </c>
      <c r="AO34" s="732">
        <f t="shared" si="6"/>
        <v>48120000.000000007</v>
      </c>
      <c r="AP34" s="732">
        <f t="shared" si="8"/>
        <v>138937500</v>
      </c>
      <c r="AQ34" s="732">
        <f t="shared" si="9"/>
        <v>356362500</v>
      </c>
    </row>
    <row r="35" spans="1:43" x14ac:dyDescent="0.25">
      <c r="A35" s="363" t="s">
        <v>479</v>
      </c>
      <c r="B35" s="625">
        <f>SUM(C35:N35)</f>
        <v>5270000</v>
      </c>
      <c r="C35" s="644">
        <f>+Engineering!O18</f>
        <v>265000</v>
      </c>
      <c r="D35" s="644">
        <f>+Engineering!P18</f>
        <v>265000</v>
      </c>
      <c r="E35" s="644">
        <f>+Engineering!Q18</f>
        <v>815000</v>
      </c>
      <c r="F35" s="644">
        <f>+Engineering!R18</f>
        <v>615000</v>
      </c>
      <c r="G35" s="644">
        <f>+Engineering!S18</f>
        <v>765000</v>
      </c>
      <c r="H35" s="644">
        <f>+Engineering!T18</f>
        <v>815000</v>
      </c>
      <c r="I35" s="644">
        <f>+Engineering!U18</f>
        <v>565000</v>
      </c>
      <c r="J35" s="644">
        <f>+Engineering!V18</f>
        <v>415000</v>
      </c>
      <c r="K35" s="644">
        <f>+Engineering!W18</f>
        <v>325000</v>
      </c>
      <c r="L35" s="644">
        <f>+Engineering!X18</f>
        <v>125000</v>
      </c>
      <c r="M35" s="644">
        <f>+Engineering!Y18</f>
        <v>225000</v>
      </c>
      <c r="N35" s="645">
        <f>+Engineering!Z18</f>
        <v>75000</v>
      </c>
      <c r="O35" s="736">
        <v>0</v>
      </c>
      <c r="P35" s="736">
        <v>0</v>
      </c>
      <c r="Q35" s="736">
        <v>0</v>
      </c>
      <c r="R35" s="736">
        <v>0</v>
      </c>
      <c r="S35" s="736">
        <v>0</v>
      </c>
      <c r="T35" s="736">
        <v>0</v>
      </c>
      <c r="U35" s="736">
        <v>0</v>
      </c>
      <c r="V35" s="736">
        <v>0</v>
      </c>
      <c r="W35" s="736">
        <v>0</v>
      </c>
      <c r="X35" s="736">
        <v>0</v>
      </c>
      <c r="Y35" s="736">
        <v>0</v>
      </c>
      <c r="Z35" s="737">
        <v>0</v>
      </c>
      <c r="AA35" s="732">
        <f>+Summary!G35</f>
        <v>0</v>
      </c>
      <c r="AB35" s="732">
        <f>+Engineering!AZ18</f>
        <v>0</v>
      </c>
      <c r="AC35" s="732">
        <f>+Engineering!BA18</f>
        <v>0</v>
      </c>
      <c r="AD35" s="732">
        <f>+Engineering!BB18</f>
        <v>0</v>
      </c>
      <c r="AE35" s="732">
        <f>+Engineering!BC18</f>
        <v>0</v>
      </c>
      <c r="AF35" s="732">
        <f>+Engineering!BD18</f>
        <v>0</v>
      </c>
      <c r="AG35" s="732">
        <f>+Engineering!BE18</f>
        <v>0</v>
      </c>
      <c r="AH35" s="732">
        <f>+Engineering!BF18</f>
        <v>0</v>
      </c>
      <c r="AI35" s="732">
        <f>+Engineering!BG18</f>
        <v>0</v>
      </c>
      <c r="AJ35" s="732">
        <f>+Engineering!BH18</f>
        <v>0</v>
      </c>
      <c r="AK35" s="732">
        <f>+Engineering!BI18</f>
        <v>0</v>
      </c>
      <c r="AL35" s="733">
        <f>+Engineering!BJ18</f>
        <v>0</v>
      </c>
      <c r="AM35" s="737">
        <f t="shared" si="4"/>
        <v>0</v>
      </c>
      <c r="AN35" s="732">
        <f t="shared" si="5"/>
        <v>0</v>
      </c>
      <c r="AO35" s="732">
        <f t="shared" si="6"/>
        <v>4740000</v>
      </c>
      <c r="AP35" s="732">
        <f t="shared" ref="AP35:AP38" si="19">SUM(S35:AF35)</f>
        <v>0</v>
      </c>
      <c r="AQ35" s="732">
        <f t="shared" ref="AQ35:AQ43" si="20">SUM(AG35:AL35)</f>
        <v>0</v>
      </c>
    </row>
    <row r="36" spans="1:43" x14ac:dyDescent="0.25">
      <c r="A36" s="363" t="s">
        <v>122</v>
      </c>
      <c r="B36" s="625">
        <f>SUM(C36:N36)</f>
        <v>7723000</v>
      </c>
      <c r="C36" s="644">
        <f>+Engineering!O19</f>
        <v>0</v>
      </c>
      <c r="D36" s="644">
        <f>+Engineering!P19</f>
        <v>0</v>
      </c>
      <c r="E36" s="644">
        <f>+Engineering!Q19</f>
        <v>39600</v>
      </c>
      <c r="F36" s="644">
        <f>+Engineering!R19</f>
        <v>39600</v>
      </c>
      <c r="G36" s="644">
        <f>+Engineering!S19</f>
        <v>968600</v>
      </c>
      <c r="H36" s="644">
        <f>+Engineering!T19</f>
        <v>1118600</v>
      </c>
      <c r="I36" s="644">
        <f>+Engineering!U19</f>
        <v>1118600</v>
      </c>
      <c r="J36" s="644">
        <f>+Engineering!V19</f>
        <v>1118600</v>
      </c>
      <c r="K36" s="644">
        <f>+Engineering!W19</f>
        <v>968600</v>
      </c>
      <c r="L36" s="644">
        <f>+Engineering!X19</f>
        <v>843600</v>
      </c>
      <c r="M36" s="644">
        <f>+Engineering!Y19</f>
        <v>753600</v>
      </c>
      <c r="N36" s="645">
        <f>+Engineering!Z19</f>
        <v>753600</v>
      </c>
      <c r="O36" s="736">
        <v>0</v>
      </c>
      <c r="P36" s="736">
        <v>0</v>
      </c>
      <c r="Q36" s="736">
        <v>0</v>
      </c>
      <c r="R36" s="736">
        <v>0</v>
      </c>
      <c r="S36" s="736">
        <v>0</v>
      </c>
      <c r="T36" s="736">
        <v>0</v>
      </c>
      <c r="U36" s="736">
        <v>0</v>
      </c>
      <c r="V36" s="736">
        <v>0</v>
      </c>
      <c r="W36" s="736">
        <v>0</v>
      </c>
      <c r="X36" s="736">
        <v>0</v>
      </c>
      <c r="Y36" s="736">
        <v>0</v>
      </c>
      <c r="Z36" s="737">
        <v>0</v>
      </c>
      <c r="AA36" s="732">
        <f>+Summary!G36</f>
        <v>0</v>
      </c>
      <c r="AB36" s="732">
        <f>+Engineering!AZ19</f>
        <v>0</v>
      </c>
      <c r="AC36" s="732">
        <f>+Engineering!BA19</f>
        <v>0</v>
      </c>
      <c r="AD36" s="732">
        <f>+Engineering!BB19</f>
        <v>0</v>
      </c>
      <c r="AE36" s="732">
        <f>+Engineering!BC19</f>
        <v>0</v>
      </c>
      <c r="AF36" s="732">
        <f>+Engineering!BD19</f>
        <v>0</v>
      </c>
      <c r="AG36" s="732">
        <f>+Engineering!BE19</f>
        <v>0</v>
      </c>
      <c r="AH36" s="732">
        <f>+Engineering!BF19</f>
        <v>0</v>
      </c>
      <c r="AI36" s="732">
        <f>+Engineering!BG19</f>
        <v>0</v>
      </c>
      <c r="AJ36" s="732">
        <f>+Engineering!BH19</f>
        <v>0</v>
      </c>
      <c r="AK36" s="732">
        <f>+Engineering!BI19</f>
        <v>0</v>
      </c>
      <c r="AL36" s="733">
        <f>+Engineering!BJ19</f>
        <v>0</v>
      </c>
      <c r="AM36" s="737">
        <f t="shared" si="4"/>
        <v>0</v>
      </c>
      <c r="AN36" s="732">
        <f t="shared" si="5"/>
        <v>0</v>
      </c>
      <c r="AO36" s="732">
        <f t="shared" si="6"/>
        <v>7723000</v>
      </c>
      <c r="AP36" s="732">
        <f t="shared" si="19"/>
        <v>0</v>
      </c>
      <c r="AQ36" s="732">
        <f t="shared" si="20"/>
        <v>0</v>
      </c>
    </row>
    <row r="37" spans="1:43" x14ac:dyDescent="0.25">
      <c r="A37" s="363" t="s">
        <v>1396</v>
      </c>
      <c r="B37" s="625">
        <f>SUM(C37:N37)</f>
        <v>0</v>
      </c>
      <c r="C37" s="644">
        <v>0</v>
      </c>
      <c r="D37" s="644">
        <v>0</v>
      </c>
      <c r="E37" s="644">
        <v>0</v>
      </c>
      <c r="F37" s="644">
        <v>0</v>
      </c>
      <c r="G37" s="644">
        <v>0</v>
      </c>
      <c r="H37" s="644">
        <v>0</v>
      </c>
      <c r="I37" s="644">
        <v>0</v>
      </c>
      <c r="J37" s="644">
        <v>0</v>
      </c>
      <c r="K37" s="644">
        <v>0</v>
      </c>
      <c r="L37" s="644">
        <v>0</v>
      </c>
      <c r="M37" s="644">
        <v>0</v>
      </c>
      <c r="N37" s="645">
        <v>0</v>
      </c>
      <c r="O37" s="736">
        <v>0</v>
      </c>
      <c r="P37" s="736">
        <v>0</v>
      </c>
      <c r="Q37" s="736">
        <v>0</v>
      </c>
      <c r="R37" s="736">
        <v>0</v>
      </c>
      <c r="S37" s="736">
        <v>0</v>
      </c>
      <c r="T37" s="736">
        <v>0</v>
      </c>
      <c r="U37" s="736">
        <v>0</v>
      </c>
      <c r="V37" s="736">
        <v>0</v>
      </c>
      <c r="W37" s="736">
        <v>0</v>
      </c>
      <c r="X37" s="736">
        <v>0</v>
      </c>
      <c r="Y37" s="736">
        <v>0</v>
      </c>
      <c r="Z37" s="737">
        <v>0</v>
      </c>
      <c r="AA37" s="732">
        <f>+Summary!G37</f>
        <v>0</v>
      </c>
      <c r="AB37" s="732">
        <v>0</v>
      </c>
      <c r="AC37" s="732">
        <v>0</v>
      </c>
      <c r="AD37" s="732">
        <v>0</v>
      </c>
      <c r="AE37" s="732">
        <v>0</v>
      </c>
      <c r="AF37" s="732">
        <v>0</v>
      </c>
      <c r="AG37" s="732">
        <v>0</v>
      </c>
      <c r="AH37" s="732">
        <v>0</v>
      </c>
      <c r="AI37" s="732">
        <v>0</v>
      </c>
      <c r="AJ37" s="732">
        <v>0</v>
      </c>
      <c r="AK37" s="732">
        <v>0</v>
      </c>
      <c r="AL37" s="733">
        <v>0</v>
      </c>
      <c r="AM37" s="737">
        <f t="shared" si="4"/>
        <v>0</v>
      </c>
      <c r="AN37" s="732">
        <f t="shared" si="5"/>
        <v>0</v>
      </c>
      <c r="AO37" s="732">
        <f t="shared" si="6"/>
        <v>0</v>
      </c>
      <c r="AP37" s="732">
        <f t="shared" si="19"/>
        <v>0</v>
      </c>
      <c r="AQ37" s="732">
        <f t="shared" si="20"/>
        <v>0</v>
      </c>
    </row>
    <row r="38" spans="1:43" x14ac:dyDescent="0.25">
      <c r="A38" s="363" t="s">
        <v>128</v>
      </c>
      <c r="B38" s="625">
        <f>SUM(C38:N38)</f>
        <v>100000</v>
      </c>
      <c r="C38" s="644">
        <f>+Healt_and_saffety!O27</f>
        <v>6600</v>
      </c>
      <c r="D38" s="644">
        <f>+Healt_and_saffety!P27</f>
        <v>5800</v>
      </c>
      <c r="E38" s="644">
        <f>+Healt_and_saffety!Q27</f>
        <v>6600</v>
      </c>
      <c r="F38" s="644">
        <f>+Healt_and_saffety!R27</f>
        <v>12800</v>
      </c>
      <c r="G38" s="644">
        <f>+Healt_and_saffety!S27</f>
        <v>12000</v>
      </c>
      <c r="H38" s="644">
        <f>+Healt_and_saffety!T27</f>
        <v>14800</v>
      </c>
      <c r="I38" s="644">
        <f>+Healt_and_saffety!U27</f>
        <v>7400</v>
      </c>
      <c r="J38" s="644">
        <f>+Healt_and_saffety!V27</f>
        <v>6000</v>
      </c>
      <c r="K38" s="644">
        <f>+Healt_and_saffety!W27</f>
        <v>5800</v>
      </c>
      <c r="L38" s="644">
        <f>+Healt_and_saffety!X27</f>
        <v>7400</v>
      </c>
      <c r="M38" s="644">
        <f>+Healt_and_saffety!Y27</f>
        <v>8800</v>
      </c>
      <c r="N38" s="645">
        <f>+Healt_and_saffety!Z27</f>
        <v>6000</v>
      </c>
      <c r="O38" s="736">
        <v>0</v>
      </c>
      <c r="P38" s="736">
        <v>0</v>
      </c>
      <c r="Q38" s="736">
        <v>0</v>
      </c>
      <c r="R38" s="736">
        <v>0</v>
      </c>
      <c r="S38" s="736">
        <v>0</v>
      </c>
      <c r="T38" s="736">
        <v>0</v>
      </c>
      <c r="U38" s="736">
        <v>0</v>
      </c>
      <c r="V38" s="736">
        <v>0</v>
      </c>
      <c r="W38" s="736">
        <v>0</v>
      </c>
      <c r="X38" s="736">
        <v>0</v>
      </c>
      <c r="Y38" s="736">
        <v>0</v>
      </c>
      <c r="Z38" s="737">
        <v>0</v>
      </c>
      <c r="AA38" s="732">
        <f>+Summary!G38</f>
        <v>0</v>
      </c>
      <c r="AB38" s="732">
        <f>+Healt_and_saffety!AZ27</f>
        <v>0</v>
      </c>
      <c r="AC38" s="732">
        <f>+Healt_and_saffety!BA27</f>
        <v>0</v>
      </c>
      <c r="AD38" s="732">
        <f>+Healt_and_saffety!BB27</f>
        <v>0</v>
      </c>
      <c r="AE38" s="732">
        <f>+Healt_and_saffety!BC27</f>
        <v>0</v>
      </c>
      <c r="AF38" s="732">
        <f>+Healt_and_saffety!BD27</f>
        <v>0</v>
      </c>
      <c r="AG38" s="732">
        <f>+Healt_and_saffety!BE27</f>
        <v>0</v>
      </c>
      <c r="AH38" s="732">
        <f>+Healt_and_saffety!BF27</f>
        <v>0</v>
      </c>
      <c r="AI38" s="732">
        <f>+Healt_and_saffety!BG27</f>
        <v>0</v>
      </c>
      <c r="AJ38" s="732">
        <f>+Healt_and_saffety!BH27</f>
        <v>0</v>
      </c>
      <c r="AK38" s="732">
        <f>+Healt_and_saffety!BI27</f>
        <v>0</v>
      </c>
      <c r="AL38" s="733">
        <f>+Healt_and_saffety!BJ27</f>
        <v>0</v>
      </c>
      <c r="AM38" s="737">
        <f t="shared" si="4"/>
        <v>0</v>
      </c>
      <c r="AN38" s="732">
        <f t="shared" si="5"/>
        <v>0</v>
      </c>
      <c r="AO38" s="732">
        <f t="shared" si="6"/>
        <v>87600</v>
      </c>
      <c r="AP38" s="732">
        <f t="shared" si="19"/>
        <v>0</v>
      </c>
      <c r="AQ38" s="732">
        <f t="shared" si="20"/>
        <v>0</v>
      </c>
    </row>
    <row r="39" spans="1:43" x14ac:dyDescent="0.25">
      <c r="A39" s="147" t="s">
        <v>131</v>
      </c>
      <c r="B39" s="627">
        <f>SUM(B40)</f>
        <v>3170000</v>
      </c>
      <c r="C39" s="646">
        <f t="shared" ref="C39:Z39" si="21">SUM(C40)</f>
        <v>140000</v>
      </c>
      <c r="D39" s="646">
        <f t="shared" si="21"/>
        <v>435000</v>
      </c>
      <c r="E39" s="646">
        <f t="shared" si="21"/>
        <v>895000</v>
      </c>
      <c r="F39" s="646">
        <f t="shared" si="21"/>
        <v>630000</v>
      </c>
      <c r="G39" s="646">
        <f t="shared" si="21"/>
        <v>290000</v>
      </c>
      <c r="H39" s="646">
        <f t="shared" si="21"/>
        <v>290000</v>
      </c>
      <c r="I39" s="646">
        <f t="shared" si="21"/>
        <v>290000</v>
      </c>
      <c r="J39" s="646">
        <f t="shared" si="21"/>
        <v>40000</v>
      </c>
      <c r="K39" s="646">
        <f t="shared" si="21"/>
        <v>40000</v>
      </c>
      <c r="L39" s="646">
        <f t="shared" si="21"/>
        <v>40000</v>
      </c>
      <c r="M39" s="646">
        <f t="shared" si="21"/>
        <v>40000</v>
      </c>
      <c r="N39" s="647">
        <f t="shared" si="21"/>
        <v>40000</v>
      </c>
      <c r="O39" s="738">
        <f t="shared" si="21"/>
        <v>83333.333333333328</v>
      </c>
      <c r="P39" s="738">
        <f t="shared" si="21"/>
        <v>83333.333333333328</v>
      </c>
      <c r="Q39" s="738">
        <f t="shared" si="21"/>
        <v>83333.333333333328</v>
      </c>
      <c r="R39" s="738">
        <f t="shared" si="21"/>
        <v>83333.333333333328</v>
      </c>
      <c r="S39" s="738">
        <f t="shared" si="21"/>
        <v>83333.333333333328</v>
      </c>
      <c r="T39" s="738">
        <f t="shared" si="21"/>
        <v>83333.333333333328</v>
      </c>
      <c r="U39" s="738">
        <f t="shared" si="21"/>
        <v>83333.333333333328</v>
      </c>
      <c r="V39" s="738">
        <f t="shared" si="21"/>
        <v>83333.333333333328</v>
      </c>
      <c r="W39" s="738">
        <f t="shared" si="21"/>
        <v>83333.333333333328</v>
      </c>
      <c r="X39" s="738">
        <f t="shared" si="21"/>
        <v>83333.333333333328</v>
      </c>
      <c r="Y39" s="738">
        <f t="shared" si="21"/>
        <v>83333.333333333328</v>
      </c>
      <c r="Z39" s="738">
        <f t="shared" si="21"/>
        <v>83333.333333333328</v>
      </c>
      <c r="AA39" s="732">
        <f>+Summary!G39</f>
        <v>0</v>
      </c>
      <c r="AB39" s="735">
        <f t="shared" ref="AB39:AL39" si="22">SUM(AB40)</f>
        <v>0</v>
      </c>
      <c r="AC39" s="735">
        <f t="shared" si="22"/>
        <v>0</v>
      </c>
      <c r="AD39" s="735">
        <f t="shared" si="22"/>
        <v>0</v>
      </c>
      <c r="AE39" s="735">
        <f t="shared" si="22"/>
        <v>0</v>
      </c>
      <c r="AF39" s="735">
        <f t="shared" si="22"/>
        <v>0</v>
      </c>
      <c r="AG39" s="735">
        <f t="shared" si="22"/>
        <v>0</v>
      </c>
      <c r="AH39" s="735">
        <f t="shared" si="22"/>
        <v>0</v>
      </c>
      <c r="AI39" s="735">
        <f t="shared" si="22"/>
        <v>0</v>
      </c>
      <c r="AJ39" s="735">
        <f t="shared" si="22"/>
        <v>0</v>
      </c>
      <c r="AK39" s="735">
        <f t="shared" si="22"/>
        <v>0</v>
      </c>
      <c r="AL39" s="734">
        <f t="shared" si="22"/>
        <v>0</v>
      </c>
      <c r="AM39" s="738">
        <f t="shared" si="4"/>
        <v>1000000.0000000001</v>
      </c>
      <c r="AN39" s="735">
        <f t="shared" si="5"/>
        <v>0</v>
      </c>
      <c r="AO39" s="735">
        <f t="shared" si="6"/>
        <v>2845000.0000000005</v>
      </c>
      <c r="AP39" s="735">
        <f t="shared" ref="AP39:AP57" si="23">SUM(R39:AE39)</f>
        <v>750000</v>
      </c>
      <c r="AQ39" s="735">
        <f t="shared" si="20"/>
        <v>0</v>
      </c>
    </row>
    <row r="40" spans="1:43" x14ac:dyDescent="0.25">
      <c r="A40" s="363" t="s">
        <v>131</v>
      </c>
      <c r="B40" s="625">
        <f>SUM(C40:N40)</f>
        <v>3170000</v>
      </c>
      <c r="C40" s="644">
        <f>+Metallurgy!O27</f>
        <v>140000</v>
      </c>
      <c r="D40" s="644">
        <f>+Metallurgy!P27</f>
        <v>435000</v>
      </c>
      <c r="E40" s="644">
        <f>+Metallurgy!Q27</f>
        <v>895000</v>
      </c>
      <c r="F40" s="644">
        <f>+Metallurgy!R27</f>
        <v>630000</v>
      </c>
      <c r="G40" s="644">
        <f>+Metallurgy!S27</f>
        <v>290000</v>
      </c>
      <c r="H40" s="644">
        <f>+Metallurgy!T27</f>
        <v>290000</v>
      </c>
      <c r="I40" s="644">
        <f>+Metallurgy!U27</f>
        <v>290000</v>
      </c>
      <c r="J40" s="644">
        <f>+Metallurgy!V27</f>
        <v>40000</v>
      </c>
      <c r="K40" s="644">
        <f>+Metallurgy!W27</f>
        <v>40000</v>
      </c>
      <c r="L40" s="644">
        <f>+Metallurgy!X27</f>
        <v>40000</v>
      </c>
      <c r="M40" s="644">
        <f>+Metallurgy!Y27</f>
        <v>40000</v>
      </c>
      <c r="N40" s="645">
        <f>+Metallurgy!Z27</f>
        <v>40000</v>
      </c>
      <c r="O40" s="736">
        <v>83333.333333333328</v>
      </c>
      <c r="P40" s="736">
        <v>83333.333333333328</v>
      </c>
      <c r="Q40" s="736">
        <v>83333.333333333328</v>
      </c>
      <c r="R40" s="736">
        <v>83333.333333333328</v>
      </c>
      <c r="S40" s="736">
        <v>83333.333333333328</v>
      </c>
      <c r="T40" s="736">
        <v>83333.333333333328</v>
      </c>
      <c r="U40" s="736">
        <v>83333.333333333328</v>
      </c>
      <c r="V40" s="736">
        <v>83333.333333333328</v>
      </c>
      <c r="W40" s="736">
        <v>83333.333333333328</v>
      </c>
      <c r="X40" s="736">
        <v>83333.333333333328</v>
      </c>
      <c r="Y40" s="736">
        <v>83333.333333333328</v>
      </c>
      <c r="Z40" s="737">
        <v>83333.333333333328</v>
      </c>
      <c r="AA40" s="732">
        <f>+Summary!G40</f>
        <v>0</v>
      </c>
      <c r="AB40" s="732">
        <f>+Metallurgy!AZ27</f>
        <v>0</v>
      </c>
      <c r="AC40" s="732">
        <f>+Metallurgy!BA27</f>
        <v>0</v>
      </c>
      <c r="AD40" s="732">
        <f>+Metallurgy!BB27</f>
        <v>0</v>
      </c>
      <c r="AE40" s="732">
        <f>+Metallurgy!BC27</f>
        <v>0</v>
      </c>
      <c r="AF40" s="732">
        <f>+Metallurgy!BD27</f>
        <v>0</v>
      </c>
      <c r="AG40" s="732">
        <f>+Metallurgy!BE27</f>
        <v>0</v>
      </c>
      <c r="AH40" s="732">
        <f>+Metallurgy!BF27</f>
        <v>0</v>
      </c>
      <c r="AI40" s="732">
        <f>+Metallurgy!BG27</f>
        <v>0</v>
      </c>
      <c r="AJ40" s="732">
        <f>+Metallurgy!BH27</f>
        <v>0</v>
      </c>
      <c r="AK40" s="732">
        <f>+Metallurgy!BI27</f>
        <v>0</v>
      </c>
      <c r="AL40" s="733">
        <f>+Metallurgy!BJ27</f>
        <v>0</v>
      </c>
      <c r="AM40" s="737">
        <f t="shared" si="4"/>
        <v>1000000.0000000001</v>
      </c>
      <c r="AN40" s="732">
        <f t="shared" si="5"/>
        <v>0</v>
      </c>
      <c r="AO40" s="732">
        <f t="shared" ref="AO40:AO58" si="24">SUM(E40:Q40)</f>
        <v>2845000.0000000005</v>
      </c>
      <c r="AP40" s="732">
        <f t="shared" si="23"/>
        <v>750000</v>
      </c>
      <c r="AQ40" s="732">
        <f t="shared" si="20"/>
        <v>0</v>
      </c>
    </row>
    <row r="41" spans="1:43" x14ac:dyDescent="0.25">
      <c r="A41" s="147" t="s">
        <v>162</v>
      </c>
      <c r="B41" s="627">
        <f>SUM(B42:B43)</f>
        <v>744500</v>
      </c>
      <c r="C41" s="646">
        <f t="shared" ref="C41:Z41" si="25">SUM(C42:C43)</f>
        <v>581500</v>
      </c>
      <c r="D41" s="646">
        <f t="shared" si="25"/>
        <v>81500</v>
      </c>
      <c r="E41" s="646">
        <f t="shared" si="25"/>
        <v>81500</v>
      </c>
      <c r="F41" s="646">
        <f t="shared" si="25"/>
        <v>0</v>
      </c>
      <c r="G41" s="646">
        <f t="shared" si="25"/>
        <v>0</v>
      </c>
      <c r="H41" s="646">
        <f t="shared" si="25"/>
        <v>0</v>
      </c>
      <c r="I41" s="646">
        <f t="shared" si="25"/>
        <v>0</v>
      </c>
      <c r="J41" s="646">
        <f t="shared" si="25"/>
        <v>0</v>
      </c>
      <c r="K41" s="646">
        <f t="shared" si="25"/>
        <v>0</v>
      </c>
      <c r="L41" s="646">
        <f t="shared" si="25"/>
        <v>0</v>
      </c>
      <c r="M41" s="646">
        <f t="shared" si="25"/>
        <v>0</v>
      </c>
      <c r="N41" s="647">
        <f t="shared" si="25"/>
        <v>0</v>
      </c>
      <c r="O41" s="738">
        <f t="shared" si="25"/>
        <v>1250000</v>
      </c>
      <c r="P41" s="738">
        <f t="shared" si="25"/>
        <v>1250000</v>
      </c>
      <c r="Q41" s="738">
        <f t="shared" si="25"/>
        <v>1250000</v>
      </c>
      <c r="R41" s="738">
        <f t="shared" si="25"/>
        <v>1250000</v>
      </c>
      <c r="S41" s="738">
        <f t="shared" si="25"/>
        <v>1250000</v>
      </c>
      <c r="T41" s="738">
        <f t="shared" si="25"/>
        <v>1250000</v>
      </c>
      <c r="U41" s="738">
        <f t="shared" si="25"/>
        <v>1250000</v>
      </c>
      <c r="V41" s="738">
        <f t="shared" si="25"/>
        <v>1250000</v>
      </c>
      <c r="W41" s="738">
        <f t="shared" si="25"/>
        <v>1250000</v>
      </c>
      <c r="X41" s="738">
        <f t="shared" si="25"/>
        <v>1250000</v>
      </c>
      <c r="Y41" s="738">
        <f t="shared" si="25"/>
        <v>1250000</v>
      </c>
      <c r="Z41" s="738">
        <f t="shared" si="25"/>
        <v>1250000</v>
      </c>
      <c r="AA41" s="732">
        <f>+Summary!G41</f>
        <v>0</v>
      </c>
      <c r="AB41" s="735">
        <f t="shared" ref="AB41:AL41" si="26">SUM(AB42:AB43)</f>
        <v>0</v>
      </c>
      <c r="AC41" s="735">
        <f t="shared" si="26"/>
        <v>0</v>
      </c>
      <c r="AD41" s="735">
        <f t="shared" si="26"/>
        <v>0</v>
      </c>
      <c r="AE41" s="735">
        <f t="shared" si="26"/>
        <v>0</v>
      </c>
      <c r="AF41" s="735">
        <f t="shared" si="26"/>
        <v>0</v>
      </c>
      <c r="AG41" s="735">
        <f t="shared" si="26"/>
        <v>0</v>
      </c>
      <c r="AH41" s="735">
        <f t="shared" si="26"/>
        <v>0</v>
      </c>
      <c r="AI41" s="735">
        <f t="shared" si="26"/>
        <v>0</v>
      </c>
      <c r="AJ41" s="735">
        <f t="shared" si="26"/>
        <v>0</v>
      </c>
      <c r="AK41" s="735">
        <f t="shared" si="26"/>
        <v>0</v>
      </c>
      <c r="AL41" s="734">
        <f t="shared" si="26"/>
        <v>0</v>
      </c>
      <c r="AM41" s="738">
        <f t="shared" si="4"/>
        <v>15000000</v>
      </c>
      <c r="AN41" s="735">
        <f t="shared" si="5"/>
        <v>0</v>
      </c>
      <c r="AO41" s="735">
        <f t="shared" si="24"/>
        <v>3831500</v>
      </c>
      <c r="AP41" s="735">
        <f t="shared" si="23"/>
        <v>11250000</v>
      </c>
      <c r="AQ41" s="735">
        <f t="shared" si="20"/>
        <v>0</v>
      </c>
    </row>
    <row r="42" spans="1:43" x14ac:dyDescent="0.25">
      <c r="A42" s="363" t="s">
        <v>480</v>
      </c>
      <c r="B42" s="625">
        <f>SUM(C42:N42)</f>
        <v>744500</v>
      </c>
      <c r="C42" s="644">
        <f>+Drilling!O27</f>
        <v>581500</v>
      </c>
      <c r="D42" s="644">
        <f>+Drilling!P27</f>
        <v>81500</v>
      </c>
      <c r="E42" s="644">
        <f>+Drilling!Q27</f>
        <v>81500</v>
      </c>
      <c r="F42" s="644">
        <f>+Drilling!R27</f>
        <v>0</v>
      </c>
      <c r="G42" s="644">
        <f>+Drilling!S27</f>
        <v>0</v>
      </c>
      <c r="H42" s="644">
        <f>+Drilling!T27</f>
        <v>0</v>
      </c>
      <c r="I42" s="644">
        <f>+Drilling!U27</f>
        <v>0</v>
      </c>
      <c r="J42" s="644">
        <f>+Drilling!V27</f>
        <v>0</v>
      </c>
      <c r="K42" s="644">
        <f>+Drilling!W27</f>
        <v>0</v>
      </c>
      <c r="L42" s="644">
        <f>+Drilling!X27</f>
        <v>0</v>
      </c>
      <c r="M42" s="644">
        <f>+Drilling!Y27</f>
        <v>0</v>
      </c>
      <c r="N42" s="645">
        <f>+Drilling!Z27</f>
        <v>0</v>
      </c>
      <c r="O42" s="736">
        <v>625000</v>
      </c>
      <c r="P42" s="736">
        <v>625000</v>
      </c>
      <c r="Q42" s="736">
        <v>625000</v>
      </c>
      <c r="R42" s="736">
        <v>625000</v>
      </c>
      <c r="S42" s="736">
        <v>625000</v>
      </c>
      <c r="T42" s="736">
        <v>625000</v>
      </c>
      <c r="U42" s="736">
        <v>625000</v>
      </c>
      <c r="V42" s="736">
        <v>625000</v>
      </c>
      <c r="W42" s="736">
        <v>625000</v>
      </c>
      <c r="X42" s="736">
        <v>625000</v>
      </c>
      <c r="Y42" s="736">
        <v>625000</v>
      </c>
      <c r="Z42" s="737">
        <v>625000</v>
      </c>
      <c r="AA42" s="732">
        <f>+Summary!G42</f>
        <v>0</v>
      </c>
      <c r="AB42" s="732">
        <f>+Drilling!AZ27</f>
        <v>0</v>
      </c>
      <c r="AC42" s="732">
        <f>+Drilling!BA27</f>
        <v>0</v>
      </c>
      <c r="AD42" s="732">
        <f>+Drilling!BB27</f>
        <v>0</v>
      </c>
      <c r="AE42" s="732">
        <f>+Drilling!BC27</f>
        <v>0</v>
      </c>
      <c r="AF42" s="732">
        <f>+Drilling!BD27</f>
        <v>0</v>
      </c>
      <c r="AG42" s="732">
        <f>+Drilling!BE27</f>
        <v>0</v>
      </c>
      <c r="AH42" s="732">
        <f>+Drilling!BF27</f>
        <v>0</v>
      </c>
      <c r="AI42" s="732">
        <f>+Drilling!BG27</f>
        <v>0</v>
      </c>
      <c r="AJ42" s="732">
        <f>+Drilling!BH27</f>
        <v>0</v>
      </c>
      <c r="AK42" s="732">
        <f>+Drilling!BI27</f>
        <v>0</v>
      </c>
      <c r="AL42" s="733">
        <f>+Drilling!BJ27</f>
        <v>0</v>
      </c>
      <c r="AM42" s="737">
        <f t="shared" si="4"/>
        <v>7500000</v>
      </c>
      <c r="AN42" s="732">
        <f t="shared" si="5"/>
        <v>0</v>
      </c>
      <c r="AO42" s="732">
        <f t="shared" si="24"/>
        <v>1956500</v>
      </c>
      <c r="AP42" s="732">
        <f t="shared" si="23"/>
        <v>5625000</v>
      </c>
      <c r="AQ42" s="732">
        <f t="shared" si="20"/>
        <v>0</v>
      </c>
    </row>
    <row r="43" spans="1:43" x14ac:dyDescent="0.25">
      <c r="A43" s="363" t="s">
        <v>137</v>
      </c>
      <c r="B43" s="625">
        <f>SUM(C43:N43)</f>
        <v>0</v>
      </c>
      <c r="C43" s="644">
        <v>0</v>
      </c>
      <c r="D43" s="644">
        <v>0</v>
      </c>
      <c r="E43" s="644">
        <v>0</v>
      </c>
      <c r="F43" s="644">
        <v>0</v>
      </c>
      <c r="G43" s="644">
        <v>0</v>
      </c>
      <c r="H43" s="644">
        <v>0</v>
      </c>
      <c r="I43" s="644">
        <v>0</v>
      </c>
      <c r="J43" s="644">
        <v>0</v>
      </c>
      <c r="K43" s="644">
        <v>0</v>
      </c>
      <c r="L43" s="644">
        <v>0</v>
      </c>
      <c r="M43" s="644">
        <v>0</v>
      </c>
      <c r="N43" s="645">
        <v>0</v>
      </c>
      <c r="O43" s="736">
        <v>625000</v>
      </c>
      <c r="P43" s="736">
        <v>625000</v>
      </c>
      <c r="Q43" s="736">
        <v>625000</v>
      </c>
      <c r="R43" s="736">
        <v>625000</v>
      </c>
      <c r="S43" s="736">
        <v>625000</v>
      </c>
      <c r="T43" s="736">
        <v>625000</v>
      </c>
      <c r="U43" s="736">
        <v>625000</v>
      </c>
      <c r="V43" s="736">
        <v>625000</v>
      </c>
      <c r="W43" s="736">
        <v>625000</v>
      </c>
      <c r="X43" s="736">
        <v>625000</v>
      </c>
      <c r="Y43" s="736">
        <v>625000</v>
      </c>
      <c r="Z43" s="737">
        <v>625000</v>
      </c>
      <c r="AA43" s="732">
        <f>+Summary!G43</f>
        <v>0</v>
      </c>
      <c r="AB43" s="732">
        <v>0</v>
      </c>
      <c r="AC43" s="732">
        <v>0</v>
      </c>
      <c r="AD43" s="732">
        <v>0</v>
      </c>
      <c r="AE43" s="732">
        <v>0</v>
      </c>
      <c r="AF43" s="732">
        <v>0</v>
      </c>
      <c r="AG43" s="732">
        <v>0</v>
      </c>
      <c r="AH43" s="732">
        <v>0</v>
      </c>
      <c r="AI43" s="732">
        <v>0</v>
      </c>
      <c r="AJ43" s="732">
        <v>0</v>
      </c>
      <c r="AK43" s="732">
        <v>0</v>
      </c>
      <c r="AL43" s="733">
        <v>0</v>
      </c>
      <c r="AM43" s="737">
        <f t="shared" si="4"/>
        <v>7500000</v>
      </c>
      <c r="AN43" s="732">
        <f t="shared" si="5"/>
        <v>0</v>
      </c>
      <c r="AO43" s="732">
        <f t="shared" si="24"/>
        <v>1875000</v>
      </c>
      <c r="AP43" s="732">
        <f t="shared" si="23"/>
        <v>5625000</v>
      </c>
      <c r="AQ43" s="732">
        <f t="shared" si="20"/>
        <v>0</v>
      </c>
    </row>
    <row r="44" spans="1:43" x14ac:dyDescent="0.25">
      <c r="A44" s="147" t="s">
        <v>165</v>
      </c>
      <c r="B44" s="627">
        <f>SUM(B45)</f>
        <v>600000.14901882352</v>
      </c>
      <c r="C44" s="646">
        <f t="shared" ref="C44:AL44" si="27">SUM(C45)</f>
        <v>43468.684231960782</v>
      </c>
      <c r="D44" s="646">
        <f t="shared" si="27"/>
        <v>43351.037173137258</v>
      </c>
      <c r="E44" s="646">
        <f t="shared" si="27"/>
        <v>45723.069820196077</v>
      </c>
      <c r="F44" s="646">
        <f t="shared" si="27"/>
        <v>41145.154820196083</v>
      </c>
      <c r="G44" s="646">
        <f t="shared" si="27"/>
        <v>41262.801879019607</v>
      </c>
      <c r="H44" s="646">
        <f t="shared" si="27"/>
        <v>43203.978349607845</v>
      </c>
      <c r="I44" s="646">
        <f t="shared" si="27"/>
        <v>41262.801879019607</v>
      </c>
      <c r="J44" s="646">
        <f t="shared" si="27"/>
        <v>42909.86070254902</v>
      </c>
      <c r="K44" s="646">
        <f t="shared" si="27"/>
        <v>65881.038055490193</v>
      </c>
      <c r="L44" s="646">
        <f t="shared" si="27"/>
        <v>63200.181879019612</v>
      </c>
      <c r="M44" s="646">
        <f t="shared" si="27"/>
        <v>63185.475996666661</v>
      </c>
      <c r="N44" s="647">
        <f t="shared" si="27"/>
        <v>65406.064231960787</v>
      </c>
      <c r="O44" s="738">
        <f t="shared" si="27"/>
        <v>66666.666666666672</v>
      </c>
      <c r="P44" s="738">
        <f t="shared" si="27"/>
        <v>66666.666666666672</v>
      </c>
      <c r="Q44" s="738">
        <f t="shared" si="27"/>
        <v>66666.666666666672</v>
      </c>
      <c r="R44" s="738">
        <f t="shared" si="27"/>
        <v>66666.666666666672</v>
      </c>
      <c r="S44" s="738">
        <f t="shared" si="27"/>
        <v>66666.666666666672</v>
      </c>
      <c r="T44" s="738">
        <f t="shared" si="27"/>
        <v>66666.666666666672</v>
      </c>
      <c r="U44" s="738">
        <f t="shared" si="27"/>
        <v>66666.666666666672</v>
      </c>
      <c r="V44" s="738">
        <f t="shared" si="27"/>
        <v>66666.666666666672</v>
      </c>
      <c r="W44" s="738">
        <f t="shared" si="27"/>
        <v>66666.666666666672</v>
      </c>
      <c r="X44" s="738">
        <f t="shared" si="27"/>
        <v>66666.666666666672</v>
      </c>
      <c r="Y44" s="738">
        <f t="shared" si="27"/>
        <v>66666.666666666672</v>
      </c>
      <c r="Z44" s="738">
        <f t="shared" si="27"/>
        <v>66666.666666666672</v>
      </c>
      <c r="AA44" s="734">
        <f t="shared" si="27"/>
        <v>66666.666666666672</v>
      </c>
      <c r="AB44" s="734">
        <f t="shared" si="27"/>
        <v>66666.666666666672</v>
      </c>
      <c r="AC44" s="734">
        <f t="shared" si="27"/>
        <v>66666.666666666672</v>
      </c>
      <c r="AD44" s="734">
        <f t="shared" si="27"/>
        <v>66666.666666666672</v>
      </c>
      <c r="AE44" s="734">
        <f t="shared" si="27"/>
        <v>66666.666666666672</v>
      </c>
      <c r="AF44" s="734">
        <f t="shared" si="27"/>
        <v>66666.666666666672</v>
      </c>
      <c r="AG44" s="734">
        <f t="shared" si="27"/>
        <v>66666.666666666672</v>
      </c>
      <c r="AH44" s="734">
        <f t="shared" si="27"/>
        <v>66666.666666666672</v>
      </c>
      <c r="AI44" s="734">
        <f t="shared" si="27"/>
        <v>66666.666666666672</v>
      </c>
      <c r="AJ44" s="734">
        <f t="shared" si="27"/>
        <v>66666.666666666672</v>
      </c>
      <c r="AK44" s="734">
        <f t="shared" si="27"/>
        <v>66666.666666666672</v>
      </c>
      <c r="AL44" s="734">
        <f t="shared" si="27"/>
        <v>66666.666666666672</v>
      </c>
      <c r="AM44" s="738">
        <f t="shared" si="4"/>
        <v>799999.99999999988</v>
      </c>
      <c r="AN44" s="734">
        <f t="shared" si="5"/>
        <v>799999.99999999988</v>
      </c>
      <c r="AO44" s="734">
        <f t="shared" si="24"/>
        <v>713180.42761372542</v>
      </c>
      <c r="AP44" s="734">
        <f t="shared" si="23"/>
        <v>933333.33333333314</v>
      </c>
      <c r="AQ44" s="734">
        <f>SUM(AF44:AL44)</f>
        <v>466666.66666666674</v>
      </c>
    </row>
    <row r="45" spans="1:43" x14ac:dyDescent="0.25">
      <c r="A45" s="363" t="s">
        <v>140</v>
      </c>
      <c r="B45" s="625">
        <f>SUM(C45:N45)</f>
        <v>600000.14901882352</v>
      </c>
      <c r="C45" s="644">
        <f>+Camp!O26</f>
        <v>43468.684231960782</v>
      </c>
      <c r="D45" s="644">
        <f>+Camp!P26</f>
        <v>43351.037173137258</v>
      </c>
      <c r="E45" s="644">
        <f>+Camp!Q26</f>
        <v>45723.069820196077</v>
      </c>
      <c r="F45" s="644">
        <f>+Camp!R26</f>
        <v>41145.154820196083</v>
      </c>
      <c r="G45" s="644">
        <f>+Camp!S26</f>
        <v>41262.801879019607</v>
      </c>
      <c r="H45" s="644">
        <f>+Camp!T26</f>
        <v>43203.978349607845</v>
      </c>
      <c r="I45" s="644">
        <f>+Camp!U26</f>
        <v>41262.801879019607</v>
      </c>
      <c r="J45" s="644">
        <f>+Camp!V26</f>
        <v>42909.86070254902</v>
      </c>
      <c r="K45" s="644">
        <f>+Camp!W26</f>
        <v>65881.038055490193</v>
      </c>
      <c r="L45" s="644">
        <f>+Camp!X26</f>
        <v>63200.181879019612</v>
      </c>
      <c r="M45" s="644">
        <f>+Camp!Y26</f>
        <v>63185.475996666661</v>
      </c>
      <c r="N45" s="645">
        <f>+Camp!Z26</f>
        <v>65406.064231960787</v>
      </c>
      <c r="O45" s="736">
        <v>66666.666666666672</v>
      </c>
      <c r="P45" s="736">
        <v>66666.666666666672</v>
      </c>
      <c r="Q45" s="736">
        <v>66666.666666666672</v>
      </c>
      <c r="R45" s="736">
        <v>66666.666666666672</v>
      </c>
      <c r="S45" s="736">
        <v>66666.666666666672</v>
      </c>
      <c r="T45" s="736">
        <v>66666.666666666672</v>
      </c>
      <c r="U45" s="736">
        <v>66666.666666666672</v>
      </c>
      <c r="V45" s="736">
        <v>66666.666666666672</v>
      </c>
      <c r="W45" s="736">
        <v>66666.666666666672</v>
      </c>
      <c r="X45" s="736">
        <v>66666.666666666672</v>
      </c>
      <c r="Y45" s="736">
        <v>66666.666666666672</v>
      </c>
      <c r="Z45" s="737">
        <v>66666.666666666672</v>
      </c>
      <c r="AA45" s="732">
        <v>66666.666666666672</v>
      </c>
      <c r="AB45" s="732">
        <v>66666.666666666672</v>
      </c>
      <c r="AC45" s="732">
        <v>66666.666666666672</v>
      </c>
      <c r="AD45" s="732">
        <v>66666.666666666672</v>
      </c>
      <c r="AE45" s="732">
        <v>66666.666666666672</v>
      </c>
      <c r="AF45" s="732">
        <v>66666.666666666672</v>
      </c>
      <c r="AG45" s="732">
        <v>66666.666666666672</v>
      </c>
      <c r="AH45" s="732">
        <v>66666.666666666672</v>
      </c>
      <c r="AI45" s="732">
        <v>66666.666666666672</v>
      </c>
      <c r="AJ45" s="732">
        <v>66666.666666666672</v>
      </c>
      <c r="AK45" s="732">
        <v>66666.666666666672</v>
      </c>
      <c r="AL45" s="733">
        <v>66666.666666666672</v>
      </c>
      <c r="AM45" s="737">
        <f t="shared" si="4"/>
        <v>799999.99999999988</v>
      </c>
      <c r="AN45" s="732">
        <f t="shared" si="5"/>
        <v>799999.99999999988</v>
      </c>
      <c r="AO45" s="732">
        <f t="shared" si="24"/>
        <v>713180.42761372542</v>
      </c>
      <c r="AP45" s="732">
        <f t="shared" si="23"/>
        <v>933333.33333333314</v>
      </c>
      <c r="AQ45" s="732">
        <f t="shared" ref="AQ45:AQ58" si="28">SUM(AF45:AL45)</f>
        <v>466666.66666666674</v>
      </c>
    </row>
    <row r="46" spans="1:43" x14ac:dyDescent="0.25">
      <c r="A46" s="378" t="s">
        <v>167</v>
      </c>
      <c r="B46" s="626">
        <f>SUM(B47,B49,B51)</f>
        <v>11566760.714570152</v>
      </c>
      <c r="C46" s="617">
        <f t="shared" ref="C46:AL46" si="29">SUM(C47,C49,C51)</f>
        <v>212210.58974358975</v>
      </c>
      <c r="D46" s="617">
        <f t="shared" si="29"/>
        <v>1133771.8023897293</v>
      </c>
      <c r="E46" s="617">
        <f t="shared" si="29"/>
        <v>1877681.6520146523</v>
      </c>
      <c r="F46" s="617">
        <f t="shared" si="29"/>
        <v>2435197.196904324</v>
      </c>
      <c r="G46" s="617">
        <f t="shared" si="29"/>
        <v>920112.94688644679</v>
      </c>
      <c r="H46" s="617">
        <f t="shared" si="29"/>
        <v>1281124.4463548739</v>
      </c>
      <c r="I46" s="617">
        <f t="shared" si="29"/>
        <v>1109407.3776556777</v>
      </c>
      <c r="J46" s="617">
        <f t="shared" si="29"/>
        <v>587466.11302154069</v>
      </c>
      <c r="K46" s="617">
        <f t="shared" si="29"/>
        <v>323043.45540992328</v>
      </c>
      <c r="L46" s="617">
        <f t="shared" si="29"/>
        <v>247233.87110105579</v>
      </c>
      <c r="M46" s="617">
        <f t="shared" si="29"/>
        <v>740638.82275651151</v>
      </c>
      <c r="N46" s="379">
        <f t="shared" si="29"/>
        <v>698872.44033182494</v>
      </c>
      <c r="O46" s="617">
        <f t="shared" si="29"/>
        <v>657641.91666666663</v>
      </c>
      <c r="P46" s="617">
        <f t="shared" si="29"/>
        <v>657641.91666666663</v>
      </c>
      <c r="Q46" s="617">
        <f t="shared" si="29"/>
        <v>657641.91666666663</v>
      </c>
      <c r="R46" s="617">
        <f t="shared" si="29"/>
        <v>657641.91666666663</v>
      </c>
      <c r="S46" s="617">
        <f t="shared" si="29"/>
        <v>657641.91666666663</v>
      </c>
      <c r="T46" s="617">
        <f t="shared" si="29"/>
        <v>657641.91666666663</v>
      </c>
      <c r="U46" s="617">
        <f t="shared" si="29"/>
        <v>657641.91666666663</v>
      </c>
      <c r="V46" s="617">
        <f t="shared" si="29"/>
        <v>657641.91666666663</v>
      </c>
      <c r="W46" s="617">
        <f t="shared" si="29"/>
        <v>657641.91666666663</v>
      </c>
      <c r="X46" s="617">
        <f t="shared" si="29"/>
        <v>657641.91666666663</v>
      </c>
      <c r="Y46" s="617">
        <f t="shared" si="29"/>
        <v>657641.91666666663</v>
      </c>
      <c r="Z46" s="379">
        <f t="shared" si="29"/>
        <v>657641.91666666663</v>
      </c>
      <c r="AA46" s="379">
        <f t="shared" si="29"/>
        <v>879833.33333333337</v>
      </c>
      <c r="AB46" s="617">
        <f t="shared" si="29"/>
        <v>879833.33333333337</v>
      </c>
      <c r="AC46" s="617">
        <f t="shared" si="29"/>
        <v>879833.33333333337</v>
      </c>
      <c r="AD46" s="617">
        <f t="shared" si="29"/>
        <v>879833.33333333337</v>
      </c>
      <c r="AE46" s="617">
        <f t="shared" si="29"/>
        <v>879833.33333333337</v>
      </c>
      <c r="AF46" s="617">
        <f t="shared" si="29"/>
        <v>879833.33333333337</v>
      </c>
      <c r="AG46" s="617">
        <f t="shared" si="29"/>
        <v>879833.33333333337</v>
      </c>
      <c r="AH46" s="617">
        <f t="shared" si="29"/>
        <v>879833.33333333337</v>
      </c>
      <c r="AI46" s="617">
        <f t="shared" si="29"/>
        <v>879833.33333333337</v>
      </c>
      <c r="AJ46" s="617">
        <f t="shared" si="29"/>
        <v>879833.33333333337</v>
      </c>
      <c r="AK46" s="617">
        <f t="shared" si="29"/>
        <v>879833.33333333337</v>
      </c>
      <c r="AL46" s="379">
        <f t="shared" si="29"/>
        <v>879833.33333333337</v>
      </c>
      <c r="AM46" s="379">
        <f t="shared" si="4"/>
        <v>7891703.0000000009</v>
      </c>
      <c r="AN46" s="617">
        <f t="shared" si="5"/>
        <v>10558000</v>
      </c>
      <c r="AO46" s="617">
        <f t="shared" si="24"/>
        <v>12193704.072436826</v>
      </c>
      <c r="AP46" s="617">
        <f t="shared" si="23"/>
        <v>10317943.916666668</v>
      </c>
      <c r="AQ46" s="617">
        <f t="shared" si="28"/>
        <v>6158833.333333333</v>
      </c>
    </row>
    <row r="47" spans="1:43" x14ac:dyDescent="0.25">
      <c r="A47" s="147" t="s">
        <v>168</v>
      </c>
      <c r="B47" s="627">
        <f>SUM(B48)</f>
        <v>1154000</v>
      </c>
      <c r="C47" s="646">
        <f t="shared" ref="C47:AL47" si="30">SUM(C48)</f>
        <v>61500</v>
      </c>
      <c r="D47" s="646">
        <f t="shared" si="30"/>
        <v>61500</v>
      </c>
      <c r="E47" s="646">
        <f t="shared" si="30"/>
        <v>157500</v>
      </c>
      <c r="F47" s="646">
        <f t="shared" si="30"/>
        <v>145000</v>
      </c>
      <c r="G47" s="646">
        <f t="shared" si="30"/>
        <v>75000</v>
      </c>
      <c r="H47" s="646">
        <f t="shared" si="30"/>
        <v>75000</v>
      </c>
      <c r="I47" s="646">
        <f t="shared" si="30"/>
        <v>75000</v>
      </c>
      <c r="J47" s="646">
        <f t="shared" si="30"/>
        <v>105500</v>
      </c>
      <c r="K47" s="646">
        <f t="shared" si="30"/>
        <v>105500</v>
      </c>
      <c r="L47" s="646">
        <f t="shared" si="30"/>
        <v>105500</v>
      </c>
      <c r="M47" s="646">
        <f t="shared" si="30"/>
        <v>93500</v>
      </c>
      <c r="N47" s="647">
        <f t="shared" si="30"/>
        <v>93500</v>
      </c>
      <c r="O47" s="738">
        <f t="shared" si="30"/>
        <v>67000</v>
      </c>
      <c r="P47" s="738">
        <f t="shared" si="30"/>
        <v>67000</v>
      </c>
      <c r="Q47" s="738">
        <f t="shared" si="30"/>
        <v>67000</v>
      </c>
      <c r="R47" s="738">
        <f t="shared" si="30"/>
        <v>67000</v>
      </c>
      <c r="S47" s="738">
        <f t="shared" si="30"/>
        <v>67000</v>
      </c>
      <c r="T47" s="738">
        <f t="shared" si="30"/>
        <v>67000</v>
      </c>
      <c r="U47" s="738">
        <f t="shared" si="30"/>
        <v>67000</v>
      </c>
      <c r="V47" s="738">
        <f t="shared" si="30"/>
        <v>67000</v>
      </c>
      <c r="W47" s="738">
        <f t="shared" si="30"/>
        <v>67000</v>
      </c>
      <c r="X47" s="738">
        <f t="shared" si="30"/>
        <v>67000</v>
      </c>
      <c r="Y47" s="738">
        <f t="shared" si="30"/>
        <v>67000</v>
      </c>
      <c r="Z47" s="738">
        <f t="shared" si="30"/>
        <v>67000</v>
      </c>
      <c r="AA47" s="734">
        <f t="shared" si="30"/>
        <v>75333.333333333328</v>
      </c>
      <c r="AB47" s="734">
        <f t="shared" si="30"/>
        <v>75333.333333333328</v>
      </c>
      <c r="AC47" s="734">
        <f t="shared" si="30"/>
        <v>75333.333333333328</v>
      </c>
      <c r="AD47" s="734">
        <f t="shared" si="30"/>
        <v>75333.333333333328</v>
      </c>
      <c r="AE47" s="734">
        <f t="shared" si="30"/>
        <v>75333.333333333328</v>
      </c>
      <c r="AF47" s="734">
        <f t="shared" si="30"/>
        <v>75333.333333333328</v>
      </c>
      <c r="AG47" s="734">
        <f t="shared" si="30"/>
        <v>75333.333333333328</v>
      </c>
      <c r="AH47" s="734">
        <f t="shared" si="30"/>
        <v>75333.333333333328</v>
      </c>
      <c r="AI47" s="734">
        <f t="shared" si="30"/>
        <v>75333.333333333328</v>
      </c>
      <c r="AJ47" s="734">
        <f t="shared" si="30"/>
        <v>75333.333333333328</v>
      </c>
      <c r="AK47" s="734">
        <f t="shared" si="30"/>
        <v>75333.333333333328</v>
      </c>
      <c r="AL47" s="734">
        <f t="shared" si="30"/>
        <v>75333.333333333328</v>
      </c>
      <c r="AM47" s="738">
        <f t="shared" si="4"/>
        <v>804000</v>
      </c>
      <c r="AN47" s="734">
        <f t="shared" si="5"/>
        <v>904000.00000000012</v>
      </c>
      <c r="AO47" s="734">
        <f t="shared" si="24"/>
        <v>1232000</v>
      </c>
      <c r="AP47" s="734">
        <f t="shared" si="23"/>
        <v>979666.66666666686</v>
      </c>
      <c r="AQ47" s="734">
        <f t="shared" si="28"/>
        <v>527333.33333333326</v>
      </c>
    </row>
    <row r="48" spans="1:43" x14ac:dyDescent="0.25">
      <c r="A48" s="363" t="s">
        <v>143</v>
      </c>
      <c r="B48" s="625">
        <f>SUM(C48:N48)</f>
        <v>1154000</v>
      </c>
      <c r="C48" s="644">
        <f>+Mine!O22</f>
        <v>61500</v>
      </c>
      <c r="D48" s="644">
        <f>+Mine!P22</f>
        <v>61500</v>
      </c>
      <c r="E48" s="644">
        <f>+Mine!Q22</f>
        <v>157500</v>
      </c>
      <c r="F48" s="644">
        <f>+Mine!R22</f>
        <v>145000</v>
      </c>
      <c r="G48" s="644">
        <f>+Mine!S22</f>
        <v>75000</v>
      </c>
      <c r="H48" s="644">
        <f>+Mine!T22</f>
        <v>75000</v>
      </c>
      <c r="I48" s="644">
        <f>+Mine!U22</f>
        <v>75000</v>
      </c>
      <c r="J48" s="644">
        <f>+Mine!V22</f>
        <v>105500</v>
      </c>
      <c r="K48" s="644">
        <f>+Mine!W22</f>
        <v>105500</v>
      </c>
      <c r="L48" s="644">
        <f>+Mine!X22</f>
        <v>105500</v>
      </c>
      <c r="M48" s="644">
        <f>+Mine!Y22</f>
        <v>93500</v>
      </c>
      <c r="N48" s="645">
        <f>+Mine!Z22</f>
        <v>93500</v>
      </c>
      <c r="O48" s="742">
        <v>67000</v>
      </c>
      <c r="P48" s="736">
        <v>67000</v>
      </c>
      <c r="Q48" s="736">
        <v>67000</v>
      </c>
      <c r="R48" s="736">
        <v>67000</v>
      </c>
      <c r="S48" s="736">
        <v>67000</v>
      </c>
      <c r="T48" s="736">
        <v>67000</v>
      </c>
      <c r="U48" s="736">
        <v>67000</v>
      </c>
      <c r="V48" s="736">
        <v>67000</v>
      </c>
      <c r="W48" s="736">
        <v>67000</v>
      </c>
      <c r="X48" s="736">
        <v>67000</v>
      </c>
      <c r="Y48" s="736">
        <v>67000</v>
      </c>
      <c r="Z48" s="737">
        <v>67000</v>
      </c>
      <c r="AA48" s="732">
        <v>75333.333333333328</v>
      </c>
      <c r="AB48" s="732">
        <v>75333.333333333328</v>
      </c>
      <c r="AC48" s="732">
        <v>75333.333333333328</v>
      </c>
      <c r="AD48" s="732">
        <v>75333.333333333328</v>
      </c>
      <c r="AE48" s="732">
        <v>75333.333333333328</v>
      </c>
      <c r="AF48" s="732">
        <v>75333.333333333328</v>
      </c>
      <c r="AG48" s="732">
        <v>75333.333333333328</v>
      </c>
      <c r="AH48" s="732">
        <v>75333.333333333328</v>
      </c>
      <c r="AI48" s="732">
        <v>75333.333333333328</v>
      </c>
      <c r="AJ48" s="732">
        <v>75333.333333333328</v>
      </c>
      <c r="AK48" s="732">
        <v>75333.333333333328</v>
      </c>
      <c r="AL48" s="733">
        <v>75333.333333333328</v>
      </c>
      <c r="AM48" s="737">
        <f t="shared" si="4"/>
        <v>804000</v>
      </c>
      <c r="AN48" s="732">
        <f t="shared" si="5"/>
        <v>904000.00000000012</v>
      </c>
      <c r="AO48" s="732">
        <f t="shared" si="24"/>
        <v>1232000</v>
      </c>
      <c r="AP48" s="732">
        <f t="shared" si="23"/>
        <v>979666.66666666686</v>
      </c>
      <c r="AQ48" s="732">
        <f t="shared" si="28"/>
        <v>527333.33333333326</v>
      </c>
    </row>
    <row r="49" spans="1:43" x14ac:dyDescent="0.25">
      <c r="A49" s="147" t="s">
        <v>146</v>
      </c>
      <c r="B49" s="627">
        <f>SUM(B50)</f>
        <v>9266578.9890109897</v>
      </c>
      <c r="C49" s="646">
        <f t="shared" ref="C49:AL49" si="31">SUM(C50)</f>
        <v>48586.923076923078</v>
      </c>
      <c r="D49" s="646">
        <f t="shared" si="31"/>
        <v>791372.98534798529</v>
      </c>
      <c r="E49" s="646">
        <f t="shared" si="31"/>
        <v>1597282.4853479855</v>
      </c>
      <c r="F49" s="646">
        <f t="shared" si="31"/>
        <v>2148899.2948717945</v>
      </c>
      <c r="G49" s="646">
        <f t="shared" si="31"/>
        <v>710146.28021978016</v>
      </c>
      <c r="H49" s="646">
        <f t="shared" si="31"/>
        <v>1153059.0443223442</v>
      </c>
      <c r="I49" s="646">
        <f t="shared" si="31"/>
        <v>999740.71098901099</v>
      </c>
      <c r="J49" s="646">
        <f t="shared" si="31"/>
        <v>428900.71098901099</v>
      </c>
      <c r="K49" s="646">
        <f t="shared" si="31"/>
        <v>104453.35384615384</v>
      </c>
      <c r="L49" s="646">
        <f t="shared" si="31"/>
        <v>104453.35384615384</v>
      </c>
      <c r="M49" s="646">
        <f t="shared" si="31"/>
        <v>591591.92307692301</v>
      </c>
      <c r="N49" s="647">
        <f t="shared" si="31"/>
        <v>588091.92307692301</v>
      </c>
      <c r="O49" s="738">
        <f t="shared" si="31"/>
        <v>472500</v>
      </c>
      <c r="P49" s="738">
        <f t="shared" si="31"/>
        <v>472500</v>
      </c>
      <c r="Q49" s="738">
        <f t="shared" si="31"/>
        <v>472500</v>
      </c>
      <c r="R49" s="738">
        <f t="shared" si="31"/>
        <v>472500</v>
      </c>
      <c r="S49" s="738">
        <f t="shared" si="31"/>
        <v>472500</v>
      </c>
      <c r="T49" s="738">
        <f t="shared" si="31"/>
        <v>472500</v>
      </c>
      <c r="U49" s="738">
        <f t="shared" si="31"/>
        <v>472500</v>
      </c>
      <c r="V49" s="738">
        <f t="shared" si="31"/>
        <v>472500</v>
      </c>
      <c r="W49" s="738">
        <f t="shared" si="31"/>
        <v>472500</v>
      </c>
      <c r="X49" s="738">
        <f t="shared" si="31"/>
        <v>472500</v>
      </c>
      <c r="Y49" s="738">
        <f t="shared" si="31"/>
        <v>472500</v>
      </c>
      <c r="Z49" s="738">
        <f t="shared" si="31"/>
        <v>472500</v>
      </c>
      <c r="AA49" s="734">
        <f t="shared" si="31"/>
        <v>764583.33333333337</v>
      </c>
      <c r="AB49" s="734">
        <f t="shared" si="31"/>
        <v>764583.33333333337</v>
      </c>
      <c r="AC49" s="734">
        <f t="shared" si="31"/>
        <v>764583.33333333337</v>
      </c>
      <c r="AD49" s="734">
        <f t="shared" si="31"/>
        <v>764583.33333333337</v>
      </c>
      <c r="AE49" s="734">
        <f t="shared" si="31"/>
        <v>764583.33333333337</v>
      </c>
      <c r="AF49" s="734">
        <f t="shared" si="31"/>
        <v>764583.33333333337</v>
      </c>
      <c r="AG49" s="734">
        <f t="shared" si="31"/>
        <v>764583.33333333337</v>
      </c>
      <c r="AH49" s="734">
        <f t="shared" si="31"/>
        <v>764583.33333333337</v>
      </c>
      <c r="AI49" s="734">
        <f t="shared" si="31"/>
        <v>764583.33333333337</v>
      </c>
      <c r="AJ49" s="734">
        <f t="shared" si="31"/>
        <v>764583.33333333337</v>
      </c>
      <c r="AK49" s="734">
        <f t="shared" si="31"/>
        <v>764583.33333333337</v>
      </c>
      <c r="AL49" s="734">
        <f t="shared" si="31"/>
        <v>764583.33333333337</v>
      </c>
      <c r="AM49" s="738">
        <f t="shared" si="4"/>
        <v>5670000</v>
      </c>
      <c r="AN49" s="734">
        <f t="shared" si="5"/>
        <v>9175000</v>
      </c>
      <c r="AO49" s="734">
        <f t="shared" si="24"/>
        <v>9844119.0805860814</v>
      </c>
      <c r="AP49" s="734">
        <f t="shared" si="23"/>
        <v>8075416.6666666651</v>
      </c>
      <c r="AQ49" s="734">
        <f t="shared" si="28"/>
        <v>5352083.333333333</v>
      </c>
    </row>
    <row r="50" spans="1:43" x14ac:dyDescent="0.25">
      <c r="A50" s="363" t="s">
        <v>146</v>
      </c>
      <c r="B50" s="625">
        <f>SUM(C50:N50)</f>
        <v>9266578.9890109897</v>
      </c>
      <c r="C50" s="644">
        <f>+Geology!O27</f>
        <v>48586.923076923078</v>
      </c>
      <c r="D50" s="644">
        <f>+Geology!P27</f>
        <v>791372.98534798529</v>
      </c>
      <c r="E50" s="644">
        <f>+Geology!Q27</f>
        <v>1597282.4853479855</v>
      </c>
      <c r="F50" s="644">
        <f>+Geology!R27</f>
        <v>2148899.2948717945</v>
      </c>
      <c r="G50" s="644">
        <f>+Geology!S27</f>
        <v>710146.28021978016</v>
      </c>
      <c r="H50" s="644">
        <f>+Geology!T27</f>
        <v>1153059.0443223442</v>
      </c>
      <c r="I50" s="644">
        <f>+Geology!U27</f>
        <v>999740.71098901099</v>
      </c>
      <c r="J50" s="644">
        <f>+Geology!V27</f>
        <v>428900.71098901099</v>
      </c>
      <c r="K50" s="644">
        <f>+Geology!W27</f>
        <v>104453.35384615384</v>
      </c>
      <c r="L50" s="644">
        <f>+Geology!X27</f>
        <v>104453.35384615384</v>
      </c>
      <c r="M50" s="644">
        <f>+Geology!Y27</f>
        <v>591591.92307692301</v>
      </c>
      <c r="N50" s="645">
        <f>+Geology!Z27</f>
        <v>588091.92307692301</v>
      </c>
      <c r="O50" s="742">
        <v>472500</v>
      </c>
      <c r="P50" s="736">
        <v>472500</v>
      </c>
      <c r="Q50" s="736">
        <v>472500</v>
      </c>
      <c r="R50" s="736">
        <v>472500</v>
      </c>
      <c r="S50" s="736">
        <v>472500</v>
      </c>
      <c r="T50" s="736">
        <v>472500</v>
      </c>
      <c r="U50" s="736">
        <v>472500</v>
      </c>
      <c r="V50" s="736">
        <v>472500</v>
      </c>
      <c r="W50" s="736">
        <v>472500</v>
      </c>
      <c r="X50" s="736">
        <v>472500</v>
      </c>
      <c r="Y50" s="736">
        <v>472500</v>
      </c>
      <c r="Z50" s="737">
        <v>472500</v>
      </c>
      <c r="AA50" s="732">
        <v>764583.33333333337</v>
      </c>
      <c r="AB50" s="732">
        <v>764583.33333333337</v>
      </c>
      <c r="AC50" s="732">
        <v>764583.33333333337</v>
      </c>
      <c r="AD50" s="732">
        <v>764583.33333333337</v>
      </c>
      <c r="AE50" s="732">
        <v>764583.33333333337</v>
      </c>
      <c r="AF50" s="732">
        <v>764583.33333333337</v>
      </c>
      <c r="AG50" s="732">
        <v>764583.33333333337</v>
      </c>
      <c r="AH50" s="732">
        <v>764583.33333333337</v>
      </c>
      <c r="AI50" s="732">
        <v>764583.33333333337</v>
      </c>
      <c r="AJ50" s="732">
        <v>764583.33333333337</v>
      </c>
      <c r="AK50" s="732">
        <v>764583.33333333337</v>
      </c>
      <c r="AL50" s="733">
        <v>764583.33333333337</v>
      </c>
      <c r="AM50" s="737">
        <f t="shared" si="4"/>
        <v>5670000</v>
      </c>
      <c r="AN50" s="732">
        <f t="shared" si="5"/>
        <v>9175000</v>
      </c>
      <c r="AO50" s="732">
        <f t="shared" si="24"/>
        <v>9844119.0805860814</v>
      </c>
      <c r="AP50" s="732">
        <f t="shared" si="23"/>
        <v>8075416.6666666651</v>
      </c>
      <c r="AQ50" s="732">
        <f t="shared" si="28"/>
        <v>5352083.333333333</v>
      </c>
    </row>
    <row r="51" spans="1:43" x14ac:dyDescent="0.25">
      <c r="A51" s="147" t="s">
        <v>149</v>
      </c>
      <c r="B51" s="627">
        <f>SUM(B52)</f>
        <v>1146181.7255591617</v>
      </c>
      <c r="C51" s="646">
        <f t="shared" ref="C51:AL51" si="32">SUM(C52)</f>
        <v>102123.66666666667</v>
      </c>
      <c r="D51" s="646">
        <f t="shared" si="32"/>
        <v>280898.81704174407</v>
      </c>
      <c r="E51" s="646">
        <f t="shared" si="32"/>
        <v>122899.16666666667</v>
      </c>
      <c r="F51" s="646">
        <f t="shared" si="32"/>
        <v>141297.90203252964</v>
      </c>
      <c r="G51" s="646">
        <f t="shared" si="32"/>
        <v>134966.66666666666</v>
      </c>
      <c r="H51" s="646">
        <f t="shared" si="32"/>
        <v>53065.402032529659</v>
      </c>
      <c r="I51" s="646">
        <f t="shared" si="32"/>
        <v>34666.666666666672</v>
      </c>
      <c r="J51" s="646">
        <f t="shared" si="32"/>
        <v>53065.402032529659</v>
      </c>
      <c r="K51" s="646">
        <f t="shared" si="32"/>
        <v>113090.10156376947</v>
      </c>
      <c r="L51" s="646">
        <f t="shared" si="32"/>
        <v>37280.517254901963</v>
      </c>
      <c r="M51" s="646">
        <f t="shared" si="32"/>
        <v>55546.899679588474</v>
      </c>
      <c r="N51" s="647">
        <f t="shared" si="32"/>
        <v>17280.517254901963</v>
      </c>
      <c r="O51" s="738">
        <f t="shared" si="32"/>
        <v>118141.91666666667</v>
      </c>
      <c r="P51" s="738">
        <f t="shared" si="32"/>
        <v>118141.91666666667</v>
      </c>
      <c r="Q51" s="738">
        <f t="shared" si="32"/>
        <v>118141.91666666667</v>
      </c>
      <c r="R51" s="738">
        <f t="shared" si="32"/>
        <v>118141.91666666667</v>
      </c>
      <c r="S51" s="738">
        <f t="shared" si="32"/>
        <v>118141.91666666667</v>
      </c>
      <c r="T51" s="738">
        <f t="shared" si="32"/>
        <v>118141.91666666667</v>
      </c>
      <c r="U51" s="738">
        <f t="shared" si="32"/>
        <v>118141.91666666667</v>
      </c>
      <c r="V51" s="738">
        <f t="shared" si="32"/>
        <v>118141.91666666667</v>
      </c>
      <c r="W51" s="738">
        <f t="shared" si="32"/>
        <v>118141.91666666667</v>
      </c>
      <c r="X51" s="738">
        <f t="shared" si="32"/>
        <v>118141.91666666667</v>
      </c>
      <c r="Y51" s="738">
        <f t="shared" si="32"/>
        <v>118141.91666666667</v>
      </c>
      <c r="Z51" s="738">
        <f t="shared" si="32"/>
        <v>118141.91666666667</v>
      </c>
      <c r="AA51" s="734">
        <f t="shared" si="32"/>
        <v>39916.666666666664</v>
      </c>
      <c r="AB51" s="734">
        <f t="shared" si="32"/>
        <v>39916.666666666664</v>
      </c>
      <c r="AC51" s="734">
        <f t="shared" si="32"/>
        <v>39916.666666666664</v>
      </c>
      <c r="AD51" s="734">
        <f t="shared" si="32"/>
        <v>39916.666666666664</v>
      </c>
      <c r="AE51" s="734">
        <f t="shared" si="32"/>
        <v>39916.666666666664</v>
      </c>
      <c r="AF51" s="734">
        <f t="shared" si="32"/>
        <v>39916.666666666664</v>
      </c>
      <c r="AG51" s="734">
        <f t="shared" si="32"/>
        <v>39916.666666666664</v>
      </c>
      <c r="AH51" s="734">
        <f t="shared" si="32"/>
        <v>39916.666666666664</v>
      </c>
      <c r="AI51" s="734">
        <f t="shared" si="32"/>
        <v>39916.666666666664</v>
      </c>
      <c r="AJ51" s="734">
        <f t="shared" si="32"/>
        <v>39916.666666666664</v>
      </c>
      <c r="AK51" s="734">
        <f t="shared" si="32"/>
        <v>39916.666666666664</v>
      </c>
      <c r="AL51" s="734">
        <f t="shared" si="32"/>
        <v>39916.666666666664</v>
      </c>
      <c r="AM51" s="738">
        <f t="shared" si="4"/>
        <v>1417703.0000000002</v>
      </c>
      <c r="AN51" s="734">
        <f t="shared" si="5"/>
        <v>479000.00000000006</v>
      </c>
      <c r="AO51" s="734">
        <f t="shared" si="24"/>
        <v>1117584.9918507508</v>
      </c>
      <c r="AP51" s="734">
        <f t="shared" si="23"/>
        <v>1262860.5833333337</v>
      </c>
      <c r="AQ51" s="734">
        <f t="shared" si="28"/>
        <v>279416.66666666663</v>
      </c>
    </row>
    <row r="52" spans="1:43" x14ac:dyDescent="0.25">
      <c r="A52" s="363" t="s">
        <v>149</v>
      </c>
      <c r="B52" s="625">
        <f>SUM(C52:N52)</f>
        <v>1146181.7255591617</v>
      </c>
      <c r="C52" s="644">
        <f>+Geotechnical!O27</f>
        <v>102123.66666666667</v>
      </c>
      <c r="D52" s="650">
        <f>+Geotechnical!P27</f>
        <v>280898.81704174407</v>
      </c>
      <c r="E52" s="650">
        <f>+Geotechnical!Q27</f>
        <v>122899.16666666667</v>
      </c>
      <c r="F52" s="650">
        <f>+Geotechnical!R27</f>
        <v>141297.90203252964</v>
      </c>
      <c r="G52" s="650">
        <f>+Geotechnical!S27</f>
        <v>134966.66666666666</v>
      </c>
      <c r="H52" s="650">
        <f>+Geotechnical!T27</f>
        <v>53065.402032529659</v>
      </c>
      <c r="I52" s="650">
        <f>+Geotechnical!U27</f>
        <v>34666.666666666672</v>
      </c>
      <c r="J52" s="650">
        <f>+Geotechnical!V27</f>
        <v>53065.402032529659</v>
      </c>
      <c r="K52" s="650">
        <f>+Geotechnical!W27</f>
        <v>113090.10156376947</v>
      </c>
      <c r="L52" s="650">
        <f>+Geotechnical!X27</f>
        <v>37280.517254901963</v>
      </c>
      <c r="M52" s="650">
        <f>+Geotechnical!Y27</f>
        <v>55546.899679588474</v>
      </c>
      <c r="N52" s="651">
        <f>+Geotechnical!Z27</f>
        <v>17280.517254901963</v>
      </c>
      <c r="O52" s="742">
        <v>118141.91666666667</v>
      </c>
      <c r="P52" s="740">
        <v>118141.91666666667</v>
      </c>
      <c r="Q52" s="740">
        <v>118141.91666666667</v>
      </c>
      <c r="R52" s="740">
        <v>118141.91666666667</v>
      </c>
      <c r="S52" s="740">
        <v>118141.91666666667</v>
      </c>
      <c r="T52" s="740">
        <v>118141.91666666667</v>
      </c>
      <c r="U52" s="740">
        <v>118141.91666666667</v>
      </c>
      <c r="V52" s="740">
        <v>118141.91666666667</v>
      </c>
      <c r="W52" s="740">
        <v>118141.91666666667</v>
      </c>
      <c r="X52" s="740">
        <v>118141.91666666667</v>
      </c>
      <c r="Y52" s="740">
        <v>118141.91666666667</v>
      </c>
      <c r="Z52" s="741">
        <v>118141.91666666667</v>
      </c>
      <c r="AA52" s="732">
        <v>39916.666666666664</v>
      </c>
      <c r="AB52" s="749">
        <v>39916.666666666664</v>
      </c>
      <c r="AC52" s="749">
        <v>39916.666666666664</v>
      </c>
      <c r="AD52" s="749">
        <v>39916.666666666664</v>
      </c>
      <c r="AE52" s="749">
        <v>39916.666666666664</v>
      </c>
      <c r="AF52" s="749">
        <v>39916.666666666664</v>
      </c>
      <c r="AG52" s="749">
        <v>39916.666666666664</v>
      </c>
      <c r="AH52" s="749">
        <v>39916.666666666664</v>
      </c>
      <c r="AI52" s="749">
        <v>39916.666666666664</v>
      </c>
      <c r="AJ52" s="749">
        <v>39916.666666666664</v>
      </c>
      <c r="AK52" s="749">
        <v>39916.666666666664</v>
      </c>
      <c r="AL52" s="750">
        <v>39916.666666666664</v>
      </c>
      <c r="AM52" s="741">
        <f t="shared" si="4"/>
        <v>1417703.0000000002</v>
      </c>
      <c r="AN52" s="749">
        <f t="shared" si="5"/>
        <v>479000.00000000006</v>
      </c>
      <c r="AO52" s="749">
        <f t="shared" si="24"/>
        <v>1117584.9918507508</v>
      </c>
      <c r="AP52" s="749">
        <f t="shared" si="23"/>
        <v>1262860.5833333337</v>
      </c>
      <c r="AQ52" s="749">
        <f t="shared" si="28"/>
        <v>279416.66666666663</v>
      </c>
    </row>
    <row r="53" spans="1:43" x14ac:dyDescent="0.25">
      <c r="A53" s="383" t="s">
        <v>172</v>
      </c>
      <c r="B53" s="628">
        <f>SUM(B54:B55)</f>
        <v>1018000.0000000001</v>
      </c>
      <c r="C53" s="619">
        <f t="shared" ref="C53:AL53" si="33">SUM(C54:C55)</f>
        <v>84833.333333333328</v>
      </c>
      <c r="D53" s="619">
        <f t="shared" si="33"/>
        <v>84833.333333333328</v>
      </c>
      <c r="E53" s="619">
        <f t="shared" si="33"/>
        <v>84833.333333333328</v>
      </c>
      <c r="F53" s="619">
        <f t="shared" si="33"/>
        <v>84833.333333333328</v>
      </c>
      <c r="G53" s="619">
        <f t="shared" si="33"/>
        <v>84833.333333333328</v>
      </c>
      <c r="H53" s="619">
        <f t="shared" si="33"/>
        <v>84833.333333333328</v>
      </c>
      <c r="I53" s="619">
        <f t="shared" si="33"/>
        <v>84833.333333333328</v>
      </c>
      <c r="J53" s="619">
        <f t="shared" si="33"/>
        <v>84833.333333333328</v>
      </c>
      <c r="K53" s="619">
        <f t="shared" si="33"/>
        <v>84833.333333333328</v>
      </c>
      <c r="L53" s="619">
        <f t="shared" si="33"/>
        <v>84833.333333333328</v>
      </c>
      <c r="M53" s="619">
        <f t="shared" si="33"/>
        <v>84833.333333333328</v>
      </c>
      <c r="N53" s="384">
        <f t="shared" si="33"/>
        <v>84833.333333333328</v>
      </c>
      <c r="O53" s="384">
        <f t="shared" si="33"/>
        <v>101800</v>
      </c>
      <c r="P53" s="619">
        <f t="shared" si="33"/>
        <v>101800</v>
      </c>
      <c r="Q53" s="619">
        <f t="shared" si="33"/>
        <v>101800</v>
      </c>
      <c r="R53" s="619">
        <f t="shared" si="33"/>
        <v>101800</v>
      </c>
      <c r="S53" s="619">
        <f t="shared" si="33"/>
        <v>101800</v>
      </c>
      <c r="T53" s="619">
        <f t="shared" si="33"/>
        <v>101800</v>
      </c>
      <c r="U53" s="619">
        <f t="shared" si="33"/>
        <v>101800</v>
      </c>
      <c r="V53" s="619">
        <f t="shared" si="33"/>
        <v>101800</v>
      </c>
      <c r="W53" s="619">
        <f t="shared" si="33"/>
        <v>101800</v>
      </c>
      <c r="X53" s="619">
        <f t="shared" si="33"/>
        <v>101800</v>
      </c>
      <c r="Y53" s="619">
        <f t="shared" si="33"/>
        <v>101800</v>
      </c>
      <c r="Z53" s="384">
        <f t="shared" si="33"/>
        <v>101800</v>
      </c>
      <c r="AA53" s="384">
        <f t="shared" si="33"/>
        <v>122160</v>
      </c>
      <c r="AB53" s="384">
        <f t="shared" si="33"/>
        <v>122160</v>
      </c>
      <c r="AC53" s="384">
        <f t="shared" si="33"/>
        <v>122160</v>
      </c>
      <c r="AD53" s="384">
        <f t="shared" si="33"/>
        <v>122160</v>
      </c>
      <c r="AE53" s="384">
        <f t="shared" si="33"/>
        <v>122160</v>
      </c>
      <c r="AF53" s="384">
        <f t="shared" si="33"/>
        <v>122160</v>
      </c>
      <c r="AG53" s="384">
        <f t="shared" si="33"/>
        <v>122160</v>
      </c>
      <c r="AH53" s="384">
        <f t="shared" si="33"/>
        <v>122160</v>
      </c>
      <c r="AI53" s="384">
        <f t="shared" si="33"/>
        <v>122160</v>
      </c>
      <c r="AJ53" s="384">
        <f t="shared" si="33"/>
        <v>122160</v>
      </c>
      <c r="AK53" s="384">
        <f t="shared" si="33"/>
        <v>122160</v>
      </c>
      <c r="AL53" s="384">
        <f t="shared" si="33"/>
        <v>122160</v>
      </c>
      <c r="AM53" s="384">
        <f t="shared" si="4"/>
        <v>1221600</v>
      </c>
      <c r="AN53" s="384">
        <f t="shared" si="5"/>
        <v>1465920</v>
      </c>
      <c r="AO53" s="384">
        <f t="shared" si="24"/>
        <v>1153733.3333333335</v>
      </c>
      <c r="AP53" s="384">
        <f t="shared" si="23"/>
        <v>1527000</v>
      </c>
      <c r="AQ53" s="384">
        <f t="shared" si="28"/>
        <v>855120</v>
      </c>
    </row>
    <row r="54" spans="1:43" x14ac:dyDescent="0.25">
      <c r="A54" s="363" t="s">
        <v>1397</v>
      </c>
      <c r="B54" s="629">
        <f>SUM(C54:N54)</f>
        <v>18000</v>
      </c>
      <c r="C54" s="652">
        <f>+General_Management!O27</f>
        <v>1500</v>
      </c>
      <c r="D54" s="652">
        <f>+General_Management!P27</f>
        <v>1500</v>
      </c>
      <c r="E54" s="652">
        <f>+General_Management!Q27</f>
        <v>1500</v>
      </c>
      <c r="F54" s="652">
        <f>+General_Management!R27</f>
        <v>1500</v>
      </c>
      <c r="G54" s="652">
        <f>+General_Management!S27</f>
        <v>1500</v>
      </c>
      <c r="H54" s="652">
        <f>+General_Management!T27</f>
        <v>1500</v>
      </c>
      <c r="I54" s="652">
        <f>+General_Management!U27</f>
        <v>1500</v>
      </c>
      <c r="J54" s="652">
        <f>+General_Management!V27</f>
        <v>1500</v>
      </c>
      <c r="K54" s="652">
        <f>+General_Management!W27</f>
        <v>1500</v>
      </c>
      <c r="L54" s="652">
        <f>+General_Management!X27</f>
        <v>1500</v>
      </c>
      <c r="M54" s="652">
        <f>+General_Management!Y27</f>
        <v>1500</v>
      </c>
      <c r="N54" s="653">
        <f>+General_Management!Z27</f>
        <v>1500</v>
      </c>
      <c r="O54" s="742">
        <v>1800</v>
      </c>
      <c r="P54" s="743">
        <v>1800</v>
      </c>
      <c r="Q54" s="743">
        <v>1800</v>
      </c>
      <c r="R54" s="743">
        <v>1800</v>
      </c>
      <c r="S54" s="743">
        <v>1800</v>
      </c>
      <c r="T54" s="743">
        <v>1800</v>
      </c>
      <c r="U54" s="743">
        <v>1800</v>
      </c>
      <c r="V54" s="743">
        <v>1800</v>
      </c>
      <c r="W54" s="743">
        <v>1800</v>
      </c>
      <c r="X54" s="743">
        <v>1800</v>
      </c>
      <c r="Y54" s="743">
        <v>1800</v>
      </c>
      <c r="Z54" s="744">
        <v>1800</v>
      </c>
      <c r="AA54" s="732">
        <v>2160</v>
      </c>
      <c r="AB54" s="751">
        <v>2160</v>
      </c>
      <c r="AC54" s="751">
        <v>2160</v>
      </c>
      <c r="AD54" s="751">
        <v>2160</v>
      </c>
      <c r="AE54" s="751">
        <v>2160</v>
      </c>
      <c r="AF54" s="751">
        <v>2160</v>
      </c>
      <c r="AG54" s="751">
        <v>2160</v>
      </c>
      <c r="AH54" s="751">
        <v>2160</v>
      </c>
      <c r="AI54" s="751">
        <v>2160</v>
      </c>
      <c r="AJ54" s="751">
        <v>2160</v>
      </c>
      <c r="AK54" s="751">
        <v>2160</v>
      </c>
      <c r="AL54" s="752">
        <v>2160</v>
      </c>
      <c r="AM54" s="744">
        <f t="shared" si="4"/>
        <v>21600</v>
      </c>
      <c r="AN54" s="751">
        <f t="shared" si="5"/>
        <v>25920</v>
      </c>
      <c r="AO54" s="751">
        <f t="shared" si="24"/>
        <v>20400</v>
      </c>
      <c r="AP54" s="751">
        <f t="shared" si="23"/>
        <v>27000</v>
      </c>
      <c r="AQ54" s="751">
        <f t="shared" si="28"/>
        <v>15120</v>
      </c>
    </row>
    <row r="55" spans="1:43" x14ac:dyDescent="0.25">
      <c r="A55" s="363" t="s">
        <v>155</v>
      </c>
      <c r="B55" s="629">
        <f>SUM(C55:N55)</f>
        <v>1000000.0000000001</v>
      </c>
      <c r="C55" s="652">
        <v>83333.333333333328</v>
      </c>
      <c r="D55" s="654">
        <v>83333.333333333328</v>
      </c>
      <c r="E55" s="654">
        <v>83333.333333333328</v>
      </c>
      <c r="F55" s="654">
        <v>83333.333333333328</v>
      </c>
      <c r="G55" s="654">
        <v>83333.333333333328</v>
      </c>
      <c r="H55" s="654">
        <v>83333.333333333328</v>
      </c>
      <c r="I55" s="654">
        <v>83333.333333333328</v>
      </c>
      <c r="J55" s="654">
        <v>83333.333333333328</v>
      </c>
      <c r="K55" s="654">
        <v>83333.333333333328</v>
      </c>
      <c r="L55" s="654">
        <v>83333.333333333328</v>
      </c>
      <c r="M55" s="654">
        <v>83333.333333333328</v>
      </c>
      <c r="N55" s="655">
        <v>83333.333333333328</v>
      </c>
      <c r="O55" s="742">
        <v>100000</v>
      </c>
      <c r="P55" s="745">
        <v>100000</v>
      </c>
      <c r="Q55" s="745">
        <v>100000</v>
      </c>
      <c r="R55" s="745">
        <v>100000</v>
      </c>
      <c r="S55" s="745">
        <v>100000</v>
      </c>
      <c r="T55" s="745">
        <v>100000</v>
      </c>
      <c r="U55" s="745">
        <v>100000</v>
      </c>
      <c r="V55" s="745">
        <v>100000</v>
      </c>
      <c r="W55" s="745">
        <v>100000</v>
      </c>
      <c r="X55" s="745">
        <v>100000</v>
      </c>
      <c r="Y55" s="745">
        <v>100000</v>
      </c>
      <c r="Z55" s="746">
        <v>100000</v>
      </c>
      <c r="AA55" s="732">
        <v>120000</v>
      </c>
      <c r="AB55" s="753">
        <v>120000</v>
      </c>
      <c r="AC55" s="753">
        <v>120000</v>
      </c>
      <c r="AD55" s="753">
        <v>120000</v>
      </c>
      <c r="AE55" s="753">
        <v>120000</v>
      </c>
      <c r="AF55" s="753">
        <v>120000</v>
      </c>
      <c r="AG55" s="753">
        <v>120000</v>
      </c>
      <c r="AH55" s="753">
        <v>120000</v>
      </c>
      <c r="AI55" s="753">
        <v>120000</v>
      </c>
      <c r="AJ55" s="753">
        <v>120000</v>
      </c>
      <c r="AK55" s="753">
        <v>120000</v>
      </c>
      <c r="AL55" s="754">
        <v>120000</v>
      </c>
      <c r="AM55" s="746">
        <f t="shared" si="4"/>
        <v>1200000</v>
      </c>
      <c r="AN55" s="753">
        <f t="shared" si="5"/>
        <v>1440000</v>
      </c>
      <c r="AO55" s="753">
        <f t="shared" si="24"/>
        <v>1133333.3333333335</v>
      </c>
      <c r="AP55" s="753">
        <f t="shared" si="23"/>
        <v>1500000</v>
      </c>
      <c r="AQ55" s="753">
        <f t="shared" si="28"/>
        <v>840000</v>
      </c>
    </row>
    <row r="56" spans="1:43" ht="15.75" thickBot="1" x14ac:dyDescent="0.3">
      <c r="A56" s="388" t="s">
        <v>475</v>
      </c>
      <c r="B56" s="630">
        <f>SUM(B7,B9,B20,B25,B33,B46,B53)</f>
        <v>78782497.461759165</v>
      </c>
      <c r="C56" s="620">
        <f>SUM(C7,C9,C20,C25,C33,C46,C53)</f>
        <v>4298932.3130894648</v>
      </c>
      <c r="D56" s="620">
        <f t="shared" ref="D56:N56" si="34">SUM(D7,D9,D20,D25,D33,D46,D53)</f>
        <v>5172150.8484513434</v>
      </c>
      <c r="E56" s="620">
        <f t="shared" si="34"/>
        <v>7737817.8693242408</v>
      </c>
      <c r="F56" s="620">
        <f t="shared" si="34"/>
        <v>6847816.0306292437</v>
      </c>
      <c r="G56" s="620">
        <f t="shared" si="34"/>
        <v>6793755.6093621915</v>
      </c>
      <c r="H56" s="620">
        <f t="shared" si="34"/>
        <v>8494708.3172623515</v>
      </c>
      <c r="I56" s="620">
        <f t="shared" si="34"/>
        <v>8124873.1336338473</v>
      </c>
      <c r="J56" s="620">
        <f t="shared" si="34"/>
        <v>7108798.5390945002</v>
      </c>
      <c r="K56" s="620">
        <f t="shared" si="34"/>
        <v>6681538.1531782895</v>
      </c>
      <c r="L56" s="620">
        <f t="shared" si="34"/>
        <v>6040587.7905413937</v>
      </c>
      <c r="M56" s="620">
        <f t="shared" si="34"/>
        <v>6152545.696661042</v>
      </c>
      <c r="N56" s="389">
        <f t="shared" si="34"/>
        <v>5328973.1605312433</v>
      </c>
      <c r="O56" s="620">
        <f>SUM(O7,O9,O20,O25,O33,O46,O53)</f>
        <v>15709277.429959005</v>
      </c>
      <c r="P56" s="620">
        <f t="shared" ref="P56:Z56" si="35">SUM(P7,P9,P20,P25,P33,P46,P53)</f>
        <v>15713872.319664884</v>
      </c>
      <c r="Q56" s="620">
        <f t="shared" si="35"/>
        <v>16888026.270664889</v>
      </c>
      <c r="R56" s="620">
        <f t="shared" si="35"/>
        <v>15764566.035841359</v>
      </c>
      <c r="S56" s="620">
        <f t="shared" si="35"/>
        <v>15729564.013782535</v>
      </c>
      <c r="T56" s="620">
        <f t="shared" si="35"/>
        <v>15769793.42554724</v>
      </c>
      <c r="U56" s="620">
        <f t="shared" si="35"/>
        <v>15794818.42554724</v>
      </c>
      <c r="V56" s="620">
        <f t="shared" si="35"/>
        <v>15701233.131429594</v>
      </c>
      <c r="W56" s="620">
        <f t="shared" si="35"/>
        <v>15781048.940253124</v>
      </c>
      <c r="X56" s="620">
        <f t="shared" si="35"/>
        <v>15706714.565253124</v>
      </c>
      <c r="Y56" s="620">
        <f t="shared" si="35"/>
        <v>15782481.10937077</v>
      </c>
      <c r="Z56" s="389">
        <f t="shared" si="35"/>
        <v>15735804.087311948</v>
      </c>
      <c r="AA56" s="620">
        <f>SUM(AA7,AA9,AA20,AA25,AA33,AA46,AA53)</f>
        <v>13604596.128416872</v>
      </c>
      <c r="AB56" s="620">
        <f t="shared" ref="AB56:AL56" si="36">SUM(AB7,AB9,AB20,AB25,AB33,AB46,AB53)</f>
        <v>13609191.018122749</v>
      </c>
      <c r="AC56" s="620">
        <f t="shared" si="36"/>
        <v>14836120.701593341</v>
      </c>
      <c r="AD56" s="620">
        <f t="shared" si="36"/>
        <v>13659884.734299226</v>
      </c>
      <c r="AE56" s="620">
        <f t="shared" si="36"/>
        <v>13624882.7122404</v>
      </c>
      <c r="AF56" s="620">
        <f t="shared" si="36"/>
        <v>13665112.124005107</v>
      </c>
      <c r="AG56" s="620">
        <f t="shared" si="36"/>
        <v>63415137.124005102</v>
      </c>
      <c r="AH56" s="620">
        <f t="shared" si="36"/>
        <v>63321551.829887457</v>
      </c>
      <c r="AI56" s="620">
        <f t="shared" si="36"/>
        <v>63401367.638710991</v>
      </c>
      <c r="AJ56" s="620">
        <f t="shared" si="36"/>
        <v>63327033.263710991</v>
      </c>
      <c r="AK56" s="620">
        <f t="shared" si="36"/>
        <v>63402799.807828635</v>
      </c>
      <c r="AL56" s="389">
        <f t="shared" si="36"/>
        <v>63356122.785769813</v>
      </c>
      <c r="AM56" s="389">
        <f t="shared" si="4"/>
        <v>190077199.75462571</v>
      </c>
      <c r="AN56" s="620">
        <f t="shared" si="5"/>
        <v>463223799.86859071</v>
      </c>
      <c r="AO56" s="620">
        <f t="shared" si="24"/>
        <v>117622590.32050711</v>
      </c>
      <c r="AP56" s="620">
        <f t="shared" si="23"/>
        <v>211100699.02900952</v>
      </c>
      <c r="AQ56" s="620">
        <f t="shared" si="28"/>
        <v>393889124.5739181</v>
      </c>
    </row>
    <row r="57" spans="1:43" x14ac:dyDescent="0.25">
      <c r="A57" s="378" t="s">
        <v>1415</v>
      </c>
      <c r="B57" s="626">
        <f>+Summary!E57</f>
        <v>22840021.498486593</v>
      </c>
      <c r="C57" s="617">
        <f>SUM(Legal_1!O20,Legal_1!O21,Legal_1!O22,Legal_1!O23,Legal_1!O24,Legal_1!O25,Legal_1!O26,Legal_1!O27)</f>
        <v>392370</v>
      </c>
      <c r="D57" s="617">
        <f>SUM(Legal_1!P20,Legal_1!P21,Legal_1!P22,Legal_1!P23,Legal_1!P24,Legal_1!P25,Legal_1!P26,Legal_1!P27)</f>
        <v>221458.23529411765</v>
      </c>
      <c r="E57" s="617">
        <f>SUM(Legal_1!Q20,Legal_1!Q21,Legal_1!Q22,Legal_1!Q23,Legal_1!Q24,Legal_1!Q25,Legal_1!Q26,Legal_1!Q27)</f>
        <v>958506.89114823518</v>
      </c>
      <c r="F57" s="617">
        <f>SUM(Legal_1!R20,Legal_1!R21,Legal_1!R22,Legal_1!R23,Legal_1!R24,Legal_1!R25,Legal_1!R26,Legal_1!R27)</f>
        <v>627421.4705882353</v>
      </c>
      <c r="G57" s="617">
        <f>SUM(Legal_1!S20,Legal_1!S21,Legal_1!S22,Legal_1!S23,Legal_1!S24,Legal_1!S25,Legal_1!S26,Legal_1!S27)</f>
        <v>1761126.16</v>
      </c>
      <c r="H57" s="617">
        <f>SUM(Legal_1!T20,Legal_1!T21,Legal_1!T22,Legal_1!T23,Legal_1!T24,Legal_1!T25,Legal_1!T26,Legal_1!T27)</f>
        <v>5309018.5294117648</v>
      </c>
      <c r="I57" s="617">
        <f>SUM(Legal_1!U20,Legal_1!U21,Legal_1!U22,Legal_1!U23,Legal_1!U24,Legal_1!U25,Legal_1!U26,Legal_1!U27)</f>
        <v>517442.05882352928</v>
      </c>
      <c r="J57" s="617">
        <f>SUM(Legal_1!V20,Legal_1!V21,Legal_1!V22,Legal_1!V23,Legal_1!V24,Legal_1!V25,Legal_1!V26,Legal_1!V27)</f>
        <v>1902513.662352941</v>
      </c>
      <c r="K57" s="617">
        <f>SUM(Legal_1!W20,Legal_1!W21,Legal_1!W22,Legal_1!W23,Legal_1!W24,Legal_1!W25,Legal_1!W26,Legal_1!W27)</f>
        <v>3119507.270475294</v>
      </c>
      <c r="L57" s="617">
        <f>SUM(Legal_1!X20,Legal_1!X21,Legal_1!X22,Legal_1!X23,Legal_1!X24,Legal_1!X25,Legal_1!X26,Legal_1!X27)</f>
        <v>521735.4411764706</v>
      </c>
      <c r="M57" s="617">
        <f>SUM(Legal_1!Y20,Legal_1!Y21,Legal_1!Y22,Legal_1!Y23,Legal_1!Y24,Legal_1!Y25,Legal_1!Y26,Legal_1!Y27)</f>
        <v>5989562.5121571776</v>
      </c>
      <c r="N57" s="617">
        <f>SUM(Legal_1!Z20,Legal_1!Z21,Legal_1!Z22,Legal_1!Z23,Legal_1!Z24,Legal_1!Z25,Legal_1!Z26,Legal_1!Z27)</f>
        <v>1519359.2670588237</v>
      </c>
      <c r="O57" s="617">
        <f>SUM('Legal (2019)'!O20,'Legal (2019)'!O21,'Legal (2019)'!O22,'Legal (2019)'!O23,'Legal (2019)'!O24,'Legal (2019)'!O25,'Legal (2019)'!O26,'Legal (2019)'!O27)</f>
        <v>5801605.7714133263</v>
      </c>
      <c r="P57" s="617">
        <f>SUM('Legal (2019)'!P20,'Legal (2019)'!P21,'Legal (2019)'!P22,'Legal (2019)'!P23,'Legal (2019)'!P24,'Legal (2019)'!P25,'Legal (2019)'!P26,'Legal (2019)'!P27)</f>
        <v>151702.94117647057</v>
      </c>
      <c r="Q57" s="617">
        <f>SUM('Legal (2019)'!Q20,'Legal (2019)'!Q21,'Legal (2019)'!Q22,'Legal (2019)'!Q23,'Legal (2019)'!Q24,'Legal (2019)'!Q25,'Legal (2019)'!Q26,'Legal (2019)'!Q27)</f>
        <v>169302.94117647057</v>
      </c>
      <c r="R57" s="617">
        <f>SUM('Legal (2019)'!R20,'Legal (2019)'!R21,'Legal (2019)'!R22,'Legal (2019)'!R23,'Legal (2019)'!R24,'Legal (2019)'!R25,'Legal (2019)'!R26,'Legal (2019)'!R27)</f>
        <v>180335.29411764705</v>
      </c>
      <c r="S57" s="617">
        <f>SUM('Legal (2019)'!S20,'Legal (2019)'!S21,'Legal (2019)'!S22,'Legal (2019)'!S23,'Legal (2019)'!S24,'Legal (2019)'!S25,'Legal (2019)'!S26,'Legal (2019)'!S27)</f>
        <v>2546263.2211764706</v>
      </c>
      <c r="T57" s="617">
        <f>SUM('Legal (2019)'!T20,'Legal (2019)'!T21,'Legal (2019)'!T22,'Legal (2019)'!T23,'Legal (2019)'!T24,'Legal (2019)'!T25,'Legal (2019)'!T26,'Legal (2019)'!T27)</f>
        <v>428232.3529411765</v>
      </c>
      <c r="U57" s="617">
        <f>SUM('Legal (2019)'!U20,'Legal (2019)'!U21,'Legal (2019)'!U22,'Legal (2019)'!U23,'Legal (2019)'!U24,'Legal (2019)'!U25,'Legal (2019)'!U26,'Legal (2019)'!U27)</f>
        <v>176802.94117647057</v>
      </c>
      <c r="V57" s="617">
        <f>SUM('Legal (2019)'!V20,'Legal (2019)'!V21,'Legal (2019)'!V22,'Legal (2019)'!V23,'Legal (2019)'!V24,'Legal (2019)'!V25,'Legal (2019)'!V26,'Legal (2019)'!V27)</f>
        <v>39826.470588235294</v>
      </c>
      <c r="W57" s="617">
        <f>SUM('Legal (2019)'!W20,'Legal (2019)'!W21,'Legal (2019)'!W22,'Legal (2019)'!W23,'Legal (2019)'!W24,'Legal (2019)'!W25,'Legal (2019)'!W26,'Legal (2019)'!W27)</f>
        <v>57426.470588235294</v>
      </c>
      <c r="X57" s="617">
        <f>SUM('Legal (2019)'!X20,'Legal (2019)'!X21,'Legal (2019)'!X22,'Legal (2019)'!X23,'Legal (2019)'!X24,'Legal (2019)'!X25,'Legal (2019)'!X26,'Legal (2019)'!X27)</f>
        <v>63826.470588235294</v>
      </c>
      <c r="Y57" s="617">
        <f>SUM('Legal (2019)'!Y20,'Legal (2019)'!Y21,'Legal (2019)'!Y22,'Legal (2019)'!Y23,'Legal (2019)'!Y24,'Legal (2019)'!Y25,'Legal (2019)'!Y26,'Legal (2019)'!Y27)</f>
        <v>40926.470588235294</v>
      </c>
      <c r="Z57" s="617">
        <f>SUM('Legal (2019)'!Z20,'Legal (2019)'!Z21,'Legal (2019)'!Z22,'Legal (2019)'!Z23,'Legal (2019)'!Z24,'Legal (2019)'!Z25,'Legal (2019)'!Z26,'Legal (2019)'!Z27)</f>
        <v>2797926.4705882352</v>
      </c>
      <c r="AA57" s="617">
        <f>SUM('Legal (2020)'!O20,'Legal (2020)'!O21,'Legal (2020)'!O22,'Legal (2020)'!O23,'Legal (2020)'!O24,'Legal (2020)'!O25,'Legal (2020)'!O26,'Legal (2020)'!O27)</f>
        <v>3294442.4611555766</v>
      </c>
      <c r="AB57" s="617">
        <f>SUM('Legal (2020)'!P20,'Legal (2020)'!P21,'Legal (2020)'!P22,'Legal (2020)'!P23,'Legal (2020)'!P24,'Legal (2020)'!P25,'Legal (2020)'!P26,'Legal (2020)'!P27)</f>
        <v>193112.06115557684</v>
      </c>
      <c r="AC57" s="617">
        <f>SUM('Legal (2020)'!Q20,'Legal (2020)'!Q21,'Legal (2020)'!Q22,'Legal (2020)'!Q23,'Legal (2020)'!Q24,'Legal (2020)'!Q25,'Legal (2020)'!Q26,'Legal (2020)'!Q27)</f>
        <v>180112.06115557684</v>
      </c>
      <c r="AD57" s="617">
        <f>SUM('Legal (2020)'!R20,'Legal (2020)'!R21,'Legal (2020)'!R22,'Legal (2020)'!R23,'Legal (2020)'!R24,'Legal (2020)'!R25,'Legal (2020)'!R26,'Legal (2020)'!R27)</f>
        <v>18531052.552705396</v>
      </c>
      <c r="AE57" s="617">
        <f>SUM('Legal (2020)'!S20,'Legal (2020)'!S21,'Legal (2020)'!S22,'Legal (2020)'!S23,'Legal (2020)'!S24,'Legal (2020)'!S25,'Legal (2020)'!S26,'Legal (2020)'!S27)</f>
        <v>226778.39270539695</v>
      </c>
      <c r="AF57" s="617">
        <f>SUM('Legal (2020)'!T20,'Legal (2020)'!T21,'Legal (2020)'!T22,'Legal (2020)'!T23,'Legal (2020)'!T24,'Legal (2020)'!T25,'Legal (2020)'!T26,'Legal (2020)'!T27)</f>
        <v>4854550.3207053971</v>
      </c>
      <c r="AG57" s="617">
        <f>SUM('Legal (2020)'!U20,'Legal (2020)'!U21,'Legal (2020)'!U22,'Legal (2020)'!U23,'Legal (2020)'!U24,'Legal (2020)'!U25,'Legal (2020)'!U26,'Legal (2020)'!U27)</f>
        <v>284321.1494862581</v>
      </c>
      <c r="AH57" s="617">
        <f>SUM('Legal (2020)'!V20,'Legal (2020)'!V21,'Legal (2020)'!V22,'Legal (2020)'!V23,'Legal (2020)'!V24,'Legal (2020)'!V25,'Legal (2020)'!V26,'Legal (2020)'!V27)</f>
        <v>260321.1494862581</v>
      </c>
      <c r="AI57" s="617">
        <f>SUM('Legal (2020)'!W20,'Legal (2020)'!W21,'Legal (2020)'!W22,'Legal (2020)'!W23,'Legal (2020)'!W24,'Legal (2020)'!W25,'Legal (2020)'!W26,'Legal (2020)'!W27)</f>
        <v>271321.1494862581</v>
      </c>
      <c r="AJ57" s="617">
        <f>SUM('Legal (2020)'!X20,'Legal (2020)'!X21,'Legal (2020)'!X22,'Legal (2020)'!X23,'Legal (2020)'!X24,'Legal (2020)'!X25,'Legal (2020)'!X26,'Legal (2020)'!X27)</f>
        <v>324452.62331954378</v>
      </c>
      <c r="AK57" s="617">
        <f>SUM('Legal (2020)'!Y20,'Legal (2020)'!Y21,'Legal (2020)'!Y22,'Legal (2020)'!Y23,'Legal (2020)'!Y24,'Legal (2020)'!Y25,'Legal (2020)'!Y26,'Legal (2020)'!Y27)</f>
        <v>300452.62331954378</v>
      </c>
      <c r="AL57" s="617">
        <f>SUM('Legal (2020)'!Z20,'Legal (2020)'!Z21,'Legal (2020)'!Z22,'Legal (2020)'!Z23,'Legal (2020)'!Z24,'Legal (2020)'!Z25,'Legal (2020)'!Z26,'Legal (2020)'!Z27)</f>
        <v>1450652.6233195439</v>
      </c>
      <c r="AM57" s="617">
        <f t="shared" si="4"/>
        <v>12454177.816119207</v>
      </c>
      <c r="AN57" s="617">
        <f t="shared" si="5"/>
        <v>30171569.168000326</v>
      </c>
      <c r="AO57" s="617">
        <f t="shared" si="24"/>
        <v>28348804.916958738</v>
      </c>
      <c r="AP57" s="617">
        <f t="shared" si="23"/>
        <v>28757063.691230461</v>
      </c>
      <c r="AQ57" s="617">
        <f t="shared" si="28"/>
        <v>7746071.6391228018</v>
      </c>
    </row>
    <row r="58" spans="1:43" x14ac:dyDescent="0.25">
      <c r="A58" s="596" t="s">
        <v>1447</v>
      </c>
      <c r="B58" s="626">
        <f>SUM(B56,B57)</f>
        <v>101622518.96024576</v>
      </c>
      <c r="C58" s="617">
        <f>SUM(C56,C57)</f>
        <v>4691302.3130894648</v>
      </c>
      <c r="D58" s="617">
        <f t="shared" ref="D58:N58" si="37">SUM(D56,D57)</f>
        <v>5393609.083745461</v>
      </c>
      <c r="E58" s="617">
        <f t="shared" si="37"/>
        <v>8696324.7604724765</v>
      </c>
      <c r="F58" s="617">
        <f t="shared" si="37"/>
        <v>7475237.5012174789</v>
      </c>
      <c r="G58" s="617">
        <f t="shared" si="37"/>
        <v>8554881.7693621907</v>
      </c>
      <c r="H58" s="617">
        <f t="shared" si="37"/>
        <v>13803726.846674116</v>
      </c>
      <c r="I58" s="617">
        <f t="shared" si="37"/>
        <v>8642315.192457376</v>
      </c>
      <c r="J58" s="617">
        <f t="shared" si="37"/>
        <v>9011312.2014474422</v>
      </c>
      <c r="K58" s="617">
        <f t="shared" si="37"/>
        <v>9801045.423653584</v>
      </c>
      <c r="L58" s="617">
        <f t="shared" si="37"/>
        <v>6562323.2317178641</v>
      </c>
      <c r="M58" s="617">
        <f t="shared" si="37"/>
        <v>12142108.20881822</v>
      </c>
      <c r="N58" s="379">
        <f t="shared" si="37"/>
        <v>6848332.4275900666</v>
      </c>
      <c r="O58" s="617">
        <f>SUM(O56,O57)</f>
        <v>21510883.201372333</v>
      </c>
      <c r="P58" s="617">
        <f t="shared" ref="P58:Z58" si="38">SUM(P56,P57)</f>
        <v>15865575.260841355</v>
      </c>
      <c r="Q58" s="617">
        <f t="shared" si="38"/>
        <v>17057329.21184136</v>
      </c>
      <c r="R58" s="617">
        <f t="shared" si="38"/>
        <v>15944901.329959005</v>
      </c>
      <c r="S58" s="617">
        <f t="shared" si="38"/>
        <v>18275827.234959006</v>
      </c>
      <c r="T58" s="617">
        <f t="shared" si="38"/>
        <v>16198025.778488416</v>
      </c>
      <c r="U58" s="617">
        <f t="shared" si="38"/>
        <v>15971621.366723711</v>
      </c>
      <c r="V58" s="617">
        <f t="shared" si="38"/>
        <v>15741059.602017829</v>
      </c>
      <c r="W58" s="617">
        <f t="shared" si="38"/>
        <v>15838475.410841359</v>
      </c>
      <c r="X58" s="617">
        <f t="shared" si="38"/>
        <v>15770541.035841359</v>
      </c>
      <c r="Y58" s="617">
        <f t="shared" si="38"/>
        <v>15823407.579959005</v>
      </c>
      <c r="Z58" s="379">
        <f t="shared" si="38"/>
        <v>18533730.557900183</v>
      </c>
      <c r="AA58" s="617">
        <f>SUM(AA56,AA57)</f>
        <v>16899038.589572448</v>
      </c>
      <c r="AB58" s="617">
        <f t="shared" ref="AB58:AL58" si="39">SUM(AB56,AB57)</f>
        <v>13802303.079278326</v>
      </c>
      <c r="AC58" s="617">
        <f t="shared" si="39"/>
        <v>15016232.762748918</v>
      </c>
      <c r="AD58" s="617">
        <f t="shared" si="39"/>
        <v>32190937.28700462</v>
      </c>
      <c r="AE58" s="617">
        <f t="shared" si="39"/>
        <v>13851661.104945797</v>
      </c>
      <c r="AF58" s="617">
        <f t="shared" si="39"/>
        <v>18519662.444710504</v>
      </c>
      <c r="AG58" s="617">
        <f t="shared" si="39"/>
        <v>63699458.27349136</v>
      </c>
      <c r="AH58" s="617">
        <f t="shared" si="39"/>
        <v>63581872.979373716</v>
      </c>
      <c r="AI58" s="617">
        <f t="shared" si="39"/>
        <v>63672688.788197249</v>
      </c>
      <c r="AJ58" s="617">
        <f t="shared" si="39"/>
        <v>63651485.887030534</v>
      </c>
      <c r="AK58" s="617">
        <f t="shared" si="39"/>
        <v>63703252.431148179</v>
      </c>
      <c r="AL58" s="379">
        <f t="shared" si="39"/>
        <v>64806775.409089357</v>
      </c>
      <c r="AM58" s="379">
        <f t="shared" si="4"/>
        <v>202531377.5707449</v>
      </c>
      <c r="AN58" s="617">
        <f t="shared" si="5"/>
        <v>493395369.03659105</v>
      </c>
      <c r="AO58" s="617">
        <f t="shared" si="24"/>
        <v>145971395.23746586</v>
      </c>
      <c r="AP58" s="617">
        <f>SUM(R58:AE58)</f>
        <v>239857762.72024</v>
      </c>
      <c r="AQ58" s="617">
        <f t="shared" si="28"/>
        <v>401635196.21304083</v>
      </c>
    </row>
    <row r="59" spans="1:43" ht="15.75" thickBot="1" x14ac:dyDescent="0.3">
      <c r="A59" s="378" t="s">
        <v>1450</v>
      </c>
      <c r="B59" s="631"/>
      <c r="C59" s="620"/>
      <c r="D59" s="391"/>
      <c r="E59" s="391"/>
      <c r="F59" s="391"/>
      <c r="G59" s="391"/>
      <c r="H59" s="391"/>
      <c r="I59" s="391"/>
      <c r="J59" s="391"/>
      <c r="K59" s="391"/>
      <c r="L59" s="391"/>
      <c r="M59" s="391"/>
      <c r="N59" s="621"/>
      <c r="O59" s="620"/>
      <c r="P59" s="391"/>
      <c r="Q59" s="391"/>
      <c r="R59" s="391"/>
      <c r="S59" s="391"/>
      <c r="T59" s="391"/>
      <c r="U59" s="391"/>
      <c r="V59" s="391"/>
      <c r="W59" s="391"/>
      <c r="X59" s="391"/>
      <c r="Y59" s="391"/>
      <c r="Z59" s="621"/>
      <c r="AA59" s="620"/>
      <c r="AB59" s="391"/>
      <c r="AC59" s="391"/>
      <c r="AD59" s="391"/>
      <c r="AE59" s="391"/>
      <c r="AF59" s="391"/>
      <c r="AG59" s="391"/>
      <c r="AH59" s="391"/>
      <c r="AI59" s="391"/>
      <c r="AJ59" s="391"/>
      <c r="AK59" s="391"/>
      <c r="AL59" s="621"/>
      <c r="AM59" s="621">
        <f t="shared" si="4"/>
        <v>0</v>
      </c>
      <c r="AN59" s="391"/>
      <c r="AO59" s="391"/>
      <c r="AP59" s="391"/>
      <c r="AQ59" s="391"/>
    </row>
    <row r="60" spans="1:43" ht="15.75" thickTop="1" x14ac:dyDescent="0.25"/>
    <row r="61" spans="1:43" hidden="1" x14ac:dyDescent="0.25">
      <c r="A61" s="604" t="s">
        <v>1451</v>
      </c>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c r="AB61" s="381"/>
      <c r="AC61" s="381"/>
      <c r="AD61" s="381"/>
      <c r="AE61" s="381"/>
      <c r="AF61" s="381"/>
      <c r="AG61" s="381"/>
      <c r="AH61" s="381"/>
      <c r="AI61" s="381"/>
      <c r="AJ61" s="381"/>
      <c r="AK61" s="381"/>
      <c r="AL61" s="381"/>
      <c r="AM61" s="381"/>
      <c r="AN61" s="381"/>
      <c r="AO61" s="381"/>
      <c r="AP61" s="381"/>
      <c r="AQ61" s="381"/>
    </row>
    <row r="62" spans="1:43" hidden="1" x14ac:dyDescent="0.25">
      <c r="A62" s="596" t="s">
        <v>1452</v>
      </c>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c r="AB62" s="381"/>
      <c r="AC62" s="381"/>
      <c r="AD62" s="381"/>
      <c r="AE62" s="381"/>
      <c r="AF62" s="381"/>
      <c r="AG62" s="381"/>
      <c r="AH62" s="381"/>
      <c r="AI62" s="381"/>
      <c r="AJ62" s="381"/>
      <c r="AK62" s="381"/>
      <c r="AL62" s="381"/>
      <c r="AM62" s="381"/>
      <c r="AN62" s="381"/>
      <c r="AO62" s="381"/>
      <c r="AP62" s="381"/>
      <c r="AQ62" s="381"/>
    </row>
    <row r="63" spans="1:43" hidden="1" x14ac:dyDescent="0.25">
      <c r="A63" s="596" t="s">
        <v>1453</v>
      </c>
      <c r="B63" s="381"/>
      <c r="C63" s="381"/>
      <c r="D63" s="381"/>
      <c r="E63" s="381"/>
      <c r="F63" s="381"/>
      <c r="G63" s="381"/>
      <c r="H63" s="381"/>
      <c r="I63" s="381"/>
      <c r="J63" s="381"/>
      <c r="K63" s="381"/>
      <c r="L63" s="381"/>
      <c r="M63" s="381"/>
      <c r="N63" s="381"/>
      <c r="O63" s="381"/>
      <c r="P63" s="381"/>
      <c r="Q63" s="381"/>
      <c r="R63" s="381"/>
      <c r="S63" s="381"/>
      <c r="T63" s="381"/>
      <c r="U63" s="381"/>
      <c r="V63" s="381"/>
      <c r="W63" s="381"/>
      <c r="X63" s="381"/>
      <c r="Y63" s="381"/>
      <c r="Z63" s="381"/>
      <c r="AA63" s="381"/>
      <c r="AB63" s="381"/>
      <c r="AC63" s="381"/>
      <c r="AD63" s="381"/>
      <c r="AE63" s="381"/>
      <c r="AF63" s="381"/>
      <c r="AG63" s="381"/>
      <c r="AH63" s="381"/>
      <c r="AI63" s="381"/>
      <c r="AJ63" s="381"/>
      <c r="AK63" s="381"/>
      <c r="AL63" s="381"/>
      <c r="AM63" s="381"/>
      <c r="AN63" s="381"/>
      <c r="AO63" s="381"/>
      <c r="AP63" s="381"/>
      <c r="AQ63" s="381"/>
    </row>
    <row r="64" spans="1:43" hidden="1" x14ac:dyDescent="0.25">
      <c r="A64" s="596" t="s">
        <v>1454</v>
      </c>
      <c r="B64" s="381"/>
      <c r="C64" s="381"/>
      <c r="D64" s="381"/>
      <c r="E64" s="381"/>
      <c r="F64" s="381"/>
      <c r="G64" s="381"/>
      <c r="H64" s="381"/>
      <c r="I64" s="381"/>
      <c r="J64" s="381"/>
      <c r="K64" s="381"/>
      <c r="L64" s="381"/>
      <c r="M64" s="381"/>
      <c r="N64" s="381"/>
      <c r="O64" s="381"/>
      <c r="P64" s="381"/>
      <c r="Q64" s="381"/>
      <c r="R64" s="381"/>
      <c r="S64" s="381"/>
      <c r="T64" s="381"/>
      <c r="U64" s="381"/>
      <c r="V64" s="381"/>
      <c r="W64" s="381"/>
      <c r="X64" s="381"/>
      <c r="Y64" s="381"/>
      <c r="Z64" s="381"/>
      <c r="AA64" s="381"/>
      <c r="AB64" s="381"/>
      <c r="AC64" s="381"/>
      <c r="AD64" s="381"/>
      <c r="AE64" s="381"/>
      <c r="AF64" s="381"/>
      <c r="AG64" s="381"/>
      <c r="AH64" s="381"/>
      <c r="AI64" s="381"/>
      <c r="AJ64" s="381"/>
      <c r="AK64" s="381"/>
      <c r="AL64" s="381"/>
      <c r="AM64" s="381"/>
      <c r="AN64" s="381"/>
      <c r="AO64" s="381"/>
      <c r="AP64" s="381"/>
      <c r="AQ64" s="381"/>
    </row>
    <row r="65" spans="1:43" hidden="1" x14ac:dyDescent="0.25"/>
    <row r="67" spans="1:43" x14ac:dyDescent="0.25">
      <c r="C67" s="151">
        <f t="shared" ref="C67:N67" si="40">SUM(C20,C57)</f>
        <v>465101.6176470588</v>
      </c>
      <c r="D67" s="151">
        <f t="shared" si="40"/>
        <v>298465.5882352941</v>
      </c>
      <c r="E67" s="151">
        <f t="shared" si="40"/>
        <v>2155025.9523247061</v>
      </c>
      <c r="F67" s="151">
        <f t="shared" si="40"/>
        <v>752079.5588235294</v>
      </c>
      <c r="G67" s="151">
        <f t="shared" si="40"/>
        <v>1853130.5717647057</v>
      </c>
      <c r="H67" s="151">
        <f t="shared" si="40"/>
        <v>5441334.7058823528</v>
      </c>
      <c r="I67" s="151">
        <f t="shared" si="40"/>
        <v>671593.52941176458</v>
      </c>
      <c r="J67" s="151">
        <f t="shared" si="40"/>
        <v>1967491.6035294116</v>
      </c>
      <c r="K67" s="151">
        <f t="shared" si="40"/>
        <v>3262592.5645929412</v>
      </c>
      <c r="L67" s="151">
        <f t="shared" si="40"/>
        <v>591886.17647058819</v>
      </c>
      <c r="M67" s="151">
        <f t="shared" si="40"/>
        <v>6131754.4239218831</v>
      </c>
      <c r="N67" s="151">
        <f t="shared" si="40"/>
        <v>1618785.7376470589</v>
      </c>
      <c r="O67" s="151">
        <f>SUM(O20,O57)</f>
        <v>5875594.5552368555</v>
      </c>
      <c r="P67" s="151">
        <f t="shared" ref="P67:Q67" si="41">SUM(P20,P57)</f>
        <v>230286.6147058788</v>
      </c>
      <c r="Q67" s="151">
        <f t="shared" si="41"/>
        <v>1422040.5657058829</v>
      </c>
    </row>
    <row r="68" spans="1:43" ht="15" hidden="1" customHeight="1" thickBot="1" x14ac:dyDescent="0.3">
      <c r="B68" s="768" t="s">
        <v>1484</v>
      </c>
      <c r="C68" s="669" t="s">
        <v>1455</v>
      </c>
      <c r="D68" s="667" t="s">
        <v>43</v>
      </c>
      <c r="E68" s="667" t="s">
        <v>44</v>
      </c>
      <c r="F68" s="667" t="s">
        <v>1456</v>
      </c>
      <c r="G68" s="667" t="s">
        <v>195</v>
      </c>
      <c r="H68" s="667" t="s">
        <v>47</v>
      </c>
      <c r="I68" s="667" t="s">
        <v>48</v>
      </c>
      <c r="J68" s="667" t="s">
        <v>1486</v>
      </c>
      <c r="K68" s="667" t="s">
        <v>50</v>
      </c>
      <c r="L68" s="667" t="s">
        <v>207</v>
      </c>
      <c r="M68" s="667" t="s">
        <v>210</v>
      </c>
      <c r="N68" s="668" t="s">
        <v>1457</v>
      </c>
      <c r="O68" s="669" t="s">
        <v>1455</v>
      </c>
      <c r="P68" s="667" t="s">
        <v>43</v>
      </c>
      <c r="Q68" s="667" t="s">
        <v>44</v>
      </c>
      <c r="R68" s="667" t="s">
        <v>1456</v>
      </c>
      <c r="S68" s="667" t="s">
        <v>195</v>
      </c>
      <c r="T68" s="667" t="s">
        <v>47</v>
      </c>
      <c r="U68" s="667" t="s">
        <v>48</v>
      </c>
      <c r="V68" s="667" t="s">
        <v>1486</v>
      </c>
      <c r="W68" s="667" t="s">
        <v>50</v>
      </c>
      <c r="X68" s="667" t="s">
        <v>207</v>
      </c>
      <c r="Y68" s="667" t="s">
        <v>210</v>
      </c>
      <c r="Z68" s="668" t="s">
        <v>1457</v>
      </c>
      <c r="AA68" s="669" t="s">
        <v>1455</v>
      </c>
      <c r="AB68" s="667" t="s">
        <v>43</v>
      </c>
      <c r="AC68" s="667" t="s">
        <v>44</v>
      </c>
      <c r="AD68" s="667" t="s">
        <v>1456</v>
      </c>
      <c r="AE68" s="667" t="s">
        <v>195</v>
      </c>
      <c r="AF68" s="667" t="s">
        <v>47</v>
      </c>
      <c r="AG68" s="667" t="s">
        <v>48</v>
      </c>
      <c r="AH68" s="667" t="s">
        <v>1486</v>
      </c>
      <c r="AI68" s="667" t="s">
        <v>50</v>
      </c>
      <c r="AJ68" s="667" t="s">
        <v>207</v>
      </c>
      <c r="AK68" s="667" t="s">
        <v>210</v>
      </c>
      <c r="AL68" s="668" t="s">
        <v>1457</v>
      </c>
      <c r="AM68" s="668"/>
      <c r="AN68" s="667"/>
      <c r="AO68" s="667"/>
      <c r="AP68" s="667"/>
      <c r="AQ68" s="667"/>
    </row>
    <row r="69" spans="1:43" ht="14.45" hidden="1" customHeight="1" x14ac:dyDescent="0.25">
      <c r="B69" s="769" t="s">
        <v>1461</v>
      </c>
      <c r="C69" s="670">
        <f>+C56</f>
        <v>4298932.3130894648</v>
      </c>
      <c r="D69" s="666">
        <f t="shared" ref="D69:N69" si="42">+D56</f>
        <v>5172150.8484513434</v>
      </c>
      <c r="E69" s="666">
        <f t="shared" si="42"/>
        <v>7737817.8693242408</v>
      </c>
      <c r="F69" s="666">
        <f t="shared" si="42"/>
        <v>6847816.0306292437</v>
      </c>
      <c r="G69" s="666">
        <f t="shared" si="42"/>
        <v>6793755.6093621915</v>
      </c>
      <c r="H69" s="666">
        <f t="shared" si="42"/>
        <v>8494708.3172623515</v>
      </c>
      <c r="I69" s="666">
        <f t="shared" si="42"/>
        <v>8124873.1336338473</v>
      </c>
      <c r="J69" s="666">
        <f t="shared" si="42"/>
        <v>7108798.5390945002</v>
      </c>
      <c r="K69" s="666">
        <f t="shared" si="42"/>
        <v>6681538.1531782895</v>
      </c>
      <c r="L69" s="666">
        <f t="shared" si="42"/>
        <v>6040587.7905413937</v>
      </c>
      <c r="M69" s="666">
        <f t="shared" si="42"/>
        <v>6152545.696661042</v>
      </c>
      <c r="N69" s="666">
        <f t="shared" si="42"/>
        <v>5328973.1605312433</v>
      </c>
      <c r="O69" s="670">
        <f>+O56</f>
        <v>15709277.429959005</v>
      </c>
      <c r="P69" s="666">
        <f t="shared" ref="P69:Z69" si="43">+P56</f>
        <v>15713872.319664884</v>
      </c>
      <c r="Q69" s="666">
        <f t="shared" si="43"/>
        <v>16888026.270664889</v>
      </c>
      <c r="R69" s="666">
        <f t="shared" si="43"/>
        <v>15764566.035841359</v>
      </c>
      <c r="S69" s="666">
        <f t="shared" si="43"/>
        <v>15729564.013782535</v>
      </c>
      <c r="T69" s="666">
        <f t="shared" si="43"/>
        <v>15769793.42554724</v>
      </c>
      <c r="U69" s="666">
        <f t="shared" si="43"/>
        <v>15794818.42554724</v>
      </c>
      <c r="V69" s="666">
        <f t="shared" si="43"/>
        <v>15701233.131429594</v>
      </c>
      <c r="W69" s="666">
        <f t="shared" si="43"/>
        <v>15781048.940253124</v>
      </c>
      <c r="X69" s="666">
        <f t="shared" si="43"/>
        <v>15706714.565253124</v>
      </c>
      <c r="Y69" s="666">
        <f t="shared" si="43"/>
        <v>15782481.10937077</v>
      </c>
      <c r="Z69" s="666">
        <f t="shared" si="43"/>
        <v>15735804.087311948</v>
      </c>
      <c r="AA69" s="670">
        <f>+AA56</f>
        <v>13604596.128416872</v>
      </c>
      <c r="AB69" s="666">
        <f t="shared" ref="AB69:AL69" si="44">+AB56</f>
        <v>13609191.018122749</v>
      </c>
      <c r="AC69" s="666">
        <f t="shared" si="44"/>
        <v>14836120.701593341</v>
      </c>
      <c r="AD69" s="666">
        <f t="shared" si="44"/>
        <v>13659884.734299226</v>
      </c>
      <c r="AE69" s="666">
        <f t="shared" si="44"/>
        <v>13624882.7122404</v>
      </c>
      <c r="AF69" s="666">
        <f t="shared" si="44"/>
        <v>13665112.124005107</v>
      </c>
      <c r="AG69" s="666">
        <f t="shared" si="44"/>
        <v>63415137.124005102</v>
      </c>
      <c r="AH69" s="666">
        <f t="shared" si="44"/>
        <v>63321551.829887457</v>
      </c>
      <c r="AI69" s="666">
        <f t="shared" si="44"/>
        <v>63401367.638710991</v>
      </c>
      <c r="AJ69" s="666">
        <f t="shared" si="44"/>
        <v>63327033.263710991</v>
      </c>
      <c r="AK69" s="666">
        <f t="shared" si="44"/>
        <v>63402799.807828635</v>
      </c>
      <c r="AL69" s="666">
        <f t="shared" si="44"/>
        <v>63356122.785769813</v>
      </c>
      <c r="AM69" s="666"/>
      <c r="AN69" s="666"/>
      <c r="AO69" s="666"/>
      <c r="AP69" s="666"/>
      <c r="AQ69" s="666"/>
    </row>
    <row r="70" spans="1:43" ht="15" hidden="1" customHeight="1" thickBot="1" x14ac:dyDescent="0.3">
      <c r="B70" s="767" t="s">
        <v>1458</v>
      </c>
      <c r="C70" s="671" t="e">
        <f>+#REF!+8535000</f>
        <v>#REF!</v>
      </c>
      <c r="D70" s="665" t="e">
        <f>+#REF!+2000000</f>
        <v>#REF!</v>
      </c>
      <c r="E70" s="665" t="e">
        <f>+#REF!</f>
        <v>#REF!</v>
      </c>
      <c r="F70" s="665" t="e">
        <f>+#REF!</f>
        <v>#REF!</v>
      </c>
      <c r="G70" s="665" t="e">
        <f>+#REF!</f>
        <v>#REF!</v>
      </c>
      <c r="H70" s="665" t="e">
        <f>+#REF!</f>
        <v>#REF!</v>
      </c>
      <c r="I70" s="665" t="e">
        <f>+#REF!</f>
        <v>#REF!</v>
      </c>
      <c r="J70" s="665" t="e">
        <f>+#REF!</f>
        <v>#REF!</v>
      </c>
      <c r="K70" s="665" t="e">
        <f>+#REF!</f>
        <v>#REF!</v>
      </c>
      <c r="L70" s="665" t="e">
        <f>+#REF!</f>
        <v>#REF!</v>
      </c>
      <c r="M70" s="665" t="e">
        <f>+#REF!</f>
        <v>#REF!</v>
      </c>
      <c r="N70" s="665" t="e">
        <f>+#REF!</f>
        <v>#REF!</v>
      </c>
      <c r="O70" s="671">
        <f>+AA56+8535000</f>
        <v>22139596.128416874</v>
      </c>
      <c r="P70" s="665">
        <f>+AB56+2000000</f>
        <v>15609191.018122749</v>
      </c>
      <c r="Q70" s="665">
        <f t="shared" ref="Q70:Z70" si="45">+AC56</f>
        <v>14836120.701593341</v>
      </c>
      <c r="R70" s="665">
        <f t="shared" si="45"/>
        <v>13659884.734299226</v>
      </c>
      <c r="S70" s="665">
        <f t="shared" si="45"/>
        <v>13624882.7122404</v>
      </c>
      <c r="T70" s="665">
        <f t="shared" si="45"/>
        <v>13665112.124005107</v>
      </c>
      <c r="U70" s="665">
        <f t="shared" si="45"/>
        <v>63415137.124005102</v>
      </c>
      <c r="V70" s="665">
        <f t="shared" si="45"/>
        <v>63321551.829887457</v>
      </c>
      <c r="W70" s="665">
        <f t="shared" si="45"/>
        <v>63401367.638710991</v>
      </c>
      <c r="X70" s="665">
        <f t="shared" si="45"/>
        <v>63327033.263710991</v>
      </c>
      <c r="Y70" s="665">
        <f t="shared" si="45"/>
        <v>63402799.807828635</v>
      </c>
      <c r="Z70" s="665">
        <f t="shared" si="45"/>
        <v>63356122.785769813</v>
      </c>
      <c r="AA70" s="671">
        <f>+AM56+8535000</f>
        <v>198612199.75462571</v>
      </c>
      <c r="AB70" s="665">
        <f>+AN56+2000000</f>
        <v>465223799.86859071</v>
      </c>
      <c r="AC70" s="665">
        <f t="shared" ref="AC70:AL70" si="46">+AO56</f>
        <v>117622590.32050711</v>
      </c>
      <c r="AD70" s="665">
        <f t="shared" si="46"/>
        <v>211100699.02900952</v>
      </c>
      <c r="AE70" s="665">
        <f t="shared" si="46"/>
        <v>393889124.5739181</v>
      </c>
      <c r="AF70" s="665">
        <f t="shared" si="46"/>
        <v>0</v>
      </c>
      <c r="AG70" s="665">
        <f t="shared" si="46"/>
        <v>0</v>
      </c>
      <c r="AH70" s="665">
        <f t="shared" si="46"/>
        <v>0</v>
      </c>
      <c r="AI70" s="665">
        <f t="shared" si="46"/>
        <v>0</v>
      </c>
      <c r="AJ70" s="665">
        <f t="shared" si="46"/>
        <v>0</v>
      </c>
      <c r="AK70" s="665">
        <f t="shared" si="46"/>
        <v>0</v>
      </c>
      <c r="AL70" s="665">
        <f t="shared" si="46"/>
        <v>0</v>
      </c>
      <c r="AM70" s="665"/>
      <c r="AN70" s="665"/>
      <c r="AO70" s="665"/>
      <c r="AP70" s="665"/>
      <c r="AQ70" s="665"/>
    </row>
    <row r="71" spans="1:43" hidden="1" x14ac:dyDescent="0.25">
      <c r="A71" s="605"/>
      <c r="B71" s="182"/>
    </row>
    <row r="72" spans="1:43" hidden="1" x14ac:dyDescent="0.25">
      <c r="A72" s="605"/>
      <c r="B72" s="182"/>
    </row>
    <row r="73" spans="1:43" hidden="1" x14ac:dyDescent="0.25">
      <c r="A73" s="605"/>
      <c r="B73" s="605"/>
    </row>
    <row r="74" spans="1:43" ht="15" hidden="1" customHeight="1" thickBot="1" x14ac:dyDescent="0.3">
      <c r="A74" s="605"/>
      <c r="B74" s="768" t="s">
        <v>1485</v>
      </c>
      <c r="C74" s="669" t="s">
        <v>1455</v>
      </c>
      <c r="D74" s="667" t="s">
        <v>43</v>
      </c>
      <c r="E74" s="667" t="s">
        <v>44</v>
      </c>
      <c r="F74" s="667" t="s">
        <v>1456</v>
      </c>
      <c r="G74" s="667" t="s">
        <v>195</v>
      </c>
      <c r="H74" s="667" t="s">
        <v>47</v>
      </c>
      <c r="I74" s="667" t="s">
        <v>48</v>
      </c>
      <c r="J74" s="667" t="s">
        <v>1486</v>
      </c>
      <c r="K74" s="667" t="s">
        <v>50</v>
      </c>
      <c r="L74" s="667" t="s">
        <v>207</v>
      </c>
      <c r="M74" s="667" t="s">
        <v>210</v>
      </c>
      <c r="N74" s="668" t="s">
        <v>1457</v>
      </c>
      <c r="O74" s="669" t="s">
        <v>1455</v>
      </c>
      <c r="P74" s="667" t="s">
        <v>43</v>
      </c>
      <c r="Q74" s="667" t="s">
        <v>44</v>
      </c>
      <c r="R74" s="667" t="s">
        <v>1456</v>
      </c>
      <c r="S74" s="667" t="s">
        <v>195</v>
      </c>
      <c r="T74" s="667" t="s">
        <v>47</v>
      </c>
      <c r="U74" s="667" t="s">
        <v>48</v>
      </c>
      <c r="V74" s="667" t="s">
        <v>1486</v>
      </c>
      <c r="W74" s="667" t="s">
        <v>50</v>
      </c>
      <c r="X74" s="667" t="s">
        <v>207</v>
      </c>
      <c r="Y74" s="667" t="s">
        <v>210</v>
      </c>
      <c r="Z74" s="668" t="s">
        <v>1457</v>
      </c>
      <c r="AA74" s="669" t="s">
        <v>1455</v>
      </c>
      <c r="AB74" s="667" t="s">
        <v>43</v>
      </c>
      <c r="AC74" s="667" t="s">
        <v>44</v>
      </c>
      <c r="AD74" s="667" t="s">
        <v>1456</v>
      </c>
      <c r="AE74" s="667" t="s">
        <v>195</v>
      </c>
      <c r="AF74" s="667" t="s">
        <v>47</v>
      </c>
      <c r="AG74" s="667" t="s">
        <v>48</v>
      </c>
      <c r="AH74" s="667" t="s">
        <v>1486</v>
      </c>
      <c r="AI74" s="667" t="s">
        <v>50</v>
      </c>
      <c r="AJ74" s="667" t="s">
        <v>207</v>
      </c>
      <c r="AK74" s="667" t="s">
        <v>210</v>
      </c>
      <c r="AL74" s="668" t="s">
        <v>1457</v>
      </c>
      <c r="AM74" s="668"/>
      <c r="AN74" s="667"/>
      <c r="AO74" s="667"/>
      <c r="AP74" s="667"/>
      <c r="AQ74" s="667"/>
    </row>
    <row r="75" spans="1:43" ht="14.45" hidden="1" customHeight="1" x14ac:dyDescent="0.25">
      <c r="B75" s="769" t="s">
        <v>1461</v>
      </c>
      <c r="C75" s="670">
        <f>+C58</f>
        <v>4691302.3130894648</v>
      </c>
      <c r="D75" s="670">
        <f t="shared" ref="D75:N75" si="47">+D58</f>
        <v>5393609.083745461</v>
      </c>
      <c r="E75" s="670">
        <f t="shared" si="47"/>
        <v>8696324.7604724765</v>
      </c>
      <c r="F75" s="670">
        <f t="shared" si="47"/>
        <v>7475237.5012174789</v>
      </c>
      <c r="G75" s="670">
        <f t="shared" si="47"/>
        <v>8554881.7693621907</v>
      </c>
      <c r="H75" s="670">
        <f t="shared" si="47"/>
        <v>13803726.846674116</v>
      </c>
      <c r="I75" s="670">
        <f t="shared" si="47"/>
        <v>8642315.192457376</v>
      </c>
      <c r="J75" s="670">
        <f t="shared" si="47"/>
        <v>9011312.2014474422</v>
      </c>
      <c r="K75" s="670">
        <f t="shared" si="47"/>
        <v>9801045.423653584</v>
      </c>
      <c r="L75" s="670">
        <f t="shared" si="47"/>
        <v>6562323.2317178641</v>
      </c>
      <c r="M75" s="670">
        <f t="shared" si="47"/>
        <v>12142108.20881822</v>
      </c>
      <c r="N75" s="670">
        <f t="shared" si="47"/>
        <v>6848332.4275900666</v>
      </c>
      <c r="O75" s="670">
        <f>+O58</f>
        <v>21510883.201372333</v>
      </c>
      <c r="P75" s="670">
        <f t="shared" ref="P75:Z75" si="48">+P58</f>
        <v>15865575.260841355</v>
      </c>
      <c r="Q75" s="670">
        <f t="shared" si="48"/>
        <v>17057329.21184136</v>
      </c>
      <c r="R75" s="670">
        <f t="shared" si="48"/>
        <v>15944901.329959005</v>
      </c>
      <c r="S75" s="670">
        <f t="shared" si="48"/>
        <v>18275827.234959006</v>
      </c>
      <c r="T75" s="670">
        <f t="shared" si="48"/>
        <v>16198025.778488416</v>
      </c>
      <c r="U75" s="670">
        <f t="shared" si="48"/>
        <v>15971621.366723711</v>
      </c>
      <c r="V75" s="670">
        <f t="shared" si="48"/>
        <v>15741059.602017829</v>
      </c>
      <c r="W75" s="670">
        <f t="shared" si="48"/>
        <v>15838475.410841359</v>
      </c>
      <c r="X75" s="670">
        <f t="shared" si="48"/>
        <v>15770541.035841359</v>
      </c>
      <c r="Y75" s="670">
        <f t="shared" si="48"/>
        <v>15823407.579959005</v>
      </c>
      <c r="Z75" s="670">
        <f t="shared" si="48"/>
        <v>18533730.557900183</v>
      </c>
      <c r="AA75" s="670">
        <f>+AA58</f>
        <v>16899038.589572448</v>
      </c>
      <c r="AB75" s="670">
        <f t="shared" ref="AB75:AL75" si="49">+AB58</f>
        <v>13802303.079278326</v>
      </c>
      <c r="AC75" s="670">
        <f t="shared" si="49"/>
        <v>15016232.762748918</v>
      </c>
      <c r="AD75" s="670">
        <f t="shared" si="49"/>
        <v>32190937.28700462</v>
      </c>
      <c r="AE75" s="670">
        <f t="shared" si="49"/>
        <v>13851661.104945797</v>
      </c>
      <c r="AF75" s="670">
        <f t="shared" si="49"/>
        <v>18519662.444710504</v>
      </c>
      <c r="AG75" s="670">
        <f t="shared" si="49"/>
        <v>63699458.27349136</v>
      </c>
      <c r="AH75" s="670">
        <f t="shared" si="49"/>
        <v>63581872.979373716</v>
      </c>
      <c r="AI75" s="670">
        <f t="shared" si="49"/>
        <v>63672688.788197249</v>
      </c>
      <c r="AJ75" s="670">
        <f t="shared" si="49"/>
        <v>63651485.887030534</v>
      </c>
      <c r="AK75" s="670">
        <f t="shared" si="49"/>
        <v>63703252.431148179</v>
      </c>
      <c r="AL75" s="670">
        <f t="shared" si="49"/>
        <v>64806775.409089357</v>
      </c>
      <c r="AM75" s="670"/>
      <c r="AN75" s="670"/>
      <c r="AO75" s="670"/>
      <c r="AP75" s="670"/>
      <c r="AQ75" s="670"/>
    </row>
    <row r="76" spans="1:43" ht="15" hidden="1" customHeight="1" thickBot="1" x14ac:dyDescent="0.3">
      <c r="B76" s="767" t="s">
        <v>1458</v>
      </c>
      <c r="C76" s="671" t="e">
        <f>+#REF!+8535000</f>
        <v>#REF!</v>
      </c>
      <c r="D76" s="671" t="e">
        <f>+#REF!+2000000</f>
        <v>#REF!</v>
      </c>
      <c r="E76" s="671" t="e">
        <f>+#REF!</f>
        <v>#REF!</v>
      </c>
      <c r="F76" s="671" t="e">
        <f>+#REF!</f>
        <v>#REF!</v>
      </c>
      <c r="G76" s="671" t="e">
        <f>+#REF!</f>
        <v>#REF!</v>
      </c>
      <c r="H76" s="671" t="e">
        <f>+#REF!</f>
        <v>#REF!</v>
      </c>
      <c r="I76" s="671" t="e">
        <f>+#REF!</f>
        <v>#REF!</v>
      </c>
      <c r="J76" s="671" t="e">
        <f>+#REF!</f>
        <v>#REF!</v>
      </c>
      <c r="K76" s="671" t="e">
        <f>+#REF!</f>
        <v>#REF!</v>
      </c>
      <c r="L76" s="671" t="e">
        <f>+#REF!</f>
        <v>#REF!</v>
      </c>
      <c r="M76" s="671" t="e">
        <f>+#REF!</f>
        <v>#REF!</v>
      </c>
      <c r="N76" s="671" t="e">
        <f>+#REF!</f>
        <v>#REF!</v>
      </c>
      <c r="O76" s="671">
        <f>+AA58+8535000</f>
        <v>25434038.589572448</v>
      </c>
      <c r="P76" s="671">
        <f>+AB58+2000000</f>
        <v>15802303.079278326</v>
      </c>
      <c r="Q76" s="671">
        <f t="shared" ref="Q76:Z76" si="50">+AC58</f>
        <v>15016232.762748918</v>
      </c>
      <c r="R76" s="671">
        <f t="shared" si="50"/>
        <v>32190937.28700462</v>
      </c>
      <c r="S76" s="671">
        <f t="shared" si="50"/>
        <v>13851661.104945797</v>
      </c>
      <c r="T76" s="671">
        <f t="shared" si="50"/>
        <v>18519662.444710504</v>
      </c>
      <c r="U76" s="671">
        <f t="shared" si="50"/>
        <v>63699458.27349136</v>
      </c>
      <c r="V76" s="671">
        <f t="shared" si="50"/>
        <v>63581872.979373716</v>
      </c>
      <c r="W76" s="671">
        <f t="shared" si="50"/>
        <v>63672688.788197249</v>
      </c>
      <c r="X76" s="671">
        <f t="shared" si="50"/>
        <v>63651485.887030534</v>
      </c>
      <c r="Y76" s="671">
        <f t="shared" si="50"/>
        <v>63703252.431148179</v>
      </c>
      <c r="Z76" s="671">
        <f t="shared" si="50"/>
        <v>64806775.409089357</v>
      </c>
      <c r="AA76" s="671">
        <f>+AM58+8535000</f>
        <v>211066377.5707449</v>
      </c>
      <c r="AB76" s="671">
        <f>+AN58+2000000</f>
        <v>495395369.03659105</v>
      </c>
      <c r="AC76" s="671">
        <f t="shared" ref="AC76:AL76" si="51">+AO58</f>
        <v>145971395.23746586</v>
      </c>
      <c r="AD76" s="671">
        <f t="shared" si="51"/>
        <v>239857762.72024</v>
      </c>
      <c r="AE76" s="671">
        <f t="shared" si="51"/>
        <v>401635196.21304083</v>
      </c>
      <c r="AF76" s="671">
        <f t="shared" si="51"/>
        <v>0</v>
      </c>
      <c r="AG76" s="671">
        <f t="shared" si="51"/>
        <v>0</v>
      </c>
      <c r="AH76" s="671">
        <f t="shared" si="51"/>
        <v>0</v>
      </c>
      <c r="AI76" s="671">
        <f t="shared" si="51"/>
        <v>0</v>
      </c>
      <c r="AJ76" s="671">
        <f t="shared" si="51"/>
        <v>0</v>
      </c>
      <c r="AK76" s="671">
        <f t="shared" si="51"/>
        <v>0</v>
      </c>
      <c r="AL76" s="671">
        <f t="shared" si="51"/>
        <v>0</v>
      </c>
      <c r="AM76" s="671"/>
      <c r="AN76" s="671"/>
      <c r="AO76" s="671"/>
      <c r="AP76" s="671"/>
      <c r="AQ76" s="671"/>
    </row>
    <row r="77" spans="1:43" hidden="1" x14ac:dyDescent="0.25"/>
    <row r="78" spans="1:43" hidden="1" x14ac:dyDescent="0.25"/>
    <row r="79" spans="1:43" x14ac:dyDescent="0.25">
      <c r="E79" s="151">
        <f>SUM(C57:Q57,C20:Q20)</f>
        <v>32737163.765899926</v>
      </c>
      <c r="F79" s="151">
        <f>SUM(E57:Q57,E20:Q20)</f>
        <v>31973596.560017571</v>
      </c>
    </row>
  </sheetData>
  <pageMargins left="0.70866141732283472" right="0.70866141732283472" top="0.74803149606299213" bottom="0.74803149606299213" header="0.31496062992125984" footer="0.31496062992125984"/>
  <pageSetup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53</vt:i4>
      </vt:variant>
      <vt:variant>
        <vt:lpstr>Rangos con nombre</vt:lpstr>
      </vt:variant>
      <vt:variant>
        <vt:i4>37</vt:i4>
      </vt:variant>
    </vt:vector>
  </HeadingPairs>
  <TitlesOfParts>
    <vt:vector size="90" baseType="lpstr">
      <vt:lpstr>Cover</vt:lpstr>
      <vt:lpstr>Scope - Summary legal 2020</vt:lpstr>
      <vt:lpstr>Legal (2020)</vt:lpstr>
      <vt:lpstr>Summaery legal 2019</vt:lpstr>
      <vt:lpstr>Legal (2019)</vt:lpstr>
      <vt:lpstr>Summary</vt:lpstr>
      <vt:lpstr>Hoja1</vt:lpstr>
      <vt:lpstr>Cash+accruals</vt:lpstr>
      <vt:lpstr>Fases</vt:lpstr>
      <vt:lpstr>BD CRegL</vt:lpstr>
      <vt:lpstr>682 Scope - Summary Adm</vt:lpstr>
      <vt:lpstr>Administration</vt:lpstr>
      <vt:lpstr>Scope - Summary Vallenar</vt:lpstr>
      <vt:lpstr>Office_Vallenar</vt:lpstr>
      <vt:lpstr>682 Scope-Summary IT</vt:lpstr>
      <vt:lpstr>IT</vt:lpstr>
      <vt:lpstr>682 Scope-Summary Business Serv</vt:lpstr>
      <vt:lpstr>Business_Service</vt:lpstr>
      <vt:lpstr> 683 Scope-Summary Legal</vt:lpstr>
      <vt:lpstr>Legal_1</vt:lpstr>
      <vt:lpstr>684Scope-Summary Environmental</vt:lpstr>
      <vt:lpstr>Environmental</vt:lpstr>
      <vt:lpstr>Environmental (GINE)</vt:lpstr>
      <vt:lpstr>DSS</vt:lpstr>
      <vt:lpstr>683 Scope-Summary Legal</vt:lpstr>
      <vt:lpstr>Legal</vt:lpstr>
      <vt:lpstr>684 Scope-Summary Communication</vt:lpstr>
      <vt:lpstr>Communication</vt:lpstr>
      <vt:lpstr>684 Scope-Summary Resettlement</vt:lpstr>
      <vt:lpstr>Resettlement</vt:lpstr>
      <vt:lpstr>Scope - Summary Engagement</vt:lpstr>
      <vt:lpstr>Engagement</vt:lpstr>
      <vt:lpstr>684 Scope-Summary Development</vt:lpstr>
      <vt:lpstr>Development</vt:lpstr>
      <vt:lpstr>685 Scope -Summary Engineering</vt:lpstr>
      <vt:lpstr>Engineering</vt:lpstr>
      <vt:lpstr>Healt_and_saffety</vt:lpstr>
      <vt:lpstr>Metallurgy</vt:lpstr>
      <vt:lpstr>Drilling</vt:lpstr>
      <vt:lpstr>Camp</vt:lpstr>
      <vt:lpstr>687 Scope-Summary Operations </vt:lpstr>
      <vt:lpstr>Mine</vt:lpstr>
      <vt:lpstr>Geology</vt:lpstr>
      <vt:lpstr>Geotechnical</vt:lpstr>
      <vt:lpstr>688 Scope-Summary General Man</vt:lpstr>
      <vt:lpstr>General_Management</vt:lpstr>
      <vt:lpstr>688 Scope-Summary Management</vt:lpstr>
      <vt:lpstr>Service_Management</vt:lpstr>
      <vt:lpstr>Scope - Summary Contract</vt:lpstr>
      <vt:lpstr>Contract</vt:lpstr>
      <vt:lpstr>Cost Report</vt:lpstr>
      <vt:lpstr>Lists</vt:lpstr>
      <vt:lpstr>CCs &amp; Accounts</vt:lpstr>
      <vt:lpstr>'682 Scope - Summary Adm'!Área_de_impresión</vt:lpstr>
      <vt:lpstr>'682 Scope-Summary Business Serv'!Área_de_impresión</vt:lpstr>
      <vt:lpstr>'682 Scope-Summary IT'!Área_de_impresión</vt:lpstr>
      <vt:lpstr>'683 Scope-Summary Legal'!Área_de_impresión</vt:lpstr>
      <vt:lpstr>'684 Scope-Summary Communication'!Área_de_impresión</vt:lpstr>
      <vt:lpstr>'684 Scope-Summary Development'!Área_de_impresión</vt:lpstr>
      <vt:lpstr>'684 Scope-Summary Resettlement'!Área_de_impresión</vt:lpstr>
      <vt:lpstr>'684Scope-Summary Environmental'!Área_de_impresión</vt:lpstr>
      <vt:lpstr>'685 Scope -Summary Engineering'!Área_de_impresión</vt:lpstr>
      <vt:lpstr>'687 Scope-Summary Operations '!Área_de_impresión</vt:lpstr>
      <vt:lpstr>'688 Scope-Summary General Man'!Área_de_impresión</vt:lpstr>
      <vt:lpstr>'688 Scope-Summary Management'!Área_de_impresión</vt:lpstr>
      <vt:lpstr>Administration!Área_de_impresión</vt:lpstr>
      <vt:lpstr>Business_Service!Área_de_impresión</vt:lpstr>
      <vt:lpstr>Camp!Área_de_impresión</vt:lpstr>
      <vt:lpstr>Communication!Área_de_impresión</vt:lpstr>
      <vt:lpstr>Contract!Área_de_impresión</vt:lpstr>
      <vt:lpstr>Cover!Área_de_impresión</vt:lpstr>
      <vt:lpstr>Development!Área_de_impresión</vt:lpstr>
      <vt:lpstr>Drilling!Área_de_impresión</vt:lpstr>
      <vt:lpstr>Engagement!Área_de_impresión</vt:lpstr>
      <vt:lpstr>Engineering!Área_de_impresión</vt:lpstr>
      <vt:lpstr>Environmental!Área_de_impresión</vt:lpstr>
      <vt:lpstr>'Environmental (GINE)'!Área_de_impresión</vt:lpstr>
      <vt:lpstr>Healt_and_saffety!Área_de_impresión</vt:lpstr>
      <vt:lpstr>IT!Área_de_impresión</vt:lpstr>
      <vt:lpstr>Legal!Área_de_impresión</vt:lpstr>
      <vt:lpstr>'Legal (2019)'!Área_de_impresión</vt:lpstr>
      <vt:lpstr>'Legal (2020)'!Área_de_impresión</vt:lpstr>
      <vt:lpstr>Mine!Área_de_impresión</vt:lpstr>
      <vt:lpstr>Office_Vallenar!Área_de_impresión</vt:lpstr>
      <vt:lpstr>Resettlement!Área_de_impresión</vt:lpstr>
      <vt:lpstr>'Scope - Summary Contract'!Área_de_impresión</vt:lpstr>
      <vt:lpstr>'Scope - Summary Engagement'!Área_de_impresión</vt:lpstr>
      <vt:lpstr>'Scope - Summary legal 2020'!Área_de_impresión</vt:lpstr>
      <vt:lpstr>'Scope - Summary Vallenar'!Área_de_impresión</vt:lpstr>
      <vt:lpstr>'Summaery legal 2019'!Área_de_impresión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Villegas</dc:creator>
  <cp:keywords/>
  <dc:description/>
  <cp:lastModifiedBy>Michael Leyton</cp:lastModifiedBy>
  <cp:revision/>
  <cp:lastPrinted>2018-02-09T19:16:31Z</cp:lastPrinted>
  <dcterms:created xsi:type="dcterms:W3CDTF">2017-06-21T15:41:36Z</dcterms:created>
  <dcterms:modified xsi:type="dcterms:W3CDTF">2018-02-15T22:06:22Z</dcterms:modified>
  <cp:category/>
  <cp:contentStatus/>
</cp:coreProperties>
</file>