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/Library/Mobile Documents/com~apple~CloudDocs/MySharedDocs/"/>
    </mc:Choice>
  </mc:AlternateContent>
  <xr:revisionPtr revIDLastSave="0" documentId="13_ncr:1_{DFC80F6F-E5AA-8944-BC32-4435C13B32D3}" xr6:coauthVersionLast="47" xr6:coauthVersionMax="47" xr10:uidLastSave="{00000000-0000-0000-0000-000000000000}"/>
  <bookViews>
    <workbookView xWindow="-11660" yWindow="-28300" windowWidth="51200" windowHeight="28300" xr2:uid="{579481C0-C165-FD4E-8674-78238D2D4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" i="1" l="1"/>
  <c r="B9" i="1"/>
  <c r="E20" i="1" s="1"/>
  <c r="B8" i="1"/>
  <c r="E16" i="1" s="1"/>
  <c r="B7" i="1"/>
  <c r="B6" i="1"/>
  <c r="D19" i="1" s="1"/>
  <c r="B19" i="1" s="1"/>
  <c r="D27" i="1"/>
  <c r="F27" i="1" s="1" a="1"/>
  <c r="F27" i="1" s="1"/>
  <c r="B23" i="1"/>
  <c r="D25" i="1"/>
  <c r="F41" i="1" l="1"/>
  <c r="F42" i="1" s="1"/>
  <c r="D17" i="1"/>
  <c r="B17" i="1" s="1"/>
  <c r="D15" i="1"/>
  <c r="B15" i="1" s="1"/>
  <c r="D16" i="1"/>
  <c r="D18" i="1"/>
  <c r="B18" i="1" s="1"/>
  <c r="D20" i="1"/>
  <c r="B20" i="1" s="1"/>
  <c r="E15" i="1"/>
  <c r="E19" i="1"/>
  <c r="E18" i="1"/>
  <c r="E17" i="1"/>
  <c r="F28" i="1" a="1"/>
  <c r="F28" i="1" s="1"/>
  <c r="D28" i="1" a="1"/>
  <c r="D28" i="1" s="1"/>
  <c r="B24" i="1"/>
  <c r="B34" i="1" s="1"/>
  <c r="D34" i="1" s="1"/>
  <c r="E21" i="1" l="1"/>
  <c r="B36" i="1" s="1"/>
  <c r="D21" i="1"/>
  <c r="B16" i="1"/>
  <c r="B25" i="1"/>
  <c r="F25" i="1" s="1"/>
  <c r="D29" i="1"/>
  <c r="B26" i="1" l="1"/>
  <c r="B31" i="1" s="1"/>
  <c r="D36" i="1"/>
  <c r="F31" i="1" l="1" a="1"/>
  <c r="F31" i="1" s="1"/>
  <c r="D31" i="1"/>
  <c r="F32" i="1" a="1"/>
  <c r="F32" i="1" s="1"/>
  <c r="D32" i="1" a="1"/>
  <c r="D32" i="1" s="1"/>
  <c r="D33" i="1" l="1"/>
  <c r="B37" i="1" s="1"/>
  <c r="B35" i="1" s="1"/>
  <c r="D44" i="1" l="1"/>
  <c r="D43" i="1"/>
  <c r="D40" i="1"/>
  <c r="B43" i="1"/>
  <c r="B38" i="1"/>
  <c r="C43" i="1"/>
  <c r="C44" i="1"/>
  <c r="D35" i="1"/>
  <c r="B44" i="1"/>
  <c r="B40" i="1"/>
  <c r="C41" i="1"/>
  <c r="D41" i="1" s="1"/>
  <c r="B41" i="1" s="1"/>
  <c r="C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<sst xmlns="http://schemas.openxmlformats.org/spreadsheetml/2006/main" count="99" uniqueCount="83">
  <si>
    <t>税前月薪</t>
  </si>
  <si>
    <t>年终奖</t>
  </si>
  <si>
    <t>参数设置</t>
  </si>
  <si>
    <t>个人公积金</t>
  </si>
  <si>
    <t>养老保险</t>
  </si>
  <si>
    <t>医疗保险</t>
  </si>
  <si>
    <t>失业保险</t>
  </si>
  <si>
    <t>工伤保险</t>
  </si>
  <si>
    <t>生育保险</t>
  </si>
  <si>
    <t>五险一金</t>
  </si>
  <si>
    <t>个人缴纳比例</t>
  </si>
  <si>
    <t>公司缴纳比例</t>
  </si>
  <si>
    <t>计算结果</t>
  </si>
  <si>
    <t>每月五险一金详情</t>
  </si>
  <si>
    <t>个人缴纳额</t>
  </si>
  <si>
    <t>公司缴纳额</t>
  </si>
  <si>
    <t>年度数据</t>
  </si>
  <si>
    <t>到手年薪</t>
  </si>
  <si>
    <t>税前年薪</t>
  </si>
  <si>
    <t>公积金缴纳基数(个人)</t>
  </si>
  <si>
    <t>公积金缴纳基数(公司)</t>
  </si>
  <si>
    <t>社保缴纳基数(个人)</t>
  </si>
  <si>
    <t>社保缴纳基数(公司)</t>
  </si>
  <si>
    <t>公积金总额</t>
  </si>
  <si>
    <t>养老保险(个人账户)</t>
  </si>
  <si>
    <t>医疗保险(个人账户)</t>
  </si>
  <si>
    <t>不超过36000元的</t>
  </si>
  <si>
    <t>超过36000元至144000元的部分</t>
  </si>
  <si>
    <t>超过144000元至300000元的部分</t>
  </si>
  <si>
    <t>超过300000元至420000元的部分</t>
  </si>
  <si>
    <t>超过420000元至660000元的部分</t>
  </si>
  <si>
    <t>超过660000元至960000元的部分</t>
  </si>
  <si>
    <t>超过960000元的部分</t>
  </si>
  <si>
    <t>级数</t>
  </si>
  <si>
    <t>全年应纳税所得额</t>
  </si>
  <si>
    <t>税率（%）</t>
  </si>
  <si>
    <t>速算扣除数</t>
  </si>
  <si>
    <t>基础全年扣除</t>
  </si>
  <si>
    <t>劳务报酬(全年)</t>
  </si>
  <si>
    <t>全年综合所得</t>
  </si>
  <si>
    <t>专项附加扣除额度(月度)</t>
  </si>
  <si>
    <t>专项扣除(即个人缴纳三险一金)</t>
  </si>
  <si>
    <t>对应级数</t>
  </si>
  <si>
    <t>对应级数税率</t>
  </si>
  <si>
    <t>专项附加扣除(年度)</t>
  </si>
  <si>
    <t>年终奖应缴税</t>
  </si>
  <si>
    <t xml:space="preserve">  (其中基础薪资部分)</t>
  </si>
  <si>
    <t xml:space="preserve">  (其中年终奖金独立计税部分)</t>
  </si>
  <si>
    <t>基础薪资应税收入</t>
  </si>
  <si>
    <t>基础薪资应缴税</t>
  </si>
  <si>
    <t>总扣除</t>
  </si>
  <si>
    <t>全月应纳税所得额</t>
  </si>
  <si>
    <t>不超过3000元的</t>
  </si>
  <si>
    <t>超过3000元至12000元的部分</t>
  </si>
  <si>
    <t>超过12000元至25000元的部分</t>
  </si>
  <si>
    <t>超过25000元至35000元的部分</t>
  </si>
  <si>
    <t>超过35000元至55000元的部分</t>
  </si>
  <si>
    <t>超过55000元至80000元的部分</t>
  </si>
  <si>
    <t>超过80000元的部分</t>
  </si>
  <si>
    <t>按月换算应税额</t>
  </si>
  <si>
    <t>企业用人成本</t>
  </si>
  <si>
    <t>总计</t>
  </si>
  <si>
    <t>狭义税负%(1-税后/税前)</t>
  </si>
  <si>
    <t>税负分级计算%</t>
  </si>
  <si>
    <t>1. 仅公司缴纳五险算做税负，个人五险一金与公司缴纳公积金金算做收入</t>
  </si>
  <si>
    <t>用于年终奖独立计税</t>
  </si>
  <si>
    <t>用于日常薪资计税</t>
  </si>
  <si>
    <t>年终奖是(1)否(0)独立计税</t>
  </si>
  <si>
    <t>折算收入</t>
  </si>
  <si>
    <t>年度缴纳个人所得税</t>
  </si>
  <si>
    <t>平均到手月薪</t>
  </si>
  <si>
    <t>平均月用人成本</t>
  </si>
  <si>
    <t>3. (公司+个人)缴纳五险算做税负，(公司+个人)缴纳公积金算收入</t>
  </si>
  <si>
    <t>4. (公司+个人)缴纳五险一金全算做税负，即(1-税后收入/企业用人成本)</t>
  </si>
  <si>
    <t>2. 仅公司缴纳五险算做税负，个人五险一金与公司缴纳公积金金算做收入，但个人养老金部分根据当地平均公司进行近似权重调整</t>
  </si>
  <si>
    <t>养老金缴纳倍数</t>
  </si>
  <si>
    <t>养老金领取倍数</t>
  </si>
  <si>
    <t>折算等价税额</t>
  </si>
  <si>
    <t>税负比例%</t>
  </si>
  <si>
    <t>全年综合所得收入</t>
  </si>
  <si>
    <t>全年综合收入月平均</t>
  </si>
  <si>
    <t>当地平均工资(月)</t>
  </si>
  <si>
    <t>公积金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</si>
</sst>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8"/>
      <color rgb="FF9C57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5" tint="-0.249977111117893"/>
      </left>
      <right style="thin">
        <color rgb="FF7F7F7F"/>
      </right>
      <top style="medium">
        <color theme="5" tint="-0.249977111117893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theme="5" tint="-0.249977111117893"/>
      </top>
      <bottom style="thin">
        <color rgb="FF7F7F7F"/>
      </bottom>
      <diagonal/>
    </border>
    <border>
      <left style="thin">
        <color rgb="FF7F7F7F"/>
      </left>
      <right style="medium">
        <color theme="5" tint="-0.249977111117893"/>
      </right>
      <top style="medium">
        <color theme="5" tint="-0.249977111117893"/>
      </top>
      <bottom style="thin">
        <color rgb="FF7F7F7F"/>
      </bottom>
      <diagonal/>
    </border>
    <border>
      <left style="medium">
        <color theme="5" tint="-0.249977111117893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theme="5" tint="-0.249977111117893"/>
      </right>
      <top style="thin">
        <color rgb="FF7F7F7F"/>
      </top>
      <bottom style="thin">
        <color rgb="FF7F7F7F"/>
      </bottom>
      <diagonal/>
    </border>
    <border>
      <left style="medium">
        <color theme="5" tint="-0.249977111117893"/>
      </left>
      <right style="thin">
        <color rgb="FF7F7F7F"/>
      </right>
      <top style="thin">
        <color rgb="FF7F7F7F"/>
      </top>
      <bottom style="medium">
        <color theme="5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theme="5" tint="-0.249977111117893"/>
      </bottom>
      <diagonal/>
    </border>
    <border>
      <left style="thin">
        <color rgb="FF7F7F7F"/>
      </left>
      <right style="medium">
        <color theme="5" tint="-0.249977111117893"/>
      </right>
      <top style="thin">
        <color rgb="FF7F7F7F"/>
      </top>
      <bottom style="medium">
        <color theme="5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5" tint="-0.249977111117893"/>
      </left>
      <right/>
      <top style="medium">
        <color indexed="64"/>
      </top>
      <bottom/>
      <diagonal/>
    </border>
    <border>
      <left/>
      <right style="medium">
        <color theme="5" tint="-0.249977111117893"/>
      </right>
      <top style="medium">
        <color indexed="64"/>
      </top>
      <bottom/>
      <diagonal/>
    </border>
    <border>
      <left style="medium">
        <color theme="5" tint="-0.249977111117893"/>
      </left>
      <right/>
      <top/>
      <bottom style="medium">
        <color indexed="64"/>
      </bottom>
      <diagonal/>
    </border>
    <border>
      <left/>
      <right style="medium">
        <color theme="5" tint="-0.249977111117893"/>
      </right>
      <top/>
      <bottom style="medium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1" applyNumberFormat="0" applyAlignment="0" applyProtection="0"/>
    <xf numFmtId="0" fontId="8" fillId="0" borderId="0" applyNumberFormat="0" applyFill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95">
    <xf numFmtId="0" fontId="0" fillId="0" borderId="0" xfId="0"/>
    <xf numFmtId="0" fontId="1" fillId="0" borderId="0" xfId="0" applyFont="1"/>
    <xf numFmtId="0" fontId="3" fillId="2" borderId="0" xfId="1"/>
    <xf numFmtId="0" fontId="7" fillId="6" borderId="1" xfId="5"/>
    <xf numFmtId="0" fontId="5" fillId="4" borderId="2" xfId="3" applyBorder="1" applyAlignment="1">
      <alignment wrapText="1"/>
    </xf>
    <xf numFmtId="0" fontId="5" fillId="4" borderId="3" xfId="3" applyBorder="1"/>
    <xf numFmtId="0" fontId="5" fillId="4" borderId="4" xfId="3" applyBorder="1" applyAlignment="1">
      <alignment wrapText="1"/>
    </xf>
    <xf numFmtId="0" fontId="5" fillId="4" borderId="5" xfId="3" applyBorder="1"/>
    <xf numFmtId="0" fontId="15" fillId="3" borderId="2" xfId="2" applyFont="1" applyBorder="1"/>
    <xf numFmtId="0" fontId="4" fillId="3" borderId="2" xfId="2" applyBorder="1"/>
    <xf numFmtId="0" fontId="14" fillId="2" borderId="0" xfId="1" applyFont="1" applyBorder="1"/>
    <xf numFmtId="0" fontId="12" fillId="2" borderId="0" xfId="1" applyFont="1" applyBorder="1"/>
    <xf numFmtId="0" fontId="16" fillId="7" borderId="4" xfId="7" applyFont="1" applyBorder="1"/>
    <xf numFmtId="0" fontId="9" fillId="7" borderId="4" xfId="7" applyFont="1" applyBorder="1"/>
    <xf numFmtId="0" fontId="7" fillId="6" borderId="6" xfId="5" applyBorder="1"/>
    <xf numFmtId="0" fontId="7" fillId="6" borderId="7" xfId="5" applyBorder="1"/>
    <xf numFmtId="0" fontId="7" fillId="6" borderId="8" xfId="5" applyBorder="1"/>
    <xf numFmtId="0" fontId="7" fillId="6" borderId="9" xfId="5" applyBorder="1"/>
    <xf numFmtId="0" fontId="7" fillId="6" borderId="10" xfId="5" applyBorder="1"/>
    <xf numFmtId="0" fontId="7" fillId="6" borderId="11" xfId="5" applyBorder="1"/>
    <xf numFmtId="0" fontId="7" fillId="6" borderId="12" xfId="5" applyBorder="1"/>
    <xf numFmtId="0" fontId="7" fillId="6" borderId="13" xfId="5" applyBorder="1"/>
    <xf numFmtId="0" fontId="6" fillId="5" borderId="6" xfId="4" applyBorder="1"/>
    <xf numFmtId="0" fontId="6" fillId="5" borderId="7" xfId="4" applyBorder="1"/>
    <xf numFmtId="0" fontId="6" fillId="5" borderId="8" xfId="4" applyBorder="1"/>
    <xf numFmtId="0" fontId="6" fillId="5" borderId="9" xfId="4" applyBorder="1"/>
    <xf numFmtId="0" fontId="6" fillId="5" borderId="1" xfId="4"/>
    <xf numFmtId="0" fontId="6" fillId="5" borderId="10" xfId="4" applyBorder="1"/>
    <xf numFmtId="9" fontId="6" fillId="5" borderId="1" xfId="4" applyNumberFormat="1"/>
    <xf numFmtId="9" fontId="6" fillId="5" borderId="10" xfId="4" applyNumberFormat="1" applyBorder="1"/>
    <xf numFmtId="10" fontId="6" fillId="5" borderId="1" xfId="4" applyNumberFormat="1"/>
    <xf numFmtId="10" fontId="6" fillId="5" borderId="10" xfId="4" applyNumberFormat="1" applyBorder="1"/>
    <xf numFmtId="0" fontId="6" fillId="5" borderId="11" xfId="4" applyBorder="1"/>
    <xf numFmtId="0" fontId="6" fillId="5" borderId="12" xfId="4" applyBorder="1"/>
    <xf numFmtId="0" fontId="6" fillId="5" borderId="13" xfId="4" applyBorder="1"/>
    <xf numFmtId="0" fontId="8" fillId="0" borderId="17" xfId="6" applyBorder="1"/>
    <xf numFmtId="0" fontId="8" fillId="0" borderId="0" xfId="6" applyBorder="1"/>
    <xf numFmtId="0" fontId="8" fillId="0" borderId="18" xfId="6" applyBorder="1"/>
    <xf numFmtId="0" fontId="8" fillId="0" borderId="19" xfId="6" applyBorder="1"/>
    <xf numFmtId="0" fontId="8" fillId="0" borderId="20" xfId="6" applyBorder="1"/>
    <xf numFmtId="0" fontId="8" fillId="0" borderId="21" xfId="6" applyBorder="1"/>
    <xf numFmtId="10" fontId="13" fillId="4" borderId="2" xfId="3" applyNumberFormat="1" applyFont="1" applyBorder="1" applyAlignment="1">
      <alignment horizontal="right" vertical="center"/>
    </xf>
    <xf numFmtId="10" fontId="13" fillId="4" borderId="4" xfId="3" applyNumberFormat="1" applyFont="1" applyBorder="1" applyAlignment="1">
      <alignment horizontal="right" vertical="center"/>
    </xf>
    <xf numFmtId="0" fontId="14" fillId="2" borderId="2" xfId="1" applyFont="1" applyBorder="1" applyAlignment="1">
      <alignment horizontal="right" vertical="center"/>
    </xf>
    <xf numFmtId="0" fontId="14" fillId="2" borderId="4" xfId="1" applyFont="1" applyBorder="1" applyAlignment="1">
      <alignment horizontal="right" vertical="center"/>
    </xf>
    <xf numFmtId="0" fontId="8" fillId="0" borderId="14" xfId="6" applyBorder="1" applyAlignment="1">
      <alignment horizontal="center"/>
    </xf>
    <xf numFmtId="0" fontId="8" fillId="0" borderId="15" xfId="6" applyBorder="1" applyAlignment="1">
      <alignment horizontal="center"/>
    </xf>
    <xf numFmtId="0" fontId="8" fillId="0" borderId="16" xfId="6" applyBorder="1" applyAlignment="1">
      <alignment horizontal="center"/>
    </xf>
    <xf numFmtId="0" fontId="8" fillId="0" borderId="17" xfId="6" applyBorder="1" applyAlignment="1">
      <alignment horizontal="center"/>
    </xf>
    <xf numFmtId="0" fontId="8" fillId="0" borderId="0" xfId="6" applyBorder="1" applyAlignment="1">
      <alignment horizontal="center"/>
    </xf>
    <xf numFmtId="0" fontId="8" fillId="0" borderId="18" xfId="6" applyBorder="1" applyAlignment="1">
      <alignment horizontal="center"/>
    </xf>
    <xf numFmtId="0" fontId="0" fillId="0" borderId="0" xfId="0" applyAlignment="1">
      <alignment horizontal="center"/>
    </xf>
    <xf numFmtId="10" fontId="13" fillId="4" borderId="0" xfId="3" applyNumberFormat="1" applyFont="1" applyBorder="1" applyAlignment="1">
      <alignment horizontal="right" vertical="center"/>
    </xf>
    <xf numFmtId="0" fontId="14" fillId="2" borderId="0" xfId="1" applyFont="1" applyBorder="1" applyAlignment="1">
      <alignment horizontal="right" vertical="center"/>
    </xf>
    <xf numFmtId="0" fontId="2" fillId="8" borderId="14" xfId="8" applyBorder="1"/>
    <xf numFmtId="10" fontId="11" fillId="4" borderId="15" xfId="3" applyNumberFormat="1" applyFont="1" applyBorder="1" applyAlignment="1">
      <alignment horizontal="right"/>
    </xf>
    <xf numFmtId="0" fontId="12" fillId="2" borderId="15" xfId="1" applyFont="1" applyBorder="1" applyAlignment="1">
      <alignment horizontal="right"/>
    </xf>
    <xf numFmtId="0" fontId="10" fillId="3" borderId="16" xfId="2" applyFont="1" applyBorder="1" applyAlignment="1">
      <alignment horizontal="right"/>
    </xf>
    <xf numFmtId="0" fontId="2" fillId="8" borderId="17" xfId="8" applyBorder="1" applyAlignment="1">
      <alignment wrapText="1"/>
    </xf>
    <xf numFmtId="0" fontId="15" fillId="3" borderId="18" xfId="2" applyFont="1" applyBorder="1" applyAlignment="1">
      <alignment horizontal="right" vertical="center"/>
    </xf>
    <xf numFmtId="0" fontId="2" fillId="8" borderId="22" xfId="8" applyBorder="1" applyAlignment="1">
      <alignment horizontal="left" vertical="top" wrapText="1"/>
    </xf>
    <xf numFmtId="0" fontId="15" fillId="3" borderId="23" xfId="2" applyFont="1" applyBorder="1" applyAlignment="1">
      <alignment horizontal="right" vertical="center"/>
    </xf>
    <xf numFmtId="0" fontId="2" fillId="8" borderId="24" xfId="8" applyBorder="1" applyAlignment="1">
      <alignment horizontal="left" vertical="top" wrapText="1"/>
    </xf>
    <xf numFmtId="0" fontId="15" fillId="3" borderId="25" xfId="2" applyFont="1" applyBorder="1" applyAlignment="1">
      <alignment horizontal="right" vertical="center"/>
    </xf>
    <xf numFmtId="0" fontId="2" fillId="8" borderId="19" xfId="8" applyBorder="1" applyAlignment="1">
      <alignment wrapText="1"/>
    </xf>
    <xf numFmtId="10" fontId="13" fillId="4" borderId="20" xfId="3" applyNumberFormat="1" applyFont="1" applyBorder="1" applyAlignment="1">
      <alignment horizontal="right" vertical="center"/>
    </xf>
    <xf numFmtId="0" fontId="14" fillId="2" borderId="20" xfId="1" applyFont="1" applyBorder="1" applyAlignment="1">
      <alignment horizontal="right" vertical="center"/>
    </xf>
    <xf numFmtId="0" fontId="15" fillId="3" borderId="21" xfId="2" applyFont="1" applyBorder="1" applyAlignment="1">
      <alignment horizontal="right" vertical="center"/>
    </xf>
    <xf numFmtId="0" fontId="12" fillId="2" borderId="17" xfId="1" applyFont="1" applyBorder="1"/>
    <xf numFmtId="0" fontId="14" fillId="2" borderId="18" xfId="1" applyFont="1" applyBorder="1"/>
    <xf numFmtId="0" fontId="9" fillId="7" borderId="24" xfId="7" applyFont="1" applyBorder="1"/>
    <xf numFmtId="0" fontId="16" fillId="7" borderId="25" xfId="7" applyFont="1" applyBorder="1"/>
    <xf numFmtId="0" fontId="10" fillId="3" borderId="22" xfId="2" applyFont="1" applyBorder="1"/>
    <xf numFmtId="0" fontId="4" fillId="3" borderId="23" xfId="2" applyBorder="1"/>
    <xf numFmtId="0" fontId="10" fillId="3" borderId="19" xfId="2" applyFont="1" applyBorder="1"/>
    <xf numFmtId="10" fontId="15" fillId="3" borderId="20" xfId="2" applyNumberFormat="1" applyFont="1" applyBorder="1"/>
    <xf numFmtId="0" fontId="4" fillId="3" borderId="20" xfId="2" applyBorder="1"/>
    <xf numFmtId="0" fontId="17" fillId="3" borderId="21" xfId="2" applyFont="1" applyBorder="1"/>
    <xf numFmtId="0" fontId="4" fillId="3" borderId="14" xfId="2" applyBorder="1"/>
    <xf numFmtId="0" fontId="4" fillId="3" borderId="15" xfId="2" applyBorder="1"/>
    <xf numFmtId="0" fontId="4" fillId="3" borderId="16" xfId="2" applyBorder="1"/>
    <xf numFmtId="0" fontId="5" fillId="4" borderId="17" xfId="3" applyBorder="1"/>
    <xf numFmtId="0" fontId="5" fillId="4" borderId="0" xfId="3" applyBorder="1"/>
    <xf numFmtId="0" fontId="7" fillId="6" borderId="1" xfId="5" applyBorder="1"/>
    <xf numFmtId="0" fontId="5" fillId="4" borderId="17" xfId="3" applyBorder="1" applyAlignment="1">
      <alignment horizontal="left" vertical="top" wrapText="1"/>
    </xf>
    <xf numFmtId="0" fontId="5" fillId="4" borderId="0" xfId="3" applyBorder="1" applyAlignment="1">
      <alignment horizontal="right" vertical="top"/>
    </xf>
    <xf numFmtId="0" fontId="4" fillId="3" borderId="0" xfId="2" applyBorder="1"/>
    <xf numFmtId="0" fontId="4" fillId="3" borderId="18" xfId="2" applyBorder="1"/>
    <xf numFmtId="0" fontId="2" fillId="7" borderId="17" xfId="7" applyBorder="1"/>
    <xf numFmtId="0" fontId="2" fillId="7" borderId="0" xfId="7" applyBorder="1"/>
    <xf numFmtId="0" fontId="2" fillId="7" borderId="18" xfId="7" applyBorder="1"/>
    <xf numFmtId="0" fontId="5" fillId="4" borderId="17" xfId="3" applyBorder="1" applyAlignment="1">
      <alignment horizontal="left" vertical="top"/>
    </xf>
    <xf numFmtId="0" fontId="5" fillId="4" borderId="19" xfId="3" applyBorder="1" applyAlignment="1">
      <alignment horizontal="left" vertical="top"/>
    </xf>
    <xf numFmtId="0" fontId="5" fillId="4" borderId="20" xfId="3" applyBorder="1" applyAlignment="1">
      <alignment horizontal="right" vertical="top"/>
    </xf>
    <xf numFmtId="0" fontId="4" fillId="3" borderId="21" xfId="2" applyBorder="1"/>
  </cellXfs>
  <cellStyles count="9">
    <cellStyle name="20% - Accent1" xfId="7" builtinId="30"/>
    <cellStyle name="20% - Accent3" xfId="8" builtinId="38"/>
    <cellStyle name="Bad" xfId="2" builtinId="27"/>
    <cellStyle name="Calculation" xfId="5" builtinId="22"/>
    <cellStyle name="Explanatory Text" xfId="6" builtinId="5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6CC3-1EBD-404E-A944-B41B912C7754}">
  <dimension ref="A1:L44"/>
  <sheetViews>
    <sheetView tabSelected="1" topLeftCell="A33" zoomScale="192" workbookViewId="0">
      <selection activeCell="G43" sqref="G43"/>
    </sheetView>
  </sheetViews>
  <sheetFormatPr baseColWidth="10" defaultRowHeight="16" x14ac:dyDescent="0.2"/>
  <cols>
    <col min="1" max="1" width="35.5" customWidth="1"/>
    <col min="2" max="2" width="14.6640625" customWidth="1"/>
    <col min="3" max="3" width="21.5" customWidth="1"/>
    <col min="4" max="4" width="13.33203125" customWidth="1"/>
    <col min="5" max="5" width="12.6640625" customWidth="1"/>
    <col min="7" max="7" width="11" customWidth="1"/>
    <col min="8" max="8" width="7.1640625" customWidth="1"/>
    <col min="9" max="9" width="31.33203125" customWidth="1"/>
    <col min="10" max="10" width="9.5" customWidth="1"/>
    <col min="11" max="11" width="14" bestFit="1" customWidth="1"/>
  </cols>
  <sheetData>
    <row r="1" spans="1:11" ht="17" thickBot="1" x14ac:dyDescent="0.25">
      <c r="A1" s="22" t="s">
        <v>2</v>
      </c>
      <c r="B1" s="23"/>
      <c r="C1" s="23"/>
      <c r="D1" s="23"/>
      <c r="E1" s="24"/>
    </row>
    <row r="2" spans="1:11" x14ac:dyDescent="0.2">
      <c r="A2" s="25" t="s">
        <v>0</v>
      </c>
      <c r="B2" s="26">
        <v>18000</v>
      </c>
      <c r="C2" s="26" t="s">
        <v>9</v>
      </c>
      <c r="D2" s="26" t="s">
        <v>10</v>
      </c>
      <c r="E2" s="27" t="s">
        <v>11</v>
      </c>
      <c r="H2" s="45" t="s">
        <v>66</v>
      </c>
      <c r="I2" s="46"/>
      <c r="J2" s="46"/>
      <c r="K2" s="47"/>
    </row>
    <row r="3" spans="1:11" x14ac:dyDescent="0.2">
      <c r="A3" s="25" t="s">
        <v>1</v>
      </c>
      <c r="B3" s="26">
        <v>30000</v>
      </c>
      <c r="C3" s="26" t="s">
        <v>4</v>
      </c>
      <c r="D3" s="28">
        <v>0.08</v>
      </c>
      <c r="E3" s="29">
        <v>0.15</v>
      </c>
      <c r="H3" s="35" t="s">
        <v>33</v>
      </c>
      <c r="I3" s="36" t="s">
        <v>34</v>
      </c>
      <c r="J3" s="36" t="s">
        <v>35</v>
      </c>
      <c r="K3" s="37" t="s">
        <v>36</v>
      </c>
    </row>
    <row r="4" spans="1:11" x14ac:dyDescent="0.2">
      <c r="A4" s="25" t="s">
        <v>38</v>
      </c>
      <c r="B4" s="26">
        <v>0</v>
      </c>
      <c r="C4" s="26" t="s">
        <v>5</v>
      </c>
      <c r="D4" s="28">
        <v>0.02</v>
      </c>
      <c r="E4" s="29">
        <v>0.06</v>
      </c>
      <c r="H4" s="35">
        <v>1</v>
      </c>
      <c r="I4" s="36" t="s">
        <v>26</v>
      </c>
      <c r="J4" s="36">
        <v>3</v>
      </c>
      <c r="K4" s="37">
        <v>0</v>
      </c>
    </row>
    <row r="5" spans="1:11" x14ac:dyDescent="0.2">
      <c r="A5" s="25" t="s">
        <v>67</v>
      </c>
      <c r="B5" s="26">
        <v>1</v>
      </c>
      <c r="C5" s="26" t="s">
        <v>6</v>
      </c>
      <c r="D5" s="30">
        <v>5.0000000000000001E-3</v>
      </c>
      <c r="E5" s="31">
        <v>7.0000000000000001E-3</v>
      </c>
      <c r="H5" s="35">
        <v>2</v>
      </c>
      <c r="I5" s="36" t="s">
        <v>27</v>
      </c>
      <c r="J5" s="36">
        <v>10</v>
      </c>
      <c r="K5" s="37">
        <v>2520</v>
      </c>
    </row>
    <row r="6" spans="1:11" x14ac:dyDescent="0.2">
      <c r="A6" s="25" t="s">
        <v>21</v>
      </c>
      <c r="B6" s="26">
        <f>B2</f>
        <v>18000</v>
      </c>
      <c r="C6" s="26" t="s">
        <v>7</v>
      </c>
      <c r="D6" s="26">
        <v>0</v>
      </c>
      <c r="E6" s="31">
        <v>6.9999999999999999E-4</v>
      </c>
      <c r="H6" s="35">
        <v>3</v>
      </c>
      <c r="I6" s="36" t="s">
        <v>28</v>
      </c>
      <c r="J6" s="36">
        <v>20</v>
      </c>
      <c r="K6" s="37">
        <v>16920</v>
      </c>
    </row>
    <row r="7" spans="1:11" x14ac:dyDescent="0.2">
      <c r="A7" s="25" t="s">
        <v>22</v>
      </c>
      <c r="B7" s="26">
        <f>B2</f>
        <v>18000</v>
      </c>
      <c r="C7" s="26" t="s">
        <v>8</v>
      </c>
      <c r="D7" s="26">
        <v>0</v>
      </c>
      <c r="E7" s="31">
        <v>4.4999999999999997E-3</v>
      </c>
      <c r="H7" s="35">
        <v>4</v>
      </c>
      <c r="I7" s="36" t="s">
        <v>29</v>
      </c>
      <c r="J7" s="36">
        <v>25</v>
      </c>
      <c r="K7" s="37">
        <v>31920</v>
      </c>
    </row>
    <row r="8" spans="1:11" x14ac:dyDescent="0.2">
      <c r="A8" s="25" t="s">
        <v>19</v>
      </c>
      <c r="B8" s="26">
        <f>B2</f>
        <v>18000</v>
      </c>
      <c r="C8" s="26" t="s">
        <v>82</v>
      </c>
      <c r="D8" s="28">
        <v>0.12</v>
      </c>
      <c r="E8" s="29">
        <v>0.12</v>
      </c>
      <c r="H8" s="35">
        <v>5</v>
      </c>
      <c r="I8" s="36" t="s">
        <v>30</v>
      </c>
      <c r="J8" s="36">
        <v>30</v>
      </c>
      <c r="K8" s="37">
        <v>52920</v>
      </c>
    </row>
    <row r="9" spans="1:11" x14ac:dyDescent="0.2">
      <c r="A9" s="25" t="s">
        <v>20</v>
      </c>
      <c r="B9" s="26">
        <f>B2</f>
        <v>18000</v>
      </c>
      <c r="C9" s="26"/>
      <c r="D9" s="26"/>
      <c r="E9" s="27"/>
      <c r="H9" s="35">
        <v>6</v>
      </c>
      <c r="I9" s="36" t="s">
        <v>31</v>
      </c>
      <c r="J9" s="36">
        <v>35</v>
      </c>
      <c r="K9" s="37">
        <v>85920</v>
      </c>
    </row>
    <row r="10" spans="1:11" x14ac:dyDescent="0.2">
      <c r="A10" s="25" t="s">
        <v>37</v>
      </c>
      <c r="B10" s="26">
        <v>60000</v>
      </c>
      <c r="C10" s="26"/>
      <c r="D10" s="26"/>
      <c r="E10" s="27"/>
      <c r="H10" s="35">
        <v>7</v>
      </c>
      <c r="I10" s="36" t="s">
        <v>32</v>
      </c>
      <c r="J10" s="36">
        <v>45</v>
      </c>
      <c r="K10" s="37">
        <v>181920</v>
      </c>
    </row>
    <row r="11" spans="1:11" x14ac:dyDescent="0.2">
      <c r="A11" s="25" t="s">
        <v>40</v>
      </c>
      <c r="B11" s="26">
        <v>1500</v>
      </c>
      <c r="C11" s="26"/>
      <c r="D11" s="26"/>
      <c r="E11" s="27"/>
      <c r="H11" s="35"/>
      <c r="I11" s="36"/>
      <c r="J11" s="36"/>
      <c r="K11" s="37"/>
    </row>
    <row r="12" spans="1:11" x14ac:dyDescent="0.2">
      <c r="A12" s="25" t="s">
        <v>81</v>
      </c>
      <c r="B12" s="26">
        <v>13730</v>
      </c>
      <c r="C12" s="26"/>
      <c r="D12" s="26"/>
      <c r="E12" s="27"/>
      <c r="H12" s="35"/>
      <c r="I12" s="36"/>
      <c r="J12" s="36"/>
      <c r="K12" s="37"/>
    </row>
    <row r="13" spans="1:11" ht="17" thickBot="1" x14ac:dyDescent="0.25">
      <c r="A13" s="32"/>
      <c r="B13" s="33"/>
      <c r="C13" s="33"/>
      <c r="D13" s="33"/>
      <c r="E13" s="34"/>
      <c r="H13" s="35"/>
      <c r="I13" s="36"/>
      <c r="J13" s="36"/>
      <c r="K13" s="37"/>
    </row>
    <row r="14" spans="1:11" x14ac:dyDescent="0.2">
      <c r="A14" s="14" t="s">
        <v>12</v>
      </c>
      <c r="B14" s="15" t="s">
        <v>16</v>
      </c>
      <c r="C14" s="15" t="s">
        <v>13</v>
      </c>
      <c r="D14" s="15" t="s">
        <v>14</v>
      </c>
      <c r="E14" s="16" t="s">
        <v>15</v>
      </c>
      <c r="H14" s="48" t="s">
        <v>65</v>
      </c>
      <c r="I14" s="49"/>
      <c r="J14" s="49"/>
      <c r="K14" s="50"/>
    </row>
    <row r="15" spans="1:11" x14ac:dyDescent="0.2">
      <c r="A15" s="17" t="s">
        <v>24</v>
      </c>
      <c r="B15" s="3">
        <f>D15*12</f>
        <v>17280</v>
      </c>
      <c r="C15" s="3" t="s">
        <v>4</v>
      </c>
      <c r="D15" s="3">
        <f>$B$6*D3</f>
        <v>1440</v>
      </c>
      <c r="E15" s="18">
        <f>$B$8*E3</f>
        <v>2700</v>
      </c>
      <c r="H15" s="35" t="s">
        <v>33</v>
      </c>
      <c r="I15" s="36" t="s">
        <v>51</v>
      </c>
      <c r="J15" s="36" t="s">
        <v>35</v>
      </c>
      <c r="K15" s="37" t="s">
        <v>36</v>
      </c>
    </row>
    <row r="16" spans="1:11" x14ac:dyDescent="0.2">
      <c r="A16" s="17" t="s">
        <v>25</v>
      </c>
      <c r="B16" s="3">
        <f t="shared" ref="B16:B18" si="0">D16*12</f>
        <v>4320</v>
      </c>
      <c r="C16" s="3" t="s">
        <v>5</v>
      </c>
      <c r="D16" s="3">
        <f>$B$6*D4</f>
        <v>360</v>
      </c>
      <c r="E16" s="18">
        <f t="shared" ref="E16:E19" si="1">$B$8*E4</f>
        <v>1080</v>
      </c>
      <c r="H16" s="35">
        <v>1</v>
      </c>
      <c r="I16" s="36" t="s">
        <v>52</v>
      </c>
      <c r="J16" s="36">
        <v>3</v>
      </c>
      <c r="K16" s="37">
        <v>0</v>
      </c>
    </row>
    <row r="17" spans="1:11" x14ac:dyDescent="0.2">
      <c r="A17" s="17" t="s">
        <v>6</v>
      </c>
      <c r="B17" s="3">
        <f t="shared" si="0"/>
        <v>1080</v>
      </c>
      <c r="C17" s="3" t="s">
        <v>6</v>
      </c>
      <c r="D17" s="3">
        <f>$B$6*D5</f>
        <v>90</v>
      </c>
      <c r="E17" s="18">
        <f t="shared" si="1"/>
        <v>126</v>
      </c>
      <c r="H17" s="35">
        <v>2</v>
      </c>
      <c r="I17" s="36" t="s">
        <v>53</v>
      </c>
      <c r="J17" s="36">
        <v>10</v>
      </c>
      <c r="K17" s="37">
        <v>210</v>
      </c>
    </row>
    <row r="18" spans="1:11" x14ac:dyDescent="0.2">
      <c r="A18" s="17" t="s">
        <v>7</v>
      </c>
      <c r="B18" s="3">
        <f t="shared" si="0"/>
        <v>0</v>
      </c>
      <c r="C18" s="3" t="s">
        <v>7</v>
      </c>
      <c r="D18" s="3">
        <f>$B$6*D6</f>
        <v>0</v>
      </c>
      <c r="E18" s="18">
        <f t="shared" si="1"/>
        <v>12.6</v>
      </c>
      <c r="H18" s="35">
        <v>3</v>
      </c>
      <c r="I18" s="36" t="s">
        <v>54</v>
      </c>
      <c r="J18" s="36">
        <v>20</v>
      </c>
      <c r="K18" s="37">
        <v>1410</v>
      </c>
    </row>
    <row r="19" spans="1:11" x14ac:dyDescent="0.2">
      <c r="A19" s="17" t="s">
        <v>8</v>
      </c>
      <c r="B19" s="3">
        <f>D19*12</f>
        <v>0</v>
      </c>
      <c r="C19" s="3" t="s">
        <v>8</v>
      </c>
      <c r="D19" s="3">
        <f>$B$6*D7</f>
        <v>0</v>
      </c>
      <c r="E19" s="18">
        <f t="shared" si="1"/>
        <v>81</v>
      </c>
      <c r="H19" s="35">
        <v>4</v>
      </c>
      <c r="I19" s="36" t="s">
        <v>55</v>
      </c>
      <c r="J19" s="36">
        <v>25</v>
      </c>
      <c r="K19" s="37">
        <v>2660</v>
      </c>
    </row>
    <row r="20" spans="1:11" x14ac:dyDescent="0.2">
      <c r="A20" s="17" t="s">
        <v>23</v>
      </c>
      <c r="B20" s="3">
        <f>(D20+E20)*12</f>
        <v>51840</v>
      </c>
      <c r="C20" s="3" t="s">
        <v>3</v>
      </c>
      <c r="D20" s="3">
        <f>B8*D8</f>
        <v>2160</v>
      </c>
      <c r="E20" s="18">
        <f>B9*E8</f>
        <v>2160</v>
      </c>
      <c r="H20" s="35">
        <v>5</v>
      </c>
      <c r="I20" s="36" t="s">
        <v>56</v>
      </c>
      <c r="J20" s="36">
        <v>30</v>
      </c>
      <c r="K20" s="37">
        <v>4410</v>
      </c>
    </row>
    <row r="21" spans="1:11" x14ac:dyDescent="0.2">
      <c r="A21" s="17"/>
      <c r="B21" s="3"/>
      <c r="C21" s="3" t="s">
        <v>61</v>
      </c>
      <c r="D21" s="3">
        <f>SUM(D15:D20)</f>
        <v>4050</v>
      </c>
      <c r="E21" s="18">
        <f>SUM(E15:E20)</f>
        <v>6159.6</v>
      </c>
      <c r="H21" s="35">
        <v>6</v>
      </c>
      <c r="I21" s="36" t="s">
        <v>57</v>
      </c>
      <c r="J21" s="36">
        <v>35</v>
      </c>
      <c r="K21" s="37">
        <v>7160</v>
      </c>
    </row>
    <row r="22" spans="1:11" ht="17" thickBot="1" x14ac:dyDescent="0.25">
      <c r="A22" s="19"/>
      <c r="B22" s="20"/>
      <c r="C22" s="20"/>
      <c r="D22" s="20"/>
      <c r="E22" s="21"/>
      <c r="G22" s="1"/>
      <c r="H22" s="38">
        <v>7</v>
      </c>
      <c r="I22" s="39" t="s">
        <v>58</v>
      </c>
      <c r="J22" s="39">
        <v>45</v>
      </c>
      <c r="K22" s="40">
        <v>15160</v>
      </c>
    </row>
    <row r="23" spans="1:11" x14ac:dyDescent="0.2">
      <c r="A23" s="2" t="s">
        <v>18</v>
      </c>
      <c r="B23" s="2">
        <f>B2*12+B3+B4</f>
        <v>246000</v>
      </c>
    </row>
    <row r="24" spans="1:11" ht="17" thickBot="1" x14ac:dyDescent="0.25">
      <c r="A24" s="2" t="s">
        <v>39</v>
      </c>
      <c r="B24" s="2">
        <f>B23+B4*0.8</f>
        <v>246000</v>
      </c>
    </row>
    <row r="25" spans="1:11" x14ac:dyDescent="0.2">
      <c r="A25" s="78" t="s">
        <v>41</v>
      </c>
      <c r="B25" s="79">
        <f>(SUM(D15:D20)*12)</f>
        <v>48600</v>
      </c>
      <c r="C25" s="79" t="s">
        <v>44</v>
      </c>
      <c r="D25" s="79">
        <f>B11*12</f>
        <v>18000</v>
      </c>
      <c r="E25" s="79" t="s">
        <v>50</v>
      </c>
      <c r="F25" s="80">
        <f>B10+D25+B25</f>
        <v>126600</v>
      </c>
    </row>
    <row r="26" spans="1:11" x14ac:dyDescent="0.2">
      <c r="A26" s="81" t="s">
        <v>34</v>
      </c>
      <c r="B26" s="82">
        <f>MAX(0,B24-F25)</f>
        <v>119400</v>
      </c>
      <c r="C26" s="83"/>
      <c r="D26" s="83"/>
      <c r="E26" s="83"/>
      <c r="F26" s="18"/>
    </row>
    <row r="27" spans="1:11" x14ac:dyDescent="0.2">
      <c r="A27" s="84" t="s">
        <v>47</v>
      </c>
      <c r="B27" s="85">
        <f>IF(B5=1,B3,0)</f>
        <v>30000</v>
      </c>
      <c r="C27" s="83" t="s">
        <v>59</v>
      </c>
      <c r="D27" s="83">
        <f>IF(B5=1,B3,0)/12</f>
        <v>2500</v>
      </c>
      <c r="E27" s="83" t="s">
        <v>42</v>
      </c>
      <c r="F27" s="18" cm="1">
        <f t="array" ref="F27">_xlfn.SWITCH(TRUE(), D27&lt;3000,1, D27&lt;12000,2,D27&lt;25000,3,D27&lt;35000,4,D27&lt;55000,5,D27&lt;80000,6, 7)</f>
        <v>1</v>
      </c>
    </row>
    <row r="28" spans="1:11" x14ac:dyDescent="0.2">
      <c r="A28" s="84"/>
      <c r="B28" s="85"/>
      <c r="C28" s="83" t="s">
        <v>36</v>
      </c>
      <c r="D28" s="83" cm="1">
        <f t="array" ref="D28">_xlfn.SWITCH(TRUE(), D27&lt;3000,0, D27&lt;12000,210,D27&lt;25000,1410,D27&lt;35000,2660,D27&lt;55000,4410,D27&lt;80000,7160, 15160)</f>
        <v>0</v>
      </c>
      <c r="E28" s="83" t="s">
        <v>43</v>
      </c>
      <c r="F28" s="18" cm="1">
        <f t="array" ref="F28">_xlfn.SWITCH(TRUE(), D27&lt;3000,3, D27&lt;12000,10,D27&lt;25000,20,D27&lt;35000,25,D27&lt;55000,30,D27&lt;85000,35, 45)/100</f>
        <v>0.03</v>
      </c>
    </row>
    <row r="29" spans="1:11" x14ac:dyDescent="0.2">
      <c r="A29" s="84"/>
      <c r="B29" s="85"/>
      <c r="C29" s="86" t="s">
        <v>45</v>
      </c>
      <c r="D29" s="86">
        <f>B27*F28-D28</f>
        <v>900</v>
      </c>
      <c r="E29" s="86"/>
      <c r="F29" s="87"/>
    </row>
    <row r="30" spans="1:11" x14ac:dyDescent="0.2">
      <c r="A30" s="88"/>
      <c r="B30" s="89"/>
      <c r="C30" s="89"/>
      <c r="D30" s="89"/>
      <c r="E30" s="89"/>
      <c r="F30" s="90"/>
    </row>
    <row r="31" spans="1:11" x14ac:dyDescent="0.2">
      <c r="A31" s="91" t="s">
        <v>46</v>
      </c>
      <c r="B31" s="85">
        <f>B26-B27</f>
        <v>89400</v>
      </c>
      <c r="C31" s="83" t="s">
        <v>48</v>
      </c>
      <c r="D31" s="83">
        <f>B31</f>
        <v>89400</v>
      </c>
      <c r="E31" s="83" t="s">
        <v>42</v>
      </c>
      <c r="F31" s="18" cm="1">
        <f t="array" ref="F31">_xlfn.SWITCH(TRUE(), B31&lt;36000,1, B31&lt;144000,2,B31&lt;300000,3,B31&lt;420000,4,B31&lt;660000,5,B31&lt;960000,6, 7)</f>
        <v>2</v>
      </c>
    </row>
    <row r="32" spans="1:11" x14ac:dyDescent="0.2">
      <c r="A32" s="91"/>
      <c r="B32" s="85"/>
      <c r="C32" s="83" t="s">
        <v>36</v>
      </c>
      <c r="D32" s="83" cm="1">
        <f t="array" ref="D32">_xlfn.SWITCH(TRUE(), B31&lt;36000,0, B31&lt;144000,2520,B31&lt;300000,16920,B31&lt;420000,31920,B31&lt;660000,52920,B31&lt;960000,85920, 181920)</f>
        <v>2520</v>
      </c>
      <c r="E32" s="83" t="s">
        <v>43</v>
      </c>
      <c r="F32" s="18" cm="1">
        <f t="array" ref="F32">_xlfn.SWITCH(TRUE(), B31&lt;36000,3, B31&lt;144000,10,B31&lt;300000,20,B31&lt;420000,25,B31&lt;660000,30,B31&lt;960000,35, 45)/100</f>
        <v>0.1</v>
      </c>
    </row>
    <row r="33" spans="1:12" ht="17" thickBot="1" x14ac:dyDescent="0.25">
      <c r="A33" s="92"/>
      <c r="B33" s="93"/>
      <c r="C33" s="76" t="s">
        <v>49</v>
      </c>
      <c r="D33" s="76">
        <f>D31*F32-D32</f>
        <v>6420</v>
      </c>
      <c r="E33" s="76"/>
      <c r="F33" s="94"/>
    </row>
    <row r="34" spans="1:12" ht="24" x14ac:dyDescent="0.3">
      <c r="A34" s="68" t="s">
        <v>79</v>
      </c>
      <c r="B34" s="10">
        <f>B24</f>
        <v>246000</v>
      </c>
      <c r="C34" s="11" t="s">
        <v>80</v>
      </c>
      <c r="D34" s="69">
        <f>B34/12</f>
        <v>20500</v>
      </c>
      <c r="H34" s="51"/>
      <c r="I34" s="51"/>
      <c r="J34" s="51"/>
      <c r="K34" s="51"/>
      <c r="L34" s="51"/>
    </row>
    <row r="35" spans="1:12" ht="24" x14ac:dyDescent="0.3">
      <c r="A35" s="68" t="s">
        <v>17</v>
      </c>
      <c r="B35" s="10">
        <f>B23-B37-B25</f>
        <v>190080</v>
      </c>
      <c r="C35" s="11" t="s">
        <v>70</v>
      </c>
      <c r="D35" s="69">
        <f>B35/12</f>
        <v>15840</v>
      </c>
      <c r="H35" s="51"/>
      <c r="I35" s="51"/>
      <c r="J35" s="51"/>
      <c r="K35" s="51"/>
      <c r="L35" s="51"/>
    </row>
    <row r="36" spans="1:12" ht="25" thickBot="1" x14ac:dyDescent="0.35">
      <c r="A36" s="70" t="s">
        <v>60</v>
      </c>
      <c r="B36" s="12">
        <f>B23+E21*12</f>
        <v>319915.2</v>
      </c>
      <c r="C36" s="13" t="s">
        <v>71</v>
      </c>
      <c r="D36" s="71">
        <f>B36/12</f>
        <v>26659.600000000002</v>
      </c>
      <c r="H36" s="51"/>
      <c r="I36" s="51"/>
      <c r="J36" s="51"/>
      <c r="K36" s="51"/>
      <c r="L36" s="51"/>
    </row>
    <row r="37" spans="1:12" ht="24" x14ac:dyDescent="0.3">
      <c r="A37" s="72" t="s">
        <v>69</v>
      </c>
      <c r="B37" s="8">
        <f>D29+D33</f>
        <v>7320</v>
      </c>
      <c r="C37" s="9"/>
      <c r="D37" s="73"/>
      <c r="H37" s="51"/>
      <c r="I37" s="51"/>
      <c r="J37" s="51"/>
      <c r="K37" s="51"/>
      <c r="L37" s="51"/>
    </row>
    <row r="38" spans="1:12" ht="25" thickBot="1" x14ac:dyDescent="0.35">
      <c r="A38" s="74" t="s">
        <v>62</v>
      </c>
      <c r="B38" s="75">
        <f>1-B35/B23</f>
        <v>0.22731707317073169</v>
      </c>
      <c r="C38" s="76"/>
      <c r="D38" s="77"/>
      <c r="H38" s="51"/>
      <c r="I38" s="51"/>
      <c r="J38" s="51"/>
      <c r="K38" s="51"/>
      <c r="L38" s="51"/>
    </row>
    <row r="39" spans="1:12" x14ac:dyDescent="0.2">
      <c r="A39" s="54" t="s">
        <v>63</v>
      </c>
      <c r="B39" s="55" t="s">
        <v>78</v>
      </c>
      <c r="C39" s="56" t="s">
        <v>68</v>
      </c>
      <c r="D39" s="57" t="s">
        <v>77</v>
      </c>
      <c r="H39" s="51"/>
      <c r="I39" s="51"/>
      <c r="J39" s="51"/>
      <c r="K39" s="51"/>
      <c r="L39" s="51"/>
    </row>
    <row r="40" spans="1:12" ht="52" thickBot="1" x14ac:dyDescent="0.25">
      <c r="A40" s="58" t="s">
        <v>64</v>
      </c>
      <c r="B40" s="52">
        <f>1-(B35+(D21+E20)*12)/B36</f>
        <v>0.17290582004231125</v>
      </c>
      <c r="C40" s="53">
        <f>B35+(D21+E20)*12</f>
        <v>264600</v>
      </c>
      <c r="D40" s="59">
        <f>B37+(E21*12-E20*12)</f>
        <v>55315.200000000012</v>
      </c>
      <c r="H40" s="51"/>
      <c r="I40" s="51"/>
      <c r="J40" s="51"/>
      <c r="K40" s="51"/>
      <c r="L40" s="51"/>
    </row>
    <row r="41" spans="1:12" ht="87" customHeight="1" x14ac:dyDescent="0.2">
      <c r="A41" s="60" t="s">
        <v>74</v>
      </c>
      <c r="B41" s="41">
        <f>D41/B36</f>
        <v>0.1961919908775826</v>
      </c>
      <c r="C41" s="43">
        <f>B35+B20+D15*12*F42/F41</f>
        <v>257150.4</v>
      </c>
      <c r="D41" s="61">
        <f>B36-C41</f>
        <v>62764.800000000017</v>
      </c>
      <c r="E41" s="4" t="s">
        <v>75</v>
      </c>
      <c r="F41" s="5">
        <f>B6/B12</f>
        <v>1.3109978150036417</v>
      </c>
      <c r="H41" s="51"/>
      <c r="I41" s="51"/>
      <c r="J41" s="51"/>
      <c r="K41" s="51"/>
      <c r="L41" s="51"/>
    </row>
    <row r="42" spans="1:12" ht="35" thickBot="1" x14ac:dyDescent="0.25">
      <c r="A42" s="62"/>
      <c r="B42" s="42"/>
      <c r="C42" s="44"/>
      <c r="D42" s="63"/>
      <c r="E42" s="6" t="s">
        <v>76</v>
      </c>
      <c r="F42" s="7">
        <f>(1+F41)/2</f>
        <v>1.1554989075018209</v>
      </c>
      <c r="H42" s="51"/>
      <c r="I42" s="51"/>
      <c r="J42" s="51"/>
      <c r="K42" s="51"/>
      <c r="L42" s="51"/>
    </row>
    <row r="43" spans="1:12" ht="51" x14ac:dyDescent="0.2">
      <c r="A43" s="58" t="s">
        <v>72</v>
      </c>
      <c r="B43" s="52">
        <f>1-(B35+B20)/B36</f>
        <v>0.24379960689582747</v>
      </c>
      <c r="C43" s="53">
        <f>B35+B20</f>
        <v>241920</v>
      </c>
      <c r="D43" s="59">
        <f>B37+(E21*12-E20*12+D21*12-D20*12)</f>
        <v>77995.200000000012</v>
      </c>
      <c r="H43" s="51"/>
      <c r="I43" s="51"/>
      <c r="J43" s="51"/>
      <c r="K43" s="51"/>
      <c r="L43" s="51"/>
    </row>
    <row r="44" spans="1:12" ht="52" thickBot="1" x14ac:dyDescent="0.25">
      <c r="A44" s="64" t="s">
        <v>73</v>
      </c>
      <c r="B44" s="65">
        <f>1-B35/B36</f>
        <v>0.40584254827529298</v>
      </c>
      <c r="C44" s="66">
        <f>B35</f>
        <v>190080</v>
      </c>
      <c r="D44" s="67">
        <f>B37+(D21+E21)*12</f>
        <v>129835.20000000001</v>
      </c>
      <c r="H44" s="51"/>
      <c r="I44" s="51"/>
      <c r="J44" s="51"/>
      <c r="K44" s="51"/>
      <c r="L44" s="51"/>
    </row>
  </sheetData>
  <mergeCells count="11">
    <mergeCell ref="A41:A42"/>
    <mergeCell ref="B41:B42"/>
    <mergeCell ref="C41:C42"/>
    <mergeCell ref="D41:D42"/>
    <mergeCell ref="H2:K2"/>
    <mergeCell ref="A27:A29"/>
    <mergeCell ref="B27:B29"/>
    <mergeCell ref="A31:A33"/>
    <mergeCell ref="B31:B33"/>
    <mergeCell ref="H14:K14"/>
    <mergeCell ref="H34:L4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YoungHS</dc:creator>
  <cp:lastModifiedBy>YoungHS</cp:lastModifiedBy>
  <dcterms:created xsi:type="dcterms:W3CDTF">2024-01-26T18:01:01Z</dcterms:created>
  <dcterms:modified xsi:type="dcterms:W3CDTF">2024-01-27T08:15:59Z</dcterms:modified>
</cp:coreProperties>
</file>