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7605" tabRatio="788" activeTab="3"/>
  </bookViews>
  <sheets>
    <sheet name="Inicio" sheetId="30" r:id="rId1"/>
    <sheet name="Menu" sheetId="21" state="hidden" r:id="rId2"/>
    <sheet name="A" sheetId="10" r:id="rId3"/>
    <sheet name="B" sheetId="22" r:id="rId4"/>
    <sheet name="C" sheetId="23" r:id="rId5"/>
    <sheet name="D" sheetId="24" r:id="rId6"/>
    <sheet name="E" sheetId="25" r:id="rId7"/>
    <sheet name="F" sheetId="26" r:id="rId8"/>
    <sheet name="G" sheetId="27" r:id="rId9"/>
    <sheet name="H" sheetId="28" r:id="rId10"/>
    <sheet name="Octavos" sheetId="13" r:id="rId11"/>
    <sheet name="Cuartos" sheetId="15" r:id="rId12"/>
    <sheet name="Semifinales" sheetId="16" r:id="rId13"/>
    <sheet name="Final" sheetId="18" r:id="rId14"/>
    <sheet name="Calendario" sheetId="31" r:id="rId15"/>
  </sheets>
  <definedNames>
    <definedName name="BD_Selecciones" localSheetId="3">B!$BO$8:$BQ$39</definedName>
    <definedName name="BD_Selecciones" localSheetId="4">'C'!$BO$8:$BQ$39</definedName>
    <definedName name="BD_Selecciones" localSheetId="5">D!$BO$8:$BQ$39</definedName>
    <definedName name="BD_Selecciones" localSheetId="6">E!$BO$8:$BQ$39</definedName>
    <definedName name="BD_Selecciones" localSheetId="7">F!$BO$8:$BQ$39</definedName>
    <definedName name="BD_Selecciones" localSheetId="8">G!$BO$8:$BQ$39</definedName>
    <definedName name="BD_Selecciones" localSheetId="9">H!$BO$8:$BQ$39</definedName>
    <definedName name="BD_Selecciones" localSheetId="0">Inicio!$BS$2:$BU$11</definedName>
    <definedName name="BD_Selecciones">A!$BO$8:$BQ$39</definedName>
    <definedName name="Eleccion">Inicio!$M$7</definedName>
    <definedName name="Final_1">INDIRECT(Final!$AN$6)</definedName>
    <definedName name="Final_2">INDIRECT(Final!$AN$8)</definedName>
    <definedName name="Final_3">INDIRECT(Final!$AN$10)</definedName>
    <definedName name="Final_4">INDIRECT(Final!$AP$6)</definedName>
    <definedName name="GA_1" localSheetId="0">INDIRECT(VLOOKUP(1,Inicio!$AD$4:$AM$7,10,0))</definedName>
    <definedName name="GA_1">INDIRECT(VLOOKUP(1,A!$Z$32:$AI$35,10,0))</definedName>
    <definedName name="GA_2" localSheetId="0">INDIRECT(VLOOKUP(2,Inicio!$AD$4:$AM$7,10,0))</definedName>
    <definedName name="GA_2">INDIRECT(VLOOKUP(2,A!$Z$32:$AI$35,10,0))</definedName>
    <definedName name="GA_3" localSheetId="0">INDIRECT(VLOOKUP(3,Inicio!$AD$4:$AM$7,10,0))</definedName>
    <definedName name="GA_3">INDIRECT(VLOOKUP(3,A!$Z$32:$AI$35,10,0))</definedName>
    <definedName name="GA_4" localSheetId="0">INDIRECT(VLOOKUP(4,Inicio!$AD$4:$AM$7,10,0))</definedName>
    <definedName name="GA_4">INDIRECT(VLOOKUP(4,A!$Z$32:$AI$35,10,0))</definedName>
    <definedName name="GB_1">INDIRECT(VLOOKUP(1,B!$Z$32:$AI$35,10,0))</definedName>
    <definedName name="GB_2">INDIRECT(VLOOKUP(2,B!$Z$32:$AI$35,10,0))</definedName>
    <definedName name="GB_3">INDIRECT(VLOOKUP(3,B!$Z$32:$AI$35,10,0))</definedName>
    <definedName name="GB_4">INDIRECT(VLOOKUP(4,B!$Z$32:$AI$35,10,0))</definedName>
    <definedName name="GC_1">INDIRECT(VLOOKUP(1,'C'!$Z$32:$AI$35,10,0))</definedName>
    <definedName name="GC_2">INDIRECT(VLOOKUP(2,'C'!$Z$32:$AI$35,10,0))</definedName>
    <definedName name="GC_3">INDIRECT(VLOOKUP(3,'C'!$Z$32:$AI$35,10,0))</definedName>
    <definedName name="GC_4">INDIRECT(VLOOKUP(4,'C'!$Z$32:$AI$35,10,0))</definedName>
    <definedName name="GD_1">INDIRECT(VLOOKUP(1,D!$Z$32:$AI$35,10,0))</definedName>
    <definedName name="GD_2">INDIRECT(VLOOKUP(2,D!$Z$32:$AI$35,10,0))</definedName>
    <definedName name="GD_3">INDIRECT(VLOOKUP(3,D!$Z$32:$AI$35,10,0))</definedName>
    <definedName name="GD_4">INDIRECT(VLOOKUP(4,D!$Z$32:$AI$35,10,0))</definedName>
    <definedName name="GE_1">INDIRECT(VLOOKUP(1,E!$Z$32:$AI$35,10,0))</definedName>
    <definedName name="GE_2">INDIRECT(VLOOKUP(2,E!$Z$32:$AI$35,10,0))</definedName>
    <definedName name="GE_3">INDIRECT(VLOOKUP(3,E!$Z$32:$AI$35,10,0))</definedName>
    <definedName name="GE_4">INDIRECT(VLOOKUP(4,E!$Z$32:$AI$35,10,0))</definedName>
    <definedName name="GF_1">INDIRECT(VLOOKUP(1,F!$Z$32:$AI$35,10,0))</definedName>
    <definedName name="GF_2">INDIRECT(VLOOKUP(2,F!$Z$32:$AI$35,10,0))</definedName>
    <definedName name="GF_3">INDIRECT(VLOOKUP(3,F!$Z$32:$AI$35,10,0))</definedName>
    <definedName name="GF_4">INDIRECT(VLOOKUP(4,F!$Z$32:$AI$35,10,0))</definedName>
    <definedName name="GG_1">INDIRECT(VLOOKUP(1,G!$Z$32:$AI$35,10,0))</definedName>
    <definedName name="GG_2">INDIRECT(VLOOKUP(2,G!$Z$32:$AI$35,10,0))</definedName>
    <definedName name="GG_3">INDIRECT(VLOOKUP(3,G!$Z$32:$AI$35,10,0))</definedName>
    <definedName name="GG_4">INDIRECT(VLOOKUP(4,G!$Z$32:$AI$35,10,0))</definedName>
    <definedName name="GH_1">INDIRECT(VLOOKUP(1,H!$Z$32:$AI$35,10,0))</definedName>
    <definedName name="GH_2">INDIRECT(VLOOKUP(2,H!$Z$32:$AI$35,10,0))</definedName>
    <definedName name="GH_3">INDIRECT(VLOOKUP(3,H!$Z$32:$AI$35,10,0))</definedName>
    <definedName name="GH_4">INDIRECT(VLOOKUP(4,H!$Z$32:$AI$35,10,0))</definedName>
    <definedName name="IMA_1">INDIRECT(Octavos!$AE$4)</definedName>
    <definedName name="IMA_10">INDIRECT(Octavos!$AI$4)</definedName>
    <definedName name="IMA_11">INDIRECT(Octavos!$AH$8)</definedName>
    <definedName name="IMA_12">INDIRECT(Octavos!$AI$8)</definedName>
    <definedName name="IMA_13">INDIRECT(Octavos!$AH$12)</definedName>
    <definedName name="IMA_14">INDIRECT(Octavos!$AI$12)</definedName>
    <definedName name="IMA_15">INDIRECT(Octavos!$AH$16)</definedName>
    <definedName name="IMA_16">INDIRECT(Octavos!$AI$16)</definedName>
    <definedName name="IMA_17">INDIRECT(Cuartos!$AE$4)</definedName>
    <definedName name="IMA_18">INDIRECT(Cuartos!$AF$4)</definedName>
    <definedName name="IMA_19">INDIRECT(Cuartos!$AE$8)</definedName>
    <definedName name="IMA_2">INDIRECT(Octavos!$AF$4)</definedName>
    <definedName name="IMA_20">INDIRECT(Cuartos!$AF$8)</definedName>
    <definedName name="IMA_21">INDIRECT(Cuartos!$AH$4)</definedName>
    <definedName name="IMA_22">INDIRECT(Cuartos!$AI$4)</definedName>
    <definedName name="IMA_23">INDIRECT(Cuartos!$AH$8)</definedName>
    <definedName name="IMA_24">INDIRECT(Cuartos!$AI$8)</definedName>
    <definedName name="IMA_25">INDIRECT(Semifinales!$AE$4)</definedName>
    <definedName name="IMA_26">INDIRECT(Semifinales!$AF$4)</definedName>
    <definedName name="IMA_27">INDIRECT(Semifinales!$AE$8)</definedName>
    <definedName name="IMA_28">INDIRECT(Semifinales!$AF$8)</definedName>
    <definedName name="IMA_29">INDIRECT(Final!$AG$11)</definedName>
    <definedName name="IMA_3">INDIRECT(Octavos!$AE$8)</definedName>
    <definedName name="IMA_30">INDIRECT(Final!$AH$11)</definedName>
    <definedName name="IMA_31">INDIRECT(Final!$AG$6)</definedName>
    <definedName name="IMA_32">INDIRECT(Final!$AH$6)</definedName>
    <definedName name="IMA_34">INDIRECT(#REF!)</definedName>
    <definedName name="IMA_342">INDIRECT(#REF!)</definedName>
    <definedName name="IMA_4">INDIRECT(Octavos!$AF$8)</definedName>
    <definedName name="IMA_5">INDIRECT(Octavos!$AE$12)</definedName>
    <definedName name="IMA_6">INDIRECT(Octavos!$AF$12)</definedName>
    <definedName name="IMA_7">INDIRECT(Octavos!$AE$16)</definedName>
    <definedName name="IMA_8">INDIRECT(Octavos!$AF$16)</definedName>
    <definedName name="IMA_9">INDIRECT(Octavos!$AH$4)</definedName>
    <definedName name="ImaC_1">INDIRECT(Calendario!$AG$165)</definedName>
    <definedName name="Imac_10">INDIRECT(Calendario!$AH$179)</definedName>
    <definedName name="Imac_11">INDIRECT(Calendario!$AG$182)</definedName>
    <definedName name="Imac_12">INDIRECT(Calendario!$AH$182)</definedName>
    <definedName name="Imac_13">INDIRECT(Calendario!$AG$186)</definedName>
    <definedName name="Imac_14">INDIRECT(Calendario!$AH$186)</definedName>
    <definedName name="Imac_15">INDIRECT(Calendario!$AG$189)</definedName>
    <definedName name="imac_16">INDIRECT(Calendario!$AH$189)</definedName>
    <definedName name="imac_17">INDIRECT(Calendario!$AG$193)</definedName>
    <definedName name="imac_18">INDIRECT(Calendario!$AH$193)</definedName>
    <definedName name="imac_19">INDIRECT(Calendario!$AG$196)</definedName>
    <definedName name="Imac_2">INDIRECT(Calendario!$AH$165)</definedName>
    <definedName name="imac_20">INDIRECT(Calendario!$AH$196)</definedName>
    <definedName name="imac_21">INDIRECT(Calendario!$AG$200)</definedName>
    <definedName name="imac_22">INDIRECT(Calendario!$AH$200)</definedName>
    <definedName name="imac_23">INDIRECT(Calendario!$AG$203)</definedName>
    <definedName name="imac_24">INDIRECT(Calendario!$AH$203)</definedName>
    <definedName name="imac_25">INDIRECT(Calendario!$AG$207)</definedName>
    <definedName name="imac_26">INDIRECT(Calendario!$AH$207)</definedName>
    <definedName name="imac_27">INDIRECT(Calendario!$AG$211)</definedName>
    <definedName name="imac_28">INDIRECT(Calendario!$AH$211)</definedName>
    <definedName name="imac_29">INDIRECT(Calendario!$AG$215)</definedName>
    <definedName name="Imac_3">INDIRECT(Calendario!$AG$168)</definedName>
    <definedName name="imac_30">INDIRECT(Calendario!$AH$215)</definedName>
    <definedName name="imac_31">INDIRECT(Calendario!$AG$219)</definedName>
    <definedName name="imac_32">INDIRECT(Calendario!$AH$219)</definedName>
    <definedName name="Imac_4">INDIRECT(Calendario!$AH$168)</definedName>
    <definedName name="Imac_5">INDIRECT(Calendario!$AG$172)</definedName>
    <definedName name="Imac_6">INDIRECT(Calendario!$AH$172)</definedName>
    <definedName name="Imac_7">INDIRECT(Calendario!$AG$175)</definedName>
    <definedName name="Imac_8">INDIRECT(Calendario!$AH$175)</definedName>
    <definedName name="Imac_9">INDIRECT(Calendario!$AG$179)</definedName>
    <definedName name="Paises">Menu!$C$5:$C$24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5" i="23" l="1"/>
  <c r="AE35" i="23"/>
  <c r="AD35" i="23"/>
  <c r="AC35" i="23"/>
  <c r="AB35" i="23"/>
  <c r="AF34" i="23"/>
  <c r="AE34" i="23"/>
  <c r="AD34" i="23"/>
  <c r="AC34" i="23"/>
  <c r="AB34" i="23"/>
  <c r="AF33" i="23"/>
  <c r="AE33" i="23"/>
  <c r="AD33" i="23"/>
  <c r="AC33" i="23"/>
  <c r="AF32" i="23"/>
  <c r="AE32" i="23"/>
  <c r="AD32" i="23"/>
  <c r="AC32" i="23"/>
  <c r="AB33" i="23"/>
  <c r="AB32" i="23"/>
  <c r="AG35" i="23" l="1"/>
  <c r="B4" i="21"/>
  <c r="C6" i="18" s="1"/>
  <c r="C219" i="31" l="1"/>
  <c r="C189" i="31"/>
  <c r="C161" i="31"/>
  <c r="C56" i="31"/>
  <c r="C215" i="31"/>
  <c r="C186" i="31"/>
  <c r="C158" i="31"/>
  <c r="C132" i="31"/>
  <c r="C106" i="31"/>
  <c r="C79" i="31"/>
  <c r="C53" i="31"/>
  <c r="C26" i="31"/>
  <c r="C211" i="31"/>
  <c r="C182" i="31"/>
  <c r="C155" i="31"/>
  <c r="C129" i="31"/>
  <c r="C103" i="31"/>
  <c r="C76" i="31"/>
  <c r="C49" i="31"/>
  <c r="C23" i="31"/>
  <c r="C200" i="31"/>
  <c r="C145" i="31"/>
  <c r="C93" i="31"/>
  <c r="C13" i="31"/>
  <c r="C168" i="31"/>
  <c r="C116" i="31"/>
  <c r="C63" i="31"/>
  <c r="C10" i="31"/>
  <c r="C193" i="31"/>
  <c r="C139" i="31"/>
  <c r="C86" i="31"/>
  <c r="C33" i="31"/>
  <c r="C135" i="31"/>
  <c r="C83" i="31"/>
  <c r="C207" i="31"/>
  <c r="C179" i="31"/>
  <c r="C152" i="31"/>
  <c r="C126" i="31"/>
  <c r="C99" i="31"/>
  <c r="C73" i="31"/>
  <c r="C46" i="31"/>
  <c r="C20" i="31"/>
  <c r="C203" i="31"/>
  <c r="C175" i="31"/>
  <c r="C148" i="31"/>
  <c r="C122" i="31"/>
  <c r="C96" i="31"/>
  <c r="C69" i="31"/>
  <c r="C43" i="31"/>
  <c r="C16" i="31"/>
  <c r="C172" i="31"/>
  <c r="C119" i="31"/>
  <c r="C66" i="31"/>
  <c r="C39" i="31"/>
  <c r="C196" i="31"/>
  <c r="C142" i="31"/>
  <c r="C89" i="31"/>
  <c r="C36" i="31"/>
  <c r="C165" i="31"/>
  <c r="C113" i="31"/>
  <c r="C59" i="31"/>
  <c r="C6" i="31"/>
  <c r="C109" i="31"/>
  <c r="C29" i="31"/>
  <c r="AG45" i="30"/>
  <c r="AG44" i="30"/>
  <c r="AG43" i="30"/>
  <c r="AG42" i="30"/>
  <c r="AG41" i="30"/>
  <c r="AG40" i="30"/>
  <c r="AG39" i="30"/>
  <c r="AG38" i="30"/>
  <c r="AM4" i="30" s="1"/>
  <c r="AG37" i="30"/>
  <c r="AG36" i="30"/>
  <c r="AG35" i="30"/>
  <c r="AG34" i="30"/>
  <c r="AG33" i="30"/>
  <c r="AG32" i="30"/>
  <c r="AG31" i="30"/>
  <c r="AG30" i="30"/>
  <c r="AG29" i="30"/>
  <c r="AG28" i="30"/>
  <c r="AG27" i="30"/>
  <c r="AG26" i="30"/>
  <c r="AG25" i="30"/>
  <c r="AG24" i="30"/>
  <c r="AM6" i="30" s="1"/>
  <c r="AG23" i="30"/>
  <c r="AG22" i="30"/>
  <c r="AG21" i="30"/>
  <c r="AG20" i="30"/>
  <c r="AG19" i="30"/>
  <c r="AG18" i="30"/>
  <c r="AG17" i="30"/>
  <c r="AG16" i="30"/>
  <c r="AG15" i="30"/>
  <c r="AG14" i="30"/>
  <c r="AM5" i="30" s="1"/>
  <c r="AG13" i="30"/>
  <c r="AM7" i="30"/>
  <c r="AJ7" i="30"/>
  <c r="AI7" i="30"/>
  <c r="AH7" i="30"/>
  <c r="AG7" i="30"/>
  <c r="AF7" i="30"/>
  <c r="AJ6" i="30"/>
  <c r="AI6" i="30"/>
  <c r="AH6" i="30"/>
  <c r="AG6" i="30"/>
  <c r="AF6" i="30"/>
  <c r="AJ5" i="30"/>
  <c r="AI5" i="30"/>
  <c r="AH5" i="30"/>
  <c r="AG5" i="30"/>
  <c r="AF5" i="30"/>
  <c r="AJ4" i="30"/>
  <c r="AI4" i="30"/>
  <c r="AH4" i="30"/>
  <c r="AG4" i="30"/>
  <c r="AF4" i="30"/>
  <c r="AK4" i="30" s="1"/>
  <c r="AK6" i="30" l="1"/>
  <c r="AL6" i="30"/>
  <c r="AD6" i="30" s="1"/>
  <c r="AK7" i="30"/>
  <c r="AL7" i="30" s="1"/>
  <c r="AD7" i="30" s="1"/>
  <c r="AK5" i="30"/>
  <c r="AL5" i="30" s="1"/>
  <c r="AD5" i="30" s="1"/>
  <c r="AL4" i="30"/>
  <c r="AD4" i="30" s="1"/>
  <c r="AF35" i="10" l="1"/>
  <c r="AF34" i="10"/>
  <c r="AF33" i="10"/>
  <c r="AF32" i="10"/>
  <c r="AC73" i="10" l="1"/>
  <c r="AC67" i="10"/>
  <c r="AI35" i="28" s="1"/>
  <c r="AC68" i="10"/>
  <c r="AI34" i="25" s="1"/>
  <c r="AC69" i="10"/>
  <c r="AI33" i="26" s="1"/>
  <c r="AC70" i="10"/>
  <c r="AI35" i="25" s="1"/>
  <c r="AC71" i="10"/>
  <c r="AI33" i="27" s="1"/>
  <c r="AC65" i="10"/>
  <c r="AI35" i="22" s="1"/>
  <c r="AC64" i="10"/>
  <c r="AI33" i="28" s="1"/>
  <c r="AC63" i="10"/>
  <c r="AI34" i="23" s="1"/>
  <c r="AC62" i="10"/>
  <c r="AI35" i="27" s="1"/>
  <c r="AC61" i="10"/>
  <c r="AI35" i="24" s="1"/>
  <c r="AC60" i="10"/>
  <c r="AI35" i="26" s="1"/>
  <c r="AC59" i="10"/>
  <c r="AC58" i="10"/>
  <c r="AI34" i="28" s="1"/>
  <c r="AC57" i="10"/>
  <c r="AI33" i="24" s="1"/>
  <c r="AC56" i="10"/>
  <c r="AI33" i="22" s="1"/>
  <c r="AC55" i="10"/>
  <c r="AI34" i="27" s="1"/>
  <c r="AC54" i="10"/>
  <c r="AI32" i="23" s="1"/>
  <c r="AC53" i="10"/>
  <c r="AI34" i="22" s="1"/>
  <c r="AC43" i="10"/>
  <c r="AI32" i="24" s="1"/>
  <c r="AC44" i="10"/>
  <c r="AI33" i="23" s="1"/>
  <c r="AC45" i="10"/>
  <c r="AI32" i="27" s="1"/>
  <c r="AC46" i="10"/>
  <c r="AI32" i="25" s="1"/>
  <c r="AC47" i="10"/>
  <c r="AI32" i="28" s="1"/>
  <c r="AC48" i="10"/>
  <c r="AI34" i="26" s="1"/>
  <c r="AC49" i="10"/>
  <c r="AI33" i="25" s="1"/>
  <c r="AC50" i="10"/>
  <c r="AI34" i="24" s="1"/>
  <c r="AC51" i="10"/>
  <c r="AI35" i="23" s="1"/>
  <c r="AC41" i="10"/>
  <c r="AI32" i="26" s="1"/>
  <c r="AI32" i="22"/>
  <c r="AC66" i="10"/>
  <c r="AC72" i="10"/>
  <c r="AC52" i="10"/>
  <c r="AC42" i="10" l="1"/>
  <c r="AI33" i="10"/>
  <c r="AI34" i="10"/>
  <c r="AI35" i="10"/>
  <c r="AI32" i="10"/>
  <c r="AE10" i="30" l="1"/>
  <c r="AE9" i="30"/>
  <c r="C11" i="18"/>
  <c r="C8" i="16"/>
  <c r="C4" i="16"/>
  <c r="O8" i="15"/>
  <c r="O4" i="15"/>
  <c r="C8" i="15"/>
  <c r="C4" i="15"/>
  <c r="O16" i="13"/>
  <c r="O12" i="13"/>
  <c r="O8" i="13"/>
  <c r="O4" i="13"/>
  <c r="C16" i="13"/>
  <c r="C12" i="13"/>
  <c r="C8" i="13"/>
  <c r="C4" i="13"/>
  <c r="AF35" i="28" l="1"/>
  <c r="AF34" i="28"/>
  <c r="AF33" i="28"/>
  <c r="AF32" i="28"/>
  <c r="AE35" i="28"/>
  <c r="AE34" i="28"/>
  <c r="AE33" i="28"/>
  <c r="AE32" i="28"/>
  <c r="AD35" i="28"/>
  <c r="AD34" i="28"/>
  <c r="AD33" i="28"/>
  <c r="AD32" i="28"/>
  <c r="AC35" i="28"/>
  <c r="AC34" i="28"/>
  <c r="AC33" i="28"/>
  <c r="AC32" i="28"/>
  <c r="AB35" i="28"/>
  <c r="AB34" i="28"/>
  <c r="AB33" i="28"/>
  <c r="AB32" i="28"/>
  <c r="AF35" i="26"/>
  <c r="AE35" i="26"/>
  <c r="AD35" i="26"/>
  <c r="AC35" i="26"/>
  <c r="AB35" i="26"/>
  <c r="AF35" i="25"/>
  <c r="AF34" i="25"/>
  <c r="AF33" i="25"/>
  <c r="AF32" i="25"/>
  <c r="AE35" i="25"/>
  <c r="AE34" i="25"/>
  <c r="AE33" i="25"/>
  <c r="AE32" i="25"/>
  <c r="AD35" i="25"/>
  <c r="AD34" i="25"/>
  <c r="AD33" i="25"/>
  <c r="AD32" i="25"/>
  <c r="AC35" i="25"/>
  <c r="AC34" i="25"/>
  <c r="AC33" i="25"/>
  <c r="AC32" i="25"/>
  <c r="AB35" i="25"/>
  <c r="AB34" i="25"/>
  <c r="AB33" i="25"/>
  <c r="AB32" i="25"/>
  <c r="AB35" i="24"/>
  <c r="AB34" i="24"/>
  <c r="AB33" i="24"/>
  <c r="AB32" i="24"/>
  <c r="AF35" i="22"/>
  <c r="AF34" i="22"/>
  <c r="AF33" i="22"/>
  <c r="AF32" i="22"/>
  <c r="AE35" i="22"/>
  <c r="AE34" i="22"/>
  <c r="AE32" i="22"/>
  <c r="AE33" i="22"/>
  <c r="AD35" i="22"/>
  <c r="AD34" i="22"/>
  <c r="AD33" i="22"/>
  <c r="AD32" i="22"/>
  <c r="AC35" i="22"/>
  <c r="AC34" i="22"/>
  <c r="AC33" i="22"/>
  <c r="AC32" i="22"/>
  <c r="AB35" i="22"/>
  <c r="AB34" i="22"/>
  <c r="AB33" i="22"/>
  <c r="AB32" i="22"/>
  <c r="AG34" i="28" l="1"/>
  <c r="AH34" i="28" s="1"/>
  <c r="AG33" i="28"/>
  <c r="AH33" i="28" s="1"/>
  <c r="AF35" i="27"/>
  <c r="AF34" i="27"/>
  <c r="AF33" i="27"/>
  <c r="AF32" i="27"/>
  <c r="AE35" i="27"/>
  <c r="AE34" i="27"/>
  <c r="AE33" i="27"/>
  <c r="AE32" i="27"/>
  <c r="AD35" i="27"/>
  <c r="AC35" i="27"/>
  <c r="AD34" i="27"/>
  <c r="AC34" i="27"/>
  <c r="AD33" i="27"/>
  <c r="AC33" i="27"/>
  <c r="AD32" i="27"/>
  <c r="AC32" i="27"/>
  <c r="AB35" i="27"/>
  <c r="AB34" i="27"/>
  <c r="AB33" i="27"/>
  <c r="AB32" i="27"/>
  <c r="AF34" i="26"/>
  <c r="AF33" i="26"/>
  <c r="AF32" i="26"/>
  <c r="AE34" i="26"/>
  <c r="AE33" i="26"/>
  <c r="AE32" i="26"/>
  <c r="AD34" i="26"/>
  <c r="AD33" i="26"/>
  <c r="AD32" i="26"/>
  <c r="AC34" i="26"/>
  <c r="AC33" i="26"/>
  <c r="AC32" i="26"/>
  <c r="AB33" i="26"/>
  <c r="AB34" i="26"/>
  <c r="AB32" i="26"/>
  <c r="AF35" i="24"/>
  <c r="AF34" i="24"/>
  <c r="AF33" i="24"/>
  <c r="AF32" i="24"/>
  <c r="AE35" i="24"/>
  <c r="AE34" i="24"/>
  <c r="AE33" i="24"/>
  <c r="AE32" i="24"/>
  <c r="AE35" i="10"/>
  <c r="AE34" i="10"/>
  <c r="AE33" i="10"/>
  <c r="AE32" i="10"/>
  <c r="C25" i="28"/>
  <c r="C21" i="28"/>
  <c r="C17" i="28"/>
  <c r="C13" i="28"/>
  <c r="C9" i="28"/>
  <c r="C5" i="28"/>
  <c r="C25" i="27"/>
  <c r="C21" i="27"/>
  <c r="C17" i="27"/>
  <c r="C13" i="27"/>
  <c r="C9" i="27"/>
  <c r="C5" i="27"/>
  <c r="AG32" i="27" l="1"/>
  <c r="AH32" i="27" s="1"/>
  <c r="AG34" i="27"/>
  <c r="AH34" i="27" s="1"/>
  <c r="AG35" i="27"/>
  <c r="AH35" i="27" s="1"/>
  <c r="AG32" i="28"/>
  <c r="AH32" i="28" s="1"/>
  <c r="AG33" i="27"/>
  <c r="AH33" i="27" s="1"/>
  <c r="AG35" i="28"/>
  <c r="AH35" i="28" s="1"/>
  <c r="AH35" i="23"/>
  <c r="Z35" i="28" l="1"/>
  <c r="Z33" i="27"/>
  <c r="Z34" i="28"/>
  <c r="Z32" i="28"/>
  <c r="Z33" i="28"/>
  <c r="Z35" i="27"/>
  <c r="Z34" i="27"/>
  <c r="Z32" i="27"/>
  <c r="S9" i="27" l="1"/>
  <c r="R13" i="28"/>
  <c r="Q17" i="27"/>
  <c r="R17" i="27"/>
  <c r="S13" i="27"/>
  <c r="L13" i="27"/>
  <c r="R13" i="27"/>
  <c r="P13" i="27"/>
  <c r="O17" i="27"/>
  <c r="P17" i="27"/>
  <c r="P9" i="28"/>
  <c r="O21" i="28"/>
  <c r="O13" i="28"/>
  <c r="Q21" i="28"/>
  <c r="P21" i="28"/>
  <c r="O17" i="28"/>
  <c r="Q13" i="28"/>
  <c r="P17" i="28"/>
  <c r="O9" i="28"/>
  <c r="O9" i="27"/>
  <c r="S21" i="27"/>
  <c r="R9" i="27"/>
  <c r="L21" i="27"/>
  <c r="Q9" i="28"/>
  <c r="O21" i="27"/>
  <c r="O13" i="27"/>
  <c r="R21" i="27"/>
  <c r="Q13" i="27"/>
  <c r="Q17" i="28"/>
  <c r="L17" i="28"/>
  <c r="S13" i="28"/>
  <c r="S9" i="28"/>
  <c r="R21" i="28"/>
  <c r="R9" i="28"/>
  <c r="L21" i="28"/>
  <c r="L13" i="28"/>
  <c r="L9" i="28"/>
  <c r="P13" i="28"/>
  <c r="S21" i="28"/>
  <c r="R17" i="28"/>
  <c r="S17" i="28"/>
  <c r="Q9" i="27"/>
  <c r="L9" i="27"/>
  <c r="P9" i="27"/>
  <c r="Q21" i="27"/>
  <c r="P21" i="27"/>
  <c r="L17" i="27"/>
  <c r="S17" i="27"/>
  <c r="T13" i="28" l="1"/>
  <c r="T9" i="27"/>
  <c r="U21" i="28"/>
  <c r="U9" i="28"/>
  <c r="N21" i="28"/>
  <c r="U13" i="27"/>
  <c r="T13" i="27"/>
  <c r="N13" i="27"/>
  <c r="T17" i="27"/>
  <c r="T21" i="27"/>
  <c r="N17" i="27"/>
  <c r="U17" i="27"/>
  <c r="N9" i="28"/>
  <c r="N17" i="28"/>
  <c r="N13" i="28"/>
  <c r="U17" i="28"/>
  <c r="U21" i="27"/>
  <c r="T9" i="28"/>
  <c r="U13" i="28"/>
  <c r="T17" i="28"/>
  <c r="T21" i="28"/>
  <c r="N21" i="27"/>
  <c r="U9" i="27"/>
  <c r="N9" i="27"/>
  <c r="K25" i="28" l="1"/>
  <c r="L28" i="28" s="1"/>
  <c r="AA38" i="28" s="1"/>
  <c r="K25" i="27"/>
  <c r="L28" i="27" s="1"/>
  <c r="AA38" i="27" s="1"/>
  <c r="X16" i="13" s="1"/>
  <c r="H189" i="31" s="1"/>
  <c r="AH189" i="31" s="1"/>
  <c r="X8" i="13" l="1"/>
  <c r="H182" i="31" s="1"/>
  <c r="AH182" i="31" s="1"/>
  <c r="AI16" i="13"/>
  <c r="L27" i="27"/>
  <c r="AA37" i="27" s="1"/>
  <c r="P8" i="13" s="1"/>
  <c r="D182" i="31" s="1"/>
  <c r="AG182" i="31" s="1"/>
  <c r="L27" i="28"/>
  <c r="AA37" i="28" s="1"/>
  <c r="P16" i="13" s="1"/>
  <c r="D189" i="31" s="1"/>
  <c r="AG189" i="31" s="1"/>
  <c r="AG35" i="26"/>
  <c r="AH35" i="26" s="1"/>
  <c r="AG34" i="26"/>
  <c r="AH34" i="26" s="1"/>
  <c r="AG33" i="26"/>
  <c r="AH33" i="26" s="1"/>
  <c r="AG32" i="26"/>
  <c r="AH32" i="26" s="1"/>
  <c r="C25" i="26"/>
  <c r="C21" i="26"/>
  <c r="C17" i="26"/>
  <c r="C13" i="26"/>
  <c r="C9" i="26"/>
  <c r="C5" i="26"/>
  <c r="AG35" i="25"/>
  <c r="AH35" i="25" s="1"/>
  <c r="AG34" i="25"/>
  <c r="AH34" i="25" s="1"/>
  <c r="AG33" i="25"/>
  <c r="AH33" i="25" s="1"/>
  <c r="AG32" i="25"/>
  <c r="AH32" i="25" s="1"/>
  <c r="C25" i="25"/>
  <c r="C21" i="25"/>
  <c r="C17" i="25"/>
  <c r="C13" i="25"/>
  <c r="C9" i="25"/>
  <c r="C5" i="25"/>
  <c r="AD35" i="24"/>
  <c r="AC35" i="24"/>
  <c r="AG35" i="24" s="1"/>
  <c r="AH35" i="24" s="1"/>
  <c r="AD34" i="24"/>
  <c r="AC34" i="24"/>
  <c r="AD33" i="24"/>
  <c r="AC33" i="24"/>
  <c r="AG33" i="24" s="1"/>
  <c r="AH33" i="24" s="1"/>
  <c r="AD32" i="24"/>
  <c r="AC32" i="24"/>
  <c r="AG32" i="24" s="1"/>
  <c r="AH32" i="24" s="1"/>
  <c r="C25" i="24"/>
  <c r="C21" i="24"/>
  <c r="C17" i="24"/>
  <c r="C13" i="24"/>
  <c r="C9" i="24"/>
  <c r="C5" i="24"/>
  <c r="C25" i="23"/>
  <c r="C21" i="23"/>
  <c r="C17" i="23"/>
  <c r="C13" i="23"/>
  <c r="C9" i="23"/>
  <c r="C5" i="23"/>
  <c r="AG35" i="22"/>
  <c r="AG34" i="22"/>
  <c r="AG33" i="22"/>
  <c r="AG32" i="22"/>
  <c r="C25" i="22"/>
  <c r="C21" i="22"/>
  <c r="C17" i="22"/>
  <c r="C13" i="22"/>
  <c r="C9" i="22"/>
  <c r="C5" i="22"/>
  <c r="AI8" i="13" l="1"/>
  <c r="AH8" i="13"/>
  <c r="AC8" i="13"/>
  <c r="L8" i="15" s="1"/>
  <c r="AC16" i="13"/>
  <c r="X8" i="15" s="1"/>
  <c r="AH16" i="13"/>
  <c r="Z33" i="26"/>
  <c r="Z32" i="25"/>
  <c r="Z33" i="25"/>
  <c r="AH33" i="22"/>
  <c r="AH34" i="22"/>
  <c r="AH32" i="22"/>
  <c r="AH35" i="22"/>
  <c r="AG34" i="24"/>
  <c r="AH34" i="24" s="1"/>
  <c r="Z32" i="24" s="1"/>
  <c r="AG34" i="23"/>
  <c r="AH34" i="23" s="1"/>
  <c r="AG33" i="23"/>
  <c r="AH33" i="23" s="1"/>
  <c r="AG32" i="23"/>
  <c r="AH32" i="23" s="1"/>
  <c r="Z35" i="26"/>
  <c r="Z32" i="26"/>
  <c r="Z34" i="26"/>
  <c r="Z34" i="25"/>
  <c r="Z35" i="25"/>
  <c r="AD35" i="10"/>
  <c r="AD34" i="10"/>
  <c r="AD33" i="10"/>
  <c r="AD32" i="10"/>
  <c r="AC35" i="10"/>
  <c r="AC34" i="10"/>
  <c r="AC33" i="10"/>
  <c r="AC32" i="10"/>
  <c r="AB34" i="10"/>
  <c r="AB35" i="10"/>
  <c r="AB33" i="10"/>
  <c r="AB32" i="10"/>
  <c r="AI8" i="15" l="1"/>
  <c r="H196" i="31"/>
  <c r="AH196" i="31" s="1"/>
  <c r="Z33" i="24"/>
  <c r="Z35" i="24"/>
  <c r="Z34" i="24"/>
  <c r="Q17" i="25"/>
  <c r="S9" i="25"/>
  <c r="Q9" i="25"/>
  <c r="R9" i="25"/>
  <c r="R17" i="25"/>
  <c r="O17" i="25"/>
  <c r="S17" i="25"/>
  <c r="P17" i="25"/>
  <c r="L17" i="25"/>
  <c r="O9" i="25"/>
  <c r="P9" i="25"/>
  <c r="L9" i="25"/>
  <c r="S21" i="25"/>
  <c r="P21" i="25"/>
  <c r="P13" i="25"/>
  <c r="Z34" i="22"/>
  <c r="Z33" i="22"/>
  <c r="Z35" i="22"/>
  <c r="Z32" i="22"/>
  <c r="Z34" i="23"/>
  <c r="Z32" i="23"/>
  <c r="Z35" i="23"/>
  <c r="Z33" i="23"/>
  <c r="R21" i="26"/>
  <c r="P21" i="26"/>
  <c r="R17" i="26"/>
  <c r="P17" i="26"/>
  <c r="R13" i="26"/>
  <c r="P13" i="26"/>
  <c r="R9" i="26"/>
  <c r="P9" i="26"/>
  <c r="S21" i="26"/>
  <c r="Q21" i="26"/>
  <c r="O21" i="26"/>
  <c r="L21" i="26"/>
  <c r="S17" i="26"/>
  <c r="Q17" i="26"/>
  <c r="O17" i="26"/>
  <c r="L17" i="26"/>
  <c r="S13" i="26"/>
  <c r="Q13" i="26"/>
  <c r="O13" i="26"/>
  <c r="L13" i="26"/>
  <c r="S9" i="26"/>
  <c r="Q9" i="26"/>
  <c r="O9" i="26"/>
  <c r="L9" i="26"/>
  <c r="L13" i="25"/>
  <c r="Q13" i="25"/>
  <c r="L21" i="25"/>
  <c r="Q21" i="25"/>
  <c r="R13" i="25"/>
  <c r="R21" i="25"/>
  <c r="O13" i="25"/>
  <c r="S13" i="25"/>
  <c r="O21" i="25"/>
  <c r="AG32" i="10"/>
  <c r="AH32" i="10" s="1"/>
  <c r="AG34" i="10"/>
  <c r="AH34" i="10" s="1"/>
  <c r="AG33" i="10"/>
  <c r="AH33" i="10" s="1"/>
  <c r="AG35" i="10"/>
  <c r="AH35" i="10" s="1"/>
  <c r="AF8" i="15" l="1"/>
  <c r="H203" i="31"/>
  <c r="AH203" i="31" s="1"/>
  <c r="U17" i="25"/>
  <c r="T9" i="25"/>
  <c r="O17" i="24"/>
  <c r="P17" i="24"/>
  <c r="R9" i="22"/>
  <c r="P13" i="22"/>
  <c r="P13" i="24"/>
  <c r="L17" i="22"/>
  <c r="R13" i="22"/>
  <c r="L17" i="24"/>
  <c r="Q17" i="24"/>
  <c r="S13" i="24"/>
  <c r="L13" i="24"/>
  <c r="S17" i="24"/>
  <c r="Q13" i="24"/>
  <c r="S9" i="24"/>
  <c r="Q9" i="24"/>
  <c r="L9" i="24"/>
  <c r="R17" i="24"/>
  <c r="P9" i="24"/>
  <c r="O9" i="24"/>
  <c r="R9" i="24"/>
  <c r="O13" i="24"/>
  <c r="R13" i="24"/>
  <c r="L21" i="24"/>
  <c r="R21" i="24"/>
  <c r="P21" i="24"/>
  <c r="S21" i="24"/>
  <c r="O21" i="24"/>
  <c r="Q21" i="24"/>
  <c r="O21" i="22"/>
  <c r="R17" i="22"/>
  <c r="L21" i="22"/>
  <c r="T17" i="25"/>
  <c r="N17" i="25"/>
  <c r="N9" i="25"/>
  <c r="T21" i="25"/>
  <c r="U9" i="25"/>
  <c r="O13" i="22"/>
  <c r="L13" i="22"/>
  <c r="S17" i="22"/>
  <c r="S9" i="22"/>
  <c r="S13" i="22"/>
  <c r="R21" i="22"/>
  <c r="Q21" i="22"/>
  <c r="Q13" i="22"/>
  <c r="P21" i="22"/>
  <c r="O17" i="22"/>
  <c r="S21" i="22"/>
  <c r="Q17" i="22"/>
  <c r="L9" i="22"/>
  <c r="P17" i="22"/>
  <c r="O9" i="22"/>
  <c r="Q9" i="22"/>
  <c r="P9" i="22"/>
  <c r="L13" i="23"/>
  <c r="R13" i="23"/>
  <c r="O21" i="23"/>
  <c r="L21" i="23"/>
  <c r="O13" i="23"/>
  <c r="P13" i="23"/>
  <c r="S13" i="23"/>
  <c r="R21" i="23"/>
  <c r="Q21" i="23"/>
  <c r="Q13" i="23"/>
  <c r="Q17" i="23"/>
  <c r="L17" i="23"/>
  <c r="Q9" i="23"/>
  <c r="L9" i="23"/>
  <c r="P9" i="23"/>
  <c r="P17" i="23"/>
  <c r="S17" i="23"/>
  <c r="O17" i="23"/>
  <c r="S9" i="23"/>
  <c r="O9" i="23"/>
  <c r="R9" i="23"/>
  <c r="R17" i="23"/>
  <c r="P21" i="23"/>
  <c r="S21" i="23"/>
  <c r="T21" i="23" s="1"/>
  <c r="N9" i="26"/>
  <c r="U9" i="26"/>
  <c r="N13" i="26"/>
  <c r="U13" i="26"/>
  <c r="N17" i="26"/>
  <c r="U17" i="26"/>
  <c r="N21" i="26"/>
  <c r="U21" i="26"/>
  <c r="T9" i="26"/>
  <c r="T13" i="26"/>
  <c r="T17" i="26"/>
  <c r="T21" i="26"/>
  <c r="U21" i="25"/>
  <c r="N21" i="25"/>
  <c r="U13" i="25"/>
  <c r="N13" i="25"/>
  <c r="T13" i="25"/>
  <c r="Z35" i="10"/>
  <c r="Z33" i="10"/>
  <c r="Z34" i="10"/>
  <c r="Z32" i="10"/>
  <c r="C25" i="10"/>
  <c r="C21" i="10"/>
  <c r="C17" i="10"/>
  <c r="C13" i="10"/>
  <c r="C9" i="10"/>
  <c r="C5" i="10"/>
  <c r="N13" i="24" l="1"/>
  <c r="T9" i="22"/>
  <c r="U17" i="24"/>
  <c r="N17" i="24"/>
  <c r="U13" i="22"/>
  <c r="U9" i="24"/>
  <c r="T17" i="22"/>
  <c r="T13" i="22"/>
  <c r="N21" i="22"/>
  <c r="U21" i="22"/>
  <c r="T21" i="24"/>
  <c r="N9" i="24"/>
  <c r="T9" i="24"/>
  <c r="T17" i="24"/>
  <c r="T13" i="24"/>
  <c r="U13" i="24"/>
  <c r="U21" i="24"/>
  <c r="N21" i="24"/>
  <c r="N21" i="23"/>
  <c r="T9" i="23"/>
  <c r="N13" i="22"/>
  <c r="K25" i="25"/>
  <c r="U13" i="23"/>
  <c r="T13" i="23"/>
  <c r="T21" i="22"/>
  <c r="N17" i="22"/>
  <c r="U17" i="22"/>
  <c r="N9" i="22"/>
  <c r="U9" i="22"/>
  <c r="U21" i="23"/>
  <c r="N13" i="23"/>
  <c r="T17" i="23"/>
  <c r="U9" i="23"/>
  <c r="N9" i="23"/>
  <c r="U17" i="23"/>
  <c r="N17" i="23"/>
  <c r="K25" i="26"/>
  <c r="L28" i="26" s="1"/>
  <c r="L21" i="10"/>
  <c r="L13" i="10"/>
  <c r="S21" i="10"/>
  <c r="S13" i="10"/>
  <c r="R21" i="10"/>
  <c r="R13" i="10"/>
  <c r="Q21" i="10"/>
  <c r="Q13" i="10"/>
  <c r="P21" i="10"/>
  <c r="P13" i="10"/>
  <c r="O21" i="10"/>
  <c r="O13" i="10"/>
  <c r="L17" i="10"/>
  <c r="L9" i="10"/>
  <c r="S17" i="10"/>
  <c r="S9" i="10"/>
  <c r="R17" i="10"/>
  <c r="R9" i="10"/>
  <c r="Q17" i="10"/>
  <c r="Q9" i="10"/>
  <c r="P17" i="10"/>
  <c r="P9" i="10"/>
  <c r="O17" i="10"/>
  <c r="O9" i="10"/>
  <c r="K25" i="24" l="1"/>
  <c r="L28" i="24" s="1"/>
  <c r="AA38" i="24" s="1"/>
  <c r="L28" i="25"/>
  <c r="AA38" i="25" s="1"/>
  <c r="N17" i="10"/>
  <c r="T17" i="10"/>
  <c r="T21" i="10"/>
  <c r="U21" i="10"/>
  <c r="U17" i="10"/>
  <c r="N21" i="10"/>
  <c r="U9" i="10"/>
  <c r="U13" i="10"/>
  <c r="T9" i="10"/>
  <c r="T13" i="10"/>
  <c r="L27" i="25"/>
  <c r="AA37" i="25" s="1"/>
  <c r="K25" i="22"/>
  <c r="K25" i="23"/>
  <c r="L27" i="26"/>
  <c r="AA37" i="26" s="1"/>
  <c r="AA38" i="26"/>
  <c r="N13" i="10"/>
  <c r="N9" i="10"/>
  <c r="P12" i="13" l="1"/>
  <c r="D186" i="31" s="1"/>
  <c r="AG186" i="31" s="1"/>
  <c r="X4" i="13"/>
  <c r="H179" i="31" s="1"/>
  <c r="AH179" i="31" s="1"/>
  <c r="P4" i="13"/>
  <c r="D179" i="31" s="1"/>
  <c r="AG179" i="31" s="1"/>
  <c r="X12" i="13"/>
  <c r="H186" i="31" s="1"/>
  <c r="AH186" i="31" s="1"/>
  <c r="L4" i="13"/>
  <c r="H165" i="31" s="1"/>
  <c r="AH165" i="31" s="1"/>
  <c r="L27" i="24"/>
  <c r="AA37" i="24" s="1"/>
  <c r="L27" i="23"/>
  <c r="AA37" i="23" s="1"/>
  <c r="D4" i="13" s="1"/>
  <c r="D165" i="31" s="1"/>
  <c r="AG165" i="31" s="1"/>
  <c r="L28" i="23"/>
  <c r="AA38" i="23" s="1"/>
  <c r="L27" i="22"/>
  <c r="AA37" i="22" s="1"/>
  <c r="L28" i="22"/>
  <c r="AA38" i="22" s="1"/>
  <c r="K25" i="10"/>
  <c r="AH12" i="13" l="1"/>
  <c r="AI4" i="13"/>
  <c r="AC12" i="13"/>
  <c r="P8" i="15" s="1"/>
  <c r="AC4" i="13"/>
  <c r="D8" i="15" s="1"/>
  <c r="AI12" i="13"/>
  <c r="AH4" i="13"/>
  <c r="AF4" i="13"/>
  <c r="D16" i="13"/>
  <c r="D175" i="31" s="1"/>
  <c r="AG175" i="31" s="1"/>
  <c r="L16" i="13"/>
  <c r="H175" i="31" s="1"/>
  <c r="AH175" i="31" s="1"/>
  <c r="L8" i="13"/>
  <c r="H168" i="31" s="1"/>
  <c r="AH168" i="31" s="1"/>
  <c r="D12" i="13"/>
  <c r="AE4" i="13"/>
  <c r="L28" i="10"/>
  <c r="AA38" i="10" s="1"/>
  <c r="L12" i="13" s="1"/>
  <c r="H172" i="31" s="1"/>
  <c r="AH172" i="31" s="1"/>
  <c r="L27" i="10"/>
  <c r="AA37" i="10" s="1"/>
  <c r="D8" i="13" s="1"/>
  <c r="D168" i="31" s="1"/>
  <c r="AG168" i="31" s="1"/>
  <c r="D203" i="31" l="1"/>
  <c r="AG203" i="31" s="1"/>
  <c r="AD8" i="15"/>
  <c r="L8" i="16" s="1"/>
  <c r="AH8" i="15"/>
  <c r="AE16" i="13"/>
  <c r="AB16" i="13"/>
  <c r="X4" i="15" s="1"/>
  <c r="AF16" i="13"/>
  <c r="AF8" i="13"/>
  <c r="D172" i="31"/>
  <c r="AG172" i="31" s="1"/>
  <c r="AE12" i="13"/>
  <c r="AB12" i="13"/>
  <c r="P4" i="15" s="1"/>
  <c r="AF12" i="13"/>
  <c r="AB4" i="13"/>
  <c r="D4" i="15" s="1"/>
  <c r="H211" i="31" l="1"/>
  <c r="AH211" i="31" s="1"/>
  <c r="AI4" i="15"/>
  <c r="AE8" i="15"/>
  <c r="AC8" i="15"/>
  <c r="L4" i="16" s="1"/>
  <c r="D196" i="31"/>
  <c r="AG196" i="31" s="1"/>
  <c r="AH4" i="15"/>
  <c r="AE4" i="15"/>
  <c r="D193" i="31"/>
  <c r="AG193" i="31" s="1"/>
  <c r="AB8" i="13"/>
  <c r="L4" i="15" s="1"/>
  <c r="AE8" i="13"/>
  <c r="AF4" i="16" l="1"/>
  <c r="AF8" i="16"/>
  <c r="H200" i="31"/>
  <c r="AH200" i="31" s="1"/>
  <c r="AD4" i="15"/>
  <c r="D8" i="16" s="1"/>
  <c r="D200" i="31"/>
  <c r="AG200" i="31" s="1"/>
  <c r="H193" i="31"/>
  <c r="AH193" i="31" s="1"/>
  <c r="H207" i="31" l="1"/>
  <c r="AH207" i="31" s="1"/>
  <c r="AE8" i="16"/>
  <c r="AC4" i="15"/>
  <c r="D4" i="16" s="1"/>
  <c r="AF4" i="15"/>
  <c r="AE4" i="16" l="1"/>
  <c r="D211" i="31"/>
  <c r="AG211" i="31" s="1"/>
  <c r="AB8" i="16"/>
  <c r="L11" i="18" l="1"/>
  <c r="D207" i="31"/>
  <c r="AG207" i="31" s="1"/>
  <c r="AB4" i="16"/>
  <c r="AC8" i="16"/>
  <c r="L6" i="18" s="1"/>
  <c r="AH11" i="18" l="1"/>
  <c r="D11" i="18"/>
  <c r="AJ24" i="18" s="1"/>
  <c r="Q5" i="18" s="1"/>
  <c r="H219" i="31"/>
  <c r="AH219" i="31" s="1"/>
  <c r="H215" i="31"/>
  <c r="AH6" i="18"/>
  <c r="AC4" i="16"/>
  <c r="D6" i="18" s="1"/>
  <c r="AJ23" i="18" s="1"/>
  <c r="AJ22" i="18" l="1"/>
  <c r="AJ25" i="18"/>
  <c r="AG11" i="18"/>
  <c r="D219" i="31"/>
  <c r="AG219" i="31" s="1"/>
  <c r="AH215" i="31"/>
  <c r="AG6" i="18"/>
  <c r="D215" i="31"/>
  <c r="AN6" i="18" l="1"/>
  <c r="Q10" i="18"/>
  <c r="AN10" i="18" s="1"/>
  <c r="AK11" i="18"/>
  <c r="V5" i="18"/>
  <c r="AP6" i="18" s="1"/>
  <c r="Q8" i="18"/>
  <c r="AN8" i="18" s="1"/>
  <c r="AK6" i="18"/>
  <c r="AG215" i="31"/>
</calcChain>
</file>

<file path=xl/sharedStrings.xml><?xml version="1.0" encoding="utf-8"?>
<sst xmlns="http://schemas.openxmlformats.org/spreadsheetml/2006/main" count="821" uniqueCount="156">
  <si>
    <t>Moscú</t>
  </si>
  <si>
    <t>Rusia</t>
  </si>
  <si>
    <t>Arabia Saudí</t>
  </si>
  <si>
    <t>Egipto</t>
  </si>
  <si>
    <t>Uruguay</t>
  </si>
  <si>
    <t>Ekaterimburgo</t>
  </si>
  <si>
    <t>J</t>
  </si>
  <si>
    <t>G</t>
  </si>
  <si>
    <t>E</t>
  </si>
  <si>
    <t>P</t>
  </si>
  <si>
    <t>GF</t>
  </si>
  <si>
    <t>GC</t>
  </si>
  <si>
    <t>PTS</t>
  </si>
  <si>
    <t>Fase de Grupos</t>
  </si>
  <si>
    <t>Partidos</t>
  </si>
  <si>
    <t>Posiciones</t>
  </si>
  <si>
    <t>Jue 14/6</t>
  </si>
  <si>
    <t>DG</t>
  </si>
  <si>
    <t>Brasil</t>
  </si>
  <si>
    <t>Argentina</t>
  </si>
  <si>
    <t>Bolivia</t>
  </si>
  <si>
    <t>Chile</t>
  </si>
  <si>
    <t>Colombia</t>
  </si>
  <si>
    <t>Costa Rica</t>
  </si>
  <si>
    <t>Ecuador</t>
  </si>
  <si>
    <t>El Salvador</t>
  </si>
  <si>
    <t>España</t>
  </si>
  <si>
    <t>Estados Unidos</t>
  </si>
  <si>
    <t>Guatemala</t>
  </si>
  <si>
    <t>Honduras</t>
  </si>
  <si>
    <t>México</t>
  </si>
  <si>
    <t>Nicaragua</t>
  </si>
  <si>
    <t>Panamá</t>
  </si>
  <si>
    <t>Paraguay</t>
  </si>
  <si>
    <t>Perú</t>
  </si>
  <si>
    <t>República Dominicana</t>
  </si>
  <si>
    <t>Venezuela</t>
  </si>
  <si>
    <t>Vie 15/6</t>
  </si>
  <si>
    <t>Mar 19/6</t>
  </si>
  <si>
    <t>Lun 25/6</t>
  </si>
  <si>
    <t>Mie 20/6</t>
  </si>
  <si>
    <t>AUX</t>
  </si>
  <si>
    <t>Pos</t>
  </si>
  <si>
    <t>Selección</t>
  </si>
  <si>
    <t>PG</t>
  </si>
  <si>
    <t>PE</t>
  </si>
  <si>
    <t>PP</t>
  </si>
  <si>
    <t>Pts</t>
  </si>
  <si>
    <t>Ord</t>
  </si>
  <si>
    <t>Samara</t>
  </si>
  <si>
    <t>Volgogrado</t>
  </si>
  <si>
    <t>Roston on Don</t>
  </si>
  <si>
    <t>San Petesburgo</t>
  </si>
  <si>
    <t>Marruecos</t>
  </si>
  <si>
    <t>Portugal</t>
  </si>
  <si>
    <t>Irán</t>
  </si>
  <si>
    <t>Francia</t>
  </si>
  <si>
    <t>Dinamarca</t>
  </si>
  <si>
    <t>Australia</t>
  </si>
  <si>
    <t>Croacia</t>
  </si>
  <si>
    <t>Nigeria</t>
  </si>
  <si>
    <t>Islandia</t>
  </si>
  <si>
    <t>Serbia</t>
  </si>
  <si>
    <t>Suiza</t>
  </si>
  <si>
    <t>Alemania</t>
  </si>
  <si>
    <t>Suecia</t>
  </si>
  <si>
    <t>Corea</t>
  </si>
  <si>
    <t>Bélgica</t>
  </si>
  <si>
    <t>Túnez</t>
  </si>
  <si>
    <t>Inglaterra</t>
  </si>
  <si>
    <t>Polonia</t>
  </si>
  <si>
    <t>Japón</t>
  </si>
  <si>
    <t>Senegal</t>
  </si>
  <si>
    <t>Sochi</t>
  </si>
  <si>
    <t>Kazán</t>
  </si>
  <si>
    <t>Saransk</t>
  </si>
  <si>
    <t>Kaliningrado</t>
  </si>
  <si>
    <t>Sab 16/6</t>
  </si>
  <si>
    <t>Jue 21/6</t>
  </si>
  <si>
    <t>Mar 26/6</t>
  </si>
  <si>
    <t>Nizhni Nóvgorod</t>
  </si>
  <si>
    <t>Vie 22/6</t>
  </si>
  <si>
    <t>San Petersburgo</t>
  </si>
  <si>
    <t>Dom 17/6</t>
  </si>
  <si>
    <t>Mie 27/6</t>
  </si>
  <si>
    <t>Lun 18/6</t>
  </si>
  <si>
    <t>Sab 23/6</t>
  </si>
  <si>
    <t>Dom 24/6</t>
  </si>
  <si>
    <t>Jue 28/6</t>
  </si>
  <si>
    <t>Rostov del Don</t>
  </si>
  <si>
    <t>Sáb 30/6</t>
  </si>
  <si>
    <t>Dom 1/7</t>
  </si>
  <si>
    <t>Lun 2/7</t>
  </si>
  <si>
    <t>Mar 3/7</t>
  </si>
  <si>
    <t>Vie 6/7</t>
  </si>
  <si>
    <t>Sab 7/7</t>
  </si>
  <si>
    <t>Mar 10/7</t>
  </si>
  <si>
    <t>Mie 11/7</t>
  </si>
  <si>
    <t>Dom 15/7</t>
  </si>
  <si>
    <t>IMZ</t>
  </si>
  <si>
    <t>Auxiliar de Horarios</t>
  </si>
  <si>
    <t>País Seleccionado</t>
  </si>
  <si>
    <t>Calendario</t>
  </si>
  <si>
    <t>14 de Junio</t>
  </si>
  <si>
    <t>vs.</t>
  </si>
  <si>
    <t>15 de Junio</t>
  </si>
  <si>
    <t>16 de Junio</t>
  </si>
  <si>
    <t>17 de Junio</t>
  </si>
  <si>
    <t>18 de Junio</t>
  </si>
  <si>
    <t>19 de Junio</t>
  </si>
  <si>
    <t>20 de Junio</t>
  </si>
  <si>
    <t>21 de Junio</t>
  </si>
  <si>
    <t>22 de Junio</t>
  </si>
  <si>
    <t>23 de Junio</t>
  </si>
  <si>
    <t>24 de Junio</t>
  </si>
  <si>
    <t>25 de Junio</t>
  </si>
  <si>
    <t>26 de Junio</t>
  </si>
  <si>
    <t>27 de Junio</t>
  </si>
  <si>
    <t>28 de Junio</t>
  </si>
  <si>
    <t>30 de Junio - Octavos</t>
  </si>
  <si>
    <t>1 de Julio - Octavos</t>
  </si>
  <si>
    <t>2 de Julio - Octavos</t>
  </si>
  <si>
    <t>3 de Julio - Octavos</t>
  </si>
  <si>
    <t>6 de Julio - Cuartos</t>
  </si>
  <si>
    <t>7 de Julio - Cuartos</t>
  </si>
  <si>
    <t>10 de Julio - Semifinales</t>
  </si>
  <si>
    <t>11 de Julio - Semifinales</t>
  </si>
  <si>
    <t>14 de Julio - 3er y 4to Puesto</t>
  </si>
  <si>
    <t>15 de Julio - Final</t>
  </si>
  <si>
    <t>O1</t>
  </si>
  <si>
    <t>O2</t>
  </si>
  <si>
    <t>O3</t>
  </si>
  <si>
    <t>O4</t>
  </si>
  <si>
    <t>Sab 14/7</t>
  </si>
  <si>
    <t>O5</t>
  </si>
  <si>
    <t>O6</t>
  </si>
  <si>
    <t>O7</t>
  </si>
  <si>
    <t>O8</t>
  </si>
  <si>
    <t>C1</t>
  </si>
  <si>
    <t>C2</t>
  </si>
  <si>
    <t>C3</t>
  </si>
  <si>
    <t>C4</t>
  </si>
  <si>
    <t>3er Puesto</t>
  </si>
  <si>
    <t>Final</t>
  </si>
  <si>
    <t>4to Puesto</t>
  </si>
  <si>
    <t>2do Puesto</t>
  </si>
  <si>
    <t>Campeón</t>
  </si>
  <si>
    <t>S1</t>
  </si>
  <si>
    <t>S2</t>
  </si>
  <si>
    <t>A!$AB$73</t>
  </si>
  <si>
    <t>Puestos</t>
  </si>
  <si>
    <t xml:space="preserve">Puestos </t>
  </si>
  <si>
    <t>3er puesto</t>
  </si>
  <si>
    <t>4to puesto</t>
  </si>
  <si>
    <t>1er Puesto</t>
  </si>
  <si>
    <t>SI(Y(F4&lt;&gt;"";I4&lt;&gt;"";D4&lt;&gt;"";L4&lt;&gt;"");SI(F4=I4;SI(G4&gt;J4;D4;L4);SI(F4&gt;I4;D4;L4));"")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</si>
</sst>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400]h:mm:ss\ AM/PM"/>
  </numFmts>
  <fonts count="24" x14ac:knownFonts="1"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color rgb="FF333333"/>
      <name val="Arial"/>
      <family val="2"/>
    </font>
    <font>
      <i/>
      <sz val="12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131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71111"/>
      </left>
      <right/>
      <top style="thin">
        <color rgb="FF971111"/>
      </top>
      <bottom style="thin">
        <color rgb="FF971111"/>
      </bottom>
      <diagonal/>
    </border>
    <border>
      <left/>
      <right/>
      <top style="thin">
        <color rgb="FF971111"/>
      </top>
      <bottom style="thin">
        <color rgb="FF971111"/>
      </bottom>
      <diagonal/>
    </border>
    <border>
      <left/>
      <right style="thin">
        <color rgb="FF971111"/>
      </right>
      <top style="thin">
        <color rgb="FF971111"/>
      </top>
      <bottom style="thin">
        <color rgb="FF971111"/>
      </bottom>
      <diagonal/>
    </border>
    <border>
      <left/>
      <right/>
      <top style="medium">
        <color theme="4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Fill="1"/>
    <xf numFmtId="20" fontId="5" fillId="0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7" xfId="0" applyFill="1" applyBorder="1"/>
    <xf numFmtId="164" fontId="0" fillId="0" borderId="7" xfId="0" applyNumberForma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165" fontId="0" fillId="0" borderId="0" xfId="0" applyNumberFormat="1"/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Fill="1" applyBorder="1"/>
    <xf numFmtId="20" fontId="5" fillId="0" borderId="0" xfId="0" applyNumberFormat="1" applyFont="1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Border="1"/>
    <xf numFmtId="0" fontId="12" fillId="0" borderId="0" xfId="0" applyFont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3" fillId="0" borderId="0" xfId="0" applyFont="1" applyAlignment="1"/>
    <xf numFmtId="20" fontId="5" fillId="0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3" xfId="0" applyBorder="1"/>
    <xf numFmtId="0" fontId="3" fillId="0" borderId="13" xfId="0" applyFont="1" applyBorder="1" applyAlignment="1">
      <alignment vertical="top"/>
    </xf>
    <xf numFmtId="0" fontId="14" fillId="0" borderId="0" xfId="0" applyFont="1" applyAlignment="1">
      <alignment horizontal="right" vertical="center"/>
    </xf>
    <xf numFmtId="20" fontId="15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17" fillId="0" borderId="0" xfId="0" applyFont="1"/>
    <xf numFmtId="0" fontId="0" fillId="0" borderId="0" xfId="0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0" borderId="0" xfId="0" applyFont="1" applyBorder="1"/>
    <xf numFmtId="0" fontId="21" fillId="0" borderId="0" xfId="0" applyFont="1" applyBorder="1" applyAlignment="1">
      <alignment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20" fontId="2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/>
    <xf numFmtId="164" fontId="21" fillId="0" borderId="0" xfId="0" applyNumberFormat="1" applyFont="1" applyBorder="1" applyAlignment="1">
      <alignment horizontal="center"/>
    </xf>
    <xf numFmtId="20" fontId="20" fillId="0" borderId="0" xfId="0" applyNumberFormat="1" applyFont="1" applyFill="1"/>
    <xf numFmtId="20" fontId="20" fillId="0" borderId="0" xfId="0" applyNumberFormat="1" applyFont="1" applyFill="1" applyBorder="1"/>
    <xf numFmtId="0" fontId="22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 wrapText="1"/>
    </xf>
    <xf numFmtId="0" fontId="12" fillId="0" borderId="0" xfId="0" applyFont="1" applyBorder="1" applyAlignment="1">
      <alignment wrapText="1"/>
    </xf>
    <xf numFmtId="20" fontId="21" fillId="0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top"/>
    </xf>
    <xf numFmtId="0" fontId="21" fillId="0" borderId="8" xfId="0" applyFont="1" applyBorder="1"/>
    <xf numFmtId="0" fontId="21" fillId="0" borderId="9" xfId="0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E1314"/>
      <color rgb="FF971111"/>
      <color rgb="FFB414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hyperlink" Target="https://www.planillaexcel.com?ref=fixture2018" TargetMode="Externa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4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hyperlink" Target="#Calendario!A1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hyperlink" Target="#Octavos!A1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hyperlink" Target="#A!A1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Final!A1"/><Relationship Id="rId3" Type="http://schemas.openxmlformats.org/officeDocument/2006/relationships/image" Target="../media/image33.png"/><Relationship Id="rId7" Type="http://schemas.openxmlformats.org/officeDocument/2006/relationships/hyperlink" Target="#Semifinales!A1"/><Relationship Id="rId2" Type="http://schemas.openxmlformats.org/officeDocument/2006/relationships/image" Target="../media/image101.emf"/><Relationship Id="rId1" Type="http://schemas.openxmlformats.org/officeDocument/2006/relationships/image" Target="../media/image100.emf"/><Relationship Id="rId6" Type="http://schemas.openxmlformats.org/officeDocument/2006/relationships/hyperlink" Target="#Cuartos!A1"/><Relationship Id="rId5" Type="http://schemas.openxmlformats.org/officeDocument/2006/relationships/hyperlink" Target="https://www.planillaexcel.com?ref=fixture2018" TargetMode="External"/><Relationship Id="rId4" Type="http://schemas.openxmlformats.org/officeDocument/2006/relationships/hyperlink" Target="#Octavos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Octavos!A1"/><Relationship Id="rId7" Type="http://schemas.openxmlformats.org/officeDocument/2006/relationships/hyperlink" Target="#Final!A1"/><Relationship Id="rId2" Type="http://schemas.openxmlformats.org/officeDocument/2006/relationships/image" Target="../media/image33.png"/><Relationship Id="rId1" Type="http://schemas.openxmlformats.org/officeDocument/2006/relationships/image" Target="../media/image100.emf"/><Relationship Id="rId6" Type="http://schemas.openxmlformats.org/officeDocument/2006/relationships/hyperlink" Target="#Semifinales!A1"/><Relationship Id="rId5" Type="http://schemas.openxmlformats.org/officeDocument/2006/relationships/hyperlink" Target="#Cuartos!A1"/><Relationship Id="rId4" Type="http://schemas.openxmlformats.org/officeDocument/2006/relationships/hyperlink" Target="https://www.planillaexcel.com?ref=fixture2018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nillaexcel.com?ref=fixture2018" TargetMode="External"/><Relationship Id="rId3" Type="http://schemas.openxmlformats.org/officeDocument/2006/relationships/hyperlink" Target="#Octavos!A1"/><Relationship Id="rId7" Type="http://schemas.openxmlformats.org/officeDocument/2006/relationships/hyperlink" Target="#Final!A1"/><Relationship Id="rId2" Type="http://schemas.openxmlformats.org/officeDocument/2006/relationships/image" Target="../media/image33.png"/><Relationship Id="rId1" Type="http://schemas.openxmlformats.org/officeDocument/2006/relationships/image" Target="../media/image100.emf"/><Relationship Id="rId6" Type="http://schemas.openxmlformats.org/officeDocument/2006/relationships/hyperlink" Target="#Semifinales!A1"/><Relationship Id="rId5" Type="http://schemas.openxmlformats.org/officeDocument/2006/relationships/hyperlink" Target="#Cuartos!A1"/><Relationship Id="rId4" Type="http://schemas.openxmlformats.org/officeDocument/2006/relationships/hyperlink" Target="https://www.planillaexcel.com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nillaexcel.com?ref=fixture2018" TargetMode="External"/><Relationship Id="rId3" Type="http://schemas.openxmlformats.org/officeDocument/2006/relationships/hyperlink" Target="https://www.planillaexcel.com" TargetMode="External"/><Relationship Id="rId7" Type="http://schemas.openxmlformats.org/officeDocument/2006/relationships/hyperlink" Target="#Final!A1"/><Relationship Id="rId2" Type="http://schemas.openxmlformats.org/officeDocument/2006/relationships/image" Target="../media/image33.png"/><Relationship Id="rId1" Type="http://schemas.openxmlformats.org/officeDocument/2006/relationships/image" Target="../media/image100.emf"/><Relationship Id="rId6" Type="http://schemas.openxmlformats.org/officeDocument/2006/relationships/hyperlink" Target="#Semifinales!A1"/><Relationship Id="rId5" Type="http://schemas.openxmlformats.org/officeDocument/2006/relationships/hyperlink" Target="#Cuartos!A1"/><Relationship Id="rId4" Type="http://schemas.openxmlformats.org/officeDocument/2006/relationships/hyperlink" Target="#Octavos!A1"/><Relationship Id="rId9" Type="http://schemas.openxmlformats.org/officeDocument/2006/relationships/image" Target="../media/image104.jpe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image" Target="../media/image9.png"/><Relationship Id="rId26" Type="http://schemas.openxmlformats.org/officeDocument/2006/relationships/image" Target="../media/image32.png"/><Relationship Id="rId3" Type="http://schemas.openxmlformats.org/officeDocument/2006/relationships/image" Target="../media/image4.png"/><Relationship Id="rId21" Type="http://schemas.openxmlformats.org/officeDocument/2006/relationships/image" Target="../media/image5.png"/><Relationship Id="rId34" Type="http://schemas.openxmlformats.org/officeDocument/2006/relationships/image" Target="../media/image105.emf"/><Relationship Id="rId7" Type="http://schemas.openxmlformats.org/officeDocument/2006/relationships/image" Target="../media/image18.png"/><Relationship Id="rId12" Type="http://schemas.openxmlformats.org/officeDocument/2006/relationships/image" Target="../media/image14.png"/><Relationship Id="rId17" Type="http://schemas.openxmlformats.org/officeDocument/2006/relationships/image" Target="../media/image12.png"/><Relationship Id="rId25" Type="http://schemas.openxmlformats.org/officeDocument/2006/relationships/image" Target="../media/image8.png"/><Relationship Id="rId33" Type="http://schemas.openxmlformats.org/officeDocument/2006/relationships/image" Target="../media/image100.emf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31.png"/><Relationship Id="rId29" Type="http://schemas.openxmlformats.org/officeDocument/2006/relationships/image" Target="../media/image26.png"/><Relationship Id="rId1" Type="http://schemas.openxmlformats.org/officeDocument/2006/relationships/image" Target="../media/image35.png"/><Relationship Id="rId6" Type="http://schemas.openxmlformats.org/officeDocument/2006/relationships/image" Target="../media/image27.png"/><Relationship Id="rId11" Type="http://schemas.openxmlformats.org/officeDocument/2006/relationships/image" Target="../media/image7.png"/><Relationship Id="rId24" Type="http://schemas.openxmlformats.org/officeDocument/2006/relationships/image" Target="../media/image11.png"/><Relationship Id="rId32" Type="http://schemas.openxmlformats.org/officeDocument/2006/relationships/image" Target="../media/image28.png"/><Relationship Id="rId5" Type="http://schemas.openxmlformats.org/officeDocument/2006/relationships/image" Target="../media/image21.png"/><Relationship Id="rId15" Type="http://schemas.openxmlformats.org/officeDocument/2006/relationships/image" Target="../media/image19.png"/><Relationship Id="rId23" Type="http://schemas.openxmlformats.org/officeDocument/2006/relationships/image" Target="../media/image22.png"/><Relationship Id="rId28" Type="http://schemas.openxmlformats.org/officeDocument/2006/relationships/image" Target="../media/image17.png"/><Relationship Id="rId36" Type="http://schemas.openxmlformats.org/officeDocument/2006/relationships/hyperlink" Target="https://www.planillaexcel.com?ref=fixture2018" TargetMode="External"/><Relationship Id="rId10" Type="http://schemas.openxmlformats.org/officeDocument/2006/relationships/image" Target="../media/image25.png"/><Relationship Id="rId19" Type="http://schemas.openxmlformats.org/officeDocument/2006/relationships/image" Target="../media/image29.png"/><Relationship Id="rId31" Type="http://schemas.openxmlformats.org/officeDocument/2006/relationships/image" Target="../media/image20.png"/><Relationship Id="rId4" Type="http://schemas.openxmlformats.org/officeDocument/2006/relationships/image" Target="../media/image3.png"/><Relationship Id="rId9" Type="http://schemas.openxmlformats.org/officeDocument/2006/relationships/image" Target="../media/image16.png"/><Relationship Id="rId14" Type="http://schemas.openxmlformats.org/officeDocument/2006/relationships/image" Target="../media/image13.png"/><Relationship Id="rId22" Type="http://schemas.openxmlformats.org/officeDocument/2006/relationships/image" Target="../media/image30.png"/><Relationship Id="rId27" Type="http://schemas.openxmlformats.org/officeDocument/2006/relationships/image" Target="../media/image24.png"/><Relationship Id="rId30" Type="http://schemas.openxmlformats.org/officeDocument/2006/relationships/image" Target="../media/image10.png"/><Relationship Id="rId35" Type="http://schemas.openxmlformats.org/officeDocument/2006/relationships/image" Target="../media/image33.png"/><Relationship Id="rId8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26" Type="http://schemas.openxmlformats.org/officeDocument/2006/relationships/image" Target="../media/image21.png"/><Relationship Id="rId39" Type="http://schemas.openxmlformats.org/officeDocument/2006/relationships/hyperlink" Target="#A!A1"/><Relationship Id="rId21" Type="http://schemas.openxmlformats.org/officeDocument/2006/relationships/image" Target="../media/image16.png"/><Relationship Id="rId34" Type="http://schemas.openxmlformats.org/officeDocument/2006/relationships/image" Target="../media/image29.png"/><Relationship Id="rId42" Type="http://schemas.openxmlformats.org/officeDocument/2006/relationships/hyperlink" Target="#D!A1"/><Relationship Id="rId47" Type="http://schemas.openxmlformats.org/officeDocument/2006/relationships/hyperlink" Target="https://www.planillaexcel.com?ref=fixture2018" TargetMode="External"/><Relationship Id="rId7" Type="http://schemas.openxmlformats.org/officeDocument/2006/relationships/image" Target="../media/image38.emf"/><Relationship Id="rId2" Type="http://schemas.openxmlformats.org/officeDocument/2006/relationships/image" Target="../media/image35.png"/><Relationship Id="rId16" Type="http://schemas.openxmlformats.org/officeDocument/2006/relationships/image" Target="../media/image11.png"/><Relationship Id="rId29" Type="http://schemas.openxmlformats.org/officeDocument/2006/relationships/image" Target="../media/image24.png"/><Relationship Id="rId1" Type="http://schemas.openxmlformats.org/officeDocument/2006/relationships/image" Target="../media/image4.png"/><Relationship Id="rId6" Type="http://schemas.openxmlformats.org/officeDocument/2006/relationships/image" Target="../media/image37.emf"/><Relationship Id="rId11" Type="http://schemas.openxmlformats.org/officeDocument/2006/relationships/image" Target="../media/image6.png"/><Relationship Id="rId24" Type="http://schemas.openxmlformats.org/officeDocument/2006/relationships/image" Target="../media/image19.png"/><Relationship Id="rId32" Type="http://schemas.openxmlformats.org/officeDocument/2006/relationships/image" Target="../media/image27.png"/><Relationship Id="rId37" Type="http://schemas.openxmlformats.org/officeDocument/2006/relationships/image" Target="../media/image32.png"/><Relationship Id="rId40" Type="http://schemas.openxmlformats.org/officeDocument/2006/relationships/hyperlink" Target="#B!A1"/><Relationship Id="rId45" Type="http://schemas.openxmlformats.org/officeDocument/2006/relationships/hyperlink" Target="#G!A1"/><Relationship Id="rId5" Type="http://schemas.openxmlformats.org/officeDocument/2006/relationships/image" Target="../media/image36.emf"/><Relationship Id="rId15" Type="http://schemas.openxmlformats.org/officeDocument/2006/relationships/image" Target="../media/image10.png"/><Relationship Id="rId23" Type="http://schemas.openxmlformats.org/officeDocument/2006/relationships/image" Target="../media/image18.png"/><Relationship Id="rId28" Type="http://schemas.openxmlformats.org/officeDocument/2006/relationships/image" Target="../media/image23.png"/><Relationship Id="rId36" Type="http://schemas.openxmlformats.org/officeDocument/2006/relationships/image" Target="../media/image31.png"/><Relationship Id="rId10" Type="http://schemas.openxmlformats.org/officeDocument/2006/relationships/image" Target="../media/image5.png"/><Relationship Id="rId19" Type="http://schemas.openxmlformats.org/officeDocument/2006/relationships/image" Target="../media/image14.png"/><Relationship Id="rId31" Type="http://schemas.openxmlformats.org/officeDocument/2006/relationships/image" Target="../media/image26.png"/><Relationship Id="rId44" Type="http://schemas.openxmlformats.org/officeDocument/2006/relationships/hyperlink" Target="#'F'!A1"/><Relationship Id="rId4" Type="http://schemas.openxmlformats.org/officeDocument/2006/relationships/image" Target="../media/image3.png"/><Relationship Id="rId9" Type="http://schemas.openxmlformats.org/officeDocument/2006/relationships/image" Target="../media/image39.emf"/><Relationship Id="rId14" Type="http://schemas.openxmlformats.org/officeDocument/2006/relationships/image" Target="../media/image9.png"/><Relationship Id="rId22" Type="http://schemas.openxmlformats.org/officeDocument/2006/relationships/image" Target="../media/image17.png"/><Relationship Id="rId27" Type="http://schemas.openxmlformats.org/officeDocument/2006/relationships/image" Target="../media/image22.png"/><Relationship Id="rId30" Type="http://schemas.openxmlformats.org/officeDocument/2006/relationships/image" Target="../media/image25.png"/><Relationship Id="rId35" Type="http://schemas.openxmlformats.org/officeDocument/2006/relationships/image" Target="../media/image30.png"/><Relationship Id="rId43" Type="http://schemas.openxmlformats.org/officeDocument/2006/relationships/hyperlink" Target="#E!A1"/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5" Type="http://schemas.openxmlformats.org/officeDocument/2006/relationships/image" Target="../media/image20.png"/><Relationship Id="rId33" Type="http://schemas.openxmlformats.org/officeDocument/2006/relationships/image" Target="../media/image28.png"/><Relationship Id="rId38" Type="http://schemas.openxmlformats.org/officeDocument/2006/relationships/image" Target="../media/image33.png"/><Relationship Id="rId46" Type="http://schemas.openxmlformats.org/officeDocument/2006/relationships/hyperlink" Target="#H!A1"/><Relationship Id="rId20" Type="http://schemas.openxmlformats.org/officeDocument/2006/relationships/image" Target="../media/image15.png"/><Relationship Id="rId41" Type="http://schemas.openxmlformats.org/officeDocument/2006/relationships/hyperlink" Target="#'C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emf"/><Relationship Id="rId13" Type="http://schemas.openxmlformats.org/officeDocument/2006/relationships/hyperlink" Target="#'C'!A1"/><Relationship Id="rId18" Type="http://schemas.openxmlformats.org/officeDocument/2006/relationships/hyperlink" Target="#H!A1"/><Relationship Id="rId3" Type="http://schemas.openxmlformats.org/officeDocument/2006/relationships/image" Target="../media/image15.png"/><Relationship Id="rId7" Type="http://schemas.openxmlformats.org/officeDocument/2006/relationships/image" Target="../media/image46.emf"/><Relationship Id="rId12" Type="http://schemas.openxmlformats.org/officeDocument/2006/relationships/hyperlink" Target="#B!A1"/><Relationship Id="rId17" Type="http://schemas.openxmlformats.org/officeDocument/2006/relationships/hyperlink" Target="#G!A1"/><Relationship Id="rId2" Type="http://schemas.openxmlformats.org/officeDocument/2006/relationships/image" Target="../media/image27.png"/><Relationship Id="rId16" Type="http://schemas.openxmlformats.org/officeDocument/2006/relationships/hyperlink" Target="#'F'!A1"/><Relationship Id="rId1" Type="http://schemas.openxmlformats.org/officeDocument/2006/relationships/image" Target="../media/image21.png"/><Relationship Id="rId6" Type="http://schemas.openxmlformats.org/officeDocument/2006/relationships/image" Target="../media/image45.emf"/><Relationship Id="rId11" Type="http://schemas.openxmlformats.org/officeDocument/2006/relationships/hyperlink" Target="#A!A1"/><Relationship Id="rId5" Type="http://schemas.openxmlformats.org/officeDocument/2006/relationships/image" Target="../media/image44.emf"/><Relationship Id="rId15" Type="http://schemas.openxmlformats.org/officeDocument/2006/relationships/hyperlink" Target="#E!A1"/><Relationship Id="rId10" Type="http://schemas.openxmlformats.org/officeDocument/2006/relationships/image" Target="../media/image33.png"/><Relationship Id="rId19" Type="http://schemas.openxmlformats.org/officeDocument/2006/relationships/hyperlink" Target="https://www.planillaexcel.com?ref=fixture2018" TargetMode="External"/><Relationship Id="rId4" Type="http://schemas.openxmlformats.org/officeDocument/2006/relationships/image" Target="../media/image18.png"/><Relationship Id="rId9" Type="http://schemas.openxmlformats.org/officeDocument/2006/relationships/hyperlink" Target="https://www.planillaexcel.com" TargetMode="External"/><Relationship Id="rId14" Type="http://schemas.openxmlformats.org/officeDocument/2006/relationships/hyperlink" Target="#D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54.emf"/><Relationship Id="rId7" Type="http://schemas.openxmlformats.org/officeDocument/2006/relationships/image" Target="../media/image14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53.emf"/><Relationship Id="rId16" Type="http://schemas.openxmlformats.org/officeDocument/2006/relationships/hyperlink" Target="#G!A1"/><Relationship Id="rId1" Type="http://schemas.openxmlformats.org/officeDocument/2006/relationships/image" Target="../media/image52.emf"/><Relationship Id="rId6" Type="http://schemas.openxmlformats.org/officeDocument/2006/relationships/image" Target="../media/image25.png"/><Relationship Id="rId11" Type="http://schemas.openxmlformats.org/officeDocument/2006/relationships/hyperlink" Target="#B!A1"/><Relationship Id="rId5" Type="http://schemas.openxmlformats.org/officeDocument/2006/relationships/image" Target="../media/image16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55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62.emf"/><Relationship Id="rId7" Type="http://schemas.openxmlformats.org/officeDocument/2006/relationships/image" Target="../media/image23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61.emf"/><Relationship Id="rId16" Type="http://schemas.openxmlformats.org/officeDocument/2006/relationships/hyperlink" Target="#G!A1"/><Relationship Id="rId1" Type="http://schemas.openxmlformats.org/officeDocument/2006/relationships/image" Target="../media/image60.emf"/><Relationship Id="rId6" Type="http://schemas.openxmlformats.org/officeDocument/2006/relationships/image" Target="../media/image13.png"/><Relationship Id="rId11" Type="http://schemas.openxmlformats.org/officeDocument/2006/relationships/hyperlink" Target="#B!A1"/><Relationship Id="rId5" Type="http://schemas.openxmlformats.org/officeDocument/2006/relationships/image" Target="../media/image6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63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70.emf"/><Relationship Id="rId7" Type="http://schemas.openxmlformats.org/officeDocument/2006/relationships/image" Target="../media/image29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69.emf"/><Relationship Id="rId16" Type="http://schemas.openxmlformats.org/officeDocument/2006/relationships/hyperlink" Target="#G!A1"/><Relationship Id="rId1" Type="http://schemas.openxmlformats.org/officeDocument/2006/relationships/image" Target="../media/image68.emf"/><Relationship Id="rId6" Type="http://schemas.openxmlformats.org/officeDocument/2006/relationships/image" Target="../media/image9.png"/><Relationship Id="rId11" Type="http://schemas.openxmlformats.org/officeDocument/2006/relationships/hyperlink" Target="#B!A1"/><Relationship Id="rId5" Type="http://schemas.openxmlformats.org/officeDocument/2006/relationships/image" Target="../media/image12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71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78.emf"/><Relationship Id="rId7" Type="http://schemas.openxmlformats.org/officeDocument/2006/relationships/image" Target="../media/image11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77.emf"/><Relationship Id="rId16" Type="http://schemas.openxmlformats.org/officeDocument/2006/relationships/hyperlink" Target="#G!A1"/><Relationship Id="rId1" Type="http://schemas.openxmlformats.org/officeDocument/2006/relationships/image" Target="../media/image76.emf"/><Relationship Id="rId6" Type="http://schemas.openxmlformats.org/officeDocument/2006/relationships/image" Target="../media/image30.png"/><Relationship Id="rId11" Type="http://schemas.openxmlformats.org/officeDocument/2006/relationships/hyperlink" Target="#B!A1"/><Relationship Id="rId5" Type="http://schemas.openxmlformats.org/officeDocument/2006/relationships/image" Target="../media/image5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79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86.emf"/><Relationship Id="rId7" Type="http://schemas.openxmlformats.org/officeDocument/2006/relationships/image" Target="../media/image17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85.emf"/><Relationship Id="rId16" Type="http://schemas.openxmlformats.org/officeDocument/2006/relationships/hyperlink" Target="#G!A1"/><Relationship Id="rId1" Type="http://schemas.openxmlformats.org/officeDocument/2006/relationships/image" Target="../media/image84.emf"/><Relationship Id="rId6" Type="http://schemas.openxmlformats.org/officeDocument/2006/relationships/image" Target="../media/image32.png"/><Relationship Id="rId11" Type="http://schemas.openxmlformats.org/officeDocument/2006/relationships/hyperlink" Target="#B!A1"/><Relationship Id="rId5" Type="http://schemas.openxmlformats.org/officeDocument/2006/relationships/image" Target="../media/image8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87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hyperlink" Target="#D!A1"/><Relationship Id="rId18" Type="http://schemas.openxmlformats.org/officeDocument/2006/relationships/hyperlink" Target="https://www.planillaexcel.com?ref=fixture2018" TargetMode="External"/><Relationship Id="rId3" Type="http://schemas.openxmlformats.org/officeDocument/2006/relationships/image" Target="../media/image94.emf"/><Relationship Id="rId7" Type="http://schemas.openxmlformats.org/officeDocument/2006/relationships/image" Target="../media/image20.png"/><Relationship Id="rId12" Type="http://schemas.openxmlformats.org/officeDocument/2006/relationships/hyperlink" Target="#'C'!A1"/><Relationship Id="rId17" Type="http://schemas.openxmlformats.org/officeDocument/2006/relationships/hyperlink" Target="#H!A1"/><Relationship Id="rId2" Type="http://schemas.openxmlformats.org/officeDocument/2006/relationships/image" Target="../media/image93.emf"/><Relationship Id="rId16" Type="http://schemas.openxmlformats.org/officeDocument/2006/relationships/hyperlink" Target="#G!A1"/><Relationship Id="rId1" Type="http://schemas.openxmlformats.org/officeDocument/2006/relationships/image" Target="../media/image92.emf"/><Relationship Id="rId6" Type="http://schemas.openxmlformats.org/officeDocument/2006/relationships/image" Target="../media/image10.png"/><Relationship Id="rId11" Type="http://schemas.openxmlformats.org/officeDocument/2006/relationships/hyperlink" Target="#B!A1"/><Relationship Id="rId5" Type="http://schemas.openxmlformats.org/officeDocument/2006/relationships/image" Target="../media/image26.png"/><Relationship Id="rId15" Type="http://schemas.openxmlformats.org/officeDocument/2006/relationships/hyperlink" Target="#'F'!A1"/><Relationship Id="rId10" Type="http://schemas.openxmlformats.org/officeDocument/2006/relationships/hyperlink" Target="#A!A1"/><Relationship Id="rId4" Type="http://schemas.openxmlformats.org/officeDocument/2006/relationships/image" Target="../media/image95.emf"/><Relationship Id="rId9" Type="http://schemas.openxmlformats.org/officeDocument/2006/relationships/image" Target="../media/image33.png"/><Relationship Id="rId14" Type="http://schemas.openxmlformats.org/officeDocument/2006/relationships/hyperlink" Target="#E!A1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4" Type="http://schemas.openxmlformats.org/officeDocument/2006/relationships/image" Target="../media/image43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2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2.emf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6.emf"/><Relationship Id="rId1" Type="http://schemas.openxmlformats.org/officeDocument/2006/relationships/image" Target="../media/image10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4" Type="http://schemas.openxmlformats.org/officeDocument/2006/relationships/image" Target="../media/image5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Relationship Id="rId4" Type="http://schemas.openxmlformats.org/officeDocument/2006/relationships/image" Target="../media/image67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4" Type="http://schemas.openxmlformats.org/officeDocument/2006/relationships/image" Target="../media/image7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2.emf"/><Relationship Id="rId2" Type="http://schemas.openxmlformats.org/officeDocument/2006/relationships/image" Target="../media/image81.emf"/><Relationship Id="rId1" Type="http://schemas.openxmlformats.org/officeDocument/2006/relationships/image" Target="../media/image80.emf"/><Relationship Id="rId4" Type="http://schemas.openxmlformats.org/officeDocument/2006/relationships/image" Target="../media/image83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4" Type="http://schemas.openxmlformats.org/officeDocument/2006/relationships/image" Target="../media/image9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8.emf"/><Relationship Id="rId2" Type="http://schemas.openxmlformats.org/officeDocument/2006/relationships/image" Target="../media/image97.emf"/><Relationship Id="rId1" Type="http://schemas.openxmlformats.org/officeDocument/2006/relationships/image" Target="../media/image96.emf"/><Relationship Id="rId4" Type="http://schemas.openxmlformats.org/officeDocument/2006/relationships/image" Target="../media/image99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3.emf"/><Relationship Id="rId1" Type="http://schemas.openxmlformats.org/officeDocument/2006/relationships/image" Target="../media/image10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</xdr:colOff>
      <xdr:row>12</xdr:row>
      <xdr:rowOff>192833</xdr:rowOff>
    </xdr:from>
    <xdr:to>
      <xdr:col>31</xdr:col>
      <xdr:colOff>337334</xdr:colOff>
      <xdr:row>14</xdr:row>
      <xdr:rowOff>47783</xdr:rowOff>
    </xdr:to>
    <xdr:pic>
      <xdr:nvPicPr>
        <xdr:cNvPr id="19" name="10 Imagen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5376" y="7317533"/>
          <a:ext cx="337333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22</xdr:row>
      <xdr:rowOff>190499</xdr:rowOff>
    </xdr:from>
    <xdr:to>
      <xdr:col>31</xdr:col>
      <xdr:colOff>331200</xdr:colOff>
      <xdr:row>24</xdr:row>
      <xdr:rowOff>45449</xdr:rowOff>
    </xdr:to>
    <xdr:pic>
      <xdr:nvPicPr>
        <xdr:cNvPr id="21" name="33 Imagen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9696449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42</xdr:row>
      <xdr:rowOff>178594</xdr:rowOff>
    </xdr:from>
    <xdr:to>
      <xdr:col>31</xdr:col>
      <xdr:colOff>331200</xdr:colOff>
      <xdr:row>44</xdr:row>
      <xdr:rowOff>33544</xdr:rowOff>
    </xdr:to>
    <xdr:pic>
      <xdr:nvPicPr>
        <xdr:cNvPr id="22" name="34 Image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4447044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36</xdr:row>
      <xdr:rowOff>183355</xdr:rowOff>
    </xdr:from>
    <xdr:to>
      <xdr:col>31</xdr:col>
      <xdr:colOff>331200</xdr:colOff>
      <xdr:row>38</xdr:row>
      <xdr:rowOff>38305</xdr:rowOff>
    </xdr:to>
    <xdr:pic>
      <xdr:nvPicPr>
        <xdr:cNvPr id="23" name="35 Imagen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3023055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159542</xdr:rowOff>
    </xdr:from>
    <xdr:to>
      <xdr:col>31</xdr:col>
      <xdr:colOff>331200</xdr:colOff>
      <xdr:row>13</xdr:row>
      <xdr:rowOff>50211</xdr:rowOff>
    </xdr:to>
    <xdr:pic>
      <xdr:nvPicPr>
        <xdr:cNvPr id="24" name="70 Imagen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7084217"/>
          <a:ext cx="331200" cy="32881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13</xdr:row>
      <xdr:rowOff>195261</xdr:rowOff>
    </xdr:from>
    <xdr:to>
      <xdr:col>31</xdr:col>
      <xdr:colOff>331200</xdr:colOff>
      <xdr:row>15</xdr:row>
      <xdr:rowOff>50211</xdr:rowOff>
    </xdr:to>
    <xdr:pic>
      <xdr:nvPicPr>
        <xdr:cNvPr id="25" name="71 Imagen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75580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14</xdr:row>
      <xdr:rowOff>195261</xdr:rowOff>
    </xdr:from>
    <xdr:to>
      <xdr:col>31</xdr:col>
      <xdr:colOff>331200</xdr:colOff>
      <xdr:row>16</xdr:row>
      <xdr:rowOff>50211</xdr:rowOff>
    </xdr:to>
    <xdr:pic>
      <xdr:nvPicPr>
        <xdr:cNvPr id="26" name="72 Imagen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77962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195261</xdr:rowOff>
    </xdr:from>
    <xdr:to>
      <xdr:col>31</xdr:col>
      <xdr:colOff>331200</xdr:colOff>
      <xdr:row>17</xdr:row>
      <xdr:rowOff>50211</xdr:rowOff>
    </xdr:to>
    <xdr:pic>
      <xdr:nvPicPr>
        <xdr:cNvPr id="27" name="73 Imagen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80343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16</xdr:row>
      <xdr:rowOff>195261</xdr:rowOff>
    </xdr:from>
    <xdr:to>
      <xdr:col>31</xdr:col>
      <xdr:colOff>331200</xdr:colOff>
      <xdr:row>18</xdr:row>
      <xdr:rowOff>50211</xdr:rowOff>
    </xdr:to>
    <xdr:pic>
      <xdr:nvPicPr>
        <xdr:cNvPr id="28" name="74 Imagen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82724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195261</xdr:rowOff>
    </xdr:from>
    <xdr:to>
      <xdr:col>31</xdr:col>
      <xdr:colOff>331200</xdr:colOff>
      <xdr:row>19</xdr:row>
      <xdr:rowOff>50211</xdr:rowOff>
    </xdr:to>
    <xdr:pic>
      <xdr:nvPicPr>
        <xdr:cNvPr id="29" name="75 Imagen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85105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19</xdr:row>
      <xdr:rowOff>0</xdr:rowOff>
    </xdr:from>
    <xdr:to>
      <xdr:col>32</xdr:col>
      <xdr:colOff>0</xdr:colOff>
      <xdr:row>20</xdr:row>
      <xdr:rowOff>17009</xdr:rowOff>
    </xdr:to>
    <xdr:pic>
      <xdr:nvPicPr>
        <xdr:cNvPr id="30" name="76 Imagen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8791575"/>
          <a:ext cx="361950" cy="25513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19</xdr:row>
      <xdr:rowOff>195261</xdr:rowOff>
    </xdr:from>
    <xdr:to>
      <xdr:col>31</xdr:col>
      <xdr:colOff>331200</xdr:colOff>
      <xdr:row>21</xdr:row>
      <xdr:rowOff>50211</xdr:rowOff>
    </xdr:to>
    <xdr:pic>
      <xdr:nvPicPr>
        <xdr:cNvPr id="31" name="77 Imagen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89868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20</xdr:row>
      <xdr:rowOff>195261</xdr:rowOff>
    </xdr:from>
    <xdr:to>
      <xdr:col>31</xdr:col>
      <xdr:colOff>331200</xdr:colOff>
      <xdr:row>22</xdr:row>
      <xdr:rowOff>50211</xdr:rowOff>
    </xdr:to>
    <xdr:pic>
      <xdr:nvPicPr>
        <xdr:cNvPr id="32" name="78 Imagen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92249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21</xdr:row>
      <xdr:rowOff>195261</xdr:rowOff>
    </xdr:from>
    <xdr:to>
      <xdr:col>31</xdr:col>
      <xdr:colOff>331200</xdr:colOff>
      <xdr:row>23</xdr:row>
      <xdr:rowOff>50211</xdr:rowOff>
    </xdr:to>
    <xdr:pic>
      <xdr:nvPicPr>
        <xdr:cNvPr id="33" name="79 Imagen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94630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23</xdr:row>
      <xdr:rowOff>195261</xdr:rowOff>
    </xdr:from>
    <xdr:to>
      <xdr:col>31</xdr:col>
      <xdr:colOff>331200</xdr:colOff>
      <xdr:row>25</xdr:row>
      <xdr:rowOff>50211</xdr:rowOff>
    </xdr:to>
    <xdr:pic>
      <xdr:nvPicPr>
        <xdr:cNvPr id="34" name="80 Imagen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99393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24</xdr:row>
      <xdr:rowOff>195261</xdr:rowOff>
    </xdr:from>
    <xdr:to>
      <xdr:col>31</xdr:col>
      <xdr:colOff>331200</xdr:colOff>
      <xdr:row>26</xdr:row>
      <xdr:rowOff>50211</xdr:rowOff>
    </xdr:to>
    <xdr:pic>
      <xdr:nvPicPr>
        <xdr:cNvPr id="35" name="81 Imagen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01774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25</xdr:row>
      <xdr:rowOff>195261</xdr:rowOff>
    </xdr:from>
    <xdr:to>
      <xdr:col>31</xdr:col>
      <xdr:colOff>331200</xdr:colOff>
      <xdr:row>27</xdr:row>
      <xdr:rowOff>50211</xdr:rowOff>
    </xdr:to>
    <xdr:pic>
      <xdr:nvPicPr>
        <xdr:cNvPr id="36" name="82 Imagen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04155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26</xdr:row>
      <xdr:rowOff>195261</xdr:rowOff>
    </xdr:from>
    <xdr:to>
      <xdr:col>31</xdr:col>
      <xdr:colOff>331200</xdr:colOff>
      <xdr:row>28</xdr:row>
      <xdr:rowOff>50211</xdr:rowOff>
    </xdr:to>
    <xdr:pic>
      <xdr:nvPicPr>
        <xdr:cNvPr id="37" name="83 Imagen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06537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27</xdr:row>
      <xdr:rowOff>195261</xdr:rowOff>
    </xdr:from>
    <xdr:to>
      <xdr:col>31</xdr:col>
      <xdr:colOff>331200</xdr:colOff>
      <xdr:row>29</xdr:row>
      <xdr:rowOff>50211</xdr:rowOff>
    </xdr:to>
    <xdr:pic>
      <xdr:nvPicPr>
        <xdr:cNvPr id="38" name="84 Imagen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08918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28</xdr:row>
      <xdr:rowOff>195261</xdr:rowOff>
    </xdr:from>
    <xdr:to>
      <xdr:col>31</xdr:col>
      <xdr:colOff>349200</xdr:colOff>
      <xdr:row>30</xdr:row>
      <xdr:rowOff>68211</xdr:rowOff>
    </xdr:to>
    <xdr:pic>
      <xdr:nvPicPr>
        <xdr:cNvPr id="39" name="85 Imagen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1129961"/>
          <a:ext cx="349200" cy="349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29</xdr:row>
      <xdr:rowOff>195261</xdr:rowOff>
    </xdr:from>
    <xdr:to>
      <xdr:col>31</xdr:col>
      <xdr:colOff>331200</xdr:colOff>
      <xdr:row>31</xdr:row>
      <xdr:rowOff>50211</xdr:rowOff>
    </xdr:to>
    <xdr:pic>
      <xdr:nvPicPr>
        <xdr:cNvPr id="40" name="86 Imagen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13680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30</xdr:row>
      <xdr:rowOff>195261</xdr:rowOff>
    </xdr:from>
    <xdr:to>
      <xdr:col>31</xdr:col>
      <xdr:colOff>331200</xdr:colOff>
      <xdr:row>32</xdr:row>
      <xdr:rowOff>50211</xdr:rowOff>
    </xdr:to>
    <xdr:pic>
      <xdr:nvPicPr>
        <xdr:cNvPr id="41" name="87 Imagen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16062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31</xdr:row>
      <xdr:rowOff>195261</xdr:rowOff>
    </xdr:from>
    <xdr:to>
      <xdr:col>31</xdr:col>
      <xdr:colOff>331200</xdr:colOff>
      <xdr:row>33</xdr:row>
      <xdr:rowOff>50211</xdr:rowOff>
    </xdr:to>
    <xdr:pic>
      <xdr:nvPicPr>
        <xdr:cNvPr id="42" name="89 Imagen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18443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32</xdr:row>
      <xdr:rowOff>195261</xdr:rowOff>
    </xdr:from>
    <xdr:to>
      <xdr:col>31</xdr:col>
      <xdr:colOff>331200</xdr:colOff>
      <xdr:row>34</xdr:row>
      <xdr:rowOff>50211</xdr:rowOff>
    </xdr:to>
    <xdr:pic>
      <xdr:nvPicPr>
        <xdr:cNvPr id="43" name="90 Imagen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20824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33</xdr:row>
      <xdr:rowOff>195261</xdr:rowOff>
    </xdr:from>
    <xdr:to>
      <xdr:col>31</xdr:col>
      <xdr:colOff>331200</xdr:colOff>
      <xdr:row>35</xdr:row>
      <xdr:rowOff>50211</xdr:rowOff>
    </xdr:to>
    <xdr:pic>
      <xdr:nvPicPr>
        <xdr:cNvPr id="44" name="91 Imagen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23205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34</xdr:row>
      <xdr:rowOff>195261</xdr:rowOff>
    </xdr:from>
    <xdr:to>
      <xdr:col>31</xdr:col>
      <xdr:colOff>331200</xdr:colOff>
      <xdr:row>36</xdr:row>
      <xdr:rowOff>50211</xdr:rowOff>
    </xdr:to>
    <xdr:pic>
      <xdr:nvPicPr>
        <xdr:cNvPr id="45" name="92 Imagen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25587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35</xdr:row>
      <xdr:rowOff>195261</xdr:rowOff>
    </xdr:from>
    <xdr:to>
      <xdr:col>31</xdr:col>
      <xdr:colOff>331200</xdr:colOff>
      <xdr:row>37</xdr:row>
      <xdr:rowOff>50211</xdr:rowOff>
    </xdr:to>
    <xdr:pic>
      <xdr:nvPicPr>
        <xdr:cNvPr id="46" name="93 Imagen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27968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37</xdr:row>
      <xdr:rowOff>195261</xdr:rowOff>
    </xdr:from>
    <xdr:to>
      <xdr:col>31</xdr:col>
      <xdr:colOff>331200</xdr:colOff>
      <xdr:row>39</xdr:row>
      <xdr:rowOff>50211</xdr:rowOff>
    </xdr:to>
    <xdr:pic>
      <xdr:nvPicPr>
        <xdr:cNvPr id="47" name="94 Imagen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32730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38</xdr:row>
      <xdr:rowOff>195261</xdr:rowOff>
    </xdr:from>
    <xdr:to>
      <xdr:col>31</xdr:col>
      <xdr:colOff>331200</xdr:colOff>
      <xdr:row>40</xdr:row>
      <xdr:rowOff>50211</xdr:rowOff>
    </xdr:to>
    <xdr:pic>
      <xdr:nvPicPr>
        <xdr:cNvPr id="48" name="95 Imagen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35112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195261</xdr:rowOff>
    </xdr:from>
    <xdr:to>
      <xdr:col>31</xdr:col>
      <xdr:colOff>331200</xdr:colOff>
      <xdr:row>41</xdr:row>
      <xdr:rowOff>50211</xdr:rowOff>
    </xdr:to>
    <xdr:pic>
      <xdr:nvPicPr>
        <xdr:cNvPr id="49" name="96 Imagen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37493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30</xdr:col>
      <xdr:colOff>869157</xdr:colOff>
      <xdr:row>40</xdr:row>
      <xdr:rowOff>195262</xdr:rowOff>
    </xdr:from>
    <xdr:to>
      <xdr:col>32</xdr:col>
      <xdr:colOff>74270</xdr:colOff>
      <xdr:row>42</xdr:row>
      <xdr:rowOff>62164</xdr:rowOff>
    </xdr:to>
    <xdr:pic>
      <xdr:nvPicPr>
        <xdr:cNvPr id="50" name="97 Imagen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2032" y="13987462"/>
          <a:ext cx="519563" cy="34315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41</xdr:row>
      <xdr:rowOff>195261</xdr:rowOff>
    </xdr:from>
    <xdr:to>
      <xdr:col>31</xdr:col>
      <xdr:colOff>331200</xdr:colOff>
      <xdr:row>43</xdr:row>
      <xdr:rowOff>50211</xdr:rowOff>
    </xdr:to>
    <xdr:pic>
      <xdr:nvPicPr>
        <xdr:cNvPr id="51" name="98 Imagen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5" y="142255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1</xdr:row>
      <xdr:rowOff>3175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64" name="CuadroTexto 63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11</xdr:col>
      <xdr:colOff>914401</xdr:colOff>
      <xdr:row>4</xdr:row>
      <xdr:rowOff>9525</xdr:rowOff>
    </xdr:from>
    <xdr:to>
      <xdr:col>18</xdr:col>
      <xdr:colOff>381000</xdr:colOff>
      <xdr:row>6</xdr:row>
      <xdr:rowOff>0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 txBox="1"/>
      </xdr:nvSpPr>
      <xdr:spPr>
        <a:xfrm>
          <a:off x="7667626" y="1057275"/>
          <a:ext cx="2733674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400">
              <a:solidFill>
                <a:schemeClr val="bg1"/>
              </a:solidFill>
            </a:rPr>
            <a:t>ELIGE TU ZONA HORARIA</a:t>
          </a:r>
        </a:p>
      </xdr:txBody>
    </xdr:sp>
    <xdr:clientData/>
  </xdr:twoCellAnchor>
  <xdr:twoCellAnchor>
    <xdr:from>
      <xdr:col>12</xdr:col>
      <xdr:colOff>1</xdr:colOff>
      <xdr:row>9</xdr:row>
      <xdr:rowOff>196849</xdr:rowOff>
    </xdr:from>
    <xdr:to>
      <xdr:col>19</xdr:col>
      <xdr:colOff>0</xdr:colOff>
      <xdr:row>11</xdr:row>
      <xdr:rowOff>60325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 txBox="1"/>
      </xdr:nvSpPr>
      <xdr:spPr>
        <a:xfrm>
          <a:off x="7639051" y="2266949"/>
          <a:ext cx="2711449" cy="26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400">
              <a:solidFill>
                <a:schemeClr val="bg1"/>
              </a:solidFill>
            </a:rPr>
            <a:t>SECCIONES</a:t>
          </a:r>
        </a:p>
      </xdr:txBody>
    </xdr:sp>
    <xdr:clientData/>
  </xdr:twoCellAnchor>
  <xdr:twoCellAnchor>
    <xdr:from>
      <xdr:col>12</xdr:col>
      <xdr:colOff>0</xdr:colOff>
      <xdr:row>11</xdr:row>
      <xdr:rowOff>155574</xdr:rowOff>
    </xdr:from>
    <xdr:to>
      <xdr:col>18</xdr:col>
      <xdr:colOff>381000</xdr:colOff>
      <xdr:row>13</xdr:row>
      <xdr:rowOff>22225</xdr:rowOff>
    </xdr:to>
    <xdr:sp macro="" textlink="">
      <xdr:nvSpPr>
        <xdr:cNvPr id="71" name="Rectángulo redondeado 7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7639050" y="2625724"/>
          <a:ext cx="2705100" cy="298451"/>
        </a:xfrm>
        <a:prstGeom prst="roundRect">
          <a:avLst>
            <a:gd name="adj" fmla="val 757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200">
              <a:solidFill>
                <a:schemeClr val="bg1"/>
              </a:solidFill>
            </a:rPr>
            <a:t>Fase de Grupos</a:t>
          </a:r>
        </a:p>
      </xdr:txBody>
    </xdr:sp>
    <xdr:clientData/>
  </xdr:twoCellAnchor>
  <xdr:twoCellAnchor>
    <xdr:from>
      <xdr:col>12</xdr:col>
      <xdr:colOff>0</xdr:colOff>
      <xdr:row>13</xdr:row>
      <xdr:rowOff>193674</xdr:rowOff>
    </xdr:from>
    <xdr:to>
      <xdr:col>18</xdr:col>
      <xdr:colOff>381000</xdr:colOff>
      <xdr:row>15</xdr:row>
      <xdr:rowOff>22225</xdr:rowOff>
    </xdr:to>
    <xdr:sp macro="" textlink="">
      <xdr:nvSpPr>
        <xdr:cNvPr id="72" name="Rectángulo redondeado 71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7639050" y="3095624"/>
          <a:ext cx="2705100" cy="298451"/>
        </a:xfrm>
        <a:prstGeom prst="roundRect">
          <a:avLst>
            <a:gd name="adj" fmla="val 757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200">
              <a:solidFill>
                <a:schemeClr val="bg1"/>
              </a:solidFill>
            </a:rPr>
            <a:t>Fase Final</a:t>
          </a:r>
        </a:p>
      </xdr:txBody>
    </xdr:sp>
    <xdr:clientData/>
  </xdr:twoCellAnchor>
  <xdr:twoCellAnchor>
    <xdr:from>
      <xdr:col>12</xdr:col>
      <xdr:colOff>0</xdr:colOff>
      <xdr:row>15</xdr:row>
      <xdr:rowOff>193674</xdr:rowOff>
    </xdr:from>
    <xdr:to>
      <xdr:col>18</xdr:col>
      <xdr:colOff>381000</xdr:colOff>
      <xdr:row>17</xdr:row>
      <xdr:rowOff>22225</xdr:rowOff>
    </xdr:to>
    <xdr:sp macro="" textlink="">
      <xdr:nvSpPr>
        <xdr:cNvPr id="73" name="Rectángulo redondeado 72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7639050" y="3565524"/>
          <a:ext cx="2705100" cy="298451"/>
        </a:xfrm>
        <a:prstGeom prst="roundRect">
          <a:avLst>
            <a:gd name="adj" fmla="val 7576"/>
          </a:avLst>
        </a:prstGeom>
        <a:noFill/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200">
              <a:solidFill>
                <a:schemeClr val="bg1"/>
              </a:solidFill>
            </a:rPr>
            <a:t>Calendario</a:t>
          </a:r>
        </a:p>
      </xdr:txBody>
    </xdr:sp>
    <xdr:clientData/>
  </xdr:twoCellAnchor>
  <xdr:twoCellAnchor editAs="oneCell">
    <xdr:from>
      <xdr:col>1</xdr:col>
      <xdr:colOff>1</xdr:colOff>
      <xdr:row>1</xdr:row>
      <xdr:rowOff>1</xdr:rowOff>
    </xdr:from>
    <xdr:to>
      <xdr:col>10</xdr:col>
      <xdr:colOff>1587500</xdr:colOff>
      <xdr:row>20</xdr:row>
      <xdr:rowOff>9525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447676"/>
          <a:ext cx="6245224" cy="41528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3</xdr:row>
          <xdr:rowOff>19050</xdr:rowOff>
        </xdr:from>
        <xdr:to>
          <xdr:col>5</xdr:col>
          <xdr:colOff>4762</xdr:colOff>
          <xdr:row>5</xdr:row>
          <xdr:rowOff>0</xdr:rowOff>
        </xdr:to>
        <xdr:pic>
          <xdr:nvPicPr>
            <xdr:cNvPr id="10" name="Imagen 28">
              <a:extLst>
                <a:ext uri="{FF2B5EF4-FFF2-40B4-BE49-F238E27FC236}">
                  <a16:creationId xmlns:a16="http://schemas.microsoft.com/office/drawing/2014/main" xmlns="" id="{00000000-0008-0000-0A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" spid="_x0000_s969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7</xdr:row>
          <xdr:rowOff>28575</xdr:rowOff>
        </xdr:from>
        <xdr:to>
          <xdr:col>5</xdr:col>
          <xdr:colOff>4762</xdr:colOff>
          <xdr:row>9</xdr:row>
          <xdr:rowOff>9525</xdr:rowOff>
        </xdr:to>
        <xdr:pic>
          <xdr:nvPicPr>
            <xdr:cNvPr id="14" name="Imagen 28">
              <a:extLst>
                <a:ext uri="{FF2B5EF4-FFF2-40B4-BE49-F238E27FC236}">
                  <a16:creationId xmlns:a16="http://schemas.microsoft.com/office/drawing/2014/main" xmlns="" id="{00000000-0008-0000-0A00-00000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" spid="_x0000_s969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21907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11</xdr:row>
          <xdr:rowOff>19050</xdr:rowOff>
        </xdr:from>
        <xdr:to>
          <xdr:col>5</xdr:col>
          <xdr:colOff>4762</xdr:colOff>
          <xdr:row>13</xdr:row>
          <xdr:rowOff>0</xdr:rowOff>
        </xdr:to>
        <xdr:pic>
          <xdr:nvPicPr>
            <xdr:cNvPr id="15" name="Imagen 28">
              <a:extLst>
                <a:ext uri="{FF2B5EF4-FFF2-40B4-BE49-F238E27FC236}">
                  <a16:creationId xmlns:a16="http://schemas.microsoft.com/office/drawing/2014/main" xmlns="" id="{00000000-0008-0000-0A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5" spid="_x0000_s969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26860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15</xdr:row>
          <xdr:rowOff>19050</xdr:rowOff>
        </xdr:from>
        <xdr:to>
          <xdr:col>5</xdr:col>
          <xdr:colOff>4762</xdr:colOff>
          <xdr:row>17</xdr:row>
          <xdr:rowOff>0</xdr:rowOff>
        </xdr:to>
        <xdr:pic>
          <xdr:nvPicPr>
            <xdr:cNvPr id="16" name="Imagen 28">
              <a:extLst>
                <a:ext uri="{FF2B5EF4-FFF2-40B4-BE49-F238E27FC236}">
                  <a16:creationId xmlns:a16="http://schemas.microsoft.com/office/drawing/2014/main" xmlns="" id="{00000000-0008-0000-0A00-00001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7" spid="_x0000_s970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31908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3</xdr:row>
          <xdr:rowOff>19050</xdr:rowOff>
        </xdr:from>
        <xdr:to>
          <xdr:col>11</xdr:col>
          <xdr:colOff>23812</xdr:colOff>
          <xdr:row>5</xdr:row>
          <xdr:rowOff>0</xdr:rowOff>
        </xdr:to>
        <xdr:pic>
          <xdr:nvPicPr>
            <xdr:cNvPr id="17" name="Imagen 28">
              <a:extLst>
                <a:ext uri="{FF2B5EF4-FFF2-40B4-BE49-F238E27FC236}">
                  <a16:creationId xmlns:a16="http://schemas.microsoft.com/office/drawing/2014/main" xmlns="" id="{00000000-0008-0000-0A00-00001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" spid="_x0000_s97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7</xdr:row>
          <xdr:rowOff>19050</xdr:rowOff>
        </xdr:from>
        <xdr:to>
          <xdr:col>11</xdr:col>
          <xdr:colOff>23812</xdr:colOff>
          <xdr:row>9</xdr:row>
          <xdr:rowOff>0</xdr:rowOff>
        </xdr:to>
        <xdr:pic>
          <xdr:nvPicPr>
            <xdr:cNvPr id="18" name="Imagen 28">
              <a:extLst>
                <a:ext uri="{FF2B5EF4-FFF2-40B4-BE49-F238E27FC236}">
                  <a16:creationId xmlns:a16="http://schemas.microsoft.com/office/drawing/2014/main" xmlns="" id="{00000000-0008-0000-0A00-00001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4" spid="_x0000_s970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11</xdr:row>
          <xdr:rowOff>19050</xdr:rowOff>
        </xdr:from>
        <xdr:to>
          <xdr:col>11</xdr:col>
          <xdr:colOff>23812</xdr:colOff>
          <xdr:row>13</xdr:row>
          <xdr:rowOff>0</xdr:rowOff>
        </xdr:to>
        <xdr:pic>
          <xdr:nvPicPr>
            <xdr:cNvPr id="19" name="Imagen 28">
              <a:extLst>
                <a:ext uri="{FF2B5EF4-FFF2-40B4-BE49-F238E27FC236}">
                  <a16:creationId xmlns:a16="http://schemas.microsoft.com/office/drawing/2014/main" xmlns="" id="{00000000-0008-0000-0A00-00001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6" spid="_x0000_s970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26860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15</xdr:row>
          <xdr:rowOff>19050</xdr:rowOff>
        </xdr:from>
        <xdr:to>
          <xdr:col>11</xdr:col>
          <xdr:colOff>23812</xdr:colOff>
          <xdr:row>17</xdr:row>
          <xdr:rowOff>0</xdr:rowOff>
        </xdr:to>
        <xdr:pic>
          <xdr:nvPicPr>
            <xdr:cNvPr id="20" name="Imagen 28">
              <a:extLst>
                <a:ext uri="{FF2B5EF4-FFF2-40B4-BE49-F238E27FC236}">
                  <a16:creationId xmlns:a16="http://schemas.microsoft.com/office/drawing/2014/main" xmlns="" id="{00000000-0008-0000-0A00-00001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8" spid="_x0000_s970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31908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</xdr:colOff>
          <xdr:row>3</xdr:row>
          <xdr:rowOff>19050</xdr:rowOff>
        </xdr:from>
        <xdr:to>
          <xdr:col>17</xdr:col>
          <xdr:colOff>4762</xdr:colOff>
          <xdr:row>5</xdr:row>
          <xdr:rowOff>0</xdr:rowOff>
        </xdr:to>
        <xdr:pic>
          <xdr:nvPicPr>
            <xdr:cNvPr id="21" name="Imagen 28">
              <a:extLst>
                <a:ext uri="{FF2B5EF4-FFF2-40B4-BE49-F238E27FC236}">
                  <a16:creationId xmlns:a16="http://schemas.microsoft.com/office/drawing/2014/main" xmlns="" id="{00000000-0008-0000-0A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9" spid="_x0000_s970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15287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19050</xdr:rowOff>
        </xdr:from>
        <xdr:to>
          <xdr:col>17</xdr:col>
          <xdr:colOff>0</xdr:colOff>
          <xdr:row>9</xdr:row>
          <xdr:rowOff>0</xdr:rowOff>
        </xdr:to>
        <xdr:pic>
          <xdr:nvPicPr>
            <xdr:cNvPr id="22" name="Imagen 28">
              <a:extLst>
                <a:ext uri="{FF2B5EF4-FFF2-40B4-BE49-F238E27FC236}">
                  <a16:creationId xmlns:a16="http://schemas.microsoft.com/office/drawing/2014/main" xmlns="" id="{00000000-0008-0000-0A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1" spid="_x0000_s970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010525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</xdr:colOff>
          <xdr:row>11</xdr:row>
          <xdr:rowOff>19050</xdr:rowOff>
        </xdr:from>
        <xdr:to>
          <xdr:col>17</xdr:col>
          <xdr:colOff>4762</xdr:colOff>
          <xdr:row>13</xdr:row>
          <xdr:rowOff>0</xdr:rowOff>
        </xdr:to>
        <xdr:pic>
          <xdr:nvPicPr>
            <xdr:cNvPr id="23" name="Imagen 28">
              <a:extLst>
                <a:ext uri="{FF2B5EF4-FFF2-40B4-BE49-F238E27FC236}">
                  <a16:creationId xmlns:a16="http://schemas.microsoft.com/office/drawing/2014/main" xmlns="" id="{00000000-0008-0000-0A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3" spid="_x0000_s970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015287" y="26860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</xdr:colOff>
          <xdr:row>15</xdr:row>
          <xdr:rowOff>19050</xdr:rowOff>
        </xdr:from>
        <xdr:to>
          <xdr:col>17</xdr:col>
          <xdr:colOff>4762</xdr:colOff>
          <xdr:row>17</xdr:row>
          <xdr:rowOff>0</xdr:rowOff>
        </xdr:to>
        <xdr:pic>
          <xdr:nvPicPr>
            <xdr:cNvPr id="24" name="Imagen 28">
              <a:extLst>
                <a:ext uri="{FF2B5EF4-FFF2-40B4-BE49-F238E27FC236}">
                  <a16:creationId xmlns:a16="http://schemas.microsoft.com/office/drawing/2014/main" xmlns="" id="{00000000-0008-0000-0A00-00001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5" spid="_x0000_s970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015287" y="31908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3</xdr:row>
          <xdr:rowOff>19050</xdr:rowOff>
        </xdr:from>
        <xdr:to>
          <xdr:col>23</xdr:col>
          <xdr:colOff>23812</xdr:colOff>
          <xdr:row>5</xdr:row>
          <xdr:rowOff>0</xdr:rowOff>
        </xdr:to>
        <xdr:pic>
          <xdr:nvPicPr>
            <xdr:cNvPr id="25" name="Imagen 28">
              <a:extLst>
                <a:ext uri="{FF2B5EF4-FFF2-40B4-BE49-F238E27FC236}">
                  <a16:creationId xmlns:a16="http://schemas.microsoft.com/office/drawing/2014/main" xmlns="" id="{00000000-0008-0000-0A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0" spid="_x0000_s970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805987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7</xdr:row>
          <xdr:rowOff>19050</xdr:rowOff>
        </xdr:from>
        <xdr:to>
          <xdr:col>23</xdr:col>
          <xdr:colOff>23812</xdr:colOff>
          <xdr:row>9</xdr:row>
          <xdr:rowOff>0</xdr:rowOff>
        </xdr:to>
        <xdr:pic>
          <xdr:nvPicPr>
            <xdr:cNvPr id="26" name="Imagen 28">
              <a:extLst>
                <a:ext uri="{FF2B5EF4-FFF2-40B4-BE49-F238E27FC236}">
                  <a16:creationId xmlns:a16="http://schemas.microsoft.com/office/drawing/2014/main" xmlns="" id="{00000000-0008-0000-0A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2" spid="_x0000_s971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805987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11</xdr:row>
          <xdr:rowOff>19050</xdr:rowOff>
        </xdr:from>
        <xdr:to>
          <xdr:col>23</xdr:col>
          <xdr:colOff>23812</xdr:colOff>
          <xdr:row>13</xdr:row>
          <xdr:rowOff>0</xdr:rowOff>
        </xdr:to>
        <xdr:pic>
          <xdr:nvPicPr>
            <xdr:cNvPr id="27" name="Imagen 28">
              <a:extLst>
                <a:ext uri="{FF2B5EF4-FFF2-40B4-BE49-F238E27FC236}">
                  <a16:creationId xmlns:a16="http://schemas.microsoft.com/office/drawing/2014/main" xmlns="" id="{00000000-0008-0000-0A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4" spid="_x0000_s971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805987" y="26860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15</xdr:row>
          <xdr:rowOff>19050</xdr:rowOff>
        </xdr:from>
        <xdr:to>
          <xdr:col>23</xdr:col>
          <xdr:colOff>23812</xdr:colOff>
          <xdr:row>17</xdr:row>
          <xdr:rowOff>0</xdr:rowOff>
        </xdr:to>
        <xdr:pic>
          <xdr:nvPicPr>
            <xdr:cNvPr id="28" name="Imagen 28">
              <a:extLst>
                <a:ext uri="{FF2B5EF4-FFF2-40B4-BE49-F238E27FC236}">
                  <a16:creationId xmlns:a16="http://schemas.microsoft.com/office/drawing/2014/main" xmlns="" id="{00000000-0008-0000-0A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6" spid="_x0000_s971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805987" y="31908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63500</xdr:rowOff>
    </xdr:from>
    <xdr:to>
      <xdr:col>24</xdr:col>
      <xdr:colOff>92075</xdr:colOff>
      <xdr:row>0</xdr:row>
      <xdr:rowOff>450850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A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xmlns="" id="{00000000-0008-0000-0A00-00001E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507999</xdr:colOff>
      <xdr:row>0</xdr:row>
      <xdr:rowOff>180975</xdr:rowOff>
    </xdr:from>
    <xdr:to>
      <xdr:col>4</xdr:col>
      <xdr:colOff>123824</xdr:colOff>
      <xdr:row>0</xdr:row>
      <xdr:rowOff>381000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xmlns="" id="{00000000-0008-0000-0A00-00001F000000}"/>
            </a:ext>
          </a:extLst>
        </xdr:cNvPr>
        <xdr:cNvSpPr txBox="1"/>
      </xdr:nvSpPr>
      <xdr:spPr>
        <a:xfrm>
          <a:off x="727074" y="180975"/>
          <a:ext cx="1539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3</xdr:col>
      <xdr:colOff>304837</xdr:colOff>
      <xdr:row>2</xdr:row>
      <xdr:rowOff>431800</xdr:rowOff>
    </xdr:to>
    <xdr:sp macro="" textlink="">
      <xdr:nvSpPr>
        <xdr:cNvPr id="33" name="Rounded Rectangl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A00-000021000000}"/>
            </a:ext>
          </a:extLst>
        </xdr:cNvPr>
        <xdr:cNvSpPr/>
      </xdr:nvSpPr>
      <xdr:spPr>
        <a:xfrm>
          <a:off x="261937" y="964406"/>
          <a:ext cx="1224000" cy="229394"/>
        </a:xfrm>
        <a:prstGeom prst="roundRect">
          <a:avLst>
            <a:gd name="adj" fmla="val 8818"/>
          </a:avLst>
        </a:prstGeom>
        <a:solidFill>
          <a:srgbClr val="00B0F0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chemeClr val="bg1"/>
              </a:solidFill>
              <a:latin typeface="+mn-lt"/>
              <a:ea typeface="+mn-ea"/>
              <a:cs typeface="+mn-cs"/>
            </a:rPr>
            <a:t>Octavos de Final</a:t>
          </a:r>
        </a:p>
      </xdr:txBody>
    </xdr:sp>
    <xdr:clientData/>
  </xdr:twoCellAnchor>
  <xdr:twoCellAnchor>
    <xdr:from>
      <xdr:col>22</xdr:col>
      <xdr:colOff>241299</xdr:colOff>
      <xdr:row>0</xdr:row>
      <xdr:rowOff>190500</xdr:rowOff>
    </xdr:from>
    <xdr:to>
      <xdr:col>24</xdr:col>
      <xdr:colOff>85724</xdr:colOff>
      <xdr:row>0</xdr:row>
      <xdr:rowOff>381000</xdr:rowOff>
    </xdr:to>
    <xdr:sp macro="" textlink="">
      <xdr:nvSpPr>
        <xdr:cNvPr id="41" name="CuadroTexto 4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A00-000029000000}"/>
            </a:ext>
          </a:extLst>
        </xdr:cNvPr>
        <xdr:cNvSpPr txBox="1"/>
      </xdr:nvSpPr>
      <xdr:spPr>
        <a:xfrm>
          <a:off x="9994899" y="190500"/>
          <a:ext cx="11969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3</xdr:col>
      <xdr:colOff>461962</xdr:colOff>
      <xdr:row>2</xdr:row>
      <xdr:rowOff>202406</xdr:rowOff>
    </xdr:from>
    <xdr:to>
      <xdr:col>6</xdr:col>
      <xdr:colOff>19087</xdr:colOff>
      <xdr:row>2</xdr:row>
      <xdr:rowOff>431800</xdr:rowOff>
    </xdr:to>
    <xdr:sp macro="" textlink="">
      <xdr:nvSpPr>
        <xdr:cNvPr id="43" name="Rounded Rectangl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A00-00002B000000}"/>
            </a:ext>
          </a:extLst>
        </xdr:cNvPr>
        <xdr:cNvSpPr/>
      </xdr:nvSpPr>
      <xdr:spPr>
        <a:xfrm>
          <a:off x="1643062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Cuartos de Final</a:t>
          </a:r>
        </a:p>
      </xdr:txBody>
    </xdr:sp>
    <xdr:clientData/>
  </xdr:twoCellAnchor>
  <xdr:twoCellAnchor>
    <xdr:from>
      <xdr:col>6</xdr:col>
      <xdr:colOff>176212</xdr:colOff>
      <xdr:row>2</xdr:row>
      <xdr:rowOff>202406</xdr:rowOff>
    </xdr:from>
    <xdr:to>
      <xdr:col>10</xdr:col>
      <xdr:colOff>333412</xdr:colOff>
      <xdr:row>2</xdr:row>
      <xdr:rowOff>431800</xdr:rowOff>
    </xdr:to>
    <xdr:sp macro="" textlink="">
      <xdr:nvSpPr>
        <xdr:cNvPr id="44" name="Rounded Rectangle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A00-00002C000000}"/>
            </a:ext>
          </a:extLst>
        </xdr:cNvPr>
        <xdr:cNvSpPr/>
      </xdr:nvSpPr>
      <xdr:spPr>
        <a:xfrm>
          <a:off x="3024187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Semifinales</a:t>
          </a:r>
        </a:p>
      </xdr:txBody>
    </xdr:sp>
    <xdr:clientData/>
  </xdr:twoCellAnchor>
  <xdr:twoCellAnchor>
    <xdr:from>
      <xdr:col>11</xdr:col>
      <xdr:colOff>100012</xdr:colOff>
      <xdr:row>2</xdr:row>
      <xdr:rowOff>202406</xdr:rowOff>
    </xdr:from>
    <xdr:to>
      <xdr:col>12</xdr:col>
      <xdr:colOff>361987</xdr:colOff>
      <xdr:row>2</xdr:row>
      <xdr:rowOff>431800</xdr:rowOff>
    </xdr:to>
    <xdr:sp macro="" textlink="">
      <xdr:nvSpPr>
        <xdr:cNvPr id="46" name="Rounded Rectangle 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A00-00002E000000}"/>
            </a:ext>
          </a:extLst>
        </xdr:cNvPr>
        <xdr:cNvSpPr/>
      </xdr:nvSpPr>
      <xdr:spPr>
        <a:xfrm>
          <a:off x="4405312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Final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3</xdr:row>
          <xdr:rowOff>19050</xdr:rowOff>
        </xdr:from>
        <xdr:to>
          <xdr:col>5</xdr:col>
          <xdr:colOff>4762</xdr:colOff>
          <xdr:row>5</xdr:row>
          <xdr:rowOff>0</xdr:rowOff>
        </xdr:to>
        <xdr:pic>
          <xdr:nvPicPr>
            <xdr:cNvPr id="8" name="Imagen 28">
              <a:extLst>
                <a:ext uri="{FF2B5EF4-FFF2-40B4-BE49-F238E27FC236}">
                  <a16:creationId xmlns:a16="http://schemas.microsoft.com/office/drawing/2014/main" xmlns="" id="{00000000-0008-0000-0B00-00000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7" spid="_x0000_s1048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7</xdr:row>
          <xdr:rowOff>19050</xdr:rowOff>
        </xdr:from>
        <xdr:to>
          <xdr:col>5</xdr:col>
          <xdr:colOff>4762</xdr:colOff>
          <xdr:row>9</xdr:row>
          <xdr:rowOff>0</xdr:rowOff>
        </xdr:to>
        <xdr:pic>
          <xdr:nvPicPr>
            <xdr:cNvPr id="9" name="Imagen 28">
              <a:extLst>
                <a:ext uri="{FF2B5EF4-FFF2-40B4-BE49-F238E27FC236}">
                  <a16:creationId xmlns:a16="http://schemas.microsoft.com/office/drawing/2014/main" xmlns="" id="{00000000-0008-0000-0B00-00000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9" spid="_x0000_s1048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3</xdr:row>
          <xdr:rowOff>19050</xdr:rowOff>
        </xdr:from>
        <xdr:to>
          <xdr:col>11</xdr:col>
          <xdr:colOff>23812</xdr:colOff>
          <xdr:row>5</xdr:row>
          <xdr:rowOff>0</xdr:rowOff>
        </xdr:to>
        <xdr:pic>
          <xdr:nvPicPr>
            <xdr:cNvPr id="10" name="Imagen 28">
              <a:extLst>
                <a:ext uri="{FF2B5EF4-FFF2-40B4-BE49-F238E27FC236}">
                  <a16:creationId xmlns:a16="http://schemas.microsoft.com/office/drawing/2014/main" xmlns="" id="{00000000-0008-0000-0B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18" spid="_x0000_s1048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7</xdr:row>
          <xdr:rowOff>19050</xdr:rowOff>
        </xdr:from>
        <xdr:to>
          <xdr:col>11</xdr:col>
          <xdr:colOff>23812</xdr:colOff>
          <xdr:row>9</xdr:row>
          <xdr:rowOff>0</xdr:rowOff>
        </xdr:to>
        <xdr:pic>
          <xdr:nvPicPr>
            <xdr:cNvPr id="11" name="Imagen 28">
              <a:extLst>
                <a:ext uri="{FF2B5EF4-FFF2-40B4-BE49-F238E27FC236}">
                  <a16:creationId xmlns:a16="http://schemas.microsoft.com/office/drawing/2014/main" xmlns="" id="{00000000-0008-0000-0B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0" spid="_x0000_s1048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</xdr:colOff>
          <xdr:row>3</xdr:row>
          <xdr:rowOff>19050</xdr:rowOff>
        </xdr:from>
        <xdr:to>
          <xdr:col>17</xdr:col>
          <xdr:colOff>4762</xdr:colOff>
          <xdr:row>5</xdr:row>
          <xdr:rowOff>0</xdr:rowOff>
        </xdr:to>
        <xdr:pic>
          <xdr:nvPicPr>
            <xdr:cNvPr id="12" name="Imagen 28">
              <a:extLst>
                <a:ext uri="{FF2B5EF4-FFF2-40B4-BE49-F238E27FC236}">
                  <a16:creationId xmlns:a16="http://schemas.microsoft.com/office/drawing/2014/main" xmlns="" id="{00000000-0008-0000-0B00-00000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1" spid="_x0000_s1048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0057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</xdr:colOff>
          <xdr:row>7</xdr:row>
          <xdr:rowOff>19050</xdr:rowOff>
        </xdr:from>
        <xdr:to>
          <xdr:col>17</xdr:col>
          <xdr:colOff>4762</xdr:colOff>
          <xdr:row>9</xdr:row>
          <xdr:rowOff>0</xdr:rowOff>
        </xdr:to>
        <xdr:pic>
          <xdr:nvPicPr>
            <xdr:cNvPr id="13" name="Imagen 28">
              <a:extLst>
                <a:ext uri="{FF2B5EF4-FFF2-40B4-BE49-F238E27FC236}">
                  <a16:creationId xmlns:a16="http://schemas.microsoft.com/office/drawing/2014/main" xmlns="" id="{00000000-0008-0000-0B00-00000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3" spid="_x0000_s1048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0057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3</xdr:row>
          <xdr:rowOff>19050</xdr:rowOff>
        </xdr:from>
        <xdr:to>
          <xdr:col>23</xdr:col>
          <xdr:colOff>23812</xdr:colOff>
          <xdr:row>5</xdr:row>
          <xdr:rowOff>0</xdr:rowOff>
        </xdr:to>
        <xdr:pic>
          <xdr:nvPicPr>
            <xdr:cNvPr id="14" name="Imagen 28">
              <a:extLst>
                <a:ext uri="{FF2B5EF4-FFF2-40B4-BE49-F238E27FC236}">
                  <a16:creationId xmlns:a16="http://schemas.microsoft.com/office/drawing/2014/main" xmlns="" id="{00000000-0008-0000-0B00-00000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2" spid="_x0000_s1048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7964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52387</xdr:colOff>
          <xdr:row>7</xdr:row>
          <xdr:rowOff>19050</xdr:rowOff>
        </xdr:from>
        <xdr:to>
          <xdr:col>23</xdr:col>
          <xdr:colOff>23812</xdr:colOff>
          <xdr:row>9</xdr:row>
          <xdr:rowOff>0</xdr:rowOff>
        </xdr:to>
        <xdr:pic>
          <xdr:nvPicPr>
            <xdr:cNvPr id="15" name="Imagen 28">
              <a:extLst>
                <a:ext uri="{FF2B5EF4-FFF2-40B4-BE49-F238E27FC236}">
                  <a16:creationId xmlns:a16="http://schemas.microsoft.com/office/drawing/2014/main" xmlns="" id="{00000000-0008-0000-0B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4" spid="_x0000_s1048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7964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63500</xdr:rowOff>
    </xdr:from>
    <xdr:to>
      <xdr:col>24</xdr:col>
      <xdr:colOff>101600</xdr:colOff>
      <xdr:row>0</xdr:row>
      <xdr:rowOff>450850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SpPr txBox="1"/>
      </xdr:nvSpPr>
      <xdr:spPr>
        <a:xfrm>
          <a:off x="196850" y="152400"/>
          <a:ext cx="8096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507999</xdr:colOff>
      <xdr:row>0</xdr:row>
      <xdr:rowOff>180975</xdr:rowOff>
    </xdr:from>
    <xdr:to>
      <xdr:col>4</xdr:col>
      <xdr:colOff>123824</xdr:colOff>
      <xdr:row>0</xdr:row>
      <xdr:rowOff>381000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SpPr txBox="1"/>
      </xdr:nvSpPr>
      <xdr:spPr>
        <a:xfrm>
          <a:off x="727074" y="180975"/>
          <a:ext cx="1539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3</xdr:col>
      <xdr:colOff>304837</xdr:colOff>
      <xdr:row>2</xdr:row>
      <xdr:rowOff>431800</xdr:rowOff>
    </xdr:to>
    <xdr:sp macro="" textlink="">
      <xdr:nvSpPr>
        <xdr:cNvPr id="19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B00-000013000000}"/>
            </a:ext>
          </a:extLst>
        </xdr:cNvPr>
        <xdr:cNvSpPr/>
      </xdr:nvSpPr>
      <xdr:spPr>
        <a:xfrm>
          <a:off x="261937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Octavos de Final</a:t>
          </a:r>
        </a:p>
      </xdr:txBody>
    </xdr:sp>
    <xdr:clientData/>
  </xdr:twoCellAnchor>
  <xdr:twoCellAnchor>
    <xdr:from>
      <xdr:col>22</xdr:col>
      <xdr:colOff>212724</xdr:colOff>
      <xdr:row>0</xdr:row>
      <xdr:rowOff>190500</xdr:rowOff>
    </xdr:from>
    <xdr:to>
      <xdr:col>24</xdr:col>
      <xdr:colOff>57149</xdr:colOff>
      <xdr:row>0</xdr:row>
      <xdr:rowOff>381000</xdr:rowOff>
    </xdr:to>
    <xdr:sp macro="" textlink="">
      <xdr:nvSpPr>
        <xdr:cNvPr id="20" name="CuadroText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B00-000014000000}"/>
            </a:ext>
          </a:extLst>
        </xdr:cNvPr>
        <xdr:cNvSpPr txBox="1"/>
      </xdr:nvSpPr>
      <xdr:spPr>
        <a:xfrm>
          <a:off x="9956799" y="190500"/>
          <a:ext cx="1235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3</xdr:col>
      <xdr:colOff>461962</xdr:colOff>
      <xdr:row>2</xdr:row>
      <xdr:rowOff>202406</xdr:rowOff>
    </xdr:from>
    <xdr:to>
      <xdr:col>6</xdr:col>
      <xdr:colOff>19087</xdr:colOff>
      <xdr:row>2</xdr:row>
      <xdr:rowOff>431800</xdr:rowOff>
    </xdr:to>
    <xdr:sp macro="" textlink="">
      <xdr:nvSpPr>
        <xdr:cNvPr id="21" name="Rounded Rectangl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B00-000015000000}"/>
            </a:ext>
          </a:extLst>
        </xdr:cNvPr>
        <xdr:cNvSpPr/>
      </xdr:nvSpPr>
      <xdr:spPr>
        <a:xfrm>
          <a:off x="1643062" y="964406"/>
          <a:ext cx="1224000" cy="229394"/>
        </a:xfrm>
        <a:prstGeom prst="roundRect">
          <a:avLst>
            <a:gd name="adj" fmla="val 8818"/>
          </a:avLst>
        </a:prstGeom>
        <a:solidFill>
          <a:srgbClr val="00B0F0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chemeClr val="bg1"/>
              </a:solidFill>
              <a:latin typeface="+mn-lt"/>
              <a:ea typeface="+mn-ea"/>
              <a:cs typeface="+mn-cs"/>
            </a:rPr>
            <a:t>Cuartos de Final</a:t>
          </a:r>
        </a:p>
      </xdr:txBody>
    </xdr:sp>
    <xdr:clientData/>
  </xdr:twoCellAnchor>
  <xdr:twoCellAnchor>
    <xdr:from>
      <xdr:col>6</xdr:col>
      <xdr:colOff>176212</xdr:colOff>
      <xdr:row>2</xdr:row>
      <xdr:rowOff>202406</xdr:rowOff>
    </xdr:from>
    <xdr:to>
      <xdr:col>10</xdr:col>
      <xdr:colOff>333412</xdr:colOff>
      <xdr:row>2</xdr:row>
      <xdr:rowOff>431800</xdr:rowOff>
    </xdr:to>
    <xdr:sp macro="" textlink="">
      <xdr:nvSpPr>
        <xdr:cNvPr id="22" name="Rounded Rectangl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B00-000016000000}"/>
            </a:ext>
          </a:extLst>
        </xdr:cNvPr>
        <xdr:cNvSpPr/>
      </xdr:nvSpPr>
      <xdr:spPr>
        <a:xfrm>
          <a:off x="3024187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Semifinales</a:t>
          </a:r>
        </a:p>
      </xdr:txBody>
    </xdr:sp>
    <xdr:clientData/>
  </xdr:twoCellAnchor>
  <xdr:twoCellAnchor>
    <xdr:from>
      <xdr:col>11</xdr:col>
      <xdr:colOff>100012</xdr:colOff>
      <xdr:row>2</xdr:row>
      <xdr:rowOff>202406</xdr:rowOff>
    </xdr:from>
    <xdr:to>
      <xdr:col>12</xdr:col>
      <xdr:colOff>361987</xdr:colOff>
      <xdr:row>2</xdr:row>
      <xdr:rowOff>431800</xdr:rowOff>
    </xdr:to>
    <xdr:sp macro="" textlink="">
      <xdr:nvSpPr>
        <xdr:cNvPr id="23" name="Rounded Rectangle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>
        <a:xfrm>
          <a:off x="4405312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Final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3</xdr:row>
          <xdr:rowOff>19050</xdr:rowOff>
        </xdr:from>
        <xdr:to>
          <xdr:col>5</xdr:col>
          <xdr:colOff>4762</xdr:colOff>
          <xdr:row>5</xdr:row>
          <xdr:rowOff>0</xdr:rowOff>
        </xdr:to>
        <xdr:pic>
          <xdr:nvPicPr>
            <xdr:cNvPr id="8" name="Imagen 28">
              <a:extLst>
                <a:ext uri="{FF2B5EF4-FFF2-40B4-BE49-F238E27FC236}">
                  <a16:creationId xmlns:a16="http://schemas.microsoft.com/office/drawing/2014/main" xmlns="" id="{00000000-0008-0000-0C00-00000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5" spid="_x0000_s121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7</xdr:row>
          <xdr:rowOff>19050</xdr:rowOff>
        </xdr:from>
        <xdr:to>
          <xdr:col>5</xdr:col>
          <xdr:colOff>4762</xdr:colOff>
          <xdr:row>9</xdr:row>
          <xdr:rowOff>0</xdr:rowOff>
        </xdr:to>
        <xdr:pic>
          <xdr:nvPicPr>
            <xdr:cNvPr id="9" name="Imagen 28">
              <a:extLst>
                <a:ext uri="{FF2B5EF4-FFF2-40B4-BE49-F238E27FC236}">
                  <a16:creationId xmlns:a16="http://schemas.microsoft.com/office/drawing/2014/main" xmlns="" id="{00000000-0008-0000-0C00-00000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7" spid="_x0000_s1210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64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3</xdr:row>
          <xdr:rowOff>19050</xdr:rowOff>
        </xdr:from>
        <xdr:to>
          <xdr:col>11</xdr:col>
          <xdr:colOff>23812</xdr:colOff>
          <xdr:row>5</xdr:row>
          <xdr:rowOff>0</xdr:rowOff>
        </xdr:to>
        <xdr:pic>
          <xdr:nvPicPr>
            <xdr:cNvPr id="10" name="Imagen 28">
              <a:extLst>
                <a:ext uri="{FF2B5EF4-FFF2-40B4-BE49-F238E27FC236}">
                  <a16:creationId xmlns:a16="http://schemas.microsoft.com/office/drawing/2014/main" xmlns="" id="{00000000-0008-0000-0C00-00000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6" spid="_x0000_s1210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16764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7</xdr:row>
          <xdr:rowOff>19050</xdr:rowOff>
        </xdr:from>
        <xdr:to>
          <xdr:col>11</xdr:col>
          <xdr:colOff>23812</xdr:colOff>
          <xdr:row>9</xdr:row>
          <xdr:rowOff>0</xdr:rowOff>
        </xdr:to>
        <xdr:pic>
          <xdr:nvPicPr>
            <xdr:cNvPr id="11" name="Imagen 28">
              <a:extLst>
                <a:ext uri="{FF2B5EF4-FFF2-40B4-BE49-F238E27FC236}">
                  <a16:creationId xmlns:a16="http://schemas.microsoft.com/office/drawing/2014/main" xmlns="" id="{00000000-0008-0000-0C00-00000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8" spid="_x0000_s1210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967162" y="21812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63500</xdr:rowOff>
    </xdr:from>
    <xdr:to>
      <xdr:col>19</xdr:col>
      <xdr:colOff>184150</xdr:colOff>
      <xdr:row>0</xdr:row>
      <xdr:rowOff>450850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63500"/>
          <a:ext cx="108902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xmlns="" id="{00000000-0008-0000-0C00-00000D000000}"/>
            </a:ext>
          </a:extLst>
        </xdr:cNvPr>
        <xdr:cNvSpPr txBox="1"/>
      </xdr:nvSpPr>
      <xdr:spPr>
        <a:xfrm>
          <a:off x="196850" y="152400"/>
          <a:ext cx="8096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507999</xdr:colOff>
      <xdr:row>0</xdr:row>
      <xdr:rowOff>180975</xdr:rowOff>
    </xdr:from>
    <xdr:to>
      <xdr:col>4</xdr:col>
      <xdr:colOff>123824</xdr:colOff>
      <xdr:row>0</xdr:row>
      <xdr:rowOff>381000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C00-00000E000000}"/>
            </a:ext>
          </a:extLst>
        </xdr:cNvPr>
        <xdr:cNvSpPr txBox="1"/>
      </xdr:nvSpPr>
      <xdr:spPr>
        <a:xfrm>
          <a:off x="727074" y="180975"/>
          <a:ext cx="1539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3</xdr:col>
      <xdr:colOff>304837</xdr:colOff>
      <xdr:row>2</xdr:row>
      <xdr:rowOff>431800</xdr:rowOff>
    </xdr:to>
    <xdr:sp macro="" textlink="">
      <xdr:nvSpPr>
        <xdr:cNvPr id="15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C00-00000F000000}"/>
            </a:ext>
          </a:extLst>
        </xdr:cNvPr>
        <xdr:cNvSpPr/>
      </xdr:nvSpPr>
      <xdr:spPr>
        <a:xfrm>
          <a:off x="261937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Octavos de Final</a:t>
          </a:r>
        </a:p>
      </xdr:txBody>
    </xdr:sp>
    <xdr:clientData/>
  </xdr:twoCellAnchor>
  <xdr:twoCellAnchor>
    <xdr:from>
      <xdr:col>22</xdr:col>
      <xdr:colOff>241299</xdr:colOff>
      <xdr:row>0</xdr:row>
      <xdr:rowOff>190500</xdr:rowOff>
    </xdr:from>
    <xdr:to>
      <xdr:col>24</xdr:col>
      <xdr:colOff>85724</xdr:colOff>
      <xdr:row>0</xdr:row>
      <xdr:rowOff>381000</xdr:rowOff>
    </xdr:to>
    <xdr:sp macro="" textlink="">
      <xdr:nvSpPr>
        <xdr:cNvPr id="16" name="CuadroText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C00-000010000000}"/>
            </a:ext>
          </a:extLst>
        </xdr:cNvPr>
        <xdr:cNvSpPr txBox="1"/>
      </xdr:nvSpPr>
      <xdr:spPr>
        <a:xfrm>
          <a:off x="9994899" y="190500"/>
          <a:ext cx="11969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3</xdr:col>
      <xdr:colOff>461962</xdr:colOff>
      <xdr:row>2</xdr:row>
      <xdr:rowOff>202406</xdr:rowOff>
    </xdr:from>
    <xdr:to>
      <xdr:col>6</xdr:col>
      <xdr:colOff>19087</xdr:colOff>
      <xdr:row>2</xdr:row>
      <xdr:rowOff>431800</xdr:rowOff>
    </xdr:to>
    <xdr:sp macro="" textlink="">
      <xdr:nvSpPr>
        <xdr:cNvPr id="17" name="Rounded Rectangl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C00-000011000000}"/>
            </a:ext>
          </a:extLst>
        </xdr:cNvPr>
        <xdr:cNvSpPr/>
      </xdr:nvSpPr>
      <xdr:spPr>
        <a:xfrm>
          <a:off x="1643062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Cuartos de Final</a:t>
          </a:r>
        </a:p>
      </xdr:txBody>
    </xdr:sp>
    <xdr:clientData/>
  </xdr:twoCellAnchor>
  <xdr:twoCellAnchor>
    <xdr:from>
      <xdr:col>6</xdr:col>
      <xdr:colOff>176212</xdr:colOff>
      <xdr:row>2</xdr:row>
      <xdr:rowOff>202406</xdr:rowOff>
    </xdr:from>
    <xdr:to>
      <xdr:col>10</xdr:col>
      <xdr:colOff>333412</xdr:colOff>
      <xdr:row>2</xdr:row>
      <xdr:rowOff>431800</xdr:rowOff>
    </xdr:to>
    <xdr:sp macro="" textlink="">
      <xdr:nvSpPr>
        <xdr:cNvPr id="18" name="Rounded Rectangl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SpPr/>
      </xdr:nvSpPr>
      <xdr:spPr>
        <a:xfrm>
          <a:off x="3024187" y="964406"/>
          <a:ext cx="1224000" cy="229394"/>
        </a:xfrm>
        <a:prstGeom prst="roundRect">
          <a:avLst>
            <a:gd name="adj" fmla="val 8818"/>
          </a:avLst>
        </a:prstGeom>
        <a:solidFill>
          <a:srgbClr val="00B0F0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chemeClr val="bg1"/>
              </a:solidFill>
              <a:latin typeface="+mn-lt"/>
              <a:ea typeface="+mn-ea"/>
              <a:cs typeface="+mn-cs"/>
            </a:rPr>
            <a:t>Semifinales</a:t>
          </a:r>
        </a:p>
      </xdr:txBody>
    </xdr:sp>
    <xdr:clientData/>
  </xdr:twoCellAnchor>
  <xdr:twoCellAnchor>
    <xdr:from>
      <xdr:col>11</xdr:col>
      <xdr:colOff>100012</xdr:colOff>
      <xdr:row>2</xdr:row>
      <xdr:rowOff>202406</xdr:rowOff>
    </xdr:from>
    <xdr:to>
      <xdr:col>12</xdr:col>
      <xdr:colOff>361987</xdr:colOff>
      <xdr:row>2</xdr:row>
      <xdr:rowOff>431800</xdr:rowOff>
    </xdr:to>
    <xdr:sp macro="" textlink="">
      <xdr:nvSpPr>
        <xdr:cNvPr id="19" name="Rounded Rectangle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C00-000013000000}"/>
            </a:ext>
          </a:extLst>
        </xdr:cNvPr>
        <xdr:cNvSpPr/>
      </xdr:nvSpPr>
      <xdr:spPr>
        <a:xfrm>
          <a:off x="4405312" y="964406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Final</a:t>
          </a:r>
        </a:p>
      </xdr:txBody>
    </xdr:sp>
    <xdr:clientData/>
  </xdr:twoCellAnchor>
  <xdr:twoCellAnchor>
    <xdr:from>
      <xdr:col>17</xdr:col>
      <xdr:colOff>590550</xdr:colOff>
      <xdr:row>0</xdr:row>
      <xdr:rowOff>190500</xdr:rowOff>
    </xdr:from>
    <xdr:to>
      <xdr:col>19</xdr:col>
      <xdr:colOff>149225</xdr:colOff>
      <xdr:row>0</xdr:row>
      <xdr:rowOff>381000</xdr:rowOff>
    </xdr:to>
    <xdr:sp macro="" textlink="">
      <xdr:nvSpPr>
        <xdr:cNvPr id="20" name="CuadroTexto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C00-000014000000}"/>
            </a:ext>
          </a:extLst>
        </xdr:cNvPr>
        <xdr:cNvSpPr txBox="1"/>
      </xdr:nvSpPr>
      <xdr:spPr>
        <a:xfrm>
          <a:off x="9886950" y="190500"/>
          <a:ext cx="1184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</xdr:colOff>
          <xdr:row>10</xdr:row>
          <xdr:rowOff>19050</xdr:rowOff>
        </xdr:from>
        <xdr:to>
          <xdr:col>5</xdr:col>
          <xdr:colOff>4762</xdr:colOff>
          <xdr:row>12</xdr:row>
          <xdr:rowOff>0</xdr:rowOff>
        </xdr:to>
        <xdr:pic>
          <xdr:nvPicPr>
            <xdr:cNvPr id="8" name="Imagen 28">
              <a:extLst>
                <a:ext uri="{FF2B5EF4-FFF2-40B4-BE49-F238E27FC236}">
                  <a16:creationId xmlns:a16="http://schemas.microsoft.com/office/drawing/2014/main" xmlns="" id="{00000000-0008-0000-0D00-00000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29" spid="_x0000_s1310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424112" y="31242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</xdr:colOff>
          <xdr:row>10</xdr:row>
          <xdr:rowOff>19050</xdr:rowOff>
        </xdr:from>
        <xdr:to>
          <xdr:col>11</xdr:col>
          <xdr:colOff>23812</xdr:colOff>
          <xdr:row>12</xdr:row>
          <xdr:rowOff>0</xdr:rowOff>
        </xdr:to>
        <xdr:pic>
          <xdr:nvPicPr>
            <xdr:cNvPr id="9" name="Imagen 28">
              <a:extLst>
                <a:ext uri="{FF2B5EF4-FFF2-40B4-BE49-F238E27FC236}">
                  <a16:creationId xmlns:a16="http://schemas.microsoft.com/office/drawing/2014/main" xmlns="" id="{00000000-0008-0000-0D00-00000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0" spid="_x0000_s1310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214812" y="31242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absolute">
    <xdr:from>
      <xdr:col>1</xdr:col>
      <xdr:colOff>0</xdr:colOff>
      <xdr:row>0</xdr:row>
      <xdr:rowOff>63500</xdr:rowOff>
    </xdr:from>
    <xdr:to>
      <xdr:col>22</xdr:col>
      <xdr:colOff>68792</xdr:colOff>
      <xdr:row>0</xdr:row>
      <xdr:rowOff>450850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SpPr txBox="1"/>
      </xdr:nvSpPr>
      <xdr:spPr>
        <a:xfrm>
          <a:off x="196850" y="152400"/>
          <a:ext cx="8096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507999</xdr:colOff>
      <xdr:row>0</xdr:row>
      <xdr:rowOff>180975</xdr:rowOff>
    </xdr:from>
    <xdr:to>
      <xdr:col>4</xdr:col>
      <xdr:colOff>123824</xdr:colOff>
      <xdr:row>0</xdr:row>
      <xdr:rowOff>381000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00000000-0008-0000-0D00-00000C000000}"/>
            </a:ext>
          </a:extLst>
        </xdr:cNvPr>
        <xdr:cNvSpPr txBox="1"/>
      </xdr:nvSpPr>
      <xdr:spPr>
        <a:xfrm>
          <a:off x="727074" y="180975"/>
          <a:ext cx="1539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241299</xdr:colOff>
      <xdr:row>0</xdr:row>
      <xdr:rowOff>190500</xdr:rowOff>
    </xdr:from>
    <xdr:to>
      <xdr:col>26</xdr:col>
      <xdr:colOff>85724</xdr:colOff>
      <xdr:row>0</xdr:row>
      <xdr:rowOff>381000</xdr:rowOff>
    </xdr:to>
    <xdr:sp macro="" textlink="">
      <xdr:nvSpPr>
        <xdr:cNvPr id="14" name="CuadroText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D00-00000E000000}"/>
            </a:ext>
          </a:extLst>
        </xdr:cNvPr>
        <xdr:cNvSpPr txBox="1"/>
      </xdr:nvSpPr>
      <xdr:spPr>
        <a:xfrm>
          <a:off x="9994899" y="190500"/>
          <a:ext cx="11969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1</xdr:col>
      <xdr:colOff>38100</xdr:colOff>
      <xdr:row>2</xdr:row>
      <xdr:rowOff>200025</xdr:rowOff>
    </xdr:from>
    <xdr:to>
      <xdr:col>3</xdr:col>
      <xdr:colOff>204825</xdr:colOff>
      <xdr:row>2</xdr:row>
      <xdr:rowOff>429419</xdr:rowOff>
    </xdr:to>
    <xdr:sp macro="" textlink="">
      <xdr:nvSpPr>
        <xdr:cNvPr id="18" name="Rounded Rectangl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D00-000012000000}"/>
            </a:ext>
          </a:extLst>
        </xdr:cNvPr>
        <xdr:cNvSpPr/>
      </xdr:nvSpPr>
      <xdr:spPr>
        <a:xfrm>
          <a:off x="257175" y="962025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Octavos de Final</a:t>
          </a:r>
        </a:p>
      </xdr:txBody>
    </xdr:sp>
    <xdr:clientData/>
  </xdr:twoCellAnchor>
  <xdr:twoCellAnchor>
    <xdr:from>
      <xdr:col>3</xdr:col>
      <xdr:colOff>361950</xdr:colOff>
      <xdr:row>2</xdr:row>
      <xdr:rowOff>200025</xdr:rowOff>
    </xdr:from>
    <xdr:to>
      <xdr:col>5</xdr:col>
      <xdr:colOff>81000</xdr:colOff>
      <xdr:row>2</xdr:row>
      <xdr:rowOff>429419</xdr:rowOff>
    </xdr:to>
    <xdr:sp macro="" textlink="">
      <xdr:nvSpPr>
        <xdr:cNvPr id="19" name="Rounded Rectangl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D00-000013000000}"/>
            </a:ext>
          </a:extLst>
        </xdr:cNvPr>
        <xdr:cNvSpPr/>
      </xdr:nvSpPr>
      <xdr:spPr>
        <a:xfrm>
          <a:off x="1638300" y="962025"/>
          <a:ext cx="1224000" cy="229394"/>
        </a:xfrm>
        <a:prstGeom prst="roundRect">
          <a:avLst>
            <a:gd name="adj" fmla="val 8818"/>
          </a:avLst>
        </a:prstGeom>
        <a:solidFill>
          <a:sysClr val="window" lastClr="FFFFFF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Cuartos de Final</a:t>
          </a:r>
        </a:p>
      </xdr:txBody>
    </xdr:sp>
    <xdr:clientData/>
  </xdr:twoCellAnchor>
  <xdr:twoCellAnchor>
    <xdr:from>
      <xdr:col>5</xdr:col>
      <xdr:colOff>238125</xdr:colOff>
      <xdr:row>2</xdr:row>
      <xdr:rowOff>200025</xdr:rowOff>
    </xdr:from>
    <xdr:to>
      <xdr:col>10</xdr:col>
      <xdr:colOff>81000</xdr:colOff>
      <xdr:row>2</xdr:row>
      <xdr:rowOff>429419</xdr:rowOff>
    </xdr:to>
    <xdr:sp macro="" textlink="">
      <xdr:nvSpPr>
        <xdr:cNvPr id="20" name="Rounded Rectangl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D00-000014000000}"/>
            </a:ext>
          </a:extLst>
        </xdr:cNvPr>
        <xdr:cNvSpPr/>
      </xdr:nvSpPr>
      <xdr:spPr>
        <a:xfrm>
          <a:off x="3019425" y="962025"/>
          <a:ext cx="1224000" cy="229394"/>
        </a:xfrm>
        <a:prstGeom prst="roundRect">
          <a:avLst>
            <a:gd name="adj" fmla="val 8818"/>
          </a:avLst>
        </a:prstGeom>
        <a:solidFill>
          <a:schemeClr val="bg1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rgbClr val="00B0F0"/>
              </a:solidFill>
              <a:latin typeface="+mn-lt"/>
              <a:ea typeface="+mn-ea"/>
              <a:cs typeface="+mn-cs"/>
            </a:rPr>
            <a:t>Semifinales</a:t>
          </a:r>
        </a:p>
      </xdr:txBody>
    </xdr:sp>
    <xdr:clientData/>
  </xdr:twoCellAnchor>
  <xdr:twoCellAnchor>
    <xdr:from>
      <xdr:col>10</xdr:col>
      <xdr:colOff>238125</xdr:colOff>
      <xdr:row>2</xdr:row>
      <xdr:rowOff>200025</xdr:rowOff>
    </xdr:from>
    <xdr:to>
      <xdr:col>11</xdr:col>
      <xdr:colOff>1071600</xdr:colOff>
      <xdr:row>2</xdr:row>
      <xdr:rowOff>429419</xdr:rowOff>
    </xdr:to>
    <xdr:sp macro="" textlink="">
      <xdr:nvSpPr>
        <xdr:cNvPr id="21" name="Rounded Rectangle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D00-000015000000}"/>
            </a:ext>
          </a:extLst>
        </xdr:cNvPr>
        <xdr:cNvSpPr/>
      </xdr:nvSpPr>
      <xdr:spPr>
        <a:xfrm>
          <a:off x="4400550" y="962025"/>
          <a:ext cx="1224000" cy="229394"/>
        </a:xfrm>
        <a:prstGeom prst="roundRect">
          <a:avLst>
            <a:gd name="adj" fmla="val 8818"/>
          </a:avLst>
        </a:prstGeom>
        <a:solidFill>
          <a:srgbClr val="00B0F0"/>
        </a:solidFill>
        <a:ln w="12700">
          <a:solidFill>
            <a:srgbClr val="00B0F0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 b="0">
              <a:solidFill>
                <a:schemeClr val="bg1"/>
              </a:solidFill>
              <a:latin typeface="+mn-lt"/>
              <a:ea typeface="+mn-ea"/>
              <a:cs typeface="+mn-cs"/>
            </a:rPr>
            <a:t>Final</a:t>
          </a:r>
        </a:p>
      </xdr:txBody>
    </xdr:sp>
    <xdr:clientData/>
  </xdr:twoCellAnchor>
  <xdr:twoCellAnchor>
    <xdr:from>
      <xdr:col>20</xdr:col>
      <xdr:colOff>101600</xdr:colOff>
      <xdr:row>0</xdr:row>
      <xdr:rowOff>196850</xdr:rowOff>
    </xdr:from>
    <xdr:to>
      <xdr:col>22</xdr:col>
      <xdr:colOff>66675</xdr:colOff>
      <xdr:row>0</xdr:row>
      <xdr:rowOff>358775</xdr:rowOff>
    </xdr:to>
    <xdr:sp macro="" textlink="">
      <xdr:nvSpPr>
        <xdr:cNvPr id="22" name="CuadroText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D00-000016000000}"/>
            </a:ext>
          </a:extLst>
        </xdr:cNvPr>
        <xdr:cNvSpPr txBox="1"/>
      </xdr:nvSpPr>
      <xdr:spPr>
        <a:xfrm>
          <a:off x="9721850" y="196850"/>
          <a:ext cx="138112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</xdr:row>
          <xdr:rowOff>19050</xdr:rowOff>
        </xdr:from>
        <xdr:to>
          <xdr:col>5</xdr:col>
          <xdr:colOff>0</xdr:colOff>
          <xdr:row>7</xdr:row>
          <xdr:rowOff>0</xdr:rowOff>
        </xdr:to>
        <xdr:pic>
          <xdr:nvPicPr>
            <xdr:cNvPr id="13" name="Imagen 28">
              <a:extLst>
                <a:ext uri="{FF2B5EF4-FFF2-40B4-BE49-F238E27FC236}">
                  <a16:creationId xmlns:a16="http://schemas.microsoft.com/office/drawing/2014/main" xmlns="" id="{00000000-0008-0000-0D00-00000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1" spid="_x0000_s1310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419350" y="21526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5</xdr:row>
          <xdr:rowOff>28575</xdr:rowOff>
        </xdr:from>
        <xdr:to>
          <xdr:col>11</xdr:col>
          <xdr:colOff>19050</xdr:colOff>
          <xdr:row>7</xdr:row>
          <xdr:rowOff>9525</xdr:rowOff>
        </xdr:to>
        <xdr:pic>
          <xdr:nvPicPr>
            <xdr:cNvPr id="15" name="Imagen 28">
              <a:extLst>
                <a:ext uri="{FF2B5EF4-FFF2-40B4-BE49-F238E27FC236}">
                  <a16:creationId xmlns:a16="http://schemas.microsoft.com/office/drawing/2014/main" xmlns="" id="{00000000-0008-0000-0D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_32" spid="_x0000_s1311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210050" y="21621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4</xdr:row>
      <xdr:rowOff>3175</xdr:rowOff>
    </xdr:from>
    <xdr:to>
      <xdr:col>11</xdr:col>
      <xdr:colOff>847725</xdr:colOff>
      <xdr:row>4</xdr:row>
      <xdr:rowOff>3175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xmlns="" id="{00000000-0008-0000-0D00-000010000000}"/>
            </a:ext>
          </a:extLst>
        </xdr:cNvPr>
        <xdr:cNvCxnSpPr/>
      </xdr:nvCxnSpPr>
      <xdr:spPr>
        <a:xfrm>
          <a:off x="219075" y="1898650"/>
          <a:ext cx="518160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9</xdr:row>
      <xdr:rowOff>3175</xdr:rowOff>
    </xdr:from>
    <xdr:ext cx="5162550" cy="0"/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xmlns="" id="{00000000-0008-0000-0D00-000011000000}"/>
            </a:ext>
          </a:extLst>
        </xdr:cNvPr>
        <xdr:cNvCxnSpPr/>
      </xdr:nvCxnSpPr>
      <xdr:spPr>
        <a:xfrm>
          <a:off x="219075" y="2832100"/>
          <a:ext cx="51625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 editAs="oneCell">
    <xdr:from>
      <xdr:col>20</xdr:col>
      <xdr:colOff>336286</xdr:colOff>
      <xdr:row>5</xdr:row>
      <xdr:rowOff>126737</xdr:rowOff>
    </xdr:from>
    <xdr:to>
      <xdr:col>21</xdr:col>
      <xdr:colOff>407098</xdr:colOff>
      <xdr:row>11</xdr:row>
      <xdr:rowOff>79904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2136" y="2253987"/>
          <a:ext cx="642312" cy="106441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100542</xdr:colOff>
          <xdr:row>4</xdr:row>
          <xdr:rowOff>21166</xdr:rowOff>
        </xdr:from>
        <xdr:to>
          <xdr:col>15</xdr:col>
          <xdr:colOff>462492</xdr:colOff>
          <xdr:row>5</xdr:row>
          <xdr:rowOff>21166</xdr:rowOff>
        </xdr:to>
        <xdr:pic>
          <xdr:nvPicPr>
            <xdr:cNvPr id="23" name="Imagen 28">
              <a:extLst>
                <a:ext uri="{FF2B5EF4-FFF2-40B4-BE49-F238E27FC236}">
                  <a16:creationId xmlns:a16="http://schemas.microsoft.com/office/drawing/2014/main" xmlns="" id="{00000000-0008-0000-0D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nal_1" spid="_x0000_s1311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253817" y="1916641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100542</xdr:colOff>
          <xdr:row>7</xdr:row>
          <xdr:rowOff>21166</xdr:rowOff>
        </xdr:from>
        <xdr:to>
          <xdr:col>15</xdr:col>
          <xdr:colOff>462492</xdr:colOff>
          <xdr:row>8</xdr:row>
          <xdr:rowOff>21166</xdr:rowOff>
        </xdr:to>
        <xdr:pic>
          <xdr:nvPicPr>
            <xdr:cNvPr id="24" name="Imagen 28">
              <a:extLst>
                <a:ext uri="{FF2B5EF4-FFF2-40B4-BE49-F238E27FC236}">
                  <a16:creationId xmlns:a16="http://schemas.microsoft.com/office/drawing/2014/main" xmlns="" id="{00000000-0008-0000-0D00-00001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nal_2" spid="_x0000_s1311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253817" y="2411941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100542</xdr:colOff>
          <xdr:row>9</xdr:row>
          <xdr:rowOff>10583</xdr:rowOff>
        </xdr:from>
        <xdr:to>
          <xdr:col>15</xdr:col>
          <xdr:colOff>462492</xdr:colOff>
          <xdr:row>10</xdr:row>
          <xdr:rowOff>10583</xdr:rowOff>
        </xdr:to>
        <xdr:pic>
          <xdr:nvPicPr>
            <xdr:cNvPr id="25" name="Imagen 28">
              <a:extLst>
                <a:ext uri="{FF2B5EF4-FFF2-40B4-BE49-F238E27FC236}">
                  <a16:creationId xmlns:a16="http://schemas.microsoft.com/office/drawing/2014/main" xmlns="" id="{00000000-0008-0000-0D00-00001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nal_3" spid="_x0000_s1311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253817" y="287760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105833</xdr:colOff>
          <xdr:row>4</xdr:row>
          <xdr:rowOff>10583</xdr:rowOff>
        </xdr:from>
        <xdr:to>
          <xdr:col>20</xdr:col>
          <xdr:colOff>467783</xdr:colOff>
          <xdr:row>5</xdr:row>
          <xdr:rowOff>10583</xdr:rowOff>
        </xdr:to>
        <xdr:pic>
          <xdr:nvPicPr>
            <xdr:cNvPr id="26" name="Imagen 28">
              <a:extLst>
                <a:ext uri="{FF2B5EF4-FFF2-40B4-BE49-F238E27FC236}">
                  <a16:creationId xmlns:a16="http://schemas.microsoft.com/office/drawing/2014/main" xmlns="" id="{00000000-0008-0000-0D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nal_4" spid="_x0000_s1311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792758" y="190605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123825</xdr:rowOff>
    </xdr:from>
    <xdr:to>
      <xdr:col>6</xdr:col>
      <xdr:colOff>304800</xdr:colOff>
      <xdr:row>6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7430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8</xdr:row>
      <xdr:rowOff>127000</xdr:rowOff>
    </xdr:from>
    <xdr:to>
      <xdr:col>5</xdr:col>
      <xdr:colOff>0</xdr:colOff>
      <xdr:row>10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784475"/>
          <a:ext cx="304800" cy="3016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4</xdr:row>
      <xdr:rowOff>123825</xdr:rowOff>
    </xdr:from>
    <xdr:to>
      <xdr:col>5</xdr:col>
      <xdr:colOff>0</xdr:colOff>
      <xdr:row>6</xdr:row>
      <xdr:rowOff>47625</xdr:rowOff>
    </xdr:to>
    <xdr:pic>
      <xdr:nvPicPr>
        <xdr:cNvPr id="5" name="Imagen 18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7430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123825</xdr:rowOff>
    </xdr:from>
    <xdr:to>
      <xdr:col>6</xdr:col>
      <xdr:colOff>304800</xdr:colOff>
      <xdr:row>10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7813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11</xdr:row>
      <xdr:rowOff>66675</xdr:rowOff>
    </xdr:from>
    <xdr:to>
      <xdr:col>5</xdr:col>
      <xdr:colOff>0</xdr:colOff>
      <xdr:row>13</xdr:row>
      <xdr:rowOff>47625</xdr:rowOff>
    </xdr:to>
    <xdr:pic>
      <xdr:nvPicPr>
        <xdr:cNvPr id="7" name="14 Imagen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32194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</xdr:row>
      <xdr:rowOff>66675</xdr:rowOff>
    </xdr:from>
    <xdr:to>
      <xdr:col>5</xdr:col>
      <xdr:colOff>0</xdr:colOff>
      <xdr:row>16</xdr:row>
      <xdr:rowOff>47625</xdr:rowOff>
    </xdr:to>
    <xdr:pic>
      <xdr:nvPicPr>
        <xdr:cNvPr id="8" name="15 Imagen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36576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66675</xdr:rowOff>
    </xdr:from>
    <xdr:to>
      <xdr:col>6</xdr:col>
      <xdr:colOff>304800</xdr:colOff>
      <xdr:row>13</xdr:row>
      <xdr:rowOff>47625</xdr:rowOff>
    </xdr:to>
    <xdr:pic>
      <xdr:nvPicPr>
        <xdr:cNvPr id="9" name="16 Imagen">
          <a:extLst>
            <a:ext uri="{FF2B5EF4-FFF2-40B4-BE49-F238E27FC236}">
              <a16:creationId xmlns:a16="http://schemas.microsoft.com/office/drawing/2014/main" xmlns="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2194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66675</xdr:rowOff>
    </xdr:from>
    <xdr:to>
      <xdr:col>6</xdr:col>
      <xdr:colOff>304800</xdr:colOff>
      <xdr:row>16</xdr:row>
      <xdr:rowOff>47625</xdr:rowOff>
    </xdr:to>
    <xdr:pic>
      <xdr:nvPicPr>
        <xdr:cNvPr id="10" name="17 Imagen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36576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18</xdr:row>
      <xdr:rowOff>123825</xdr:rowOff>
    </xdr:from>
    <xdr:to>
      <xdr:col>5</xdr:col>
      <xdr:colOff>0</xdr:colOff>
      <xdr:row>20</xdr:row>
      <xdr:rowOff>47625</xdr:rowOff>
    </xdr:to>
    <xdr:pic>
      <xdr:nvPicPr>
        <xdr:cNvPr id="11" name="26 Imagen">
          <a:extLst>
            <a:ext uri="{FF2B5EF4-FFF2-40B4-BE49-F238E27FC236}">
              <a16:creationId xmlns:a16="http://schemas.microsoft.com/office/drawing/2014/main" xmlns="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46958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24</xdr:row>
      <xdr:rowOff>76200</xdr:rowOff>
    </xdr:from>
    <xdr:to>
      <xdr:col>5</xdr:col>
      <xdr:colOff>0</xdr:colOff>
      <xdr:row>26</xdr:row>
      <xdr:rowOff>57150</xdr:rowOff>
    </xdr:to>
    <xdr:pic>
      <xdr:nvPicPr>
        <xdr:cNvPr id="12" name="31 Imagen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5581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123825</xdr:rowOff>
    </xdr:from>
    <xdr:to>
      <xdr:col>6</xdr:col>
      <xdr:colOff>304800</xdr:colOff>
      <xdr:row>20</xdr:row>
      <xdr:rowOff>47625</xdr:rowOff>
    </xdr:to>
    <xdr:pic>
      <xdr:nvPicPr>
        <xdr:cNvPr id="13" name="32 Imagen">
          <a:extLst>
            <a:ext uri="{FF2B5EF4-FFF2-40B4-BE49-F238E27FC236}">
              <a16:creationId xmlns:a16="http://schemas.microsoft.com/office/drawing/2014/main" xmlns="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6958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76200</xdr:rowOff>
    </xdr:from>
    <xdr:to>
      <xdr:col>6</xdr:col>
      <xdr:colOff>304800</xdr:colOff>
      <xdr:row>26</xdr:row>
      <xdr:rowOff>57150</xdr:rowOff>
    </xdr:to>
    <xdr:pic>
      <xdr:nvPicPr>
        <xdr:cNvPr id="14" name="33 Imagen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5581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21</xdr:row>
      <xdr:rowOff>66675</xdr:rowOff>
    </xdr:from>
    <xdr:to>
      <xdr:col>5</xdr:col>
      <xdr:colOff>0</xdr:colOff>
      <xdr:row>23</xdr:row>
      <xdr:rowOff>47625</xdr:rowOff>
    </xdr:to>
    <xdr:pic>
      <xdr:nvPicPr>
        <xdr:cNvPr id="15" name="38 Imagen">
          <a:extLst>
            <a:ext uri="{FF2B5EF4-FFF2-40B4-BE49-F238E27FC236}">
              <a16:creationId xmlns:a16="http://schemas.microsoft.com/office/drawing/2014/main" xmlns="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5133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66675</xdr:rowOff>
    </xdr:from>
    <xdr:to>
      <xdr:col>5</xdr:col>
      <xdr:colOff>0</xdr:colOff>
      <xdr:row>29</xdr:row>
      <xdr:rowOff>47625</xdr:rowOff>
    </xdr:to>
    <xdr:pic>
      <xdr:nvPicPr>
        <xdr:cNvPr id="16" name="43 Imagen">
          <a:extLst>
            <a:ext uri="{FF2B5EF4-FFF2-40B4-BE49-F238E27FC236}">
              <a16:creationId xmlns:a16="http://schemas.microsoft.com/office/drawing/2014/main" xmlns="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60102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66675</xdr:rowOff>
    </xdr:from>
    <xdr:to>
      <xdr:col>6</xdr:col>
      <xdr:colOff>304800</xdr:colOff>
      <xdr:row>23</xdr:row>
      <xdr:rowOff>47625</xdr:rowOff>
    </xdr:to>
    <xdr:pic>
      <xdr:nvPicPr>
        <xdr:cNvPr id="17" name="45 Imagen">
          <a:extLst>
            <a:ext uri="{FF2B5EF4-FFF2-40B4-BE49-F238E27FC236}">
              <a16:creationId xmlns:a16="http://schemas.microsoft.com/office/drawing/2014/main" xmlns="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5133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27</xdr:row>
      <xdr:rowOff>66675</xdr:rowOff>
    </xdr:from>
    <xdr:to>
      <xdr:col>6</xdr:col>
      <xdr:colOff>295275</xdr:colOff>
      <xdr:row>29</xdr:row>
      <xdr:rowOff>47625</xdr:rowOff>
    </xdr:to>
    <xdr:pic>
      <xdr:nvPicPr>
        <xdr:cNvPr id="18" name="48 Imagen">
          <a:extLst>
            <a:ext uri="{FF2B5EF4-FFF2-40B4-BE49-F238E27FC236}">
              <a16:creationId xmlns:a16="http://schemas.microsoft.com/office/drawing/2014/main" xmlns="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60102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31</xdr:row>
      <xdr:rowOff>133350</xdr:rowOff>
    </xdr:from>
    <xdr:to>
      <xdr:col>5</xdr:col>
      <xdr:colOff>0</xdr:colOff>
      <xdr:row>33</xdr:row>
      <xdr:rowOff>68036</xdr:rowOff>
    </xdr:to>
    <xdr:pic>
      <xdr:nvPicPr>
        <xdr:cNvPr id="19" name="50 Imagen">
          <a:extLst>
            <a:ext uri="{FF2B5EF4-FFF2-40B4-BE49-F238E27FC236}">
              <a16:creationId xmlns:a16="http://schemas.microsoft.com/office/drawing/2014/main" xmlns="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70580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37</xdr:row>
      <xdr:rowOff>57150</xdr:rowOff>
    </xdr:from>
    <xdr:to>
      <xdr:col>5</xdr:col>
      <xdr:colOff>0</xdr:colOff>
      <xdr:row>39</xdr:row>
      <xdr:rowOff>47626</xdr:rowOff>
    </xdr:to>
    <xdr:pic>
      <xdr:nvPicPr>
        <xdr:cNvPr id="20" name="51 Imagen">
          <a:extLst>
            <a:ext uri="{FF2B5EF4-FFF2-40B4-BE49-F238E27FC236}">
              <a16:creationId xmlns:a16="http://schemas.microsoft.com/office/drawing/2014/main" xmlns="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7896225"/>
          <a:ext cx="304800" cy="3048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133350</xdr:rowOff>
    </xdr:from>
    <xdr:to>
      <xdr:col>6</xdr:col>
      <xdr:colOff>304800</xdr:colOff>
      <xdr:row>33</xdr:row>
      <xdr:rowOff>68036</xdr:rowOff>
    </xdr:to>
    <xdr:pic>
      <xdr:nvPicPr>
        <xdr:cNvPr id="21" name="52 Imagen">
          <a:extLst>
            <a:ext uri="{FF2B5EF4-FFF2-40B4-BE49-F238E27FC236}">
              <a16:creationId xmlns:a16="http://schemas.microsoft.com/office/drawing/2014/main" xmlns="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70580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5</xdr:col>
      <xdr:colOff>426244</xdr:colOff>
      <xdr:row>37</xdr:row>
      <xdr:rowOff>57150</xdr:rowOff>
    </xdr:from>
    <xdr:to>
      <xdr:col>6</xdr:col>
      <xdr:colOff>409575</xdr:colOff>
      <xdr:row>39</xdr:row>
      <xdr:rowOff>47626</xdr:rowOff>
    </xdr:to>
    <xdr:pic>
      <xdr:nvPicPr>
        <xdr:cNvPr id="22" name="53 Imagen">
          <a:extLst>
            <a:ext uri="{FF2B5EF4-FFF2-40B4-BE49-F238E27FC236}">
              <a16:creationId xmlns:a16="http://schemas.microsoft.com/office/drawing/2014/main" xmlns="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0444" y="7896225"/>
          <a:ext cx="488156" cy="30480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34</xdr:row>
      <xdr:rowOff>57150</xdr:rowOff>
    </xdr:from>
    <xdr:to>
      <xdr:col>5</xdr:col>
      <xdr:colOff>0</xdr:colOff>
      <xdr:row>36</xdr:row>
      <xdr:rowOff>47624</xdr:rowOff>
    </xdr:to>
    <xdr:pic>
      <xdr:nvPicPr>
        <xdr:cNvPr id="23" name="54 Imagen">
          <a:extLst>
            <a:ext uri="{FF2B5EF4-FFF2-40B4-BE49-F238E27FC236}">
              <a16:creationId xmlns:a16="http://schemas.microsoft.com/office/drawing/2014/main" xmlns="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7467600"/>
          <a:ext cx="304800" cy="30479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41</xdr:row>
      <xdr:rowOff>133350</xdr:rowOff>
    </xdr:from>
    <xdr:to>
      <xdr:col>5</xdr:col>
      <xdr:colOff>0</xdr:colOff>
      <xdr:row>43</xdr:row>
      <xdr:rowOff>68035</xdr:rowOff>
    </xdr:to>
    <xdr:pic>
      <xdr:nvPicPr>
        <xdr:cNvPr id="24" name="55 Imagen">
          <a:extLst>
            <a:ext uri="{FF2B5EF4-FFF2-40B4-BE49-F238E27FC236}">
              <a16:creationId xmlns:a16="http://schemas.microsoft.com/office/drawing/2014/main" xmlns="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8943975"/>
          <a:ext cx="304800" cy="3061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57150</xdr:rowOff>
    </xdr:from>
    <xdr:to>
      <xdr:col>6</xdr:col>
      <xdr:colOff>304800</xdr:colOff>
      <xdr:row>36</xdr:row>
      <xdr:rowOff>47625</xdr:rowOff>
    </xdr:to>
    <xdr:pic>
      <xdr:nvPicPr>
        <xdr:cNvPr id="25" name="56 Imagen">
          <a:extLst>
            <a:ext uri="{FF2B5EF4-FFF2-40B4-BE49-F238E27FC236}">
              <a16:creationId xmlns:a16="http://schemas.microsoft.com/office/drawing/2014/main" xmlns="" id="{00000000-0008-0000-0E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74676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133350</xdr:rowOff>
    </xdr:from>
    <xdr:to>
      <xdr:col>6</xdr:col>
      <xdr:colOff>304800</xdr:colOff>
      <xdr:row>43</xdr:row>
      <xdr:rowOff>68035</xdr:rowOff>
    </xdr:to>
    <xdr:pic>
      <xdr:nvPicPr>
        <xdr:cNvPr id="26" name="57 Imagen">
          <a:extLst>
            <a:ext uri="{FF2B5EF4-FFF2-40B4-BE49-F238E27FC236}">
              <a16:creationId xmlns:a16="http://schemas.microsoft.com/office/drawing/2014/main" xmlns="" id="{00000000-0008-0000-0E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8943975"/>
          <a:ext cx="304800" cy="30616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44</xdr:row>
      <xdr:rowOff>76200</xdr:rowOff>
    </xdr:from>
    <xdr:to>
      <xdr:col>5</xdr:col>
      <xdr:colOff>0</xdr:colOff>
      <xdr:row>46</xdr:row>
      <xdr:rowOff>76200</xdr:rowOff>
    </xdr:to>
    <xdr:pic>
      <xdr:nvPicPr>
        <xdr:cNvPr id="27" name="58 Imagen">
          <a:extLst>
            <a:ext uri="{FF2B5EF4-FFF2-40B4-BE49-F238E27FC236}">
              <a16:creationId xmlns:a16="http://schemas.microsoft.com/office/drawing/2014/main" xmlns="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93726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47</xdr:row>
      <xdr:rowOff>66675</xdr:rowOff>
    </xdr:from>
    <xdr:to>
      <xdr:col>5</xdr:col>
      <xdr:colOff>0</xdr:colOff>
      <xdr:row>49</xdr:row>
      <xdr:rowOff>66675</xdr:rowOff>
    </xdr:to>
    <xdr:pic>
      <xdr:nvPicPr>
        <xdr:cNvPr id="28" name="59 Imagen">
          <a:extLst>
            <a:ext uri="{FF2B5EF4-FFF2-40B4-BE49-F238E27FC236}">
              <a16:creationId xmlns:a16="http://schemas.microsoft.com/office/drawing/2014/main" xmlns="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97917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76200</xdr:rowOff>
    </xdr:from>
    <xdr:to>
      <xdr:col>6</xdr:col>
      <xdr:colOff>304800</xdr:colOff>
      <xdr:row>46</xdr:row>
      <xdr:rowOff>76200</xdr:rowOff>
    </xdr:to>
    <xdr:pic>
      <xdr:nvPicPr>
        <xdr:cNvPr id="29" name="60 Imagen">
          <a:extLst>
            <a:ext uri="{FF2B5EF4-FFF2-40B4-BE49-F238E27FC236}">
              <a16:creationId xmlns:a16="http://schemas.microsoft.com/office/drawing/2014/main" xmlns="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93726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66675</xdr:rowOff>
    </xdr:from>
    <xdr:to>
      <xdr:col>6</xdr:col>
      <xdr:colOff>304800</xdr:colOff>
      <xdr:row>49</xdr:row>
      <xdr:rowOff>66675</xdr:rowOff>
    </xdr:to>
    <xdr:pic>
      <xdr:nvPicPr>
        <xdr:cNvPr id="30" name="61 Imagen">
          <a:extLst>
            <a:ext uri="{FF2B5EF4-FFF2-40B4-BE49-F238E27FC236}">
              <a16:creationId xmlns:a16="http://schemas.microsoft.com/office/drawing/2014/main" xmlns="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97917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54</xdr:row>
      <xdr:rowOff>66675</xdr:rowOff>
    </xdr:from>
    <xdr:to>
      <xdr:col>5</xdr:col>
      <xdr:colOff>0</xdr:colOff>
      <xdr:row>56</xdr:row>
      <xdr:rowOff>66674</xdr:rowOff>
    </xdr:to>
    <xdr:pic>
      <xdr:nvPicPr>
        <xdr:cNvPr id="31" name="62 Imagen">
          <a:extLst>
            <a:ext uri="{FF2B5EF4-FFF2-40B4-BE49-F238E27FC236}">
              <a16:creationId xmlns:a16="http://schemas.microsoft.com/office/drawing/2014/main" xmlns="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11061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51</xdr:row>
      <xdr:rowOff>133350</xdr:rowOff>
    </xdr:from>
    <xdr:to>
      <xdr:col>5</xdr:col>
      <xdr:colOff>0</xdr:colOff>
      <xdr:row>53</xdr:row>
      <xdr:rowOff>68036</xdr:rowOff>
    </xdr:to>
    <xdr:pic>
      <xdr:nvPicPr>
        <xdr:cNvPr id="32" name="63 Imagen">
          <a:extLst>
            <a:ext uri="{FF2B5EF4-FFF2-40B4-BE49-F238E27FC236}">
              <a16:creationId xmlns:a16="http://schemas.microsoft.com/office/drawing/2014/main" xmlns="" id="{00000000-0008-0000-0E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068705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133350</xdr:rowOff>
    </xdr:from>
    <xdr:to>
      <xdr:col>6</xdr:col>
      <xdr:colOff>304800</xdr:colOff>
      <xdr:row>53</xdr:row>
      <xdr:rowOff>68036</xdr:rowOff>
    </xdr:to>
    <xdr:pic>
      <xdr:nvPicPr>
        <xdr:cNvPr id="33" name="64 Imagen">
          <a:extLst>
            <a:ext uri="{FF2B5EF4-FFF2-40B4-BE49-F238E27FC236}">
              <a16:creationId xmlns:a16="http://schemas.microsoft.com/office/drawing/2014/main" xmlns="" id="{00000000-0008-0000-0E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068705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66675</xdr:rowOff>
    </xdr:from>
    <xdr:to>
      <xdr:col>6</xdr:col>
      <xdr:colOff>304800</xdr:colOff>
      <xdr:row>56</xdr:row>
      <xdr:rowOff>66674</xdr:rowOff>
    </xdr:to>
    <xdr:pic>
      <xdr:nvPicPr>
        <xdr:cNvPr id="34" name="65 Imagen">
          <a:extLst>
            <a:ext uri="{FF2B5EF4-FFF2-40B4-BE49-F238E27FC236}">
              <a16:creationId xmlns:a16="http://schemas.microsoft.com/office/drawing/2014/main" xmlns="" id="{00000000-0008-0000-0E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11061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57</xdr:row>
      <xdr:rowOff>66675</xdr:rowOff>
    </xdr:from>
    <xdr:to>
      <xdr:col>5</xdr:col>
      <xdr:colOff>0</xdr:colOff>
      <xdr:row>59</xdr:row>
      <xdr:rowOff>66676</xdr:rowOff>
    </xdr:to>
    <xdr:pic>
      <xdr:nvPicPr>
        <xdr:cNvPr id="35" name="Imagen 18">
          <a:extLst>
            <a:ext uri="{FF2B5EF4-FFF2-40B4-BE49-F238E27FC236}">
              <a16:creationId xmlns:a16="http://schemas.microsoft.com/office/drawing/2014/main" xmlns="" id="{00000000-0008-0000-0E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153477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64</xdr:row>
      <xdr:rowOff>60325</xdr:rowOff>
    </xdr:from>
    <xdr:to>
      <xdr:col>5</xdr:col>
      <xdr:colOff>0</xdr:colOff>
      <xdr:row>66</xdr:row>
      <xdr:rowOff>57150</xdr:rowOff>
    </xdr:to>
    <xdr:pic>
      <xdr:nvPicPr>
        <xdr:cNvPr id="36" name="Imagen 5">
          <a:extLst>
            <a:ext uri="{FF2B5EF4-FFF2-40B4-BE49-F238E27FC236}">
              <a16:creationId xmlns:a16="http://schemas.microsoft.com/office/drawing/2014/main" xmlns="" id="{00000000-0008-0000-0E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2842875"/>
          <a:ext cx="304800" cy="3111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63500</xdr:rowOff>
    </xdr:from>
    <xdr:to>
      <xdr:col>6</xdr:col>
      <xdr:colOff>304800</xdr:colOff>
      <xdr:row>66</xdr:row>
      <xdr:rowOff>57150</xdr:rowOff>
    </xdr:to>
    <xdr:pic>
      <xdr:nvPicPr>
        <xdr:cNvPr id="37" name="Imagen 2">
          <a:extLst>
            <a:ext uri="{FF2B5EF4-FFF2-40B4-BE49-F238E27FC236}">
              <a16:creationId xmlns:a16="http://schemas.microsoft.com/office/drawing/2014/main" xmlns="" id="{00000000-0008-0000-0E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2846050"/>
          <a:ext cx="304800" cy="3079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57</xdr:row>
      <xdr:rowOff>73025</xdr:rowOff>
    </xdr:from>
    <xdr:to>
      <xdr:col>6</xdr:col>
      <xdr:colOff>304800</xdr:colOff>
      <xdr:row>59</xdr:row>
      <xdr:rowOff>76201</xdr:rowOff>
    </xdr:to>
    <xdr:pic>
      <xdr:nvPicPr>
        <xdr:cNvPr id="38" name="Imagen 4">
          <a:extLst>
            <a:ext uri="{FF2B5EF4-FFF2-40B4-BE49-F238E27FC236}">
              <a16:creationId xmlns:a16="http://schemas.microsoft.com/office/drawing/2014/main" xmlns="" id="{00000000-0008-0000-0E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1541125"/>
          <a:ext cx="304800" cy="31750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61</xdr:row>
      <xdr:rowOff>133350</xdr:rowOff>
    </xdr:from>
    <xdr:to>
      <xdr:col>5</xdr:col>
      <xdr:colOff>0</xdr:colOff>
      <xdr:row>63</xdr:row>
      <xdr:rowOff>68036</xdr:rowOff>
    </xdr:to>
    <xdr:pic>
      <xdr:nvPicPr>
        <xdr:cNvPr id="39" name="79 Imagen">
          <a:extLst>
            <a:ext uri="{FF2B5EF4-FFF2-40B4-BE49-F238E27FC236}">
              <a16:creationId xmlns:a16="http://schemas.microsoft.com/office/drawing/2014/main" xmlns="" id="{00000000-0008-0000-0E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24301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120</xdr:row>
      <xdr:rowOff>66675</xdr:rowOff>
    </xdr:from>
    <xdr:to>
      <xdr:col>5</xdr:col>
      <xdr:colOff>0</xdr:colOff>
      <xdr:row>122</xdr:row>
      <xdr:rowOff>66676</xdr:rowOff>
    </xdr:to>
    <xdr:pic>
      <xdr:nvPicPr>
        <xdr:cNvPr id="40" name="81 Imagen">
          <a:extLst>
            <a:ext uri="{FF2B5EF4-FFF2-40B4-BE49-F238E27FC236}">
              <a16:creationId xmlns:a16="http://schemas.microsoft.com/office/drawing/2014/main" xmlns="" id="{00000000-0008-0000-0E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2421850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133350</xdr:rowOff>
    </xdr:from>
    <xdr:to>
      <xdr:col>6</xdr:col>
      <xdr:colOff>304800</xdr:colOff>
      <xdr:row>63</xdr:row>
      <xdr:rowOff>68036</xdr:rowOff>
    </xdr:to>
    <xdr:pic>
      <xdr:nvPicPr>
        <xdr:cNvPr id="41" name="82 Imagen">
          <a:extLst>
            <a:ext uri="{FF2B5EF4-FFF2-40B4-BE49-F238E27FC236}">
              <a16:creationId xmlns:a16="http://schemas.microsoft.com/office/drawing/2014/main" xmlns="" id="{00000000-0008-0000-0E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24301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117</xdr:row>
      <xdr:rowOff>66675</xdr:rowOff>
    </xdr:from>
    <xdr:to>
      <xdr:col>6</xdr:col>
      <xdr:colOff>304800</xdr:colOff>
      <xdr:row>119</xdr:row>
      <xdr:rowOff>66675</xdr:rowOff>
    </xdr:to>
    <xdr:pic>
      <xdr:nvPicPr>
        <xdr:cNvPr id="42" name="83 Imagen">
          <a:extLst>
            <a:ext uri="{FF2B5EF4-FFF2-40B4-BE49-F238E27FC236}">
              <a16:creationId xmlns:a16="http://schemas.microsoft.com/office/drawing/2014/main" xmlns="" id="{00000000-0008-0000-0E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1993225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66675</xdr:rowOff>
    </xdr:from>
    <xdr:to>
      <xdr:col>6</xdr:col>
      <xdr:colOff>304800</xdr:colOff>
      <xdr:row>69</xdr:row>
      <xdr:rowOff>66675</xdr:rowOff>
    </xdr:to>
    <xdr:pic>
      <xdr:nvPicPr>
        <xdr:cNvPr id="43" name="84 Imagen">
          <a:extLst>
            <a:ext uri="{FF2B5EF4-FFF2-40B4-BE49-F238E27FC236}">
              <a16:creationId xmlns:a16="http://schemas.microsoft.com/office/drawing/2014/main" xmlns="" id="{00000000-0008-0000-0E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327785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67</xdr:row>
      <xdr:rowOff>66675</xdr:rowOff>
    </xdr:from>
    <xdr:to>
      <xdr:col>5</xdr:col>
      <xdr:colOff>0</xdr:colOff>
      <xdr:row>69</xdr:row>
      <xdr:rowOff>66675</xdr:rowOff>
    </xdr:to>
    <xdr:pic>
      <xdr:nvPicPr>
        <xdr:cNvPr id="44" name="85 Imagen">
          <a:extLst>
            <a:ext uri="{FF2B5EF4-FFF2-40B4-BE49-F238E27FC236}">
              <a16:creationId xmlns:a16="http://schemas.microsoft.com/office/drawing/2014/main" xmlns="" id="{00000000-0008-0000-0E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327785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77</xdr:row>
      <xdr:rowOff>66675</xdr:rowOff>
    </xdr:from>
    <xdr:to>
      <xdr:col>6</xdr:col>
      <xdr:colOff>304800</xdr:colOff>
      <xdr:row>79</xdr:row>
      <xdr:rowOff>66674</xdr:rowOff>
    </xdr:to>
    <xdr:pic>
      <xdr:nvPicPr>
        <xdr:cNvPr id="45" name="94 Imagen">
          <a:extLst>
            <a:ext uri="{FF2B5EF4-FFF2-40B4-BE49-F238E27FC236}">
              <a16:creationId xmlns:a16="http://schemas.microsoft.com/office/drawing/2014/main" xmlns="" id="{00000000-0008-0000-0E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5020925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84</xdr:row>
      <xdr:rowOff>57150</xdr:rowOff>
    </xdr:from>
    <xdr:to>
      <xdr:col>5</xdr:col>
      <xdr:colOff>0</xdr:colOff>
      <xdr:row>86</xdr:row>
      <xdr:rowOff>57149</xdr:rowOff>
    </xdr:to>
    <xdr:pic>
      <xdr:nvPicPr>
        <xdr:cNvPr id="46" name="95 Imagen">
          <a:extLst>
            <a:ext uri="{FF2B5EF4-FFF2-40B4-BE49-F238E27FC236}">
              <a16:creationId xmlns:a16="http://schemas.microsoft.com/office/drawing/2014/main" xmlns="" id="{00000000-0008-0000-0E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63258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66675</xdr:rowOff>
    </xdr:from>
    <xdr:to>
      <xdr:col>6</xdr:col>
      <xdr:colOff>304800</xdr:colOff>
      <xdr:row>86</xdr:row>
      <xdr:rowOff>66674</xdr:rowOff>
    </xdr:to>
    <xdr:pic>
      <xdr:nvPicPr>
        <xdr:cNvPr id="47" name="96 Imagen">
          <a:extLst>
            <a:ext uri="{FF2B5EF4-FFF2-40B4-BE49-F238E27FC236}">
              <a16:creationId xmlns:a16="http://schemas.microsoft.com/office/drawing/2014/main" xmlns="" id="{00000000-0008-0000-0E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6335375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77</xdr:row>
      <xdr:rowOff>66675</xdr:rowOff>
    </xdr:from>
    <xdr:to>
      <xdr:col>5</xdr:col>
      <xdr:colOff>0</xdr:colOff>
      <xdr:row>79</xdr:row>
      <xdr:rowOff>66674</xdr:rowOff>
    </xdr:to>
    <xdr:pic>
      <xdr:nvPicPr>
        <xdr:cNvPr id="48" name="97 Imagen">
          <a:extLst>
            <a:ext uri="{FF2B5EF4-FFF2-40B4-BE49-F238E27FC236}">
              <a16:creationId xmlns:a16="http://schemas.microsoft.com/office/drawing/2014/main" xmlns="" id="{00000000-0008-0000-0E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5020925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71</xdr:row>
      <xdr:rowOff>123825</xdr:rowOff>
    </xdr:from>
    <xdr:to>
      <xdr:col>5</xdr:col>
      <xdr:colOff>0</xdr:colOff>
      <xdr:row>73</xdr:row>
      <xdr:rowOff>58510</xdr:rowOff>
    </xdr:to>
    <xdr:pic>
      <xdr:nvPicPr>
        <xdr:cNvPr id="49" name="102 Imagen">
          <a:extLst>
            <a:ext uri="{FF2B5EF4-FFF2-40B4-BE49-F238E27FC236}">
              <a16:creationId xmlns:a16="http://schemas.microsoft.com/office/drawing/2014/main" xmlns="" id="{00000000-0008-0000-0E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4163675"/>
          <a:ext cx="304800" cy="3061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71</xdr:row>
      <xdr:rowOff>123825</xdr:rowOff>
    </xdr:from>
    <xdr:to>
      <xdr:col>6</xdr:col>
      <xdr:colOff>304800</xdr:colOff>
      <xdr:row>73</xdr:row>
      <xdr:rowOff>54428</xdr:rowOff>
    </xdr:to>
    <xdr:pic>
      <xdr:nvPicPr>
        <xdr:cNvPr id="50" name="103 Imagen">
          <a:extLst>
            <a:ext uri="{FF2B5EF4-FFF2-40B4-BE49-F238E27FC236}">
              <a16:creationId xmlns:a16="http://schemas.microsoft.com/office/drawing/2014/main" xmlns="" id="{00000000-0008-0000-0E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4163675"/>
          <a:ext cx="304800" cy="30207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74</xdr:row>
      <xdr:rowOff>57150</xdr:rowOff>
    </xdr:from>
    <xdr:to>
      <xdr:col>6</xdr:col>
      <xdr:colOff>304800</xdr:colOff>
      <xdr:row>76</xdr:row>
      <xdr:rowOff>57151</xdr:rowOff>
    </xdr:to>
    <xdr:pic>
      <xdr:nvPicPr>
        <xdr:cNvPr id="51" name="104 Imagen">
          <a:extLst>
            <a:ext uri="{FF2B5EF4-FFF2-40B4-BE49-F238E27FC236}">
              <a16:creationId xmlns:a16="http://schemas.microsoft.com/office/drawing/2014/main" xmlns="" id="{00000000-0008-0000-0E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458277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74</xdr:row>
      <xdr:rowOff>57150</xdr:rowOff>
    </xdr:from>
    <xdr:to>
      <xdr:col>5</xdr:col>
      <xdr:colOff>0</xdr:colOff>
      <xdr:row>76</xdr:row>
      <xdr:rowOff>53069</xdr:rowOff>
    </xdr:to>
    <xdr:pic>
      <xdr:nvPicPr>
        <xdr:cNvPr id="52" name="105 Imagen">
          <a:extLst>
            <a:ext uri="{FF2B5EF4-FFF2-40B4-BE49-F238E27FC236}">
              <a16:creationId xmlns:a16="http://schemas.microsoft.com/office/drawing/2014/main" xmlns="" id="{00000000-0008-0000-0E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4582775"/>
          <a:ext cx="304800" cy="3102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81</xdr:row>
      <xdr:rowOff>133350</xdr:rowOff>
    </xdr:from>
    <xdr:to>
      <xdr:col>6</xdr:col>
      <xdr:colOff>304800</xdr:colOff>
      <xdr:row>83</xdr:row>
      <xdr:rowOff>68036</xdr:rowOff>
    </xdr:to>
    <xdr:pic>
      <xdr:nvPicPr>
        <xdr:cNvPr id="53" name="106 Imagen">
          <a:extLst>
            <a:ext uri="{FF2B5EF4-FFF2-40B4-BE49-F238E27FC236}">
              <a16:creationId xmlns:a16="http://schemas.microsoft.com/office/drawing/2014/main" xmlns="" id="{00000000-0008-0000-0E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591627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81</xdr:row>
      <xdr:rowOff>123825</xdr:rowOff>
    </xdr:from>
    <xdr:to>
      <xdr:col>5</xdr:col>
      <xdr:colOff>0</xdr:colOff>
      <xdr:row>83</xdr:row>
      <xdr:rowOff>58511</xdr:rowOff>
    </xdr:to>
    <xdr:pic>
      <xdr:nvPicPr>
        <xdr:cNvPr id="54" name="107 Imagen">
          <a:extLst>
            <a:ext uri="{FF2B5EF4-FFF2-40B4-BE49-F238E27FC236}">
              <a16:creationId xmlns:a16="http://schemas.microsoft.com/office/drawing/2014/main" xmlns="" id="{00000000-0008-0000-0E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590675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87</xdr:row>
      <xdr:rowOff>66675</xdr:rowOff>
    </xdr:from>
    <xdr:to>
      <xdr:col>5</xdr:col>
      <xdr:colOff>0</xdr:colOff>
      <xdr:row>89</xdr:row>
      <xdr:rowOff>66675</xdr:rowOff>
    </xdr:to>
    <xdr:pic>
      <xdr:nvPicPr>
        <xdr:cNvPr id="55" name="108 Imagen">
          <a:extLst>
            <a:ext uri="{FF2B5EF4-FFF2-40B4-BE49-F238E27FC236}">
              <a16:creationId xmlns:a16="http://schemas.microsoft.com/office/drawing/2014/main" xmlns="" id="{00000000-0008-0000-0E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67640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5</xdr:col>
      <xdr:colOff>416719</xdr:colOff>
      <xdr:row>87</xdr:row>
      <xdr:rowOff>66675</xdr:rowOff>
    </xdr:from>
    <xdr:to>
      <xdr:col>6</xdr:col>
      <xdr:colOff>400050</xdr:colOff>
      <xdr:row>89</xdr:row>
      <xdr:rowOff>62593</xdr:rowOff>
    </xdr:to>
    <xdr:pic>
      <xdr:nvPicPr>
        <xdr:cNvPr id="56" name="109 Imagen">
          <a:extLst>
            <a:ext uri="{FF2B5EF4-FFF2-40B4-BE49-F238E27FC236}">
              <a16:creationId xmlns:a16="http://schemas.microsoft.com/office/drawing/2014/main" xmlns="" id="{00000000-0008-0000-0E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0919" y="16764000"/>
          <a:ext cx="488156" cy="310243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91</xdr:row>
      <xdr:rowOff>133350</xdr:rowOff>
    </xdr:from>
    <xdr:to>
      <xdr:col>5</xdr:col>
      <xdr:colOff>0</xdr:colOff>
      <xdr:row>93</xdr:row>
      <xdr:rowOff>68036</xdr:rowOff>
    </xdr:to>
    <xdr:pic>
      <xdr:nvPicPr>
        <xdr:cNvPr id="57" name="110 Imagen">
          <a:extLst>
            <a:ext uri="{FF2B5EF4-FFF2-40B4-BE49-F238E27FC236}">
              <a16:creationId xmlns:a16="http://schemas.microsoft.com/office/drawing/2014/main" xmlns="" id="{00000000-0008-0000-0E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765935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133350</xdr:rowOff>
    </xdr:from>
    <xdr:to>
      <xdr:col>6</xdr:col>
      <xdr:colOff>304800</xdr:colOff>
      <xdr:row>93</xdr:row>
      <xdr:rowOff>68036</xdr:rowOff>
    </xdr:to>
    <xdr:pic>
      <xdr:nvPicPr>
        <xdr:cNvPr id="58" name="111 Imagen">
          <a:extLst>
            <a:ext uri="{FF2B5EF4-FFF2-40B4-BE49-F238E27FC236}">
              <a16:creationId xmlns:a16="http://schemas.microsoft.com/office/drawing/2014/main" xmlns="" id="{00000000-0008-0000-0E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765935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101</xdr:row>
      <xdr:rowOff>133350</xdr:rowOff>
    </xdr:from>
    <xdr:to>
      <xdr:col>6</xdr:col>
      <xdr:colOff>304800</xdr:colOff>
      <xdr:row>103</xdr:row>
      <xdr:rowOff>68036</xdr:rowOff>
    </xdr:to>
    <xdr:pic>
      <xdr:nvPicPr>
        <xdr:cNvPr id="59" name="112 Imagen">
          <a:extLst>
            <a:ext uri="{FF2B5EF4-FFF2-40B4-BE49-F238E27FC236}">
              <a16:creationId xmlns:a16="http://schemas.microsoft.com/office/drawing/2014/main" xmlns="" id="{00000000-0008-0000-0E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4024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101</xdr:row>
      <xdr:rowOff>133350</xdr:rowOff>
    </xdr:from>
    <xdr:to>
      <xdr:col>5</xdr:col>
      <xdr:colOff>0</xdr:colOff>
      <xdr:row>103</xdr:row>
      <xdr:rowOff>68036</xdr:rowOff>
    </xdr:to>
    <xdr:pic>
      <xdr:nvPicPr>
        <xdr:cNvPr id="60" name="113 Imagen">
          <a:extLst>
            <a:ext uri="{FF2B5EF4-FFF2-40B4-BE49-F238E27FC236}">
              <a16:creationId xmlns:a16="http://schemas.microsoft.com/office/drawing/2014/main" xmlns="" id="{00000000-0008-0000-0E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940242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114</xdr:row>
      <xdr:rowOff>63500</xdr:rowOff>
    </xdr:from>
    <xdr:to>
      <xdr:col>6</xdr:col>
      <xdr:colOff>304800</xdr:colOff>
      <xdr:row>116</xdr:row>
      <xdr:rowOff>57150</xdr:rowOff>
    </xdr:to>
    <xdr:pic>
      <xdr:nvPicPr>
        <xdr:cNvPr id="61" name="Imagen 18">
          <a:extLst>
            <a:ext uri="{FF2B5EF4-FFF2-40B4-BE49-F238E27FC236}">
              <a16:creationId xmlns:a16="http://schemas.microsoft.com/office/drawing/2014/main" xmlns="" id="{00000000-0008-0000-0E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1561425"/>
          <a:ext cx="304800" cy="3079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114</xdr:row>
      <xdr:rowOff>53975</xdr:rowOff>
    </xdr:from>
    <xdr:to>
      <xdr:col>5</xdr:col>
      <xdr:colOff>0</xdr:colOff>
      <xdr:row>116</xdr:row>
      <xdr:rowOff>62592</xdr:rowOff>
    </xdr:to>
    <xdr:pic>
      <xdr:nvPicPr>
        <xdr:cNvPr id="62" name="Imagen 5">
          <a:extLst>
            <a:ext uri="{FF2B5EF4-FFF2-40B4-BE49-F238E27FC236}">
              <a16:creationId xmlns:a16="http://schemas.microsoft.com/office/drawing/2014/main" xmlns="" id="{00000000-0008-0000-0E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1551900"/>
          <a:ext cx="304800" cy="322942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111</xdr:row>
      <xdr:rowOff>133350</xdr:rowOff>
    </xdr:from>
    <xdr:to>
      <xdr:col>5</xdr:col>
      <xdr:colOff>0</xdr:colOff>
      <xdr:row>113</xdr:row>
      <xdr:rowOff>58510</xdr:rowOff>
    </xdr:to>
    <xdr:pic>
      <xdr:nvPicPr>
        <xdr:cNvPr id="63" name="Imagen 2">
          <a:extLst>
            <a:ext uri="{FF2B5EF4-FFF2-40B4-BE49-F238E27FC236}">
              <a16:creationId xmlns:a16="http://schemas.microsoft.com/office/drawing/2014/main" xmlns="" id="{00000000-0008-0000-0E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1145500"/>
          <a:ext cx="304800" cy="2966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111</xdr:row>
      <xdr:rowOff>133350</xdr:rowOff>
    </xdr:from>
    <xdr:to>
      <xdr:col>6</xdr:col>
      <xdr:colOff>304800</xdr:colOff>
      <xdr:row>113</xdr:row>
      <xdr:rowOff>68035</xdr:rowOff>
    </xdr:to>
    <xdr:pic>
      <xdr:nvPicPr>
        <xdr:cNvPr id="64" name="Imagen 4">
          <a:extLst>
            <a:ext uri="{FF2B5EF4-FFF2-40B4-BE49-F238E27FC236}">
              <a16:creationId xmlns:a16="http://schemas.microsoft.com/office/drawing/2014/main" xmlns="" id="{00000000-0008-0000-0E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1145500"/>
          <a:ext cx="304800" cy="30616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94</xdr:row>
      <xdr:rowOff>66675</xdr:rowOff>
    </xdr:from>
    <xdr:to>
      <xdr:col>5</xdr:col>
      <xdr:colOff>0</xdr:colOff>
      <xdr:row>96</xdr:row>
      <xdr:rowOff>66675</xdr:rowOff>
    </xdr:to>
    <xdr:pic>
      <xdr:nvPicPr>
        <xdr:cNvPr id="65" name="118 Imagen">
          <a:extLst>
            <a:ext uri="{FF2B5EF4-FFF2-40B4-BE49-F238E27FC236}">
              <a16:creationId xmlns:a16="http://schemas.microsoft.com/office/drawing/2014/main" xmlns="" id="{00000000-0008-0000-0E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807845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94</xdr:row>
      <xdr:rowOff>66675</xdr:rowOff>
    </xdr:from>
    <xdr:to>
      <xdr:col>6</xdr:col>
      <xdr:colOff>304800</xdr:colOff>
      <xdr:row>96</xdr:row>
      <xdr:rowOff>66675</xdr:rowOff>
    </xdr:to>
    <xdr:pic>
      <xdr:nvPicPr>
        <xdr:cNvPr id="66" name="119 Imagen">
          <a:extLst>
            <a:ext uri="{FF2B5EF4-FFF2-40B4-BE49-F238E27FC236}">
              <a16:creationId xmlns:a16="http://schemas.microsoft.com/office/drawing/2014/main" xmlns="" id="{00000000-0008-0000-0E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807845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97</xdr:row>
      <xdr:rowOff>66675</xdr:rowOff>
    </xdr:from>
    <xdr:to>
      <xdr:col>6</xdr:col>
      <xdr:colOff>304800</xdr:colOff>
      <xdr:row>99</xdr:row>
      <xdr:rowOff>66676</xdr:rowOff>
    </xdr:to>
    <xdr:pic>
      <xdr:nvPicPr>
        <xdr:cNvPr id="67" name="120 Imagen">
          <a:extLst>
            <a:ext uri="{FF2B5EF4-FFF2-40B4-BE49-F238E27FC236}">
              <a16:creationId xmlns:a16="http://schemas.microsoft.com/office/drawing/2014/main" xmlns="" id="{00000000-0008-0000-0E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850707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97</xdr:row>
      <xdr:rowOff>66675</xdr:rowOff>
    </xdr:from>
    <xdr:to>
      <xdr:col>5</xdr:col>
      <xdr:colOff>0</xdr:colOff>
      <xdr:row>99</xdr:row>
      <xdr:rowOff>66676</xdr:rowOff>
    </xdr:to>
    <xdr:pic>
      <xdr:nvPicPr>
        <xdr:cNvPr id="68" name="121 Imagen">
          <a:extLst>
            <a:ext uri="{FF2B5EF4-FFF2-40B4-BE49-F238E27FC236}">
              <a16:creationId xmlns:a16="http://schemas.microsoft.com/office/drawing/2014/main" xmlns="" id="{00000000-0008-0000-0E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850707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66675</xdr:rowOff>
    </xdr:from>
    <xdr:to>
      <xdr:col>6</xdr:col>
      <xdr:colOff>304800</xdr:colOff>
      <xdr:row>122</xdr:row>
      <xdr:rowOff>66676</xdr:rowOff>
    </xdr:to>
    <xdr:pic>
      <xdr:nvPicPr>
        <xdr:cNvPr id="69" name="122 Imagen">
          <a:extLst>
            <a:ext uri="{FF2B5EF4-FFF2-40B4-BE49-F238E27FC236}">
              <a16:creationId xmlns:a16="http://schemas.microsoft.com/office/drawing/2014/main" xmlns="" id="{00000000-0008-0000-0E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2421850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117</xdr:row>
      <xdr:rowOff>57150</xdr:rowOff>
    </xdr:from>
    <xdr:to>
      <xdr:col>5</xdr:col>
      <xdr:colOff>0</xdr:colOff>
      <xdr:row>119</xdr:row>
      <xdr:rowOff>62593</xdr:rowOff>
    </xdr:to>
    <xdr:pic>
      <xdr:nvPicPr>
        <xdr:cNvPr id="70" name="123 Imagen">
          <a:extLst>
            <a:ext uri="{FF2B5EF4-FFF2-40B4-BE49-F238E27FC236}">
              <a16:creationId xmlns:a16="http://schemas.microsoft.com/office/drawing/2014/main" xmlns="" id="{00000000-0008-0000-0E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1983700"/>
          <a:ext cx="304800" cy="31976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104</xdr:row>
      <xdr:rowOff>66675</xdr:rowOff>
    </xdr:from>
    <xdr:to>
      <xdr:col>5</xdr:col>
      <xdr:colOff>0</xdr:colOff>
      <xdr:row>106</xdr:row>
      <xdr:rowOff>66676</xdr:rowOff>
    </xdr:to>
    <xdr:pic>
      <xdr:nvPicPr>
        <xdr:cNvPr id="71" name="124 Imagen">
          <a:extLst>
            <a:ext uri="{FF2B5EF4-FFF2-40B4-BE49-F238E27FC236}">
              <a16:creationId xmlns:a16="http://schemas.microsoft.com/office/drawing/2014/main" xmlns="" id="{00000000-0008-0000-0E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1982152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104</xdr:row>
      <xdr:rowOff>66675</xdr:rowOff>
    </xdr:from>
    <xdr:to>
      <xdr:col>6</xdr:col>
      <xdr:colOff>304800</xdr:colOff>
      <xdr:row>106</xdr:row>
      <xdr:rowOff>66676</xdr:rowOff>
    </xdr:to>
    <xdr:pic>
      <xdr:nvPicPr>
        <xdr:cNvPr id="72" name="125 Imagen">
          <a:extLst>
            <a:ext uri="{FF2B5EF4-FFF2-40B4-BE49-F238E27FC236}">
              <a16:creationId xmlns:a16="http://schemas.microsoft.com/office/drawing/2014/main" xmlns="" id="{00000000-0008-0000-0E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82152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107</xdr:row>
      <xdr:rowOff>66675</xdr:rowOff>
    </xdr:from>
    <xdr:to>
      <xdr:col>5</xdr:col>
      <xdr:colOff>0</xdr:colOff>
      <xdr:row>109</xdr:row>
      <xdr:rowOff>66674</xdr:rowOff>
    </xdr:to>
    <xdr:pic>
      <xdr:nvPicPr>
        <xdr:cNvPr id="73" name="126 Imagen">
          <a:extLst>
            <a:ext uri="{FF2B5EF4-FFF2-40B4-BE49-F238E27FC236}">
              <a16:creationId xmlns:a16="http://schemas.microsoft.com/office/drawing/2014/main" xmlns="" id="{00000000-0008-0000-0E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02501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107</xdr:row>
      <xdr:rowOff>66675</xdr:rowOff>
    </xdr:from>
    <xdr:to>
      <xdr:col>6</xdr:col>
      <xdr:colOff>304800</xdr:colOff>
      <xdr:row>109</xdr:row>
      <xdr:rowOff>66674</xdr:rowOff>
    </xdr:to>
    <xdr:pic>
      <xdr:nvPicPr>
        <xdr:cNvPr id="74" name="127 Imagen">
          <a:extLst>
            <a:ext uri="{FF2B5EF4-FFF2-40B4-BE49-F238E27FC236}">
              <a16:creationId xmlns:a16="http://schemas.microsoft.com/office/drawing/2014/main" xmlns="" id="{00000000-0008-0000-0E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02501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135732</xdr:colOff>
      <xdr:row>124</xdr:row>
      <xdr:rowOff>123825</xdr:rowOff>
    </xdr:from>
    <xdr:to>
      <xdr:col>5</xdr:col>
      <xdr:colOff>11907</xdr:colOff>
      <xdr:row>126</xdr:row>
      <xdr:rowOff>63954</xdr:rowOff>
    </xdr:to>
    <xdr:pic>
      <xdr:nvPicPr>
        <xdr:cNvPr id="75" name="129 Imagen">
          <a:extLst>
            <a:ext uri="{FF2B5EF4-FFF2-40B4-BE49-F238E27FC236}">
              <a16:creationId xmlns:a16="http://schemas.microsoft.com/office/drawing/2014/main" xmlns="" id="{00000000-0008-0000-0E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307" y="23307675"/>
          <a:ext cx="304800" cy="311604"/>
        </a:xfrm>
        <a:prstGeom prst="rect">
          <a:avLst/>
        </a:prstGeom>
      </xdr:spPr>
    </xdr:pic>
    <xdr:clientData/>
  </xdr:twoCellAnchor>
  <xdr:twoCellAnchor editAs="oneCell">
    <xdr:from>
      <xdr:col>4</xdr:col>
      <xdr:colOff>135732</xdr:colOff>
      <xdr:row>127</xdr:row>
      <xdr:rowOff>57150</xdr:rowOff>
    </xdr:from>
    <xdr:to>
      <xdr:col>5</xdr:col>
      <xdr:colOff>11907</xdr:colOff>
      <xdr:row>129</xdr:row>
      <xdr:rowOff>62594</xdr:rowOff>
    </xdr:to>
    <xdr:pic>
      <xdr:nvPicPr>
        <xdr:cNvPr id="76" name="130 Imagen">
          <a:extLst>
            <a:ext uri="{FF2B5EF4-FFF2-40B4-BE49-F238E27FC236}">
              <a16:creationId xmlns:a16="http://schemas.microsoft.com/office/drawing/2014/main" xmlns="" id="{00000000-0008-0000-0E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1307" y="23726775"/>
          <a:ext cx="304800" cy="3197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127</xdr:row>
      <xdr:rowOff>76200</xdr:rowOff>
    </xdr:from>
    <xdr:to>
      <xdr:col>6</xdr:col>
      <xdr:colOff>304800</xdr:colOff>
      <xdr:row>129</xdr:row>
      <xdr:rowOff>66676</xdr:rowOff>
    </xdr:to>
    <xdr:pic>
      <xdr:nvPicPr>
        <xdr:cNvPr id="77" name="131 Imagen">
          <a:extLst>
            <a:ext uri="{FF2B5EF4-FFF2-40B4-BE49-F238E27FC236}">
              <a16:creationId xmlns:a16="http://schemas.microsoft.com/office/drawing/2014/main" xmlns="" id="{00000000-0008-0000-0E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3745825"/>
          <a:ext cx="304800" cy="3048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124</xdr:row>
      <xdr:rowOff>126206</xdr:rowOff>
    </xdr:from>
    <xdr:to>
      <xdr:col>6</xdr:col>
      <xdr:colOff>304800</xdr:colOff>
      <xdr:row>126</xdr:row>
      <xdr:rowOff>66335</xdr:rowOff>
    </xdr:to>
    <xdr:pic>
      <xdr:nvPicPr>
        <xdr:cNvPr id="78" name="133 Imagen">
          <a:extLst>
            <a:ext uri="{FF2B5EF4-FFF2-40B4-BE49-F238E27FC236}">
              <a16:creationId xmlns:a16="http://schemas.microsoft.com/office/drawing/2014/main" xmlns="" id="{00000000-0008-0000-0E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3310056"/>
          <a:ext cx="304800" cy="311604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133</xdr:row>
      <xdr:rowOff>95250</xdr:rowOff>
    </xdr:from>
    <xdr:to>
      <xdr:col>5</xdr:col>
      <xdr:colOff>9525</xdr:colOff>
      <xdr:row>135</xdr:row>
      <xdr:rowOff>95250</xdr:rowOff>
    </xdr:to>
    <xdr:pic>
      <xdr:nvPicPr>
        <xdr:cNvPr id="79" name="136 Imagen">
          <a:extLst>
            <a:ext uri="{FF2B5EF4-FFF2-40B4-BE49-F238E27FC236}">
              <a16:creationId xmlns:a16="http://schemas.microsoft.com/office/drawing/2014/main" xmlns="" id="{00000000-0008-0000-0E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4622125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133</xdr:row>
      <xdr:rowOff>95250</xdr:rowOff>
    </xdr:from>
    <xdr:to>
      <xdr:col>6</xdr:col>
      <xdr:colOff>304800</xdr:colOff>
      <xdr:row>135</xdr:row>
      <xdr:rowOff>95250</xdr:rowOff>
    </xdr:to>
    <xdr:pic>
      <xdr:nvPicPr>
        <xdr:cNvPr id="80" name="137 Imagen">
          <a:extLst>
            <a:ext uri="{FF2B5EF4-FFF2-40B4-BE49-F238E27FC236}">
              <a16:creationId xmlns:a16="http://schemas.microsoft.com/office/drawing/2014/main" xmlns="" id="{00000000-0008-0000-0E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4622125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130</xdr:row>
      <xdr:rowOff>95250</xdr:rowOff>
    </xdr:from>
    <xdr:to>
      <xdr:col>6</xdr:col>
      <xdr:colOff>304800</xdr:colOff>
      <xdr:row>132</xdr:row>
      <xdr:rowOff>95249</xdr:rowOff>
    </xdr:to>
    <xdr:pic>
      <xdr:nvPicPr>
        <xdr:cNvPr id="81" name="138 Imagen">
          <a:extLst>
            <a:ext uri="{FF2B5EF4-FFF2-40B4-BE49-F238E27FC236}">
              <a16:creationId xmlns:a16="http://schemas.microsoft.com/office/drawing/2014/main" xmlns="" id="{00000000-0008-0000-0E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419350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130</xdr:row>
      <xdr:rowOff>95250</xdr:rowOff>
    </xdr:from>
    <xdr:to>
      <xdr:col>5</xdr:col>
      <xdr:colOff>9525</xdr:colOff>
      <xdr:row>132</xdr:row>
      <xdr:rowOff>95249</xdr:rowOff>
    </xdr:to>
    <xdr:pic>
      <xdr:nvPicPr>
        <xdr:cNvPr id="82" name="139 Imagen">
          <a:extLst>
            <a:ext uri="{FF2B5EF4-FFF2-40B4-BE49-F238E27FC236}">
              <a16:creationId xmlns:a16="http://schemas.microsoft.com/office/drawing/2014/main" xmlns="" id="{00000000-0008-0000-0E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2419350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137</xdr:row>
      <xdr:rowOff>123825</xdr:rowOff>
    </xdr:from>
    <xdr:to>
      <xdr:col>6</xdr:col>
      <xdr:colOff>304800</xdr:colOff>
      <xdr:row>139</xdr:row>
      <xdr:rowOff>58511</xdr:rowOff>
    </xdr:to>
    <xdr:pic>
      <xdr:nvPicPr>
        <xdr:cNvPr id="83" name="140 Imagen">
          <a:extLst>
            <a:ext uri="{FF2B5EF4-FFF2-40B4-BE49-F238E27FC236}">
              <a16:creationId xmlns:a16="http://schemas.microsoft.com/office/drawing/2014/main" xmlns="" id="{00000000-0008-0000-0E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547937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140</xdr:row>
      <xdr:rowOff>66675</xdr:rowOff>
    </xdr:from>
    <xdr:to>
      <xdr:col>6</xdr:col>
      <xdr:colOff>304800</xdr:colOff>
      <xdr:row>142</xdr:row>
      <xdr:rowOff>66675</xdr:rowOff>
    </xdr:to>
    <xdr:pic>
      <xdr:nvPicPr>
        <xdr:cNvPr id="84" name="141 Imagen">
          <a:extLst>
            <a:ext uri="{FF2B5EF4-FFF2-40B4-BE49-F238E27FC236}">
              <a16:creationId xmlns:a16="http://schemas.microsoft.com/office/drawing/2014/main" xmlns="" id="{00000000-0008-0000-0E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59080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140</xdr:row>
      <xdr:rowOff>66675</xdr:rowOff>
    </xdr:from>
    <xdr:to>
      <xdr:col>5</xdr:col>
      <xdr:colOff>0</xdr:colOff>
      <xdr:row>142</xdr:row>
      <xdr:rowOff>66675</xdr:rowOff>
    </xdr:to>
    <xdr:pic>
      <xdr:nvPicPr>
        <xdr:cNvPr id="85" name="142 Imagen">
          <a:extLst>
            <a:ext uri="{FF2B5EF4-FFF2-40B4-BE49-F238E27FC236}">
              <a16:creationId xmlns:a16="http://schemas.microsoft.com/office/drawing/2014/main" xmlns="" id="{00000000-0008-0000-0E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59080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137</xdr:row>
      <xdr:rowOff>123825</xdr:rowOff>
    </xdr:from>
    <xdr:to>
      <xdr:col>5</xdr:col>
      <xdr:colOff>0</xdr:colOff>
      <xdr:row>139</xdr:row>
      <xdr:rowOff>58511</xdr:rowOff>
    </xdr:to>
    <xdr:pic>
      <xdr:nvPicPr>
        <xdr:cNvPr id="86" name="143 Imagen">
          <a:extLst>
            <a:ext uri="{FF2B5EF4-FFF2-40B4-BE49-F238E27FC236}">
              <a16:creationId xmlns:a16="http://schemas.microsoft.com/office/drawing/2014/main" xmlns="" id="{00000000-0008-0000-0E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5479375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146</xdr:row>
      <xdr:rowOff>66675</xdr:rowOff>
    </xdr:from>
    <xdr:to>
      <xdr:col>6</xdr:col>
      <xdr:colOff>304800</xdr:colOff>
      <xdr:row>148</xdr:row>
      <xdr:rowOff>66674</xdr:rowOff>
    </xdr:to>
    <xdr:pic>
      <xdr:nvPicPr>
        <xdr:cNvPr id="87" name="144 Imagen">
          <a:extLst>
            <a:ext uri="{FF2B5EF4-FFF2-40B4-BE49-F238E27FC236}">
              <a16:creationId xmlns:a16="http://schemas.microsoft.com/office/drawing/2014/main" xmlns="" id="{00000000-0008-0000-0E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6765250"/>
          <a:ext cx="304800" cy="3143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143</xdr:row>
      <xdr:rowOff>66675</xdr:rowOff>
    </xdr:from>
    <xdr:to>
      <xdr:col>6</xdr:col>
      <xdr:colOff>304800</xdr:colOff>
      <xdr:row>145</xdr:row>
      <xdr:rowOff>66676</xdr:rowOff>
    </xdr:to>
    <xdr:pic>
      <xdr:nvPicPr>
        <xdr:cNvPr id="88" name="145 Imagen">
          <a:extLst>
            <a:ext uri="{FF2B5EF4-FFF2-40B4-BE49-F238E27FC236}">
              <a16:creationId xmlns:a16="http://schemas.microsoft.com/office/drawing/2014/main" xmlns="" id="{00000000-0008-0000-0E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6336625"/>
          <a:ext cx="304800" cy="31432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143</xdr:row>
      <xdr:rowOff>57150</xdr:rowOff>
    </xdr:from>
    <xdr:to>
      <xdr:col>5</xdr:col>
      <xdr:colOff>0</xdr:colOff>
      <xdr:row>145</xdr:row>
      <xdr:rowOff>62594</xdr:rowOff>
    </xdr:to>
    <xdr:pic>
      <xdr:nvPicPr>
        <xdr:cNvPr id="89" name="146 Imagen">
          <a:extLst>
            <a:ext uri="{FF2B5EF4-FFF2-40B4-BE49-F238E27FC236}">
              <a16:creationId xmlns:a16="http://schemas.microsoft.com/office/drawing/2014/main" xmlns="" id="{00000000-0008-0000-0E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6327100"/>
          <a:ext cx="304800" cy="319769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146</xdr:row>
      <xdr:rowOff>66675</xdr:rowOff>
    </xdr:from>
    <xdr:to>
      <xdr:col>5</xdr:col>
      <xdr:colOff>88106</xdr:colOff>
      <xdr:row>148</xdr:row>
      <xdr:rowOff>66674</xdr:rowOff>
    </xdr:to>
    <xdr:pic>
      <xdr:nvPicPr>
        <xdr:cNvPr id="90" name="147 Imagen">
          <a:extLst>
            <a:ext uri="{FF2B5EF4-FFF2-40B4-BE49-F238E27FC236}">
              <a16:creationId xmlns:a16="http://schemas.microsoft.com/office/drawing/2014/main" xmlns="" id="{00000000-0008-0000-0E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26765250"/>
          <a:ext cx="488156" cy="3143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156</xdr:row>
      <xdr:rowOff>57150</xdr:rowOff>
    </xdr:from>
    <xdr:to>
      <xdr:col>6</xdr:col>
      <xdr:colOff>304800</xdr:colOff>
      <xdr:row>158</xdr:row>
      <xdr:rowOff>57150</xdr:rowOff>
    </xdr:to>
    <xdr:pic>
      <xdr:nvPicPr>
        <xdr:cNvPr id="91" name="148 Imagen">
          <a:extLst>
            <a:ext uri="{FF2B5EF4-FFF2-40B4-BE49-F238E27FC236}">
              <a16:creationId xmlns:a16="http://schemas.microsoft.com/office/drawing/2014/main" xmlns="" id="{00000000-0008-0000-0E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4988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159</xdr:row>
      <xdr:rowOff>57150</xdr:rowOff>
    </xdr:from>
    <xdr:to>
      <xdr:col>6</xdr:col>
      <xdr:colOff>304800</xdr:colOff>
      <xdr:row>161</xdr:row>
      <xdr:rowOff>57150</xdr:rowOff>
    </xdr:to>
    <xdr:pic>
      <xdr:nvPicPr>
        <xdr:cNvPr id="92" name="149 Imagen">
          <a:extLst>
            <a:ext uri="{FF2B5EF4-FFF2-40B4-BE49-F238E27FC236}">
              <a16:creationId xmlns:a16="http://schemas.microsoft.com/office/drawing/2014/main" xmlns="" id="{00000000-0008-0000-0E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927425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159</xdr:row>
      <xdr:rowOff>57150</xdr:rowOff>
    </xdr:from>
    <xdr:to>
      <xdr:col>5</xdr:col>
      <xdr:colOff>0</xdr:colOff>
      <xdr:row>161</xdr:row>
      <xdr:rowOff>57150</xdr:rowOff>
    </xdr:to>
    <xdr:pic>
      <xdr:nvPicPr>
        <xdr:cNvPr id="93" name="150 Imagen">
          <a:extLst>
            <a:ext uri="{FF2B5EF4-FFF2-40B4-BE49-F238E27FC236}">
              <a16:creationId xmlns:a16="http://schemas.microsoft.com/office/drawing/2014/main" xmlns="" id="{00000000-0008-0000-0E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8927425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156</xdr:row>
      <xdr:rowOff>57150</xdr:rowOff>
    </xdr:from>
    <xdr:to>
      <xdr:col>5</xdr:col>
      <xdr:colOff>0</xdr:colOff>
      <xdr:row>158</xdr:row>
      <xdr:rowOff>57150</xdr:rowOff>
    </xdr:to>
    <xdr:pic>
      <xdr:nvPicPr>
        <xdr:cNvPr id="94" name="151 Imagen">
          <a:extLst>
            <a:ext uri="{FF2B5EF4-FFF2-40B4-BE49-F238E27FC236}">
              <a16:creationId xmlns:a16="http://schemas.microsoft.com/office/drawing/2014/main" xmlns="" id="{00000000-0008-0000-0E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8498800"/>
          <a:ext cx="30480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133350</xdr:rowOff>
    </xdr:from>
    <xdr:to>
      <xdr:col>6</xdr:col>
      <xdr:colOff>304800</xdr:colOff>
      <xdr:row>152</xdr:row>
      <xdr:rowOff>68036</xdr:rowOff>
    </xdr:to>
    <xdr:pic>
      <xdr:nvPicPr>
        <xdr:cNvPr id="95" name="152 Imagen">
          <a:extLst>
            <a:ext uri="{FF2B5EF4-FFF2-40B4-BE49-F238E27FC236}">
              <a16:creationId xmlns:a16="http://schemas.microsoft.com/office/drawing/2014/main" xmlns="" id="{00000000-0008-0000-0E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766060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153</xdr:row>
      <xdr:rowOff>57150</xdr:rowOff>
    </xdr:from>
    <xdr:to>
      <xdr:col>6</xdr:col>
      <xdr:colOff>304800</xdr:colOff>
      <xdr:row>155</xdr:row>
      <xdr:rowOff>62592</xdr:rowOff>
    </xdr:to>
    <xdr:pic>
      <xdr:nvPicPr>
        <xdr:cNvPr id="96" name="153 Imagen">
          <a:extLst>
            <a:ext uri="{FF2B5EF4-FFF2-40B4-BE49-F238E27FC236}">
              <a16:creationId xmlns:a16="http://schemas.microsoft.com/office/drawing/2014/main" xmlns="" id="{00000000-0008-0000-0E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070175"/>
          <a:ext cx="304800" cy="319767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150</xdr:row>
      <xdr:rowOff>133350</xdr:rowOff>
    </xdr:from>
    <xdr:to>
      <xdr:col>5</xdr:col>
      <xdr:colOff>0</xdr:colOff>
      <xdr:row>152</xdr:row>
      <xdr:rowOff>68036</xdr:rowOff>
    </xdr:to>
    <xdr:pic>
      <xdr:nvPicPr>
        <xdr:cNvPr id="97" name="154 Imagen">
          <a:extLst>
            <a:ext uri="{FF2B5EF4-FFF2-40B4-BE49-F238E27FC236}">
              <a16:creationId xmlns:a16="http://schemas.microsoft.com/office/drawing/2014/main" xmlns="" id="{00000000-0008-0000-0E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7660600"/>
          <a:ext cx="304800" cy="3061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153</xdr:row>
      <xdr:rowOff>66675</xdr:rowOff>
    </xdr:from>
    <xdr:to>
      <xdr:col>5</xdr:col>
      <xdr:colOff>0</xdr:colOff>
      <xdr:row>155</xdr:row>
      <xdr:rowOff>57149</xdr:rowOff>
    </xdr:to>
    <xdr:pic>
      <xdr:nvPicPr>
        <xdr:cNvPr id="98" name="155 Imagen">
          <a:extLst>
            <a:ext uri="{FF2B5EF4-FFF2-40B4-BE49-F238E27FC236}">
              <a16:creationId xmlns:a16="http://schemas.microsoft.com/office/drawing/2014/main" xmlns="" id="{00000000-0008-0000-0E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28079700"/>
          <a:ext cx="304800" cy="3047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</xdr:colOff>
          <xdr:row>206</xdr:row>
          <xdr:rowOff>0</xdr:rowOff>
        </xdr:from>
        <xdr:to>
          <xdr:col>5</xdr:col>
          <xdr:colOff>52387</xdr:colOff>
          <xdr:row>207</xdr:row>
          <xdr:rowOff>38100</xdr:rowOff>
        </xdr:to>
        <xdr:pic>
          <xdr:nvPicPr>
            <xdr:cNvPr id="123" name="Imagen 28">
              <a:extLst>
                <a:ext uri="{FF2B5EF4-FFF2-40B4-BE49-F238E27FC236}">
                  <a16:creationId xmlns:a16="http://schemas.microsoft.com/office/drawing/2014/main" xmlns="" id="{00000000-0008-0000-0E00-00007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5" spid="_x0000_s23489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14637" y="376904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</xdr:colOff>
          <xdr:row>210</xdr:row>
          <xdr:rowOff>0</xdr:rowOff>
        </xdr:from>
        <xdr:to>
          <xdr:col>5</xdr:col>
          <xdr:colOff>52387</xdr:colOff>
          <xdr:row>211</xdr:row>
          <xdr:rowOff>38100</xdr:rowOff>
        </xdr:to>
        <xdr:pic>
          <xdr:nvPicPr>
            <xdr:cNvPr id="124" name="Imagen 28">
              <a:extLst>
                <a:ext uri="{FF2B5EF4-FFF2-40B4-BE49-F238E27FC236}">
                  <a16:creationId xmlns:a16="http://schemas.microsoft.com/office/drawing/2014/main" xmlns="" id="{00000000-0008-0000-0E00-00007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7" spid="_x0000_s23490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14637" y="385762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206</xdr:row>
          <xdr:rowOff>0</xdr:rowOff>
        </xdr:from>
        <xdr:to>
          <xdr:col>6</xdr:col>
          <xdr:colOff>361950</xdr:colOff>
          <xdr:row>207</xdr:row>
          <xdr:rowOff>38100</xdr:rowOff>
        </xdr:to>
        <xdr:pic>
          <xdr:nvPicPr>
            <xdr:cNvPr id="125" name="Imagen 28">
              <a:extLst>
                <a:ext uri="{FF2B5EF4-FFF2-40B4-BE49-F238E27FC236}">
                  <a16:creationId xmlns:a16="http://schemas.microsoft.com/office/drawing/2014/main" xmlns="" id="{00000000-0008-0000-0E00-00007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6" spid="_x0000_s23491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376904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210</xdr:row>
          <xdr:rowOff>0</xdr:rowOff>
        </xdr:from>
        <xdr:to>
          <xdr:col>6</xdr:col>
          <xdr:colOff>361950</xdr:colOff>
          <xdr:row>211</xdr:row>
          <xdr:rowOff>38100</xdr:rowOff>
        </xdr:to>
        <xdr:pic>
          <xdr:nvPicPr>
            <xdr:cNvPr id="126" name="Imagen 28">
              <a:extLst>
                <a:ext uri="{FF2B5EF4-FFF2-40B4-BE49-F238E27FC236}">
                  <a16:creationId xmlns:a16="http://schemas.microsoft.com/office/drawing/2014/main" xmlns="" id="{00000000-0008-0000-0E00-00007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8" spid="_x0000_s23492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385762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</xdr:colOff>
          <xdr:row>218</xdr:row>
          <xdr:rowOff>0</xdr:rowOff>
        </xdr:from>
        <xdr:to>
          <xdr:col>5</xdr:col>
          <xdr:colOff>52387</xdr:colOff>
          <xdr:row>219</xdr:row>
          <xdr:rowOff>38100</xdr:rowOff>
        </xdr:to>
        <xdr:pic>
          <xdr:nvPicPr>
            <xdr:cNvPr id="127" name="Imagen 28">
              <a:extLst>
                <a:ext uri="{FF2B5EF4-FFF2-40B4-BE49-F238E27FC236}">
                  <a16:creationId xmlns:a16="http://schemas.microsoft.com/office/drawing/2014/main" xmlns="" id="{00000000-0008-0000-0E00-00007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31" spid="_x0000_s23493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14637" y="403479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218</xdr:row>
          <xdr:rowOff>0</xdr:rowOff>
        </xdr:from>
        <xdr:to>
          <xdr:col>6</xdr:col>
          <xdr:colOff>361950</xdr:colOff>
          <xdr:row>219</xdr:row>
          <xdr:rowOff>38100</xdr:rowOff>
        </xdr:to>
        <xdr:pic>
          <xdr:nvPicPr>
            <xdr:cNvPr id="128" name="Imagen 28">
              <a:extLst>
                <a:ext uri="{FF2B5EF4-FFF2-40B4-BE49-F238E27FC236}">
                  <a16:creationId xmlns:a16="http://schemas.microsoft.com/office/drawing/2014/main" xmlns="" id="{00000000-0008-0000-0E00-00008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32" spid="_x0000_s23494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4034790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119062</xdr:colOff>
          <xdr:row>214</xdr:row>
          <xdr:rowOff>0</xdr:rowOff>
        </xdr:from>
        <xdr:to>
          <xdr:col>5</xdr:col>
          <xdr:colOff>52387</xdr:colOff>
          <xdr:row>215</xdr:row>
          <xdr:rowOff>38100</xdr:rowOff>
        </xdr:to>
        <xdr:pic>
          <xdr:nvPicPr>
            <xdr:cNvPr id="129" name="Imagen 28">
              <a:extLst>
                <a:ext uri="{FF2B5EF4-FFF2-40B4-BE49-F238E27FC236}">
                  <a16:creationId xmlns:a16="http://schemas.microsoft.com/office/drawing/2014/main" xmlns="" id="{00000000-0008-0000-0E00-00008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9" spid="_x0000_s23495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14637" y="394620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214</xdr:row>
          <xdr:rowOff>0</xdr:rowOff>
        </xdr:from>
        <xdr:to>
          <xdr:col>6</xdr:col>
          <xdr:colOff>361950</xdr:colOff>
          <xdr:row>215</xdr:row>
          <xdr:rowOff>38100</xdr:rowOff>
        </xdr:to>
        <xdr:pic>
          <xdr:nvPicPr>
            <xdr:cNvPr id="130" name="Imagen 28">
              <a:extLst>
                <a:ext uri="{FF2B5EF4-FFF2-40B4-BE49-F238E27FC236}">
                  <a16:creationId xmlns:a16="http://schemas.microsoft.com/office/drawing/2014/main" xmlns="" id="{00000000-0008-0000-0E00-00008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30" spid="_x0000_s23496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3946207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164</xdr:row>
          <xdr:rowOff>0</xdr:rowOff>
        </xdr:from>
        <xdr:to>
          <xdr:col>5</xdr:col>
          <xdr:colOff>28575</xdr:colOff>
          <xdr:row>165</xdr:row>
          <xdr:rowOff>38100</xdr:rowOff>
        </xdr:to>
        <xdr:pic>
          <xdr:nvPicPr>
            <xdr:cNvPr id="131" name="Imagen 28">
              <a:extLst>
                <a:ext uri="{FF2B5EF4-FFF2-40B4-BE49-F238E27FC236}">
                  <a16:creationId xmlns:a16="http://schemas.microsoft.com/office/drawing/2014/main" xmlns="" id="{00000000-0008-0000-0E00-00008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" spid="_x0000_s23497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90825" y="298037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6</xdr:col>
          <xdr:colOff>361950</xdr:colOff>
          <xdr:row>165</xdr:row>
          <xdr:rowOff>38100</xdr:rowOff>
        </xdr:to>
        <xdr:pic>
          <xdr:nvPicPr>
            <xdr:cNvPr id="132" name="Imagen 28">
              <a:extLst>
                <a:ext uri="{FF2B5EF4-FFF2-40B4-BE49-F238E27FC236}">
                  <a16:creationId xmlns:a16="http://schemas.microsoft.com/office/drawing/2014/main" xmlns="" id="{00000000-0008-0000-0E00-00008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" spid="_x0000_s23498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298037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101024</xdr:colOff>
          <xdr:row>167</xdr:row>
          <xdr:rowOff>0</xdr:rowOff>
        </xdr:from>
        <xdr:to>
          <xdr:col>5</xdr:col>
          <xdr:colOff>34349</xdr:colOff>
          <xdr:row>168</xdr:row>
          <xdr:rowOff>38100</xdr:rowOff>
        </xdr:to>
        <xdr:pic>
          <xdr:nvPicPr>
            <xdr:cNvPr id="133" name="Imagen 28">
              <a:extLst>
                <a:ext uri="{FF2B5EF4-FFF2-40B4-BE49-F238E27FC236}">
                  <a16:creationId xmlns:a16="http://schemas.microsoft.com/office/drawing/2014/main" xmlns="" id="{00000000-0008-0000-0E00-00008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3" spid="_x0000_s23499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96599" y="302323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28864</xdr:rowOff>
        </xdr:from>
        <xdr:to>
          <xdr:col>6</xdr:col>
          <xdr:colOff>361950</xdr:colOff>
          <xdr:row>168</xdr:row>
          <xdr:rowOff>66964</xdr:rowOff>
        </xdr:to>
        <xdr:pic>
          <xdr:nvPicPr>
            <xdr:cNvPr id="134" name="Imagen 28">
              <a:extLst>
                <a:ext uri="{FF2B5EF4-FFF2-40B4-BE49-F238E27FC236}">
                  <a16:creationId xmlns:a16="http://schemas.microsoft.com/office/drawing/2014/main" xmlns="" id="{00000000-0008-0000-0E00-00008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4" spid="_x0000_s23500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29025" y="30261214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79375</xdr:colOff>
          <xdr:row>170</xdr:row>
          <xdr:rowOff>151534</xdr:rowOff>
        </xdr:from>
        <xdr:to>
          <xdr:col>5</xdr:col>
          <xdr:colOff>12700</xdr:colOff>
          <xdr:row>172</xdr:row>
          <xdr:rowOff>18184</xdr:rowOff>
        </xdr:to>
        <xdr:pic>
          <xdr:nvPicPr>
            <xdr:cNvPr id="135" name="148 Imagen">
              <a:extLst>
                <a:ext uri="{FF2B5EF4-FFF2-40B4-BE49-F238E27FC236}">
                  <a16:creationId xmlns:a16="http://schemas.microsoft.com/office/drawing/2014/main" xmlns="" id="{00000000-0008-0000-0E00-00008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5" spid="_x0000_s23501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74950" y="3109825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47336</xdr:colOff>
          <xdr:row>170</xdr:row>
          <xdr:rowOff>151534</xdr:rowOff>
        </xdr:from>
        <xdr:to>
          <xdr:col>6</xdr:col>
          <xdr:colOff>409286</xdr:colOff>
          <xdr:row>172</xdr:row>
          <xdr:rowOff>18184</xdr:rowOff>
        </xdr:to>
        <xdr:pic>
          <xdr:nvPicPr>
            <xdr:cNvPr id="136" name="148 Imagen">
              <a:extLst>
                <a:ext uri="{FF2B5EF4-FFF2-40B4-BE49-F238E27FC236}">
                  <a16:creationId xmlns:a16="http://schemas.microsoft.com/office/drawing/2014/main" xmlns="" id="{00000000-0008-0000-0E00-00008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6" spid="_x0000_s23502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76361" y="3109825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79375</xdr:colOff>
          <xdr:row>173</xdr:row>
          <xdr:rowOff>68984</xdr:rowOff>
        </xdr:from>
        <xdr:to>
          <xdr:col>5</xdr:col>
          <xdr:colOff>12700</xdr:colOff>
          <xdr:row>174</xdr:row>
          <xdr:rowOff>192809</xdr:rowOff>
        </xdr:to>
        <xdr:pic>
          <xdr:nvPicPr>
            <xdr:cNvPr id="137" name="148 Imagen">
              <a:extLst>
                <a:ext uri="{FF2B5EF4-FFF2-40B4-BE49-F238E27FC236}">
                  <a16:creationId xmlns:a16="http://schemas.microsoft.com/office/drawing/2014/main" xmlns="" id="{00000000-0008-0000-0E00-00008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7" spid="_x0000_s23503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74950" y="31501484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47336</xdr:colOff>
          <xdr:row>173</xdr:row>
          <xdr:rowOff>68984</xdr:rowOff>
        </xdr:from>
        <xdr:to>
          <xdr:col>6</xdr:col>
          <xdr:colOff>409286</xdr:colOff>
          <xdr:row>174</xdr:row>
          <xdr:rowOff>192809</xdr:rowOff>
        </xdr:to>
        <xdr:pic>
          <xdr:nvPicPr>
            <xdr:cNvPr id="138" name="148 Imagen">
              <a:extLst>
                <a:ext uri="{FF2B5EF4-FFF2-40B4-BE49-F238E27FC236}">
                  <a16:creationId xmlns:a16="http://schemas.microsoft.com/office/drawing/2014/main" xmlns="" id="{00000000-0008-0000-0E00-00008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8" spid="_x0000_s23504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76361" y="31501484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129888</xdr:colOff>
          <xdr:row>177</xdr:row>
          <xdr:rowOff>158750</xdr:rowOff>
        </xdr:from>
        <xdr:to>
          <xdr:col>5</xdr:col>
          <xdr:colOff>63213</xdr:colOff>
          <xdr:row>179</xdr:row>
          <xdr:rowOff>25400</xdr:rowOff>
        </xdr:to>
        <xdr:pic>
          <xdr:nvPicPr>
            <xdr:cNvPr id="148" name="148 Imagen">
              <a:extLst>
                <a:ext uri="{FF2B5EF4-FFF2-40B4-BE49-F238E27FC236}">
                  <a16:creationId xmlns:a16="http://schemas.microsoft.com/office/drawing/2014/main" xmlns="" id="{00000000-0008-0000-0E00-00009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9" spid="_x0000_s23505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25463" y="324199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97849</xdr:colOff>
          <xdr:row>177</xdr:row>
          <xdr:rowOff>158750</xdr:rowOff>
        </xdr:from>
        <xdr:to>
          <xdr:col>7</xdr:col>
          <xdr:colOff>31174</xdr:colOff>
          <xdr:row>179</xdr:row>
          <xdr:rowOff>25400</xdr:rowOff>
        </xdr:to>
        <xdr:pic>
          <xdr:nvPicPr>
            <xdr:cNvPr id="149" name="148 Imagen">
              <a:extLst>
                <a:ext uri="{FF2B5EF4-FFF2-40B4-BE49-F238E27FC236}">
                  <a16:creationId xmlns:a16="http://schemas.microsoft.com/office/drawing/2014/main" xmlns="" id="{00000000-0008-0000-0E00-00009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0" spid="_x0000_s23506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26874" y="32419925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129888</xdr:colOff>
          <xdr:row>180</xdr:row>
          <xdr:rowOff>76200</xdr:rowOff>
        </xdr:from>
        <xdr:to>
          <xdr:col>5</xdr:col>
          <xdr:colOff>63213</xdr:colOff>
          <xdr:row>182</xdr:row>
          <xdr:rowOff>0</xdr:rowOff>
        </xdr:to>
        <xdr:pic>
          <xdr:nvPicPr>
            <xdr:cNvPr id="150" name="148 Imagen">
              <a:extLst>
                <a:ext uri="{FF2B5EF4-FFF2-40B4-BE49-F238E27FC236}">
                  <a16:creationId xmlns:a16="http://schemas.microsoft.com/office/drawing/2014/main" xmlns="" id="{00000000-0008-0000-0E00-00009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1" spid="_x0000_s23507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825463" y="328231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97849</xdr:colOff>
          <xdr:row>180</xdr:row>
          <xdr:rowOff>76200</xdr:rowOff>
        </xdr:from>
        <xdr:to>
          <xdr:col>7</xdr:col>
          <xdr:colOff>31174</xdr:colOff>
          <xdr:row>182</xdr:row>
          <xdr:rowOff>0</xdr:rowOff>
        </xdr:to>
        <xdr:pic>
          <xdr:nvPicPr>
            <xdr:cNvPr id="151" name="148 Imagen">
              <a:extLst>
                <a:ext uri="{FF2B5EF4-FFF2-40B4-BE49-F238E27FC236}">
                  <a16:creationId xmlns:a16="http://schemas.microsoft.com/office/drawing/2014/main" xmlns="" id="{00000000-0008-0000-0E00-00009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2" spid="_x0000_s23508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26874" y="328231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72159</xdr:colOff>
          <xdr:row>184</xdr:row>
          <xdr:rowOff>144319</xdr:rowOff>
        </xdr:from>
        <xdr:to>
          <xdr:col>5</xdr:col>
          <xdr:colOff>5484</xdr:colOff>
          <xdr:row>186</xdr:row>
          <xdr:rowOff>10969</xdr:rowOff>
        </xdr:to>
        <xdr:pic>
          <xdr:nvPicPr>
            <xdr:cNvPr id="152" name="148 Imagen">
              <a:extLst>
                <a:ext uri="{FF2B5EF4-FFF2-40B4-BE49-F238E27FC236}">
                  <a16:creationId xmlns:a16="http://schemas.microsoft.com/office/drawing/2014/main" xmlns="" id="{00000000-0008-0000-0E00-00009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3" spid="_x0000_s23509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67734" y="33719944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40120</xdr:colOff>
          <xdr:row>184</xdr:row>
          <xdr:rowOff>144319</xdr:rowOff>
        </xdr:from>
        <xdr:to>
          <xdr:col>6</xdr:col>
          <xdr:colOff>402070</xdr:colOff>
          <xdr:row>186</xdr:row>
          <xdr:rowOff>10969</xdr:rowOff>
        </xdr:to>
        <xdr:pic>
          <xdr:nvPicPr>
            <xdr:cNvPr id="153" name="148 Imagen">
              <a:extLst>
                <a:ext uri="{FF2B5EF4-FFF2-40B4-BE49-F238E27FC236}">
                  <a16:creationId xmlns:a16="http://schemas.microsoft.com/office/drawing/2014/main" xmlns="" id="{00000000-0008-0000-0E00-00009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4" spid="_x0000_s23510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9145" y="33719944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72159</xdr:colOff>
          <xdr:row>187</xdr:row>
          <xdr:rowOff>61769</xdr:rowOff>
        </xdr:from>
        <xdr:to>
          <xdr:col>5</xdr:col>
          <xdr:colOff>5484</xdr:colOff>
          <xdr:row>188</xdr:row>
          <xdr:rowOff>185594</xdr:rowOff>
        </xdr:to>
        <xdr:pic>
          <xdr:nvPicPr>
            <xdr:cNvPr id="154" name="148 Imagen">
              <a:extLst>
                <a:ext uri="{FF2B5EF4-FFF2-40B4-BE49-F238E27FC236}">
                  <a16:creationId xmlns:a16="http://schemas.microsoft.com/office/drawing/2014/main" xmlns="" id="{00000000-0008-0000-0E00-00009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5" spid="_x0000_s23511"/>
                </a:ext>
              </a:extLst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7734" y="3412316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40120</xdr:colOff>
          <xdr:row>187</xdr:row>
          <xdr:rowOff>61769</xdr:rowOff>
        </xdr:from>
        <xdr:to>
          <xdr:col>6</xdr:col>
          <xdr:colOff>402070</xdr:colOff>
          <xdr:row>188</xdr:row>
          <xdr:rowOff>185594</xdr:rowOff>
        </xdr:to>
        <xdr:pic>
          <xdr:nvPicPr>
            <xdr:cNvPr id="155" name="148 Imagen">
              <a:extLst>
                <a:ext uri="{FF2B5EF4-FFF2-40B4-BE49-F238E27FC236}">
                  <a16:creationId xmlns:a16="http://schemas.microsoft.com/office/drawing/2014/main" xmlns="" id="{00000000-0008-0000-0E00-00009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6" spid="_x0000_s23512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9145" y="3412316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86591</xdr:colOff>
          <xdr:row>191</xdr:row>
          <xdr:rowOff>144318</xdr:rowOff>
        </xdr:from>
        <xdr:to>
          <xdr:col>5</xdr:col>
          <xdr:colOff>19916</xdr:colOff>
          <xdr:row>193</xdr:row>
          <xdr:rowOff>10968</xdr:rowOff>
        </xdr:to>
        <xdr:pic>
          <xdr:nvPicPr>
            <xdr:cNvPr id="156" name="148 Imagen">
              <a:extLst>
                <a:ext uri="{FF2B5EF4-FFF2-40B4-BE49-F238E27FC236}">
                  <a16:creationId xmlns:a16="http://schemas.microsoft.com/office/drawing/2014/main" xmlns="" id="{00000000-0008-0000-0E00-00009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7" spid="_x0000_s23513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82166" y="3503439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54552</xdr:colOff>
          <xdr:row>191</xdr:row>
          <xdr:rowOff>144318</xdr:rowOff>
        </xdr:from>
        <xdr:to>
          <xdr:col>6</xdr:col>
          <xdr:colOff>416502</xdr:colOff>
          <xdr:row>193</xdr:row>
          <xdr:rowOff>10968</xdr:rowOff>
        </xdr:to>
        <xdr:pic>
          <xdr:nvPicPr>
            <xdr:cNvPr id="157" name="148 Imagen">
              <a:extLst>
                <a:ext uri="{FF2B5EF4-FFF2-40B4-BE49-F238E27FC236}">
                  <a16:creationId xmlns:a16="http://schemas.microsoft.com/office/drawing/2014/main" xmlns="" id="{00000000-0008-0000-0E00-00009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8" spid="_x0000_s23514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83577" y="3503439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86591</xdr:colOff>
          <xdr:row>194</xdr:row>
          <xdr:rowOff>61768</xdr:rowOff>
        </xdr:from>
        <xdr:to>
          <xdr:col>5</xdr:col>
          <xdr:colOff>19916</xdr:colOff>
          <xdr:row>195</xdr:row>
          <xdr:rowOff>185593</xdr:rowOff>
        </xdr:to>
        <xdr:pic>
          <xdr:nvPicPr>
            <xdr:cNvPr id="158" name="148 Imagen">
              <a:extLst>
                <a:ext uri="{FF2B5EF4-FFF2-40B4-BE49-F238E27FC236}">
                  <a16:creationId xmlns:a16="http://schemas.microsoft.com/office/drawing/2014/main" xmlns="" id="{00000000-0008-0000-0E00-00009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19" spid="_x0000_s23515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82166" y="3543761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54552</xdr:colOff>
          <xdr:row>194</xdr:row>
          <xdr:rowOff>61768</xdr:rowOff>
        </xdr:from>
        <xdr:to>
          <xdr:col>6</xdr:col>
          <xdr:colOff>416502</xdr:colOff>
          <xdr:row>195</xdr:row>
          <xdr:rowOff>185593</xdr:rowOff>
        </xdr:to>
        <xdr:pic>
          <xdr:nvPicPr>
            <xdr:cNvPr id="159" name="148 Imagen">
              <a:extLst>
                <a:ext uri="{FF2B5EF4-FFF2-40B4-BE49-F238E27FC236}">
                  <a16:creationId xmlns:a16="http://schemas.microsoft.com/office/drawing/2014/main" xmlns="" id="{00000000-0008-0000-0E00-00009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0" spid="_x0000_s23516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83577" y="3543761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101023</xdr:colOff>
          <xdr:row>198</xdr:row>
          <xdr:rowOff>144318</xdr:rowOff>
        </xdr:from>
        <xdr:to>
          <xdr:col>5</xdr:col>
          <xdr:colOff>34348</xdr:colOff>
          <xdr:row>200</xdr:row>
          <xdr:rowOff>10968</xdr:rowOff>
        </xdr:to>
        <xdr:pic>
          <xdr:nvPicPr>
            <xdr:cNvPr id="160" name="148 Imagen">
              <a:extLst>
                <a:ext uri="{FF2B5EF4-FFF2-40B4-BE49-F238E27FC236}">
                  <a16:creationId xmlns:a16="http://schemas.microsoft.com/office/drawing/2014/main" xmlns="" id="{00000000-0008-0000-0E00-0000A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1" spid="_x0000_s23517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96598" y="3634884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68984</xdr:colOff>
          <xdr:row>198</xdr:row>
          <xdr:rowOff>144318</xdr:rowOff>
        </xdr:from>
        <xdr:to>
          <xdr:col>7</xdr:col>
          <xdr:colOff>2309</xdr:colOff>
          <xdr:row>200</xdr:row>
          <xdr:rowOff>10968</xdr:rowOff>
        </xdr:to>
        <xdr:pic>
          <xdr:nvPicPr>
            <xdr:cNvPr id="161" name="148 Imagen">
              <a:extLst>
                <a:ext uri="{FF2B5EF4-FFF2-40B4-BE49-F238E27FC236}">
                  <a16:creationId xmlns:a16="http://schemas.microsoft.com/office/drawing/2014/main" xmlns="" id="{00000000-0008-0000-0E00-0000A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2" spid="_x0000_s23518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98009" y="3634884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101023</xdr:colOff>
          <xdr:row>201</xdr:row>
          <xdr:rowOff>61768</xdr:rowOff>
        </xdr:from>
        <xdr:to>
          <xdr:col>5</xdr:col>
          <xdr:colOff>34348</xdr:colOff>
          <xdr:row>202</xdr:row>
          <xdr:rowOff>185593</xdr:rowOff>
        </xdr:to>
        <xdr:pic>
          <xdr:nvPicPr>
            <xdr:cNvPr id="162" name="148 Imagen">
              <a:extLst>
                <a:ext uri="{FF2B5EF4-FFF2-40B4-BE49-F238E27FC236}">
                  <a16:creationId xmlns:a16="http://schemas.microsoft.com/office/drawing/2014/main" xmlns="" id="{00000000-0008-0000-0E00-0000A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3" spid="_x0000_s23519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796598" y="3675206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68984</xdr:colOff>
          <xdr:row>201</xdr:row>
          <xdr:rowOff>61768</xdr:rowOff>
        </xdr:from>
        <xdr:to>
          <xdr:col>7</xdr:col>
          <xdr:colOff>2309</xdr:colOff>
          <xdr:row>202</xdr:row>
          <xdr:rowOff>185593</xdr:rowOff>
        </xdr:to>
        <xdr:pic>
          <xdr:nvPicPr>
            <xdr:cNvPr id="163" name="148 Imagen">
              <a:extLst>
                <a:ext uri="{FF2B5EF4-FFF2-40B4-BE49-F238E27FC236}">
                  <a16:creationId xmlns:a16="http://schemas.microsoft.com/office/drawing/2014/main" xmlns="" id="{00000000-0008-0000-0E00-0000A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imac_24" spid="_x0000_s23520"/>
                </a:ext>
              </a:extLst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98009" y="36752068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63500</xdr:rowOff>
    </xdr:from>
    <xdr:to>
      <xdr:col>17</xdr:col>
      <xdr:colOff>565150</xdr:colOff>
      <xdr:row>0</xdr:row>
      <xdr:rowOff>450850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4E77839-EB35-4849-BE43-9A3F513D0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63500"/>
          <a:ext cx="109156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xmlns="" id="{DCA7DEBA-3756-4E3D-BA39-DA8C4DFC58BC}"/>
            </a:ext>
          </a:extLst>
        </xdr:cNvPr>
        <xdr:cNvSpPr txBox="1"/>
      </xdr:nvSpPr>
      <xdr:spPr>
        <a:xfrm>
          <a:off x="196850" y="152400"/>
          <a:ext cx="889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xmlns="" id="{57038E3A-662C-4503-BBA5-91F73D4B3FB2}"/>
            </a:ext>
          </a:extLst>
        </xdr:cNvPr>
        <xdr:cNvSpPr txBox="1"/>
      </xdr:nvSpPr>
      <xdr:spPr>
        <a:xfrm>
          <a:off x="723900" y="171450"/>
          <a:ext cx="16002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146050</xdr:colOff>
      <xdr:row>0</xdr:row>
      <xdr:rowOff>177800</xdr:rowOff>
    </xdr:from>
    <xdr:to>
      <xdr:col>17</xdr:col>
      <xdr:colOff>546100</xdr:colOff>
      <xdr:row>0</xdr:row>
      <xdr:rowOff>381000</xdr:rowOff>
    </xdr:to>
    <xdr:sp macro="" textlink="">
      <xdr:nvSpPr>
        <xdr:cNvPr id="142" name="CuadroTexto 141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xmlns="" id="{DFB5E072-A2F7-444D-B9D6-3E4078FDFE36}"/>
            </a:ext>
          </a:extLst>
        </xdr:cNvPr>
        <xdr:cNvSpPr txBox="1"/>
      </xdr:nvSpPr>
      <xdr:spPr>
        <a:xfrm>
          <a:off x="9899650" y="177800"/>
          <a:ext cx="121285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CxnSpPr/>
      </xdr:nvCxnSpPr>
      <xdr:spPr>
        <a:xfrm>
          <a:off x="6708775" y="1701800"/>
          <a:ext cx="441642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23812</xdr:colOff>
      <xdr:row>4</xdr:row>
      <xdr:rowOff>11906</xdr:rowOff>
    </xdr:from>
    <xdr:to>
      <xdr:col>4</xdr:col>
      <xdr:colOff>328612</xdr:colOff>
      <xdr:row>5</xdr:row>
      <xdr:rowOff>114300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0955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4</xdr:row>
      <xdr:rowOff>11906</xdr:rowOff>
    </xdr:from>
    <xdr:to>
      <xdr:col>8</xdr:col>
      <xdr:colOff>358378</xdr:colOff>
      <xdr:row>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228" y="1789906"/>
          <a:ext cx="304800" cy="299244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11906</xdr:rowOff>
    </xdr:from>
    <xdr:to>
      <xdr:col>4</xdr:col>
      <xdr:colOff>328612</xdr:colOff>
      <xdr:row>9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53603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8</xdr:row>
      <xdr:rowOff>11906</xdr:rowOff>
    </xdr:from>
    <xdr:to>
      <xdr:col>8</xdr:col>
      <xdr:colOff>358378</xdr:colOff>
      <xdr:row>9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253603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11906</xdr:rowOff>
    </xdr:from>
    <xdr:to>
      <xdr:col>4</xdr:col>
      <xdr:colOff>328612</xdr:colOff>
      <xdr:row>13</xdr:row>
      <xdr:rowOff>114299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97656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12</xdr:row>
      <xdr:rowOff>11906</xdr:rowOff>
    </xdr:from>
    <xdr:to>
      <xdr:col>8</xdr:col>
      <xdr:colOff>358378</xdr:colOff>
      <xdr:row>13</xdr:row>
      <xdr:rowOff>114299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297656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11905</xdr:rowOff>
    </xdr:from>
    <xdr:to>
      <xdr:col>4</xdr:col>
      <xdr:colOff>328612</xdr:colOff>
      <xdr:row>17</xdr:row>
      <xdr:rowOff>114299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41709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16</xdr:row>
      <xdr:rowOff>11905</xdr:rowOff>
    </xdr:from>
    <xdr:to>
      <xdr:col>8</xdr:col>
      <xdr:colOff>358378</xdr:colOff>
      <xdr:row>17</xdr:row>
      <xdr:rowOff>114299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341709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11905</xdr:rowOff>
    </xdr:from>
    <xdr:to>
      <xdr:col>4</xdr:col>
      <xdr:colOff>328612</xdr:colOff>
      <xdr:row>21</xdr:row>
      <xdr:rowOff>114299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85762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20</xdr:row>
      <xdr:rowOff>11905</xdr:rowOff>
    </xdr:from>
    <xdr:to>
      <xdr:col>8</xdr:col>
      <xdr:colOff>358378</xdr:colOff>
      <xdr:row>21</xdr:row>
      <xdr:rowOff>114299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385762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11906</xdr:rowOff>
    </xdr:from>
    <xdr:to>
      <xdr:col>4</xdr:col>
      <xdr:colOff>328612</xdr:colOff>
      <xdr:row>25</xdr:row>
      <xdr:rowOff>114300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42981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53578</xdr:colOff>
      <xdr:row>24</xdr:row>
      <xdr:rowOff>11906</xdr:rowOff>
    </xdr:from>
    <xdr:to>
      <xdr:col>8</xdr:col>
      <xdr:colOff>358378</xdr:colOff>
      <xdr:row>25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4298156"/>
          <a:ext cx="304800" cy="304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98821</xdr:colOff>
          <xdr:row>8</xdr:row>
          <xdr:rowOff>45244</xdr:rowOff>
        </xdr:from>
        <xdr:to>
          <xdr:col>13</xdr:col>
          <xdr:colOff>70246</xdr:colOff>
          <xdr:row>9</xdr:row>
          <xdr:rowOff>83344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xmlns="" id="{00000000-0008-0000-02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1" spid="_x0000_s1931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775971" y="226456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98821</xdr:colOff>
          <xdr:row>12</xdr:row>
          <xdr:rowOff>41275</xdr:rowOff>
        </xdr:from>
        <xdr:to>
          <xdr:col>13</xdr:col>
          <xdr:colOff>70246</xdr:colOff>
          <xdr:row>13</xdr:row>
          <xdr:rowOff>79375</xdr:rowOff>
        </xdr:to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xmlns="" id="{00000000-0008-0000-0200-00001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2" spid="_x0000_s1932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75971" y="269875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98821</xdr:colOff>
          <xdr:row>16</xdr:row>
          <xdr:rowOff>37305</xdr:rowOff>
        </xdr:from>
        <xdr:to>
          <xdr:col>13</xdr:col>
          <xdr:colOff>70246</xdr:colOff>
          <xdr:row>17</xdr:row>
          <xdr:rowOff>75405</xdr:rowOff>
        </xdr:to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xmlns="" id="{00000000-0008-0000-0200-00001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3" spid="_x0000_s1933"/>
                </a:ext>
              </a:extLst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775971" y="31329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27</xdr:col>
      <xdr:colOff>1</xdr:colOff>
      <xdr:row>40</xdr:row>
      <xdr:rowOff>192833</xdr:rowOff>
    </xdr:from>
    <xdr:to>
      <xdr:col>27</xdr:col>
      <xdr:colOff>337334</xdr:colOff>
      <xdr:row>42</xdr:row>
      <xdr:rowOff>47783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23470" y="7669958"/>
          <a:ext cx="337333" cy="331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88106</xdr:colOff>
          <xdr:row>20</xdr:row>
          <xdr:rowOff>35718</xdr:rowOff>
        </xdr:from>
        <xdr:to>
          <xdr:col>13</xdr:col>
          <xdr:colOff>59531</xdr:colOff>
          <xdr:row>21</xdr:row>
          <xdr:rowOff>73818</xdr:rowOff>
        </xdr:to>
        <xdr:pic>
          <xdr:nvPicPr>
            <xdr:cNvPr id="33" name="Imagen 30">
              <a:extLst>
                <a:ext uri="{FF2B5EF4-FFF2-40B4-BE49-F238E27FC236}">
                  <a16:creationId xmlns:a16="http://schemas.microsoft.com/office/drawing/2014/main" xmlns="" id="{00000000-0008-0000-0200-00002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A_4" spid="_x0000_s1934"/>
                </a:ext>
              </a:extLst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765256" y="356949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27</xdr:col>
      <xdr:colOff>0</xdr:colOff>
      <xdr:row>50</xdr:row>
      <xdr:rowOff>190499</xdr:rowOff>
    </xdr:from>
    <xdr:to>
      <xdr:col>27</xdr:col>
      <xdr:colOff>331200</xdr:colOff>
      <xdr:row>52</xdr:row>
      <xdr:rowOff>45449</xdr:rowOff>
    </xdr:to>
    <xdr:pic>
      <xdr:nvPicPr>
        <xdr:cNvPr id="34" name="33 Imagen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0048874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70</xdr:row>
      <xdr:rowOff>178594</xdr:rowOff>
    </xdr:from>
    <xdr:to>
      <xdr:col>27</xdr:col>
      <xdr:colOff>331200</xdr:colOff>
      <xdr:row>72</xdr:row>
      <xdr:rowOff>33544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4799469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64</xdr:row>
      <xdr:rowOff>183355</xdr:rowOff>
    </xdr:from>
    <xdr:to>
      <xdr:col>27</xdr:col>
      <xdr:colOff>331200</xdr:colOff>
      <xdr:row>66</xdr:row>
      <xdr:rowOff>38305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3375480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39</xdr:row>
      <xdr:rowOff>159542</xdr:rowOff>
    </xdr:from>
    <xdr:to>
      <xdr:col>27</xdr:col>
      <xdr:colOff>331200</xdr:colOff>
      <xdr:row>41</xdr:row>
      <xdr:rowOff>50211</xdr:rowOff>
    </xdr:to>
    <xdr:pic>
      <xdr:nvPicPr>
        <xdr:cNvPr id="71" name="70 Imagen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74342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41</xdr:row>
      <xdr:rowOff>195261</xdr:rowOff>
    </xdr:from>
    <xdr:to>
      <xdr:col>27</xdr:col>
      <xdr:colOff>331200</xdr:colOff>
      <xdr:row>43</xdr:row>
      <xdr:rowOff>50211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79105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42</xdr:row>
      <xdr:rowOff>195261</xdr:rowOff>
    </xdr:from>
    <xdr:to>
      <xdr:col>27</xdr:col>
      <xdr:colOff>331200</xdr:colOff>
      <xdr:row>44</xdr:row>
      <xdr:rowOff>50211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81486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43</xdr:row>
      <xdr:rowOff>195261</xdr:rowOff>
    </xdr:from>
    <xdr:to>
      <xdr:col>27</xdr:col>
      <xdr:colOff>331200</xdr:colOff>
      <xdr:row>45</xdr:row>
      <xdr:rowOff>50211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83867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44</xdr:row>
      <xdr:rowOff>195261</xdr:rowOff>
    </xdr:from>
    <xdr:to>
      <xdr:col>27</xdr:col>
      <xdr:colOff>331200</xdr:colOff>
      <xdr:row>46</xdr:row>
      <xdr:rowOff>50211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86248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45</xdr:row>
      <xdr:rowOff>195261</xdr:rowOff>
    </xdr:from>
    <xdr:to>
      <xdr:col>27</xdr:col>
      <xdr:colOff>331200</xdr:colOff>
      <xdr:row>47</xdr:row>
      <xdr:rowOff>50211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88630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47</xdr:row>
      <xdr:rowOff>0</xdr:rowOff>
    </xdr:from>
    <xdr:to>
      <xdr:col>28</xdr:col>
      <xdr:colOff>0</xdr:colOff>
      <xdr:row>48</xdr:row>
      <xdr:rowOff>17009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9144000"/>
          <a:ext cx="357187" cy="25513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47</xdr:row>
      <xdr:rowOff>195261</xdr:rowOff>
    </xdr:from>
    <xdr:to>
      <xdr:col>27</xdr:col>
      <xdr:colOff>331200</xdr:colOff>
      <xdr:row>49</xdr:row>
      <xdr:rowOff>50211</xdr:rowOff>
    </xdr:to>
    <xdr:pic>
      <xdr:nvPicPr>
        <xdr:cNvPr id="78" name="77 Imagen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93392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48</xdr:row>
      <xdr:rowOff>195261</xdr:rowOff>
    </xdr:from>
    <xdr:to>
      <xdr:col>27</xdr:col>
      <xdr:colOff>331200</xdr:colOff>
      <xdr:row>50</xdr:row>
      <xdr:rowOff>50211</xdr:rowOff>
    </xdr:to>
    <xdr:pic>
      <xdr:nvPicPr>
        <xdr:cNvPr id="79" name="78 Imagen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95773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49</xdr:row>
      <xdr:rowOff>195261</xdr:rowOff>
    </xdr:from>
    <xdr:to>
      <xdr:col>27</xdr:col>
      <xdr:colOff>331200</xdr:colOff>
      <xdr:row>51</xdr:row>
      <xdr:rowOff>50211</xdr:rowOff>
    </xdr:to>
    <xdr:pic>
      <xdr:nvPicPr>
        <xdr:cNvPr id="80" name="79 Imagen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98155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51</xdr:row>
      <xdr:rowOff>195261</xdr:rowOff>
    </xdr:from>
    <xdr:to>
      <xdr:col>27</xdr:col>
      <xdr:colOff>331200</xdr:colOff>
      <xdr:row>53</xdr:row>
      <xdr:rowOff>50211</xdr:rowOff>
    </xdr:to>
    <xdr:pic>
      <xdr:nvPicPr>
        <xdr:cNvPr id="81" name="80 Imagen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02917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52</xdr:row>
      <xdr:rowOff>195261</xdr:rowOff>
    </xdr:from>
    <xdr:to>
      <xdr:col>27</xdr:col>
      <xdr:colOff>331200</xdr:colOff>
      <xdr:row>54</xdr:row>
      <xdr:rowOff>50211</xdr:rowOff>
    </xdr:to>
    <xdr:pic>
      <xdr:nvPicPr>
        <xdr:cNvPr id="82" name="81 Imagen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05298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53</xdr:row>
      <xdr:rowOff>195261</xdr:rowOff>
    </xdr:from>
    <xdr:to>
      <xdr:col>27</xdr:col>
      <xdr:colOff>331200</xdr:colOff>
      <xdr:row>55</xdr:row>
      <xdr:rowOff>50211</xdr:rowOff>
    </xdr:to>
    <xdr:pic>
      <xdr:nvPicPr>
        <xdr:cNvPr id="83" name="82 Imagen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07680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54</xdr:row>
      <xdr:rowOff>195261</xdr:rowOff>
    </xdr:from>
    <xdr:to>
      <xdr:col>27</xdr:col>
      <xdr:colOff>331200</xdr:colOff>
      <xdr:row>56</xdr:row>
      <xdr:rowOff>50211</xdr:rowOff>
    </xdr:to>
    <xdr:pic>
      <xdr:nvPicPr>
        <xdr:cNvPr id="84" name="83 Imagen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10061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55</xdr:row>
      <xdr:rowOff>195261</xdr:rowOff>
    </xdr:from>
    <xdr:to>
      <xdr:col>27</xdr:col>
      <xdr:colOff>331200</xdr:colOff>
      <xdr:row>57</xdr:row>
      <xdr:rowOff>50211</xdr:rowOff>
    </xdr:to>
    <xdr:pic>
      <xdr:nvPicPr>
        <xdr:cNvPr id="85" name="84 Imagen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12442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56</xdr:row>
      <xdr:rowOff>195261</xdr:rowOff>
    </xdr:from>
    <xdr:to>
      <xdr:col>27</xdr:col>
      <xdr:colOff>349200</xdr:colOff>
      <xdr:row>58</xdr:row>
      <xdr:rowOff>68211</xdr:rowOff>
    </xdr:to>
    <xdr:pic>
      <xdr:nvPicPr>
        <xdr:cNvPr id="86" name="85 Imagen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1482386"/>
          <a:ext cx="349200" cy="349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57</xdr:row>
      <xdr:rowOff>195261</xdr:rowOff>
    </xdr:from>
    <xdr:to>
      <xdr:col>27</xdr:col>
      <xdr:colOff>331200</xdr:colOff>
      <xdr:row>59</xdr:row>
      <xdr:rowOff>50211</xdr:rowOff>
    </xdr:to>
    <xdr:pic>
      <xdr:nvPicPr>
        <xdr:cNvPr id="87" name="86 Imagen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17205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58</xdr:row>
      <xdr:rowOff>195261</xdr:rowOff>
    </xdr:from>
    <xdr:to>
      <xdr:col>27</xdr:col>
      <xdr:colOff>331200</xdr:colOff>
      <xdr:row>60</xdr:row>
      <xdr:rowOff>50211</xdr:rowOff>
    </xdr:to>
    <xdr:pic>
      <xdr:nvPicPr>
        <xdr:cNvPr id="88" name="87 Imagen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19586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59</xdr:row>
      <xdr:rowOff>195261</xdr:rowOff>
    </xdr:from>
    <xdr:to>
      <xdr:col>27</xdr:col>
      <xdr:colOff>331200</xdr:colOff>
      <xdr:row>61</xdr:row>
      <xdr:rowOff>50211</xdr:rowOff>
    </xdr:to>
    <xdr:pic>
      <xdr:nvPicPr>
        <xdr:cNvPr id="90" name="89 Imagen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21967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60</xdr:row>
      <xdr:rowOff>195261</xdr:rowOff>
    </xdr:from>
    <xdr:to>
      <xdr:col>27</xdr:col>
      <xdr:colOff>331200</xdr:colOff>
      <xdr:row>62</xdr:row>
      <xdr:rowOff>50211</xdr:rowOff>
    </xdr:to>
    <xdr:pic>
      <xdr:nvPicPr>
        <xdr:cNvPr id="91" name="90 Imagen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243488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61</xdr:row>
      <xdr:rowOff>195261</xdr:rowOff>
    </xdr:from>
    <xdr:to>
      <xdr:col>27</xdr:col>
      <xdr:colOff>331200</xdr:colOff>
      <xdr:row>63</xdr:row>
      <xdr:rowOff>50211</xdr:rowOff>
    </xdr:to>
    <xdr:pic>
      <xdr:nvPicPr>
        <xdr:cNvPr id="92" name="91 Imagen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26730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62</xdr:row>
      <xdr:rowOff>195261</xdr:rowOff>
    </xdr:from>
    <xdr:to>
      <xdr:col>27</xdr:col>
      <xdr:colOff>331200</xdr:colOff>
      <xdr:row>64</xdr:row>
      <xdr:rowOff>50211</xdr:rowOff>
    </xdr:to>
    <xdr:pic>
      <xdr:nvPicPr>
        <xdr:cNvPr id="93" name="92 Imagen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29111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63</xdr:row>
      <xdr:rowOff>195261</xdr:rowOff>
    </xdr:from>
    <xdr:to>
      <xdr:col>27</xdr:col>
      <xdr:colOff>331200</xdr:colOff>
      <xdr:row>65</xdr:row>
      <xdr:rowOff>50211</xdr:rowOff>
    </xdr:to>
    <xdr:pic>
      <xdr:nvPicPr>
        <xdr:cNvPr id="94" name="93 Imagen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31492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65</xdr:row>
      <xdr:rowOff>195261</xdr:rowOff>
    </xdr:from>
    <xdr:to>
      <xdr:col>27</xdr:col>
      <xdr:colOff>331200</xdr:colOff>
      <xdr:row>67</xdr:row>
      <xdr:rowOff>50211</xdr:rowOff>
    </xdr:to>
    <xdr:pic>
      <xdr:nvPicPr>
        <xdr:cNvPr id="95" name="94 Imagen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36255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66</xdr:row>
      <xdr:rowOff>195261</xdr:rowOff>
    </xdr:from>
    <xdr:to>
      <xdr:col>27</xdr:col>
      <xdr:colOff>331200</xdr:colOff>
      <xdr:row>68</xdr:row>
      <xdr:rowOff>50211</xdr:rowOff>
    </xdr:to>
    <xdr:pic>
      <xdr:nvPicPr>
        <xdr:cNvPr id="96" name="95 Imagen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3863636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67</xdr:row>
      <xdr:rowOff>195261</xdr:rowOff>
    </xdr:from>
    <xdr:to>
      <xdr:col>27</xdr:col>
      <xdr:colOff>331200</xdr:colOff>
      <xdr:row>69</xdr:row>
      <xdr:rowOff>50211</xdr:rowOff>
    </xdr:to>
    <xdr:pic>
      <xdr:nvPicPr>
        <xdr:cNvPr id="97" name="96 Imagen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410176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26</xdr:col>
      <xdr:colOff>869157</xdr:colOff>
      <xdr:row>68</xdr:row>
      <xdr:rowOff>195262</xdr:rowOff>
    </xdr:from>
    <xdr:to>
      <xdr:col>28</xdr:col>
      <xdr:colOff>74270</xdr:colOff>
      <xdr:row>70</xdr:row>
      <xdr:rowOff>62164</xdr:rowOff>
    </xdr:to>
    <xdr:pic>
      <xdr:nvPicPr>
        <xdr:cNvPr id="98" name="97 Imagen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0126" y="14339887"/>
          <a:ext cx="514800" cy="34315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69</xdr:row>
      <xdr:rowOff>195261</xdr:rowOff>
    </xdr:from>
    <xdr:to>
      <xdr:col>27</xdr:col>
      <xdr:colOff>331200</xdr:colOff>
      <xdr:row>71</xdr:row>
      <xdr:rowOff>50211</xdr:rowOff>
    </xdr:to>
    <xdr:pic>
      <xdr:nvPicPr>
        <xdr:cNvPr id="99" name="98 Imagen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3469" y="14578011"/>
          <a:ext cx="331200" cy="331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63500"/>
          <a:ext cx="109156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 txBox="1"/>
      </xdr:nvSpPr>
      <xdr:spPr>
        <a:xfrm>
          <a:off x="196850" y="152400"/>
          <a:ext cx="8890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SpPr txBox="1"/>
      </xdr:nvSpPr>
      <xdr:spPr>
        <a:xfrm>
          <a:off x="723900" y="171450"/>
          <a:ext cx="16002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9" name="Rounded Rectangle 3">
            <a:hlinkClick xmlns:r="http://schemas.openxmlformats.org/officeDocument/2006/relationships" r:id="rId39"/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68" name="Rounded Rectangle 3">
            <a:hlinkClick xmlns:r="http://schemas.openxmlformats.org/officeDocument/2006/relationships" r:id="rId40"/>
            <a:extLst>
              <a:ext uri="{FF2B5EF4-FFF2-40B4-BE49-F238E27FC236}">
                <a16:creationId xmlns:a16="http://schemas.microsoft.com/office/drawing/2014/main" xmlns="" id="{00000000-0008-0000-0200-000044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59" name="Rounded Rectangle 3">
            <a:hlinkClick xmlns:r="http://schemas.openxmlformats.org/officeDocument/2006/relationships" r:id="rId41"/>
            <a:extLst>
              <a:ext uri="{FF2B5EF4-FFF2-40B4-BE49-F238E27FC236}">
                <a16:creationId xmlns:a16="http://schemas.microsoft.com/office/drawing/2014/main" xmlns="" id="{00000000-0008-0000-0200-00003B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61" name="Rounded Rectangle 3">
            <a:hlinkClick xmlns:r="http://schemas.openxmlformats.org/officeDocument/2006/relationships" r:id="rId42"/>
            <a:extLst>
              <a:ext uri="{FF2B5EF4-FFF2-40B4-BE49-F238E27FC236}">
                <a16:creationId xmlns:a16="http://schemas.microsoft.com/office/drawing/2014/main" xmlns="" id="{00000000-0008-0000-0200-00003D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63" name="Rounded Rectangle 3">
            <a:hlinkClick xmlns:r="http://schemas.openxmlformats.org/officeDocument/2006/relationships" r:id="rId43"/>
            <a:extLst>
              <a:ext uri="{FF2B5EF4-FFF2-40B4-BE49-F238E27FC236}">
                <a16:creationId xmlns:a16="http://schemas.microsoft.com/office/drawing/2014/main" xmlns="" id="{00000000-0008-0000-0200-00003F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65" name="Rounded Rectangle 3">
            <a:hlinkClick xmlns:r="http://schemas.openxmlformats.org/officeDocument/2006/relationships" r:id="rId44"/>
            <a:extLst>
              <a:ext uri="{FF2B5EF4-FFF2-40B4-BE49-F238E27FC236}">
                <a16:creationId xmlns:a16="http://schemas.microsoft.com/office/drawing/2014/main" xmlns="" id="{00000000-0008-0000-0200-000041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69" name="Rounded Rectangle 3">
            <a:hlinkClick xmlns:r="http://schemas.openxmlformats.org/officeDocument/2006/relationships" r:id="rId45"/>
            <a:extLst>
              <a:ext uri="{FF2B5EF4-FFF2-40B4-BE49-F238E27FC236}">
                <a16:creationId xmlns:a16="http://schemas.microsoft.com/office/drawing/2014/main" xmlns="" id="{00000000-0008-0000-0200-000045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89" name="Rounded Rectangle 3">
            <a:hlinkClick xmlns:r="http://schemas.openxmlformats.org/officeDocument/2006/relationships" r:id="rId46"/>
            <a:extLst>
              <a:ext uri="{FF2B5EF4-FFF2-40B4-BE49-F238E27FC236}">
                <a16:creationId xmlns:a16="http://schemas.microsoft.com/office/drawing/2014/main" xmlns="" id="{00000000-0008-0000-0200-000059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100" name="CuadroTexto 99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SpPr txBox="1"/>
      </xdr:nvSpPr>
      <xdr:spPr>
        <a:xfrm>
          <a:off x="9874250" y="171450"/>
          <a:ext cx="12509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</xdr:colOff>
      <xdr:row>4</xdr:row>
      <xdr:rowOff>16669</xdr:rowOff>
    </xdr:from>
    <xdr:to>
      <xdr:col>4</xdr:col>
      <xdr:colOff>328612</xdr:colOff>
      <xdr:row>6</xdr:row>
      <xdr:rowOff>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16669</xdr:rowOff>
    </xdr:from>
    <xdr:to>
      <xdr:col>4</xdr:col>
      <xdr:colOff>328612</xdr:colOff>
      <xdr:row>10</xdr:row>
      <xdr:rowOff>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5407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16668</xdr:rowOff>
    </xdr:from>
    <xdr:to>
      <xdr:col>4</xdr:col>
      <xdr:colOff>328612</xdr:colOff>
      <xdr:row>18</xdr:row>
      <xdr:rowOff>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16669</xdr:rowOff>
    </xdr:from>
    <xdr:to>
      <xdr:col>4</xdr:col>
      <xdr:colOff>328612</xdr:colOff>
      <xdr:row>22</xdr:row>
      <xdr:rowOff>0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16</xdr:row>
      <xdr:rowOff>16668</xdr:rowOff>
    </xdr:from>
    <xdr:to>
      <xdr:col>8</xdr:col>
      <xdr:colOff>369094</xdr:colOff>
      <xdr:row>18</xdr:row>
      <xdr:rowOff>0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4</xdr:row>
      <xdr:rowOff>16669</xdr:rowOff>
    </xdr:from>
    <xdr:to>
      <xdr:col>8</xdr:col>
      <xdr:colOff>369094</xdr:colOff>
      <xdr:row>6</xdr:row>
      <xdr:rowOff>0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16669</xdr:rowOff>
    </xdr:from>
    <xdr:to>
      <xdr:col>4</xdr:col>
      <xdr:colOff>328612</xdr:colOff>
      <xdr:row>14</xdr:row>
      <xdr:rowOff>0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981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20</xdr:row>
      <xdr:rowOff>16669</xdr:rowOff>
    </xdr:from>
    <xdr:to>
      <xdr:col>8</xdr:col>
      <xdr:colOff>369094</xdr:colOff>
      <xdr:row>22</xdr:row>
      <xdr:rowOff>0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24</xdr:row>
      <xdr:rowOff>16669</xdr:rowOff>
    </xdr:from>
    <xdr:to>
      <xdr:col>8</xdr:col>
      <xdr:colOff>369094</xdr:colOff>
      <xdr:row>26</xdr:row>
      <xdr:rowOff>0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43029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12</xdr:row>
      <xdr:rowOff>16669</xdr:rowOff>
    </xdr:from>
    <xdr:to>
      <xdr:col>8</xdr:col>
      <xdr:colOff>369094</xdr:colOff>
      <xdr:row>14</xdr:row>
      <xdr:rowOff>0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2981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16669</xdr:rowOff>
    </xdr:from>
    <xdr:to>
      <xdr:col>4</xdr:col>
      <xdr:colOff>328612</xdr:colOff>
      <xdr:row>26</xdr:row>
      <xdr:rowOff>0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43029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64294</xdr:colOff>
      <xdr:row>8</xdr:row>
      <xdr:rowOff>16669</xdr:rowOff>
    </xdr:from>
    <xdr:to>
      <xdr:col>8</xdr:col>
      <xdr:colOff>369094</xdr:colOff>
      <xdr:row>10</xdr:row>
      <xdr:rowOff>0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294" y="2540794"/>
          <a:ext cx="304800" cy="3048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47624</xdr:colOff>
          <xdr:row>8</xdr:row>
          <xdr:rowOff>47624</xdr:rowOff>
        </xdr:from>
        <xdr:to>
          <xdr:col>13</xdr:col>
          <xdr:colOff>19049</xdr:colOff>
          <xdr:row>9</xdr:row>
          <xdr:rowOff>85724</xdr:rowOff>
        </xdr:to>
        <xdr:pic>
          <xdr:nvPicPr>
            <xdr:cNvPr id="28" name="Imagen 28">
              <a:extLst>
                <a:ext uri="{FF2B5EF4-FFF2-40B4-BE49-F238E27FC236}">
                  <a16:creationId xmlns:a16="http://schemas.microsoft.com/office/drawing/2014/main" xmlns="" id="{00000000-0008-0000-03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1" spid="_x0000_s2949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724774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47624</xdr:colOff>
          <xdr:row>12</xdr:row>
          <xdr:rowOff>43655</xdr:rowOff>
        </xdr:from>
        <xdr:to>
          <xdr:col>13</xdr:col>
          <xdr:colOff>19049</xdr:colOff>
          <xdr:row>13</xdr:row>
          <xdr:rowOff>81755</xdr:rowOff>
        </xdr:to>
        <xdr:pic>
          <xdr:nvPicPr>
            <xdr:cNvPr id="29" name="Imagen 29">
              <a:extLst>
                <a:ext uri="{FF2B5EF4-FFF2-40B4-BE49-F238E27FC236}">
                  <a16:creationId xmlns:a16="http://schemas.microsoft.com/office/drawing/2014/main" xmlns="" id="{00000000-0008-0000-0300-00001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2" spid="_x0000_s2950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24774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47624</xdr:colOff>
          <xdr:row>16</xdr:row>
          <xdr:rowOff>39685</xdr:rowOff>
        </xdr:from>
        <xdr:to>
          <xdr:col>13</xdr:col>
          <xdr:colOff>19049</xdr:colOff>
          <xdr:row>17</xdr:row>
          <xdr:rowOff>77785</xdr:rowOff>
        </xdr:to>
        <xdr:pic>
          <xdr:nvPicPr>
            <xdr:cNvPr id="30" name="Imagen 30">
              <a:extLst>
                <a:ext uri="{FF2B5EF4-FFF2-40B4-BE49-F238E27FC236}">
                  <a16:creationId xmlns:a16="http://schemas.microsoft.com/office/drawing/2014/main" xmlns="" id="{00000000-0008-0000-0300-00001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3" spid="_x0000_s2951"/>
                </a:ext>
              </a:extLst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724774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36909</xdr:colOff>
          <xdr:row>20</xdr:row>
          <xdr:rowOff>38098</xdr:rowOff>
        </xdr:from>
        <xdr:to>
          <xdr:col>13</xdr:col>
          <xdr:colOff>8334</xdr:colOff>
          <xdr:row>21</xdr:row>
          <xdr:rowOff>76198</xdr:rowOff>
        </xdr:to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xmlns="" id="{00000000-0008-0000-0300-00001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B_4" spid="_x0000_s2952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714059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70" name="CuadroTexto 6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300-000046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xmlns="" id="{00000000-0008-0000-0300-000047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xmlns="" id="{00000000-0008-0000-0300-000049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xmlns="" id="{00000000-0008-0000-0300-00004A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75" name="Grupo 74">
          <a:extLst>
            <a:ext uri="{FF2B5EF4-FFF2-40B4-BE49-F238E27FC236}">
              <a16:creationId xmlns:a16="http://schemas.microsoft.com/office/drawing/2014/main" xmlns="" id="{00000000-0008-0000-0300-00004B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76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300-00004C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77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300-00004D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78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300-00004E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79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300-00004F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80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300-000050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81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300-000051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82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300-000052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83" name="Rounded Rectangle 3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xmlns="" id="{00000000-0008-0000-0300-000053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84" name="CuadroTexto 8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00000000-0008-0000-0300-000054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8</xdr:row>
          <xdr:rowOff>47624</xdr:rowOff>
        </xdr:from>
        <xdr:to>
          <xdr:col>13</xdr:col>
          <xdr:colOff>30955</xdr:colOff>
          <xdr:row>9</xdr:row>
          <xdr:rowOff>85724</xdr:rowOff>
        </xdr:to>
        <xdr:pic>
          <xdr:nvPicPr>
            <xdr:cNvPr id="17" name="Imagen 28">
              <a:extLst>
                <a:ext uri="{FF2B5EF4-FFF2-40B4-BE49-F238E27FC236}">
                  <a16:creationId xmlns:a16="http://schemas.microsoft.com/office/drawing/2014/main" xmlns="" id="{00000000-0008-0000-0400-00001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1" spid="_x0000_s394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36680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12</xdr:row>
          <xdr:rowOff>43655</xdr:rowOff>
        </xdr:from>
        <xdr:to>
          <xdr:col>13</xdr:col>
          <xdr:colOff>30955</xdr:colOff>
          <xdr:row>13</xdr:row>
          <xdr:rowOff>81755</xdr:rowOff>
        </xdr:to>
        <xdr:pic>
          <xdr:nvPicPr>
            <xdr:cNvPr id="21" name="Imagen 29">
              <a:extLst>
                <a:ext uri="{FF2B5EF4-FFF2-40B4-BE49-F238E27FC236}">
                  <a16:creationId xmlns:a16="http://schemas.microsoft.com/office/drawing/2014/main" xmlns="" id="{00000000-0008-0000-04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2" spid="_x0000_s3946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6680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16</xdr:row>
          <xdr:rowOff>39685</xdr:rowOff>
        </xdr:from>
        <xdr:to>
          <xdr:col>13</xdr:col>
          <xdr:colOff>30955</xdr:colOff>
          <xdr:row>17</xdr:row>
          <xdr:rowOff>77785</xdr:rowOff>
        </xdr:to>
        <xdr:pic>
          <xdr:nvPicPr>
            <xdr:cNvPr id="22" name="Imagen 30">
              <a:extLst>
                <a:ext uri="{FF2B5EF4-FFF2-40B4-BE49-F238E27FC236}">
                  <a16:creationId xmlns:a16="http://schemas.microsoft.com/office/drawing/2014/main" xmlns="" id="{00000000-0008-0000-04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3" spid="_x0000_s3947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6680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48815</xdr:colOff>
          <xdr:row>20</xdr:row>
          <xdr:rowOff>38098</xdr:rowOff>
        </xdr:from>
        <xdr:to>
          <xdr:col>13</xdr:col>
          <xdr:colOff>20240</xdr:colOff>
          <xdr:row>21</xdr:row>
          <xdr:rowOff>76198</xdr:rowOff>
        </xdr:to>
        <xdr:pic>
          <xdr:nvPicPr>
            <xdr:cNvPr id="23" name="Imagen 30">
              <a:extLst>
                <a:ext uri="{FF2B5EF4-FFF2-40B4-BE49-F238E27FC236}">
                  <a16:creationId xmlns:a16="http://schemas.microsoft.com/office/drawing/2014/main" xmlns="" id="{00000000-0008-0000-04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C_4" spid="_x0000_s3948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25965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33337</xdr:colOff>
      <xdr:row>4</xdr:row>
      <xdr:rowOff>0</xdr:rowOff>
    </xdr:from>
    <xdr:to>
      <xdr:col>4</xdr:col>
      <xdr:colOff>338137</xdr:colOff>
      <xdr:row>5</xdr:row>
      <xdr:rowOff>102394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387" y="1781175"/>
          <a:ext cx="304800" cy="3024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</xdr:colOff>
      <xdr:row>8</xdr:row>
      <xdr:rowOff>0</xdr:rowOff>
    </xdr:from>
    <xdr:to>
      <xdr:col>4</xdr:col>
      <xdr:colOff>338137</xdr:colOff>
      <xdr:row>9</xdr:row>
      <xdr:rowOff>102394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387" y="2219325"/>
          <a:ext cx="304800" cy="3024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</xdr:colOff>
      <xdr:row>12</xdr:row>
      <xdr:rowOff>28575</xdr:rowOff>
    </xdr:from>
    <xdr:to>
      <xdr:col>4</xdr:col>
      <xdr:colOff>338137</xdr:colOff>
      <xdr:row>14</xdr:row>
      <xdr:rowOff>7144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387" y="2686050"/>
          <a:ext cx="304800" cy="302419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0</xdr:rowOff>
    </xdr:from>
    <xdr:to>
      <xdr:col>4</xdr:col>
      <xdr:colOff>328612</xdr:colOff>
      <xdr:row>21</xdr:row>
      <xdr:rowOff>102394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</xdr:colOff>
      <xdr:row>16</xdr:row>
      <xdr:rowOff>19050</xdr:rowOff>
    </xdr:from>
    <xdr:to>
      <xdr:col>4</xdr:col>
      <xdr:colOff>338137</xdr:colOff>
      <xdr:row>17</xdr:row>
      <xdr:rowOff>121443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8387" y="3114675"/>
          <a:ext cx="304800" cy="302418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0</xdr:rowOff>
    </xdr:from>
    <xdr:to>
      <xdr:col>8</xdr:col>
      <xdr:colOff>381000</xdr:colOff>
      <xdr:row>21</xdr:row>
      <xdr:rowOff>102394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0</xdr:rowOff>
    </xdr:from>
    <xdr:to>
      <xdr:col>4</xdr:col>
      <xdr:colOff>328612</xdr:colOff>
      <xdr:row>25</xdr:row>
      <xdr:rowOff>102394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</xdr:row>
      <xdr:rowOff>0</xdr:rowOff>
    </xdr:from>
    <xdr:to>
      <xdr:col>8</xdr:col>
      <xdr:colOff>371475</xdr:colOff>
      <xdr:row>5</xdr:row>
      <xdr:rowOff>102394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1781175"/>
          <a:ext cx="304800" cy="302419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0</xdr:rowOff>
    </xdr:from>
    <xdr:to>
      <xdr:col>8</xdr:col>
      <xdr:colOff>381000</xdr:colOff>
      <xdr:row>25</xdr:row>
      <xdr:rowOff>102394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16</xdr:row>
      <xdr:rowOff>16669</xdr:rowOff>
    </xdr:from>
    <xdr:to>
      <xdr:col>8</xdr:col>
      <xdr:colOff>371475</xdr:colOff>
      <xdr:row>18</xdr:row>
      <xdr:rowOff>0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112294"/>
          <a:ext cx="304800" cy="307181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8</xdr:row>
      <xdr:rowOff>16669</xdr:rowOff>
    </xdr:from>
    <xdr:to>
      <xdr:col>8</xdr:col>
      <xdr:colOff>371475</xdr:colOff>
      <xdr:row>10</xdr:row>
      <xdr:rowOff>0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2235994"/>
          <a:ext cx="304800" cy="307181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12</xdr:row>
      <xdr:rowOff>16668</xdr:rowOff>
    </xdr:from>
    <xdr:to>
      <xdr:col>8</xdr:col>
      <xdr:colOff>371475</xdr:colOff>
      <xdr:row>14</xdr:row>
      <xdr:rowOff>0</xdr:rowOff>
    </xdr:to>
    <xdr:pic>
      <xdr:nvPicPr>
        <xdr:cNvPr id="31" name="30 Imagen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2674143"/>
          <a:ext cx="304800" cy="307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xmlns="" id="{00000000-0008-0000-0400-00003A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xmlns="" id="{00000000-0008-0000-04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xmlns="" id="{00000000-0008-0000-0400-00003D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xmlns="" id="{00000000-0008-0000-0400-00003E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xmlns="" id="{00000000-0008-0000-0400-00003F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64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400-000040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65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400-000041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66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400-000042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67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400-000043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68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400-000044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69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400-000045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70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400-000046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71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400-000047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72" name="CuadroTexto 7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400-000048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</xdr:colOff>
          <xdr:row>8</xdr:row>
          <xdr:rowOff>47624</xdr:rowOff>
        </xdr:from>
        <xdr:to>
          <xdr:col>12</xdr:col>
          <xdr:colOff>385762</xdr:colOff>
          <xdr:row>9</xdr:row>
          <xdr:rowOff>85724</xdr:rowOff>
        </xdr:to>
        <xdr:pic>
          <xdr:nvPicPr>
            <xdr:cNvPr id="15" name="Imagen 28">
              <a:extLst>
                <a:ext uri="{FF2B5EF4-FFF2-40B4-BE49-F238E27FC236}">
                  <a16:creationId xmlns:a16="http://schemas.microsoft.com/office/drawing/2014/main" xmlns="" id="{00000000-0008-0000-05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1" spid="_x0000_s496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00962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</xdr:colOff>
          <xdr:row>12</xdr:row>
          <xdr:rowOff>43655</xdr:rowOff>
        </xdr:from>
        <xdr:to>
          <xdr:col>12</xdr:col>
          <xdr:colOff>385762</xdr:colOff>
          <xdr:row>13</xdr:row>
          <xdr:rowOff>81755</xdr:rowOff>
        </xdr:to>
        <xdr:pic>
          <xdr:nvPicPr>
            <xdr:cNvPr id="26" name="Imagen 29">
              <a:extLst>
                <a:ext uri="{FF2B5EF4-FFF2-40B4-BE49-F238E27FC236}">
                  <a16:creationId xmlns:a16="http://schemas.microsoft.com/office/drawing/2014/main" xmlns="" id="{00000000-0008-0000-05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2" spid="_x0000_s4970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00962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</xdr:colOff>
          <xdr:row>16</xdr:row>
          <xdr:rowOff>39685</xdr:rowOff>
        </xdr:from>
        <xdr:to>
          <xdr:col>12</xdr:col>
          <xdr:colOff>385762</xdr:colOff>
          <xdr:row>17</xdr:row>
          <xdr:rowOff>77785</xdr:rowOff>
        </xdr:to>
        <xdr:pic>
          <xdr:nvPicPr>
            <xdr:cNvPr id="27" name="Imagen 30">
              <a:extLst>
                <a:ext uri="{FF2B5EF4-FFF2-40B4-BE49-F238E27FC236}">
                  <a16:creationId xmlns:a16="http://schemas.microsoft.com/office/drawing/2014/main" xmlns="" id="{00000000-0008-0000-0500-00001B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3" spid="_x0000_s4971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00962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13097</xdr:colOff>
          <xdr:row>20</xdr:row>
          <xdr:rowOff>38098</xdr:rowOff>
        </xdr:from>
        <xdr:to>
          <xdr:col>12</xdr:col>
          <xdr:colOff>375047</xdr:colOff>
          <xdr:row>21</xdr:row>
          <xdr:rowOff>76198</xdr:rowOff>
        </xdr:to>
        <xdr:pic>
          <xdr:nvPicPr>
            <xdr:cNvPr id="28" name="Imagen 30">
              <a:extLst>
                <a:ext uri="{FF2B5EF4-FFF2-40B4-BE49-F238E27FC236}">
                  <a16:creationId xmlns:a16="http://schemas.microsoft.com/office/drawing/2014/main" xmlns="" id="{00000000-0008-0000-0500-00001C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D_4" spid="_x0000_s4972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90247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23812</xdr:colOff>
      <xdr:row>4</xdr:row>
      <xdr:rowOff>0</xdr:rowOff>
    </xdr:from>
    <xdr:to>
      <xdr:col>4</xdr:col>
      <xdr:colOff>328612</xdr:colOff>
      <xdr:row>5</xdr:row>
      <xdr:rowOff>102394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0</xdr:rowOff>
    </xdr:from>
    <xdr:to>
      <xdr:col>4</xdr:col>
      <xdr:colOff>328612</xdr:colOff>
      <xdr:row>9</xdr:row>
      <xdr:rowOff>102394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524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0</xdr:rowOff>
    </xdr:from>
    <xdr:to>
      <xdr:col>4</xdr:col>
      <xdr:colOff>328612</xdr:colOff>
      <xdr:row>25</xdr:row>
      <xdr:rowOff>102394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0</xdr:rowOff>
    </xdr:from>
    <xdr:to>
      <xdr:col>4</xdr:col>
      <xdr:colOff>328612</xdr:colOff>
      <xdr:row>21</xdr:row>
      <xdr:rowOff>102394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0</xdr:rowOff>
    </xdr:from>
    <xdr:to>
      <xdr:col>8</xdr:col>
      <xdr:colOff>381000</xdr:colOff>
      <xdr:row>25</xdr:row>
      <xdr:rowOff>102394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0</xdr:rowOff>
    </xdr:from>
    <xdr:to>
      <xdr:col>8</xdr:col>
      <xdr:colOff>381000</xdr:colOff>
      <xdr:row>21</xdr:row>
      <xdr:rowOff>102394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0</xdr:rowOff>
    </xdr:from>
    <xdr:to>
      <xdr:col>8</xdr:col>
      <xdr:colOff>381000</xdr:colOff>
      <xdr:row>9</xdr:row>
      <xdr:rowOff>102394</xdr:rowOff>
    </xdr:to>
    <xdr:pic>
      <xdr:nvPicPr>
        <xdr:cNvPr id="31" name="30 Imagen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2524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16</xdr:row>
      <xdr:rowOff>0</xdr:rowOff>
    </xdr:from>
    <xdr:to>
      <xdr:col>8</xdr:col>
      <xdr:colOff>381000</xdr:colOff>
      <xdr:row>17</xdr:row>
      <xdr:rowOff>102394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34051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0</xdr:rowOff>
    </xdr:from>
    <xdr:to>
      <xdr:col>4</xdr:col>
      <xdr:colOff>328612</xdr:colOff>
      <xdr:row>13</xdr:row>
      <xdr:rowOff>102393</xdr:rowOff>
    </xdr:to>
    <xdr:pic>
      <xdr:nvPicPr>
        <xdr:cNvPr id="33" name="32 Imagen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0</xdr:rowOff>
    </xdr:from>
    <xdr:to>
      <xdr:col>8</xdr:col>
      <xdr:colOff>381000</xdr:colOff>
      <xdr:row>13</xdr:row>
      <xdr:rowOff>102393</xdr:rowOff>
    </xdr:to>
    <xdr:pic>
      <xdr:nvPicPr>
        <xdr:cNvPr id="34" name="33 Imagen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0</xdr:rowOff>
    </xdr:from>
    <xdr:to>
      <xdr:col>4</xdr:col>
      <xdr:colOff>328612</xdr:colOff>
      <xdr:row>17</xdr:row>
      <xdr:rowOff>102394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" y="34051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0</xdr:rowOff>
    </xdr:from>
    <xdr:to>
      <xdr:col>8</xdr:col>
      <xdr:colOff>381000</xdr:colOff>
      <xdr:row>5</xdr:row>
      <xdr:rowOff>102394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xmlns="" id="{00000000-0008-0000-0500-000034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63501</xdr:rowOff>
    </xdr:from>
    <xdr:to>
      <xdr:col>21</xdr:col>
      <xdr:colOff>7200</xdr:colOff>
      <xdr:row>0</xdr:row>
      <xdr:rowOff>451882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xmlns="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1"/>
          <a:ext cx="10980000" cy="388381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xmlns="" id="{00000000-0008-0000-0500-000037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xmlns="" id="{00000000-0008-0000-0500-000038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xmlns="" id="{00000000-0008-0000-0500-000039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58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500-00003A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59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500-00003B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60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500-00003C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61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500-00003D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62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500-00003E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63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64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65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66" name="CuadroTexto 65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500-000042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8</xdr:row>
          <xdr:rowOff>47624</xdr:rowOff>
        </xdr:from>
        <xdr:to>
          <xdr:col>13</xdr:col>
          <xdr:colOff>30955</xdr:colOff>
          <xdr:row>9</xdr:row>
          <xdr:rowOff>85724</xdr:rowOff>
        </xdr:to>
        <xdr:pic>
          <xdr:nvPicPr>
            <xdr:cNvPr id="19" name="Imagen 28">
              <a:extLst>
                <a:ext uri="{FF2B5EF4-FFF2-40B4-BE49-F238E27FC236}">
                  <a16:creationId xmlns:a16="http://schemas.microsoft.com/office/drawing/2014/main" xmlns="" id="{00000000-0008-0000-0600-00001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1" spid="_x0000_s599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36680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12</xdr:row>
          <xdr:rowOff>43655</xdr:rowOff>
        </xdr:from>
        <xdr:to>
          <xdr:col>13</xdr:col>
          <xdr:colOff>30955</xdr:colOff>
          <xdr:row>13</xdr:row>
          <xdr:rowOff>81755</xdr:rowOff>
        </xdr:to>
        <xdr:pic>
          <xdr:nvPicPr>
            <xdr:cNvPr id="20" name="Imagen 29">
              <a:extLst>
                <a:ext uri="{FF2B5EF4-FFF2-40B4-BE49-F238E27FC236}">
                  <a16:creationId xmlns:a16="http://schemas.microsoft.com/office/drawing/2014/main" xmlns="" id="{00000000-0008-0000-0600-00001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2" spid="_x0000_s5994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6680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16</xdr:row>
          <xdr:rowOff>39685</xdr:rowOff>
        </xdr:from>
        <xdr:to>
          <xdr:col>13</xdr:col>
          <xdr:colOff>30955</xdr:colOff>
          <xdr:row>17</xdr:row>
          <xdr:rowOff>77785</xdr:rowOff>
        </xdr:to>
        <xdr:pic>
          <xdr:nvPicPr>
            <xdr:cNvPr id="21" name="Imagen 30">
              <a:extLst>
                <a:ext uri="{FF2B5EF4-FFF2-40B4-BE49-F238E27FC236}">
                  <a16:creationId xmlns:a16="http://schemas.microsoft.com/office/drawing/2014/main" xmlns="" id="{00000000-0008-0000-06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3" spid="_x0000_s5995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6680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48815</xdr:colOff>
          <xdr:row>20</xdr:row>
          <xdr:rowOff>38098</xdr:rowOff>
        </xdr:from>
        <xdr:to>
          <xdr:col>13</xdr:col>
          <xdr:colOff>20240</xdr:colOff>
          <xdr:row>21</xdr:row>
          <xdr:rowOff>76198</xdr:rowOff>
        </xdr:to>
        <xdr:pic>
          <xdr:nvPicPr>
            <xdr:cNvPr id="22" name="Imagen 30">
              <a:extLst>
                <a:ext uri="{FF2B5EF4-FFF2-40B4-BE49-F238E27FC236}">
                  <a16:creationId xmlns:a16="http://schemas.microsoft.com/office/drawing/2014/main" xmlns="" id="{00000000-0008-0000-06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E_4" spid="_x0000_s5996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25965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23812</xdr:colOff>
      <xdr:row>4</xdr:row>
      <xdr:rowOff>16669</xdr:rowOff>
    </xdr:from>
    <xdr:to>
      <xdr:col>4</xdr:col>
      <xdr:colOff>328612</xdr:colOff>
      <xdr:row>6</xdr:row>
      <xdr:rowOff>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0</xdr:rowOff>
    </xdr:from>
    <xdr:to>
      <xdr:col>4</xdr:col>
      <xdr:colOff>328612</xdr:colOff>
      <xdr:row>9</xdr:row>
      <xdr:rowOff>102394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524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16669</xdr:rowOff>
    </xdr:from>
    <xdr:to>
      <xdr:col>4</xdr:col>
      <xdr:colOff>328612</xdr:colOff>
      <xdr:row>22</xdr:row>
      <xdr:rowOff>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</xdr:col>
      <xdr:colOff>964407</xdr:colOff>
      <xdr:row>24</xdr:row>
      <xdr:rowOff>0</xdr:rowOff>
    </xdr:from>
    <xdr:to>
      <xdr:col>5</xdr:col>
      <xdr:colOff>23813</xdr:colOff>
      <xdr:row>25</xdr:row>
      <xdr:rowOff>102394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907" y="4286250"/>
          <a:ext cx="488156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0</xdr:rowOff>
    </xdr:from>
    <xdr:to>
      <xdr:col>8</xdr:col>
      <xdr:colOff>381000</xdr:colOff>
      <xdr:row>13</xdr:row>
      <xdr:rowOff>102393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0</xdr:rowOff>
    </xdr:from>
    <xdr:to>
      <xdr:col>8</xdr:col>
      <xdr:colOff>381000</xdr:colOff>
      <xdr:row>21</xdr:row>
      <xdr:rowOff>102394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0</xdr:rowOff>
    </xdr:from>
    <xdr:to>
      <xdr:col>4</xdr:col>
      <xdr:colOff>328612</xdr:colOff>
      <xdr:row>17</xdr:row>
      <xdr:rowOff>102394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34051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297657</xdr:colOff>
      <xdr:row>16</xdr:row>
      <xdr:rowOff>0</xdr:rowOff>
    </xdr:from>
    <xdr:to>
      <xdr:col>9</xdr:col>
      <xdr:colOff>83345</xdr:colOff>
      <xdr:row>17</xdr:row>
      <xdr:rowOff>102394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532" y="3405188"/>
          <a:ext cx="488156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0</xdr:rowOff>
    </xdr:from>
    <xdr:to>
      <xdr:col>8</xdr:col>
      <xdr:colOff>381000</xdr:colOff>
      <xdr:row>25</xdr:row>
      <xdr:rowOff>102394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16669</xdr:rowOff>
    </xdr:from>
    <xdr:to>
      <xdr:col>4</xdr:col>
      <xdr:colOff>328612</xdr:colOff>
      <xdr:row>14</xdr:row>
      <xdr:rowOff>0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981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16669</xdr:rowOff>
    </xdr:from>
    <xdr:to>
      <xdr:col>8</xdr:col>
      <xdr:colOff>381000</xdr:colOff>
      <xdr:row>6</xdr:row>
      <xdr:rowOff>0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297657</xdr:colOff>
      <xdr:row>8</xdr:row>
      <xdr:rowOff>16669</xdr:rowOff>
    </xdr:from>
    <xdr:to>
      <xdr:col>9</xdr:col>
      <xdr:colOff>83345</xdr:colOff>
      <xdr:row>10</xdr:row>
      <xdr:rowOff>0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8532" y="2540794"/>
          <a:ext cx="488156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37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600-000025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38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600-000026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39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600-000027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40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600-000028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41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600-000029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42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600-00002A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43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600-00002B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44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600-00002C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45" name="CuadroTexto 4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8</xdr:row>
          <xdr:rowOff>47624</xdr:rowOff>
        </xdr:from>
        <xdr:to>
          <xdr:col>13</xdr:col>
          <xdr:colOff>30955</xdr:colOff>
          <xdr:row>9</xdr:row>
          <xdr:rowOff>85724</xdr:rowOff>
        </xdr:to>
        <xdr:pic>
          <xdr:nvPicPr>
            <xdr:cNvPr id="21" name="Imagen 28">
              <a:extLst>
                <a:ext uri="{FF2B5EF4-FFF2-40B4-BE49-F238E27FC236}">
                  <a16:creationId xmlns:a16="http://schemas.microsoft.com/office/drawing/2014/main" xmlns="" id="{00000000-0008-0000-07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1" spid="_x0000_s701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36680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12</xdr:row>
          <xdr:rowOff>43655</xdr:rowOff>
        </xdr:from>
        <xdr:to>
          <xdr:col>13</xdr:col>
          <xdr:colOff>30955</xdr:colOff>
          <xdr:row>13</xdr:row>
          <xdr:rowOff>81755</xdr:rowOff>
        </xdr:to>
        <xdr:pic>
          <xdr:nvPicPr>
            <xdr:cNvPr id="22" name="Imagen 29">
              <a:extLst>
                <a:ext uri="{FF2B5EF4-FFF2-40B4-BE49-F238E27FC236}">
                  <a16:creationId xmlns:a16="http://schemas.microsoft.com/office/drawing/2014/main" xmlns="" id="{00000000-0008-0000-07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2" spid="_x0000_s7018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6680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16</xdr:row>
          <xdr:rowOff>39685</xdr:rowOff>
        </xdr:from>
        <xdr:to>
          <xdr:col>13</xdr:col>
          <xdr:colOff>30955</xdr:colOff>
          <xdr:row>17</xdr:row>
          <xdr:rowOff>77785</xdr:rowOff>
        </xdr:to>
        <xdr:pic>
          <xdr:nvPicPr>
            <xdr:cNvPr id="23" name="Imagen 30">
              <a:extLst>
                <a:ext uri="{FF2B5EF4-FFF2-40B4-BE49-F238E27FC236}">
                  <a16:creationId xmlns:a16="http://schemas.microsoft.com/office/drawing/2014/main" xmlns="" id="{00000000-0008-0000-0700-00001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3" spid="_x0000_s7019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6680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48815</xdr:colOff>
          <xdr:row>20</xdr:row>
          <xdr:rowOff>38098</xdr:rowOff>
        </xdr:from>
        <xdr:to>
          <xdr:col>13</xdr:col>
          <xdr:colOff>20240</xdr:colOff>
          <xdr:row>21</xdr:row>
          <xdr:rowOff>76198</xdr:rowOff>
        </xdr:to>
        <xdr:pic>
          <xdr:nvPicPr>
            <xdr:cNvPr id="24" name="Imagen 30">
              <a:extLst>
                <a:ext uri="{FF2B5EF4-FFF2-40B4-BE49-F238E27FC236}">
                  <a16:creationId xmlns:a16="http://schemas.microsoft.com/office/drawing/2014/main" xmlns="" id="{00000000-0008-0000-0700-000018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F_4" spid="_x0000_s7020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25965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23812</xdr:colOff>
      <xdr:row>4</xdr:row>
      <xdr:rowOff>0</xdr:rowOff>
    </xdr:from>
    <xdr:to>
      <xdr:col>4</xdr:col>
      <xdr:colOff>328612</xdr:colOff>
      <xdr:row>5</xdr:row>
      <xdr:rowOff>102394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0</xdr:rowOff>
    </xdr:from>
    <xdr:to>
      <xdr:col>4</xdr:col>
      <xdr:colOff>328612</xdr:colOff>
      <xdr:row>9</xdr:row>
      <xdr:rowOff>102394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524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16668</xdr:rowOff>
    </xdr:from>
    <xdr:to>
      <xdr:col>4</xdr:col>
      <xdr:colOff>328612</xdr:colOff>
      <xdr:row>18</xdr:row>
      <xdr:rowOff>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0</xdr:rowOff>
    </xdr:from>
    <xdr:to>
      <xdr:col>4</xdr:col>
      <xdr:colOff>328612</xdr:colOff>
      <xdr:row>25</xdr:row>
      <xdr:rowOff>102394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0</xdr:rowOff>
    </xdr:from>
    <xdr:to>
      <xdr:col>4</xdr:col>
      <xdr:colOff>328612</xdr:colOff>
      <xdr:row>13</xdr:row>
      <xdr:rowOff>102393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7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0</xdr:rowOff>
    </xdr:from>
    <xdr:to>
      <xdr:col>8</xdr:col>
      <xdr:colOff>381000</xdr:colOff>
      <xdr:row>13</xdr:row>
      <xdr:rowOff>102393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16669</xdr:rowOff>
    </xdr:from>
    <xdr:to>
      <xdr:col>4</xdr:col>
      <xdr:colOff>328612</xdr:colOff>
      <xdr:row>22</xdr:row>
      <xdr:rowOff>0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xmlns="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16669</xdr:rowOff>
    </xdr:from>
    <xdr:to>
      <xdr:col>8</xdr:col>
      <xdr:colOff>381000</xdr:colOff>
      <xdr:row>6</xdr:row>
      <xdr:rowOff>0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xmlns="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16669</xdr:rowOff>
    </xdr:from>
    <xdr:to>
      <xdr:col>8</xdr:col>
      <xdr:colOff>381000</xdr:colOff>
      <xdr:row>22</xdr:row>
      <xdr:rowOff>0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7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16669</xdr:rowOff>
    </xdr:from>
    <xdr:to>
      <xdr:col>8</xdr:col>
      <xdr:colOff>381000</xdr:colOff>
      <xdr:row>26</xdr:row>
      <xdr:rowOff>0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43029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16669</xdr:rowOff>
    </xdr:from>
    <xdr:to>
      <xdr:col>8</xdr:col>
      <xdr:colOff>381000</xdr:colOff>
      <xdr:row>10</xdr:row>
      <xdr:rowOff>0</xdr:rowOff>
    </xdr:to>
    <xdr:pic>
      <xdr:nvPicPr>
        <xdr:cNvPr id="31" name="30 Imagen">
          <a:extLst>
            <a:ext uri="{FF2B5EF4-FFF2-40B4-BE49-F238E27FC236}">
              <a16:creationId xmlns:a16="http://schemas.microsoft.com/office/drawing/2014/main" xmlns="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25407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16</xdr:row>
      <xdr:rowOff>16668</xdr:rowOff>
    </xdr:from>
    <xdr:to>
      <xdr:col>8</xdr:col>
      <xdr:colOff>381000</xdr:colOff>
      <xdr:row>18</xdr:row>
      <xdr:rowOff>0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38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xmlns="" id="{00000000-0008-0000-0700-000021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xmlns="" id="{00000000-0008-0000-0700-000022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xmlns="" id="{00000000-0008-0000-0700-000024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xmlns="" id="{00000000-0008-0000-0700-000025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xmlns="" id="{00000000-0008-0000-0700-000026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39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700-000027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40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700-000028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41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700-000029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42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700-00002A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43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700-00002B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44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700-00002C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45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700-00002D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46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700-00002E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47" name="CuadroTexto 4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700-00002F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8</xdr:row>
          <xdr:rowOff>47624</xdr:rowOff>
        </xdr:from>
        <xdr:to>
          <xdr:col>13</xdr:col>
          <xdr:colOff>30955</xdr:colOff>
          <xdr:row>9</xdr:row>
          <xdr:rowOff>85724</xdr:rowOff>
        </xdr:to>
        <xdr:pic>
          <xdr:nvPicPr>
            <xdr:cNvPr id="14" name="Imagen 28">
              <a:extLst>
                <a:ext uri="{FF2B5EF4-FFF2-40B4-BE49-F238E27FC236}">
                  <a16:creationId xmlns:a16="http://schemas.microsoft.com/office/drawing/2014/main" xmlns="" id="{00000000-0008-0000-0800-00000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1" spid="_x0000_s804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36680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12</xdr:row>
          <xdr:rowOff>43655</xdr:rowOff>
        </xdr:from>
        <xdr:to>
          <xdr:col>13</xdr:col>
          <xdr:colOff>30955</xdr:colOff>
          <xdr:row>13</xdr:row>
          <xdr:rowOff>81755</xdr:rowOff>
        </xdr:to>
        <xdr:pic>
          <xdr:nvPicPr>
            <xdr:cNvPr id="15" name="Imagen 29">
              <a:extLst>
                <a:ext uri="{FF2B5EF4-FFF2-40B4-BE49-F238E27FC236}">
                  <a16:creationId xmlns:a16="http://schemas.microsoft.com/office/drawing/2014/main" xmlns="" id="{00000000-0008-0000-0800-00000F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2" spid="_x0000_s8042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6680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16</xdr:row>
          <xdr:rowOff>39685</xdr:rowOff>
        </xdr:from>
        <xdr:to>
          <xdr:col>13</xdr:col>
          <xdr:colOff>30955</xdr:colOff>
          <xdr:row>17</xdr:row>
          <xdr:rowOff>77785</xdr:rowOff>
        </xdr:to>
        <xdr:pic>
          <xdr:nvPicPr>
            <xdr:cNvPr id="16" name="Imagen 30">
              <a:extLst>
                <a:ext uri="{FF2B5EF4-FFF2-40B4-BE49-F238E27FC236}">
                  <a16:creationId xmlns:a16="http://schemas.microsoft.com/office/drawing/2014/main" xmlns="" id="{00000000-0008-0000-0800-000010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3" spid="_x0000_s8043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6680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48815</xdr:colOff>
          <xdr:row>20</xdr:row>
          <xdr:rowOff>38098</xdr:rowOff>
        </xdr:from>
        <xdr:to>
          <xdr:col>13</xdr:col>
          <xdr:colOff>20240</xdr:colOff>
          <xdr:row>21</xdr:row>
          <xdr:rowOff>76198</xdr:rowOff>
        </xdr:to>
        <xdr:pic>
          <xdr:nvPicPr>
            <xdr:cNvPr id="17" name="Imagen 30">
              <a:extLst>
                <a:ext uri="{FF2B5EF4-FFF2-40B4-BE49-F238E27FC236}">
                  <a16:creationId xmlns:a16="http://schemas.microsoft.com/office/drawing/2014/main" xmlns="" id="{00000000-0008-0000-0800-000011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G_4" spid="_x0000_s8044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25965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23812</xdr:colOff>
      <xdr:row>4</xdr:row>
      <xdr:rowOff>0</xdr:rowOff>
    </xdr:from>
    <xdr:to>
      <xdr:col>4</xdr:col>
      <xdr:colOff>328612</xdr:colOff>
      <xdr:row>5</xdr:row>
      <xdr:rowOff>102394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40481</xdr:rowOff>
    </xdr:from>
    <xdr:to>
      <xdr:col>4</xdr:col>
      <xdr:colOff>328612</xdr:colOff>
      <xdr:row>10</xdr:row>
      <xdr:rowOff>23812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56460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16668</xdr:rowOff>
    </xdr:from>
    <xdr:to>
      <xdr:col>4</xdr:col>
      <xdr:colOff>328612</xdr:colOff>
      <xdr:row>18</xdr:row>
      <xdr:rowOff>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0</xdr:rowOff>
    </xdr:from>
    <xdr:to>
      <xdr:col>4</xdr:col>
      <xdr:colOff>328612</xdr:colOff>
      <xdr:row>25</xdr:row>
      <xdr:rowOff>102394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16669</xdr:rowOff>
    </xdr:from>
    <xdr:to>
      <xdr:col>8</xdr:col>
      <xdr:colOff>381000</xdr:colOff>
      <xdr:row>22</xdr:row>
      <xdr:rowOff>0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16669</xdr:rowOff>
    </xdr:from>
    <xdr:to>
      <xdr:col>8</xdr:col>
      <xdr:colOff>381000</xdr:colOff>
      <xdr:row>26</xdr:row>
      <xdr:rowOff>0</xdr:rowOff>
    </xdr:to>
    <xdr:pic>
      <xdr:nvPicPr>
        <xdr:cNvPr id="31" name="30 Imagen">
          <a:extLst>
            <a:ext uri="{FF2B5EF4-FFF2-40B4-BE49-F238E27FC236}">
              <a16:creationId xmlns:a16="http://schemas.microsoft.com/office/drawing/2014/main" xmlns="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029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16669</xdr:rowOff>
    </xdr:from>
    <xdr:to>
      <xdr:col>4</xdr:col>
      <xdr:colOff>328612</xdr:colOff>
      <xdr:row>22</xdr:row>
      <xdr:rowOff>0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xmlns="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38623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0</xdr:rowOff>
    </xdr:from>
    <xdr:to>
      <xdr:col>8</xdr:col>
      <xdr:colOff>381000</xdr:colOff>
      <xdr:row>5</xdr:row>
      <xdr:rowOff>102394</xdr:rowOff>
    </xdr:to>
    <xdr:pic>
      <xdr:nvPicPr>
        <xdr:cNvPr id="33" name="32 Imagen">
          <a:extLst>
            <a:ext uri="{FF2B5EF4-FFF2-40B4-BE49-F238E27FC236}">
              <a16:creationId xmlns:a16="http://schemas.microsoft.com/office/drawing/2014/main" xmlns="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16669</xdr:rowOff>
    </xdr:from>
    <xdr:to>
      <xdr:col>4</xdr:col>
      <xdr:colOff>328612</xdr:colOff>
      <xdr:row>14</xdr:row>
      <xdr:rowOff>0</xdr:rowOff>
    </xdr:to>
    <xdr:pic>
      <xdr:nvPicPr>
        <xdr:cNvPr id="34" name="33 Imagen">
          <a:extLst>
            <a:ext uri="{FF2B5EF4-FFF2-40B4-BE49-F238E27FC236}">
              <a16:creationId xmlns:a16="http://schemas.microsoft.com/office/drawing/2014/main" xmlns="" id="{00000000-0008-0000-08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981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0</xdr:rowOff>
    </xdr:from>
    <xdr:to>
      <xdr:col>8</xdr:col>
      <xdr:colOff>381000</xdr:colOff>
      <xdr:row>13</xdr:row>
      <xdr:rowOff>102393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xmlns="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0</xdr:rowOff>
    </xdr:from>
    <xdr:to>
      <xdr:col>8</xdr:col>
      <xdr:colOff>381000</xdr:colOff>
      <xdr:row>9</xdr:row>
      <xdr:rowOff>102394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xmlns="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524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16</xdr:row>
      <xdr:rowOff>16668</xdr:rowOff>
    </xdr:from>
    <xdr:to>
      <xdr:col>8</xdr:col>
      <xdr:colOff>381000</xdr:colOff>
      <xdr:row>18</xdr:row>
      <xdr:rowOff>0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xmlns="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xmlns="" id="{00000000-0008-0000-0800-000026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xmlns="" id="{00000000-0008-0000-0800-000027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8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xmlns="" id="{00000000-0008-0000-0800-000029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xmlns="" id="{00000000-0008-0000-0800-00002A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xmlns="" id="{00000000-0008-0000-0800-00002B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44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800-00002C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45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800-00002D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46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800-00002E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47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800-00002F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48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800-000030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49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800-000031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50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800-000032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51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800-000033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52" name="CuadroTexto 5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800-000034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8</xdr:row>
          <xdr:rowOff>47624</xdr:rowOff>
        </xdr:from>
        <xdr:to>
          <xdr:col>13</xdr:col>
          <xdr:colOff>30955</xdr:colOff>
          <xdr:row>9</xdr:row>
          <xdr:rowOff>85724</xdr:rowOff>
        </xdr:to>
        <xdr:pic>
          <xdr:nvPicPr>
            <xdr:cNvPr id="19" name="Imagen 28">
              <a:extLst>
                <a:ext uri="{FF2B5EF4-FFF2-40B4-BE49-F238E27FC236}">
                  <a16:creationId xmlns:a16="http://schemas.microsoft.com/office/drawing/2014/main" xmlns="" id="{00000000-0008-0000-0900-000013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1" spid="_x0000_s906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736680" y="2266949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12</xdr:row>
          <xdr:rowOff>43655</xdr:rowOff>
        </xdr:from>
        <xdr:to>
          <xdr:col>13</xdr:col>
          <xdr:colOff>30955</xdr:colOff>
          <xdr:row>13</xdr:row>
          <xdr:rowOff>81755</xdr:rowOff>
        </xdr:to>
        <xdr:pic>
          <xdr:nvPicPr>
            <xdr:cNvPr id="20" name="Imagen 29">
              <a:extLst>
                <a:ext uri="{FF2B5EF4-FFF2-40B4-BE49-F238E27FC236}">
                  <a16:creationId xmlns:a16="http://schemas.microsoft.com/office/drawing/2014/main" xmlns="" id="{00000000-0008-0000-0900-000014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2" spid="_x0000_s9066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36680" y="270113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59530</xdr:colOff>
          <xdr:row>16</xdr:row>
          <xdr:rowOff>39685</xdr:rowOff>
        </xdr:from>
        <xdr:to>
          <xdr:col>13</xdr:col>
          <xdr:colOff>30955</xdr:colOff>
          <xdr:row>17</xdr:row>
          <xdr:rowOff>77785</xdr:rowOff>
        </xdr:to>
        <xdr:pic>
          <xdr:nvPicPr>
            <xdr:cNvPr id="21" name="Imagen 30">
              <a:extLst>
                <a:ext uri="{FF2B5EF4-FFF2-40B4-BE49-F238E27FC236}">
                  <a16:creationId xmlns:a16="http://schemas.microsoft.com/office/drawing/2014/main" xmlns="" id="{00000000-0008-0000-0900-000015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3" spid="_x0000_s9067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36680" y="3135310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48815</xdr:colOff>
          <xdr:row>20</xdr:row>
          <xdr:rowOff>38098</xdr:rowOff>
        </xdr:from>
        <xdr:to>
          <xdr:col>13</xdr:col>
          <xdr:colOff>20240</xdr:colOff>
          <xdr:row>21</xdr:row>
          <xdr:rowOff>76198</xdr:rowOff>
        </xdr:to>
        <xdr:pic>
          <xdr:nvPicPr>
            <xdr:cNvPr id="22" name="Imagen 30">
              <a:extLst>
                <a:ext uri="{FF2B5EF4-FFF2-40B4-BE49-F238E27FC236}">
                  <a16:creationId xmlns:a16="http://schemas.microsoft.com/office/drawing/2014/main" xmlns="" id="{00000000-0008-0000-0900-00001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GH_4" spid="_x0000_s9068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25965" y="3571873"/>
              <a:ext cx="361950" cy="23812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</xdr:col>
      <xdr:colOff>23812</xdr:colOff>
      <xdr:row>4</xdr:row>
      <xdr:rowOff>0</xdr:rowOff>
    </xdr:from>
    <xdr:to>
      <xdr:col>4</xdr:col>
      <xdr:colOff>328612</xdr:colOff>
      <xdr:row>5</xdr:row>
      <xdr:rowOff>102394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083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8</xdr:row>
      <xdr:rowOff>16669</xdr:rowOff>
    </xdr:from>
    <xdr:to>
      <xdr:col>4</xdr:col>
      <xdr:colOff>328612</xdr:colOff>
      <xdr:row>10</xdr:row>
      <xdr:rowOff>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5407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16</xdr:row>
      <xdr:rowOff>0</xdr:rowOff>
    </xdr:from>
    <xdr:to>
      <xdr:col>4</xdr:col>
      <xdr:colOff>328612</xdr:colOff>
      <xdr:row>17</xdr:row>
      <xdr:rowOff>102394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3405188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24</xdr:row>
      <xdr:rowOff>16669</xdr:rowOff>
    </xdr:from>
    <xdr:to>
      <xdr:col>4</xdr:col>
      <xdr:colOff>328612</xdr:colOff>
      <xdr:row>26</xdr:row>
      <xdr:rowOff>0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43029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12</xdr:row>
      <xdr:rowOff>16669</xdr:rowOff>
    </xdr:from>
    <xdr:to>
      <xdr:col>4</xdr:col>
      <xdr:colOff>328612</xdr:colOff>
      <xdr:row>14</xdr:row>
      <xdr:rowOff>0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2981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12</xdr:row>
      <xdr:rowOff>0</xdr:rowOff>
    </xdr:from>
    <xdr:to>
      <xdr:col>8</xdr:col>
      <xdr:colOff>381000</xdr:colOff>
      <xdr:row>13</xdr:row>
      <xdr:rowOff>102393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9646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16669</xdr:rowOff>
    </xdr:from>
    <xdr:to>
      <xdr:col>8</xdr:col>
      <xdr:colOff>381000</xdr:colOff>
      <xdr:row>10</xdr:row>
      <xdr:rowOff>0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5407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16</xdr:row>
      <xdr:rowOff>16668</xdr:rowOff>
    </xdr:from>
    <xdr:to>
      <xdr:col>8</xdr:col>
      <xdr:colOff>381000</xdr:colOff>
      <xdr:row>18</xdr:row>
      <xdr:rowOff>0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3421856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20</xdr:row>
      <xdr:rowOff>0</xdr:rowOff>
    </xdr:from>
    <xdr:to>
      <xdr:col>8</xdr:col>
      <xdr:colOff>381000</xdr:colOff>
      <xdr:row>21</xdr:row>
      <xdr:rowOff>102394</xdr:rowOff>
    </xdr:to>
    <xdr:pic>
      <xdr:nvPicPr>
        <xdr:cNvPr id="27" name="26 Imagen">
          <a:extLst>
            <a:ext uri="{FF2B5EF4-FFF2-40B4-BE49-F238E27FC236}">
              <a16:creationId xmlns:a16="http://schemas.microsoft.com/office/drawing/2014/main" xmlns="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0</xdr:rowOff>
    </xdr:from>
    <xdr:to>
      <xdr:col>8</xdr:col>
      <xdr:colOff>381000</xdr:colOff>
      <xdr:row>25</xdr:row>
      <xdr:rowOff>102394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xmlns="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2862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20</xdr:row>
      <xdr:rowOff>0</xdr:rowOff>
    </xdr:from>
    <xdr:to>
      <xdr:col>4</xdr:col>
      <xdr:colOff>328612</xdr:colOff>
      <xdr:row>21</xdr:row>
      <xdr:rowOff>102394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343" y="38457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4</xdr:row>
      <xdr:rowOff>16669</xdr:rowOff>
    </xdr:from>
    <xdr:to>
      <xdr:col>8</xdr:col>
      <xdr:colOff>381000</xdr:colOff>
      <xdr:row>6</xdr:row>
      <xdr:rowOff>0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2100263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298450</xdr:rowOff>
    </xdr:from>
    <xdr:to>
      <xdr:col>10</xdr:col>
      <xdr:colOff>19050</xdr:colOff>
      <xdr:row>3</xdr:row>
      <xdr:rowOff>298450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xmlns="" id="{00000000-0008-0000-0900-00001F000000}"/>
            </a:ext>
          </a:extLst>
        </xdr:cNvPr>
        <xdr:cNvCxnSpPr/>
      </xdr:nvCxnSpPr>
      <xdr:spPr>
        <a:xfrm>
          <a:off x="219075" y="1689100"/>
          <a:ext cx="4676775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1863725</xdr:colOff>
      <xdr:row>3</xdr:row>
      <xdr:rowOff>304800</xdr:rowOff>
    </xdr:from>
    <xdr:to>
      <xdr:col>21</xdr:col>
      <xdr:colOff>0</xdr:colOff>
      <xdr:row>3</xdr:row>
      <xdr:rowOff>304800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xmlns="" id="{00000000-0008-0000-0900-000020000000}"/>
            </a:ext>
          </a:extLst>
        </xdr:cNvPr>
        <xdr:cNvCxnSpPr/>
      </xdr:nvCxnSpPr>
      <xdr:spPr>
        <a:xfrm>
          <a:off x="6740525" y="1695450"/>
          <a:ext cx="4451350" cy="0"/>
        </a:xfrm>
        <a:prstGeom prst="line">
          <a:avLst/>
        </a:prstGeom>
        <a:ln w="158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0</xdr:row>
      <xdr:rowOff>63500</xdr:rowOff>
    </xdr:from>
    <xdr:to>
      <xdr:col>21</xdr:col>
      <xdr:colOff>6350</xdr:colOff>
      <xdr:row>0</xdr:row>
      <xdr:rowOff>450850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500"/>
          <a:ext cx="10979150" cy="387350"/>
        </a:xfrm>
        <a:prstGeom prst="rect">
          <a:avLst/>
        </a:prstGeom>
      </xdr:spPr>
    </xdr:pic>
    <xdr:clientData/>
  </xdr:twoCellAnchor>
  <xdr:twoCellAnchor>
    <xdr:from>
      <xdr:col>0</xdr:col>
      <xdr:colOff>196850</xdr:colOff>
      <xdr:row>0</xdr:row>
      <xdr:rowOff>152400</xdr:rowOff>
    </xdr:from>
    <xdr:to>
      <xdr:col>2</xdr:col>
      <xdr:colOff>254000</xdr:colOff>
      <xdr:row>0</xdr:row>
      <xdr:rowOff>393700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xmlns="" id="{00000000-0008-0000-0900-000022000000}"/>
            </a:ext>
          </a:extLst>
        </xdr:cNvPr>
        <xdr:cNvSpPr txBox="1"/>
      </xdr:nvSpPr>
      <xdr:spPr>
        <a:xfrm>
          <a:off x="196850" y="152400"/>
          <a:ext cx="8953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10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FIXTURE</a:t>
          </a:r>
        </a:p>
      </xdr:txBody>
    </xdr:sp>
    <xdr:clientData/>
  </xdr:twoCellAnchor>
  <xdr:twoCellAnchor>
    <xdr:from>
      <xdr:col>1</xdr:col>
      <xdr:colOff>508000</xdr:colOff>
      <xdr:row>0</xdr:row>
      <xdr:rowOff>171450</xdr:rowOff>
    </xdr:from>
    <xdr:to>
      <xdr:col>4</xdr:col>
      <xdr:colOff>31750</xdr:colOff>
      <xdr:row>0</xdr:row>
      <xdr:rowOff>387350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xmlns="" id="{00000000-0008-0000-0900-000023000000}"/>
            </a:ext>
          </a:extLst>
        </xdr:cNvPr>
        <xdr:cNvSpPr txBox="1"/>
      </xdr:nvSpPr>
      <xdr:spPr>
        <a:xfrm>
          <a:off x="727075" y="171450"/>
          <a:ext cx="1609725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A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Mundial</a:t>
          </a:r>
          <a:r>
            <a:rPr lang="es-AR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Rusia 2018</a:t>
          </a:r>
          <a:endParaRPr lang="es-AR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42862</xdr:colOff>
      <xdr:row>2</xdr:row>
      <xdr:rowOff>202406</xdr:rowOff>
    </xdr:from>
    <xdr:to>
      <xdr:col>14</xdr:col>
      <xdr:colOff>171450</xdr:colOff>
      <xdr:row>2</xdr:row>
      <xdr:rowOff>431800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xmlns="" id="{00000000-0008-0000-0900-000024000000}"/>
            </a:ext>
          </a:extLst>
        </xdr:cNvPr>
        <xdr:cNvGrpSpPr/>
      </xdr:nvGrpSpPr>
      <xdr:grpSpPr>
        <a:xfrm>
          <a:off x="261937" y="964406"/>
          <a:ext cx="8367713" cy="229394"/>
          <a:chOff x="239712" y="964406"/>
          <a:chExt cx="8326438" cy="229394"/>
        </a:xfrm>
      </xdr:grpSpPr>
      <xdr:sp macro="" textlink="">
        <xdr:nvSpPr>
          <xdr:cNvPr id="37" name="Rounded Rectangle 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xmlns="" id="{00000000-0008-0000-0900-000025000000}"/>
              </a:ext>
            </a:extLst>
          </xdr:cNvPr>
          <xdr:cNvSpPr/>
        </xdr:nvSpPr>
        <xdr:spPr>
          <a:xfrm>
            <a:off x="2397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38" name="Rounded Rectangle 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xmlns="" id="{00000000-0008-0000-0900-000026000000}"/>
              </a:ext>
            </a:extLst>
          </xdr:cNvPr>
          <xdr:cNvSpPr/>
        </xdr:nvSpPr>
        <xdr:spPr>
          <a:xfrm>
            <a:off x="13001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39" name="Rounded Rectangle 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xmlns="" id="{00000000-0008-0000-0900-000027000000}"/>
              </a:ext>
            </a:extLst>
          </xdr:cNvPr>
          <xdr:cNvSpPr/>
        </xdr:nvSpPr>
        <xdr:spPr>
          <a:xfrm>
            <a:off x="23606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40" name="Rounded Rectangle 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xmlns="" id="{00000000-0008-0000-0900-000028000000}"/>
              </a:ext>
            </a:extLst>
          </xdr:cNvPr>
          <xdr:cNvSpPr/>
        </xdr:nvSpPr>
        <xdr:spPr>
          <a:xfrm>
            <a:off x="34210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41" name="Rounded Rectangle 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xmlns="" id="{00000000-0008-0000-0900-000029000000}"/>
              </a:ext>
            </a:extLst>
          </xdr:cNvPr>
          <xdr:cNvSpPr/>
        </xdr:nvSpPr>
        <xdr:spPr>
          <a:xfrm>
            <a:off x="44815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sp macro="" textlink="">
        <xdr:nvSpPr>
          <xdr:cNvPr id="42" name="Rounded Rectangle 3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xmlns="" id="{00000000-0008-0000-0900-00002A000000}"/>
              </a:ext>
            </a:extLst>
          </xdr:cNvPr>
          <xdr:cNvSpPr/>
        </xdr:nvSpPr>
        <xdr:spPr>
          <a:xfrm>
            <a:off x="55419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F</a:t>
            </a:r>
          </a:p>
        </xdr:txBody>
      </xdr:sp>
      <xdr:sp macro="" textlink="">
        <xdr:nvSpPr>
          <xdr:cNvPr id="43" name="Rounded Rectangle 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xmlns="" id="{00000000-0008-0000-0900-00002B000000}"/>
              </a:ext>
            </a:extLst>
          </xdr:cNvPr>
          <xdr:cNvSpPr/>
        </xdr:nvSpPr>
        <xdr:spPr>
          <a:xfrm>
            <a:off x="6602412" y="964406"/>
            <a:ext cx="903288" cy="229394"/>
          </a:xfrm>
          <a:prstGeom prst="roundRect">
            <a:avLst>
              <a:gd name="adj" fmla="val 8818"/>
            </a:avLst>
          </a:prstGeom>
          <a:solidFill>
            <a:sysClr val="window" lastClr="FFFFFF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G</a:t>
            </a:r>
          </a:p>
        </xdr:txBody>
      </xdr:sp>
      <xdr:sp macro="" textlink="">
        <xdr:nvSpPr>
          <xdr:cNvPr id="44" name="Rounded Rectangle 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xmlns="" id="{00000000-0008-0000-0900-00002C000000}"/>
              </a:ext>
            </a:extLst>
          </xdr:cNvPr>
          <xdr:cNvSpPr/>
        </xdr:nvSpPr>
        <xdr:spPr>
          <a:xfrm>
            <a:off x="7662862" y="964406"/>
            <a:ext cx="903288" cy="229394"/>
          </a:xfrm>
          <a:prstGeom prst="roundRect">
            <a:avLst>
              <a:gd name="adj" fmla="val 8818"/>
            </a:avLst>
          </a:prstGeom>
          <a:solidFill>
            <a:srgbClr val="00B0F0"/>
          </a:solidFill>
          <a:ln w="12700">
            <a:solidFill>
              <a:srgbClr val="00B0F0"/>
            </a:solidFill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200" b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H</a:t>
            </a:r>
          </a:p>
        </xdr:txBody>
      </xdr:sp>
    </xdr:grpSp>
    <xdr:clientData/>
  </xdr:twoCellAnchor>
  <xdr:twoCellAnchor>
    <xdr:from>
      <xdr:col>17</xdr:col>
      <xdr:colOff>298450</xdr:colOff>
      <xdr:row>0</xdr:row>
      <xdr:rowOff>171450</xdr:rowOff>
    </xdr:from>
    <xdr:to>
      <xdr:col>21</xdr:col>
      <xdr:colOff>0</xdr:colOff>
      <xdr:row>0</xdr:row>
      <xdr:rowOff>387350</xdr:rowOff>
    </xdr:to>
    <xdr:sp macro="" textlink="">
      <xdr:nvSpPr>
        <xdr:cNvPr id="45" name="CuadroTexto 44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900-00002D000000}"/>
            </a:ext>
          </a:extLst>
        </xdr:cNvPr>
        <xdr:cNvSpPr txBox="1"/>
      </xdr:nvSpPr>
      <xdr:spPr>
        <a:xfrm>
          <a:off x="9928225" y="171450"/>
          <a:ext cx="12636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AR" sz="1050" b="0">
              <a:solidFill>
                <a:schemeClr val="bg1"/>
              </a:solidFill>
              <a:latin typeface="+mn-lt"/>
              <a:cs typeface="Arial" panose="020B0604020202020204" pitchFamily="34" charset="0"/>
            </a:rPr>
            <a:t>PlanillaExcel.com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45"/>
  <sheetViews>
    <sheetView showGridLines="0" zoomScaleNormal="100" workbookViewId="0">
      <selection activeCell="J22" sqref="J22"/>
    </sheetView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0" width="5.125" customWidth="1"/>
    <col min="21" max="21" width="5.125" style="29" customWidth="1"/>
    <col min="22" max="27" width="11" customWidth="1"/>
    <col min="28" max="29" width="11" style="57" customWidth="1"/>
    <col min="30" max="30" width="11" style="57"/>
    <col min="31" max="31" width="12.5" style="57" customWidth="1"/>
    <col min="32" max="32" width="4.75" style="57" customWidth="1"/>
    <col min="33" max="37" width="11" style="57"/>
    <col min="38" max="38" width="12.5" style="57" bestFit="1" customWidth="1"/>
    <col min="39" max="39" width="11" style="57"/>
    <col min="40" max="40" width="4.375" style="57" customWidth="1"/>
    <col min="41" max="51" width="11" style="57"/>
    <col min="52" max="52" width="8" style="57" customWidth="1"/>
    <col min="53" max="53" width="5" style="83" customWidth="1"/>
    <col min="54" max="56" width="11" style="57"/>
    <col min="60" max="66" width="11" style="25"/>
    <col min="71" max="73" width="11" style="25"/>
  </cols>
  <sheetData>
    <row r="1" spans="2:53" ht="35.25" customHeight="1" x14ac:dyDescent="0.25"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BA1" s="82"/>
    </row>
    <row r="2" spans="2:53" x14ac:dyDescent="0.25">
      <c r="B2" s="1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</row>
    <row r="3" spans="2:53" x14ac:dyDescent="0.25"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AC3" s="58"/>
      <c r="AD3" s="58" t="s">
        <v>42</v>
      </c>
      <c r="AE3" s="58" t="s">
        <v>43</v>
      </c>
      <c r="AF3" s="58" t="s">
        <v>44</v>
      </c>
      <c r="AG3" s="58" t="s">
        <v>45</v>
      </c>
      <c r="AH3" s="58" t="s">
        <v>46</v>
      </c>
      <c r="AI3" s="58" t="s">
        <v>10</v>
      </c>
      <c r="AJ3" s="58" t="s">
        <v>11</v>
      </c>
      <c r="AK3" s="58" t="s">
        <v>47</v>
      </c>
      <c r="AL3" s="68" t="s">
        <v>48</v>
      </c>
      <c r="AM3" s="58"/>
      <c r="AN3" s="58"/>
      <c r="AO3" s="58"/>
      <c r="AP3" s="58"/>
      <c r="AQ3" s="58"/>
    </row>
    <row r="4" spans="2:53" x14ac:dyDescent="0.25"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AC4" s="58"/>
      <c r="AD4" s="58" t="e">
        <f>RANK(AL4,$AL$4:$AL$7)</f>
        <v>#REF!</v>
      </c>
      <c r="AE4" s="58" t="s">
        <v>1</v>
      </c>
      <c r="AF4" s="65" t="e">
        <f>IF(AND(#REF!&gt;#REF!,#REF!&lt;&gt;"",#REF!&lt;&gt;""),1,0)+IF(AND(#REF!&gt;#REF!,#REF!&lt;&gt;"",#REF!&lt;&gt;""),1,0)+IF(AND(#REF!&gt;#REF!,#REF!&lt;&gt;"",#REF!&lt;&gt;""),1,0)</f>
        <v>#REF!</v>
      </c>
      <c r="AG4" s="65" t="e">
        <f>IF(AND(#REF!=#REF!,#REF!&lt;&gt;"",#REF!&lt;&gt;""),1,0)+IF(AND(#REF!=#REF!,#REF!&lt;&gt;"",#REF!&lt;&gt;""),1,0)+IF(AND(#REF!=#REF!,#REF!&lt;&gt;"",#REF!&lt;&gt;""),1,0)</f>
        <v>#REF!</v>
      </c>
      <c r="AH4" s="65" t="e">
        <f>IF(AND(#REF!&lt;#REF!,#REF!&lt;&gt;"",#REF!&lt;&gt;""),1,0)+IF(AND(#REF!&lt;#REF!,#REF!&lt;&gt;"",#REF!&lt;&gt;""),1,0)+IF(AND(#REF!&lt;#REF!,#REF!&lt;&gt;"",#REF!&lt;&gt;""),1,0)</f>
        <v>#REF!</v>
      </c>
      <c r="AI4" s="65" t="e">
        <f>#REF!+#REF!+#REF!</f>
        <v>#REF!</v>
      </c>
      <c r="AJ4" s="65" t="e">
        <f>#REF!+#REF!+#REF!</f>
        <v>#REF!</v>
      </c>
      <c r="AK4" s="65" t="e">
        <f>AF4*3+AG4</f>
        <v>#REF!</v>
      </c>
      <c r="AL4" s="69" t="e">
        <f>+AK4*100000+AI4-AJ4+AI4/10+4/100000000</f>
        <v>#REF!</v>
      </c>
      <c r="AM4" s="58" t="str">
        <f>IFERROR(VLOOKUP(AE4,$AE$13:$AG$45,3,FALSE),VLOOKUP("imz",$AE$13:$AG$45,3,FALSE))</f>
        <v>A!$AB$38</v>
      </c>
      <c r="AN4" s="58"/>
      <c r="AO4" s="58"/>
      <c r="AP4" s="58"/>
      <c r="AQ4" s="58"/>
    </row>
    <row r="5" spans="2:53" x14ac:dyDescent="0.25"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AC5" s="58"/>
      <c r="AD5" s="58" t="e">
        <f>RANK(AL5,$AL$4:$AL$7)</f>
        <v>#REF!</v>
      </c>
      <c r="AE5" s="58" t="s">
        <v>2</v>
      </c>
      <c r="AF5" s="65" t="e">
        <f>IF(AND(#REF!&gt;#REF!,#REF!&lt;&gt;"",#REF!&lt;&gt;""),1,0)+IF(AND(#REF!&gt;#REF!,#REF!&lt;&gt;"",#REF!&lt;&gt;""),1,0)+IF(AND(#REF!&gt;#REF!,#REF!&lt;&gt;"",#REF!&lt;&gt;""),1,0)</f>
        <v>#REF!</v>
      </c>
      <c r="AG5" s="65" t="e">
        <f>IF(AND(#REF!=#REF!,#REF!&lt;&gt;"",#REF!&lt;&gt;""),1,0)+IF(AND(#REF!=#REF!,#REF!&lt;&gt;"",#REF!&lt;&gt;""),1,0)+IF(AND(#REF!=#REF!,#REF!&lt;&gt;"",#REF!&lt;&gt;""),1,0)</f>
        <v>#REF!</v>
      </c>
      <c r="AH5" s="65" t="e">
        <f>IF(AND(#REF!&lt;#REF!,#REF!&lt;&gt;"",#REF!&lt;&gt;""),1,0)+IF(AND(#REF!&lt;#REF!,#REF!&lt;&gt;"",#REF!&lt;&gt;""),1,0)+IF(AND(#REF!&lt;#REF!,#REF!&lt;&gt;"",#REF!&lt;&gt;""),1,0)</f>
        <v>#REF!</v>
      </c>
      <c r="AI5" s="65" t="e">
        <f>#REF!+#REF!+#REF!</f>
        <v>#REF!</v>
      </c>
      <c r="AJ5" s="65" t="e">
        <f>#REF!+#REF!+#REF!</f>
        <v>#REF!</v>
      </c>
      <c r="AK5" s="65" t="e">
        <f>AF5*3+AG5</f>
        <v>#REF!</v>
      </c>
      <c r="AL5" s="69" t="e">
        <f>+AK5*100000+AI5-AJ5+AI5/10+3/100000000</f>
        <v>#REF!</v>
      </c>
      <c r="AM5" s="58" t="str">
        <f>IFERROR(VLOOKUP(AE5,$AE$13:$AG$45,3,FALSE),VLOOKUP("imz",$AE$13:$AG$45,3,FALSE))</f>
        <v>A!$AB$14</v>
      </c>
      <c r="AN5" s="58"/>
      <c r="AO5" s="58"/>
      <c r="AP5" s="58"/>
      <c r="AQ5" s="58"/>
    </row>
    <row r="6" spans="2:53" x14ac:dyDescent="0.25"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AC6" s="58"/>
      <c r="AD6" s="58" t="e">
        <f>RANK(AL6,$AL$4:$AL$7)</f>
        <v>#REF!</v>
      </c>
      <c r="AE6" s="58" t="s">
        <v>3</v>
      </c>
      <c r="AF6" s="65" t="e">
        <f>IF(AND(#REF!&gt;#REF!,#REF!&lt;&gt;"",#REF!&lt;&gt;""),1,0)+IF(AND(#REF!&gt;#REF!,#REF!&lt;&gt;"",#REF!&lt;&gt;""),1,0)+IF(AND(#REF!&gt;#REF!,#REF!&lt;&gt;"",#REF!&lt;&gt;""),1,0)</f>
        <v>#REF!</v>
      </c>
      <c r="AG6" s="65" t="e">
        <f>IF(AND(#REF!=#REF!,#REF!&lt;&gt;"",#REF!&lt;&gt;""),1,0)+IF(AND(#REF!=#REF!,#REF!&lt;&gt;"",#REF!&lt;&gt;""),1,0)+IF(AND(#REF!=#REF!,#REF!&lt;&gt;"",#REF!&lt;&gt;""),1,0)</f>
        <v>#REF!</v>
      </c>
      <c r="AH6" s="65" t="e">
        <f>IF(AND(#REF!&lt;#REF!,#REF!&lt;&gt;"",#REF!&lt;&gt;""),1,0)+IF(AND(#REF!&lt;#REF!,#REF!&lt;&gt;"",#REF!&lt;&gt;""),1,0)+IF(AND(#REF!&lt;#REF!,#REF!&lt;&gt;"",#REF!&lt;&gt;""),1,0)</f>
        <v>#REF!</v>
      </c>
      <c r="AI6" s="65" t="e">
        <f>#REF!+#REF!+#REF!</f>
        <v>#REF!</v>
      </c>
      <c r="AJ6" s="65" t="e">
        <f>#REF!+#REF!+#REF!</f>
        <v>#REF!</v>
      </c>
      <c r="AK6" s="65" t="e">
        <f>AF6*3+AG6</f>
        <v>#REF!</v>
      </c>
      <c r="AL6" s="69" t="e">
        <f>+AK6*100000+AI6-AJ6+AI6/10+2/100000000</f>
        <v>#REF!</v>
      </c>
      <c r="AM6" s="58" t="str">
        <f>IFERROR(VLOOKUP(AE6,$AE$13:$AG$45,3,FALSE),VLOOKUP("imz",$AE$13:$AG$45,3,FALSE))</f>
        <v>A!$AB$24</v>
      </c>
      <c r="AN6" s="58"/>
      <c r="AO6" s="58"/>
      <c r="AP6" s="58"/>
      <c r="AQ6" s="58"/>
    </row>
    <row r="7" spans="2:53" ht="18.75" customHeight="1" x14ac:dyDescent="0.25">
      <c r="K7" s="35"/>
      <c r="L7" s="35"/>
      <c r="M7" s="84" t="s">
        <v>20</v>
      </c>
      <c r="N7" s="85"/>
      <c r="O7" s="85"/>
      <c r="P7" s="85"/>
      <c r="Q7" s="85"/>
      <c r="R7" s="85"/>
      <c r="S7" s="86"/>
      <c r="T7" s="35"/>
      <c r="U7" s="35"/>
      <c r="AC7" s="58"/>
      <c r="AD7" s="58" t="e">
        <f>RANK(AL7,$AL$4:$AL$7)</f>
        <v>#REF!</v>
      </c>
      <c r="AE7" s="58" t="s">
        <v>4</v>
      </c>
      <c r="AF7" s="65" t="e">
        <f>IF(AND(#REF!&gt;#REF!,#REF!&lt;&gt;"",#REF!&lt;&gt;""),1,0)+IF(AND(#REF!&gt;#REF!,#REF!&lt;&gt;"",#REF!&lt;&gt;""),1,0)+IF(AND(#REF!&gt;#REF!,#REF!&lt;&gt;"",#REF!&lt;&gt;""),1,0)</f>
        <v>#REF!</v>
      </c>
      <c r="AG7" s="65" t="e">
        <f>IF(AND(#REF!=#REF!,#REF!&lt;&gt;"",#REF!&lt;&gt;""),1,0)+IF(AND(#REF!=#REF!,#REF!&lt;&gt;"",#REF!&lt;&gt;""),1,0)+IF(AND(#REF!=#REF!,#REF!&lt;&gt;"",#REF!&lt;&gt;""),1,0)</f>
        <v>#REF!</v>
      </c>
      <c r="AH7" s="65" t="e">
        <f>IF(AND(#REF!&lt;#REF!,#REF!&lt;&gt;"",#REF!&lt;&gt;""),1,0)+IF(AND(#REF!&lt;#REF!,#REF!&lt;&gt;"",#REF!&lt;&gt;""),1,0)+IF(AND(#REF!&lt;#REF!,#REF!&lt;&gt;"",#REF!&lt;&gt;""),1,0)</f>
        <v>#REF!</v>
      </c>
      <c r="AI7" s="65" t="e">
        <f>#REF!+#REF!+#REF!</f>
        <v>#REF!</v>
      </c>
      <c r="AJ7" s="65" t="e">
        <f>#REF!+#REF!+#REF!</f>
        <v>#REF!</v>
      </c>
      <c r="AK7" s="65" t="e">
        <f>AF7*3+AG7</f>
        <v>#REF!</v>
      </c>
      <c r="AL7" s="69" t="e">
        <f>+AK7*100000+AI7-AJ7+AI7/10+1/100000000</f>
        <v>#REF!</v>
      </c>
      <c r="AM7" s="58" t="str">
        <f>IFERROR(VLOOKUP(AE7,$AE$13:$AG$45,3,FALSE),VLOOKUP("imz",$AE$13:$AG$45,3,FALSE))</f>
        <v>A!$AB$44</v>
      </c>
      <c r="AN7" s="58"/>
      <c r="AO7" s="58"/>
      <c r="AP7" s="58"/>
      <c r="AQ7" s="58"/>
    </row>
    <row r="8" spans="2:53" x14ac:dyDescent="0.25"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</row>
    <row r="9" spans="2:53" x14ac:dyDescent="0.25"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4"/>
      <c r="AC9" s="58"/>
      <c r="AD9" s="58"/>
      <c r="AE9" s="58" t="e">
        <f>+IF(AND(COUNTA(#REF!,#REF!,#REF!,#REF!,#REF!,#REF!,#REF!,#REF!,#REF!,#REF!,#REF!,#REF!)=12,#REF!=""),#REF!,IF(AND(COUNTA(#REF!,#REF!,#REF!,#REF!,#REF!,#REF!,#REF!,#REF!,#REF!,#REF!,#REF!,#REF!)=12,#REF!&lt;&gt;""),#REF!,""))</f>
        <v>#REF!</v>
      </c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</row>
    <row r="10" spans="2:53" x14ac:dyDescent="0.25"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AC10" s="58"/>
      <c r="AD10" s="58"/>
      <c r="AE10" s="58" t="e">
        <f>+IF(AND(COUNTA(#REF!,#REF!,#REF!,#REF!,#REF!,#REF!,#REF!,#REF!,#REF!,#REF!,#REF!,#REF!)=12,#REF!=""),#REF!,IF(AND(COUNTA(#REF!,#REF!,#REF!,#REF!,#REF!,#REF!,#REF!,#REF!,#REF!,#REF!,#REF!,#REF!)=12,#REF!&lt;&gt;""),#REF!,""))</f>
        <v>#REF!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</row>
    <row r="11" spans="2:53" x14ac:dyDescent="0.25"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AC11" s="58"/>
      <c r="AD11" s="58"/>
      <c r="AE11" s="58"/>
      <c r="AF11" s="66"/>
      <c r="AG11" s="67"/>
      <c r="AH11" s="58"/>
      <c r="AI11" s="58"/>
      <c r="AJ11" s="58"/>
      <c r="AK11" s="58"/>
      <c r="AL11" s="58"/>
      <c r="AM11" s="58"/>
      <c r="AN11" s="58"/>
      <c r="AO11" s="58"/>
      <c r="AP11" s="58"/>
      <c r="AQ11" s="58"/>
    </row>
    <row r="12" spans="2:53" x14ac:dyDescent="0.25"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</row>
    <row r="13" spans="2:53" ht="18.75" customHeight="1" x14ac:dyDescent="0.25"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AC13" s="58"/>
      <c r="AD13" s="58"/>
      <c r="AE13" s="59" t="s">
        <v>64</v>
      </c>
      <c r="AF13" s="58"/>
      <c r="AG13" s="58" t="str">
        <f>"A!$AB$" &amp; ROW()</f>
        <v>A!$AB$13</v>
      </c>
      <c r="AH13" s="58"/>
      <c r="AI13" s="58"/>
      <c r="AJ13" s="58"/>
      <c r="AK13" s="58"/>
      <c r="AL13" s="58"/>
      <c r="AM13" s="58"/>
      <c r="AN13" s="58"/>
      <c r="AO13" s="58"/>
      <c r="AP13" s="58"/>
      <c r="AQ13" s="58"/>
    </row>
    <row r="14" spans="2:53" ht="18.75" customHeight="1" x14ac:dyDescent="0.25"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AC14" s="58"/>
      <c r="AD14" s="58"/>
      <c r="AE14" s="59" t="s">
        <v>2</v>
      </c>
      <c r="AF14" s="58"/>
      <c r="AG14" s="58" t="str">
        <f>"A!$AB$" &amp; ROW()</f>
        <v>A!$AB$14</v>
      </c>
      <c r="AH14" s="58"/>
      <c r="AI14" s="58"/>
      <c r="AJ14" s="58"/>
      <c r="AK14" s="58"/>
      <c r="AL14" s="58"/>
      <c r="AM14" s="58"/>
      <c r="AN14" s="58"/>
      <c r="AO14" s="58"/>
      <c r="AP14" s="58"/>
      <c r="AQ14" s="58"/>
    </row>
    <row r="15" spans="2:53" ht="18.75" customHeight="1" x14ac:dyDescent="0.25"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AC15" s="58"/>
      <c r="AD15" s="58"/>
      <c r="AE15" s="59" t="s">
        <v>19</v>
      </c>
      <c r="AF15" s="58"/>
      <c r="AG15" s="58" t="str">
        <f t="shared" ref="AG15:AG23" si="0">"A!$AB$" &amp; ROW()</f>
        <v>A!$AB$15</v>
      </c>
      <c r="AH15" s="58"/>
      <c r="AI15" s="58"/>
      <c r="AJ15" s="58"/>
      <c r="AK15" s="58"/>
      <c r="AL15" s="58"/>
      <c r="AM15" s="58"/>
      <c r="AN15" s="58"/>
      <c r="AO15" s="58"/>
      <c r="AP15" s="58"/>
      <c r="AQ15" s="58"/>
    </row>
    <row r="16" spans="2:53" ht="18.75" customHeight="1" x14ac:dyDescent="0.25"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AC16" s="58"/>
      <c r="AD16" s="58"/>
      <c r="AE16" s="59" t="s">
        <v>58</v>
      </c>
      <c r="AF16" s="58"/>
      <c r="AG16" s="58" t="str">
        <f t="shared" si="0"/>
        <v>A!$AB$16</v>
      </c>
      <c r="AH16" s="58"/>
      <c r="AI16" s="58"/>
      <c r="AJ16" s="58"/>
      <c r="AK16" s="58"/>
      <c r="AL16" s="58"/>
      <c r="AM16" s="58"/>
      <c r="AN16" s="58"/>
      <c r="AO16" s="58"/>
      <c r="AP16" s="58"/>
      <c r="AQ16" s="58"/>
    </row>
    <row r="17" spans="11:43" ht="18.75" customHeight="1" x14ac:dyDescent="0.25"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AC17" s="58"/>
      <c r="AD17" s="58"/>
      <c r="AE17" s="59" t="s">
        <v>67</v>
      </c>
      <c r="AF17" s="58"/>
      <c r="AG17" s="58" t="str">
        <f t="shared" si="0"/>
        <v>A!$AB$17</v>
      </c>
      <c r="AH17" s="58"/>
      <c r="AI17" s="58"/>
      <c r="AJ17" s="58"/>
      <c r="AK17" s="58"/>
      <c r="AL17" s="58"/>
      <c r="AM17" s="58"/>
      <c r="AN17" s="58"/>
      <c r="AO17" s="58"/>
      <c r="AP17" s="58"/>
      <c r="AQ17" s="58"/>
    </row>
    <row r="18" spans="11:43" ht="18.75" customHeight="1" x14ac:dyDescent="0.25"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AC18" s="58"/>
      <c r="AD18" s="58"/>
      <c r="AE18" s="59" t="s">
        <v>18</v>
      </c>
      <c r="AF18" s="58"/>
      <c r="AG18" s="58" t="str">
        <f t="shared" si="0"/>
        <v>A!$AB$18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</row>
    <row r="19" spans="11:43" ht="18.75" customHeight="1" x14ac:dyDescent="0.25"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AC19" s="58"/>
      <c r="AD19" s="58"/>
      <c r="AE19" s="59" t="s">
        <v>22</v>
      </c>
      <c r="AF19" s="58"/>
      <c r="AG19" s="58" t="str">
        <f t="shared" si="0"/>
        <v>A!$AB$19</v>
      </c>
      <c r="AH19" s="58"/>
      <c r="AI19" s="58"/>
      <c r="AJ19" s="58"/>
      <c r="AK19" s="58"/>
      <c r="AL19" s="58"/>
      <c r="AM19" s="58"/>
      <c r="AN19" s="58"/>
      <c r="AO19" s="58"/>
      <c r="AP19" s="58"/>
      <c r="AQ19" s="58"/>
    </row>
    <row r="20" spans="11:43" ht="18.75" customHeight="1" x14ac:dyDescent="0.25"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AC20" s="58"/>
      <c r="AD20" s="58"/>
      <c r="AE20" s="59" t="s">
        <v>66</v>
      </c>
      <c r="AF20" s="58"/>
      <c r="AG20" s="58" t="str">
        <f t="shared" si="0"/>
        <v>A!$AB$20</v>
      </c>
      <c r="AH20" s="58"/>
      <c r="AI20" s="58"/>
      <c r="AJ20" s="58"/>
      <c r="AK20" s="58"/>
      <c r="AL20" s="58"/>
      <c r="AM20" s="58"/>
      <c r="AN20" s="58"/>
      <c r="AO20" s="58"/>
      <c r="AP20" s="58"/>
      <c r="AQ20" s="58"/>
    </row>
    <row r="21" spans="11:43" ht="18.75" customHeight="1" x14ac:dyDescent="0.25">
      <c r="U21"/>
      <c r="AC21" s="58"/>
      <c r="AD21" s="58"/>
      <c r="AE21" s="59" t="s">
        <v>23</v>
      </c>
      <c r="AF21" s="58"/>
      <c r="AG21" s="58" t="str">
        <f t="shared" si="0"/>
        <v>A!$AB$21</v>
      </c>
      <c r="AH21" s="58"/>
      <c r="AI21" s="58"/>
      <c r="AJ21" s="58"/>
      <c r="AK21" s="58"/>
      <c r="AL21" s="58"/>
      <c r="AM21" s="58"/>
      <c r="AN21" s="58"/>
      <c r="AO21" s="58"/>
      <c r="AP21" s="58"/>
      <c r="AQ21" s="58"/>
    </row>
    <row r="22" spans="11:43" ht="18.75" customHeight="1" x14ac:dyDescent="0.25">
      <c r="U22"/>
      <c r="AC22" s="58"/>
      <c r="AD22" s="58"/>
      <c r="AE22" s="59" t="s">
        <v>59</v>
      </c>
      <c r="AF22" s="58"/>
      <c r="AG22" s="58" t="str">
        <f t="shared" si="0"/>
        <v>A!$AB$22</v>
      </c>
      <c r="AH22" s="58"/>
      <c r="AI22" s="58"/>
      <c r="AJ22" s="58"/>
      <c r="AK22" s="58"/>
      <c r="AL22" s="58"/>
      <c r="AM22" s="58"/>
      <c r="AN22" s="58"/>
      <c r="AO22" s="58"/>
      <c r="AP22" s="58"/>
      <c r="AQ22" s="58"/>
    </row>
    <row r="23" spans="11:43" ht="18.75" customHeight="1" x14ac:dyDescent="0.25">
      <c r="AC23" s="58"/>
      <c r="AD23" s="58"/>
      <c r="AE23" s="59" t="s">
        <v>57</v>
      </c>
      <c r="AF23" s="58"/>
      <c r="AG23" s="58" t="str">
        <f t="shared" si="0"/>
        <v>A!$AB$23</v>
      </c>
      <c r="AH23" s="58"/>
      <c r="AI23" s="58"/>
      <c r="AJ23" s="58"/>
      <c r="AK23" s="58"/>
      <c r="AL23" s="58"/>
      <c r="AM23" s="58"/>
      <c r="AN23" s="58"/>
      <c r="AO23" s="58"/>
      <c r="AP23" s="58"/>
      <c r="AQ23" s="58"/>
    </row>
    <row r="24" spans="11:43" ht="18.75" customHeight="1" x14ac:dyDescent="0.25">
      <c r="AC24" s="58"/>
      <c r="AD24" s="58"/>
      <c r="AE24" s="59" t="s">
        <v>3</v>
      </c>
      <c r="AF24" s="58"/>
      <c r="AG24" s="58" t="str">
        <f>"A!$AB$" &amp; ROW()</f>
        <v>A!$AB$24</v>
      </c>
      <c r="AH24" s="58"/>
      <c r="AI24" s="58"/>
      <c r="AJ24" s="58"/>
      <c r="AK24" s="58"/>
      <c r="AL24" s="58"/>
      <c r="AM24" s="58"/>
      <c r="AN24" s="58"/>
      <c r="AO24" s="58"/>
      <c r="AP24" s="58"/>
      <c r="AQ24" s="58"/>
    </row>
    <row r="25" spans="11:43" ht="18.75" customHeight="1" x14ac:dyDescent="0.25">
      <c r="AC25" s="58"/>
      <c r="AD25" s="58"/>
      <c r="AE25" s="59" t="s">
        <v>26</v>
      </c>
      <c r="AF25" s="58"/>
      <c r="AG25" s="58" t="str">
        <f>"A!$AB$" &amp; ROW()</f>
        <v>A!$AB$25</v>
      </c>
      <c r="AH25" s="58"/>
      <c r="AI25" s="58"/>
      <c r="AJ25" s="58"/>
      <c r="AK25" s="58"/>
      <c r="AL25" s="58"/>
      <c r="AM25" s="58"/>
      <c r="AN25" s="58"/>
      <c r="AO25" s="58"/>
      <c r="AP25" s="58"/>
      <c r="AQ25" s="58"/>
    </row>
    <row r="26" spans="11:43" ht="18.75" customHeight="1" x14ac:dyDescent="0.25">
      <c r="AC26" s="58"/>
      <c r="AD26" s="58"/>
      <c r="AE26" s="59" t="s">
        <v>56</v>
      </c>
      <c r="AF26" s="58"/>
      <c r="AG26" s="58" t="str">
        <f t="shared" ref="AG26:AG45" si="1">"A!$AB$" &amp; ROW()</f>
        <v>A!$AB$26</v>
      </c>
      <c r="AH26" s="58"/>
      <c r="AI26" s="58"/>
      <c r="AJ26" s="58"/>
      <c r="AK26" s="58"/>
      <c r="AL26" s="58"/>
      <c r="AM26" s="58"/>
      <c r="AN26" s="58"/>
      <c r="AO26" s="58"/>
      <c r="AP26" s="58"/>
      <c r="AQ26" s="58"/>
    </row>
    <row r="27" spans="11:43" ht="18.75" customHeight="1" x14ac:dyDescent="0.25">
      <c r="AC27" s="58"/>
      <c r="AD27" s="58"/>
      <c r="AE27" s="59" t="s">
        <v>69</v>
      </c>
      <c r="AF27" s="58"/>
      <c r="AG27" s="58" t="str">
        <f t="shared" si="1"/>
        <v>A!$AB$27</v>
      </c>
      <c r="AH27" s="58"/>
      <c r="AI27" s="58"/>
      <c r="AJ27" s="58"/>
      <c r="AK27" s="58"/>
      <c r="AL27" s="58"/>
      <c r="AM27" s="58"/>
      <c r="AN27" s="58"/>
      <c r="AO27" s="58"/>
      <c r="AP27" s="58"/>
      <c r="AQ27" s="58"/>
    </row>
    <row r="28" spans="11:43" ht="18.75" customHeight="1" x14ac:dyDescent="0.25">
      <c r="AC28" s="58"/>
      <c r="AD28" s="58"/>
      <c r="AE28" s="59" t="s">
        <v>55</v>
      </c>
      <c r="AF28" s="58"/>
      <c r="AG28" s="58" t="str">
        <f t="shared" si="1"/>
        <v>A!$AB$28</v>
      </c>
      <c r="AH28" s="58"/>
      <c r="AI28" s="58"/>
      <c r="AJ28" s="58"/>
      <c r="AK28" s="58"/>
      <c r="AL28" s="58"/>
      <c r="AM28" s="58"/>
      <c r="AN28" s="58"/>
      <c r="AO28" s="58"/>
      <c r="AP28" s="58"/>
      <c r="AQ28" s="58"/>
    </row>
    <row r="29" spans="11:43" ht="18.75" customHeight="1" x14ac:dyDescent="0.25">
      <c r="AC29" s="58"/>
      <c r="AD29" s="58"/>
      <c r="AE29" s="59" t="s">
        <v>61</v>
      </c>
      <c r="AF29" s="58"/>
      <c r="AG29" s="58" t="str">
        <f t="shared" si="1"/>
        <v>A!$AB$29</v>
      </c>
      <c r="AH29" s="58"/>
      <c r="AI29" s="58"/>
      <c r="AJ29" s="58"/>
      <c r="AK29" s="58"/>
      <c r="AL29" s="58"/>
      <c r="AM29" s="58"/>
      <c r="AN29" s="58"/>
      <c r="AO29" s="58"/>
      <c r="AP29" s="58"/>
      <c r="AQ29" s="58"/>
    </row>
    <row r="30" spans="11:43" ht="18.75" customHeight="1" x14ac:dyDescent="0.25">
      <c r="AC30" s="58"/>
      <c r="AD30" s="58"/>
      <c r="AE30" s="59" t="s">
        <v>71</v>
      </c>
      <c r="AF30" s="58"/>
      <c r="AG30" s="58" t="str">
        <f t="shared" si="1"/>
        <v>A!$AB$30</v>
      </c>
      <c r="AH30" s="58"/>
      <c r="AI30" s="58"/>
      <c r="AJ30" s="58"/>
      <c r="AK30" s="58"/>
      <c r="AL30" s="58"/>
      <c r="AM30" s="58"/>
      <c r="AN30" s="58"/>
      <c r="AO30" s="58"/>
      <c r="AP30" s="58"/>
      <c r="AQ30" s="58"/>
    </row>
    <row r="31" spans="11:43" ht="18.75" customHeight="1" x14ac:dyDescent="0.25">
      <c r="AC31" s="58"/>
      <c r="AD31" s="58"/>
      <c r="AE31" s="59" t="s">
        <v>53</v>
      </c>
      <c r="AF31" s="58"/>
      <c r="AG31" s="58" t="str">
        <f t="shared" si="1"/>
        <v>A!$AB$31</v>
      </c>
      <c r="AH31" s="58"/>
      <c r="AI31" s="58"/>
      <c r="AJ31" s="58"/>
      <c r="AK31" s="58"/>
      <c r="AL31" s="58"/>
      <c r="AM31" s="58"/>
      <c r="AN31" s="58"/>
      <c r="AO31" s="58"/>
      <c r="AP31" s="58"/>
      <c r="AQ31" s="58"/>
    </row>
    <row r="32" spans="11:43" ht="18.75" customHeight="1" x14ac:dyDescent="0.25">
      <c r="AC32" s="58"/>
      <c r="AD32" s="58"/>
      <c r="AE32" s="59" t="s">
        <v>30</v>
      </c>
      <c r="AF32" s="58"/>
      <c r="AG32" s="58" t="str">
        <f t="shared" si="1"/>
        <v>A!$AB$32</v>
      </c>
      <c r="AH32" s="58"/>
      <c r="AI32" s="58"/>
      <c r="AJ32" s="58"/>
      <c r="AK32" s="58"/>
      <c r="AL32" s="58"/>
      <c r="AM32" s="58"/>
      <c r="AN32" s="58"/>
      <c r="AO32" s="58"/>
      <c r="AP32" s="58"/>
      <c r="AQ32" s="58"/>
    </row>
    <row r="33" spans="29:43" ht="18.75" customHeight="1" x14ac:dyDescent="0.25">
      <c r="AC33" s="58"/>
      <c r="AD33" s="58"/>
      <c r="AE33" s="59" t="s">
        <v>60</v>
      </c>
      <c r="AF33" s="58"/>
      <c r="AG33" s="58" t="str">
        <f t="shared" si="1"/>
        <v>A!$AB$33</v>
      </c>
      <c r="AH33" s="58"/>
      <c r="AI33" s="58"/>
      <c r="AJ33" s="58"/>
      <c r="AK33" s="58"/>
      <c r="AL33" s="58"/>
      <c r="AM33" s="58"/>
      <c r="AN33" s="58"/>
      <c r="AO33" s="58"/>
      <c r="AP33" s="58"/>
      <c r="AQ33" s="58"/>
    </row>
    <row r="34" spans="29:43" ht="18.75" customHeight="1" x14ac:dyDescent="0.25">
      <c r="AC34" s="58"/>
      <c r="AD34" s="58"/>
      <c r="AE34" s="59" t="s">
        <v>32</v>
      </c>
      <c r="AF34" s="58"/>
      <c r="AG34" s="58" t="str">
        <f t="shared" si="1"/>
        <v>A!$AB$34</v>
      </c>
      <c r="AH34" s="58"/>
      <c r="AI34" s="58"/>
      <c r="AJ34" s="58"/>
      <c r="AK34" s="58"/>
      <c r="AL34" s="58"/>
      <c r="AM34" s="58"/>
      <c r="AN34" s="58"/>
      <c r="AO34" s="58"/>
      <c r="AP34" s="58"/>
      <c r="AQ34" s="58"/>
    </row>
    <row r="35" spans="29:43" ht="18.75" customHeight="1" x14ac:dyDescent="0.25">
      <c r="AC35" s="58"/>
      <c r="AD35" s="58"/>
      <c r="AE35" s="59" t="s">
        <v>34</v>
      </c>
      <c r="AF35" s="58"/>
      <c r="AG35" s="58" t="str">
        <f t="shared" si="1"/>
        <v>A!$AB$35</v>
      </c>
      <c r="AH35" s="58"/>
      <c r="AI35" s="58"/>
      <c r="AJ35" s="58"/>
      <c r="AK35" s="58"/>
      <c r="AL35" s="58"/>
      <c r="AM35" s="58"/>
      <c r="AN35" s="58"/>
      <c r="AO35" s="58"/>
      <c r="AP35" s="58"/>
      <c r="AQ35" s="58"/>
    </row>
    <row r="36" spans="29:43" ht="18.75" customHeight="1" x14ac:dyDescent="0.25">
      <c r="AC36" s="58"/>
      <c r="AD36" s="58"/>
      <c r="AE36" s="59" t="s">
        <v>70</v>
      </c>
      <c r="AF36" s="58"/>
      <c r="AG36" s="58" t="str">
        <f t="shared" si="1"/>
        <v>A!$AB$36</v>
      </c>
      <c r="AH36" s="58"/>
      <c r="AI36" s="58"/>
      <c r="AJ36" s="58"/>
      <c r="AK36" s="58"/>
      <c r="AL36" s="58"/>
      <c r="AM36" s="58"/>
      <c r="AN36" s="58"/>
      <c r="AO36" s="58"/>
      <c r="AP36" s="58"/>
      <c r="AQ36" s="58"/>
    </row>
    <row r="37" spans="29:43" ht="18.75" customHeight="1" x14ac:dyDescent="0.25">
      <c r="AC37" s="58"/>
      <c r="AD37" s="58"/>
      <c r="AE37" s="59" t="s">
        <v>54</v>
      </c>
      <c r="AF37" s="58"/>
      <c r="AG37" s="58" t="str">
        <f t="shared" si="1"/>
        <v>A!$AB$37</v>
      </c>
      <c r="AH37" s="58"/>
      <c r="AI37" s="58"/>
      <c r="AJ37" s="58"/>
      <c r="AK37" s="58"/>
      <c r="AL37" s="58"/>
      <c r="AM37" s="58"/>
      <c r="AN37" s="58"/>
      <c r="AO37" s="58"/>
      <c r="AP37" s="58"/>
      <c r="AQ37" s="58"/>
    </row>
    <row r="38" spans="29:43" ht="18.75" customHeight="1" x14ac:dyDescent="0.25">
      <c r="AC38" s="58"/>
      <c r="AD38" s="58"/>
      <c r="AE38" s="59" t="s">
        <v>1</v>
      </c>
      <c r="AF38" s="58"/>
      <c r="AG38" s="58" t="str">
        <f t="shared" si="1"/>
        <v>A!$AB$38</v>
      </c>
      <c r="AH38" s="58"/>
      <c r="AI38" s="58"/>
      <c r="AJ38" s="58"/>
      <c r="AK38" s="58"/>
      <c r="AL38" s="58"/>
      <c r="AM38" s="58"/>
      <c r="AN38" s="58"/>
      <c r="AO38" s="58"/>
      <c r="AP38" s="58"/>
      <c r="AQ38" s="58"/>
    </row>
    <row r="39" spans="29:43" ht="18.75" customHeight="1" x14ac:dyDescent="0.25">
      <c r="AC39" s="58"/>
      <c r="AD39" s="58"/>
      <c r="AE39" s="59" t="s">
        <v>72</v>
      </c>
      <c r="AF39" s="58"/>
      <c r="AG39" s="58" t="str">
        <f t="shared" si="1"/>
        <v>A!$AB$39</v>
      </c>
      <c r="AH39" s="58"/>
      <c r="AI39" s="58"/>
      <c r="AJ39" s="58"/>
      <c r="AK39" s="58"/>
      <c r="AL39" s="58"/>
      <c r="AM39" s="58"/>
      <c r="AN39" s="58"/>
      <c r="AO39" s="58"/>
      <c r="AP39" s="58"/>
      <c r="AQ39" s="58"/>
    </row>
    <row r="40" spans="29:43" ht="18.75" customHeight="1" x14ac:dyDescent="0.25">
      <c r="AC40" s="58"/>
      <c r="AD40" s="58"/>
      <c r="AE40" s="59" t="s">
        <v>62</v>
      </c>
      <c r="AF40" s="58"/>
      <c r="AG40" s="58" t="str">
        <f t="shared" si="1"/>
        <v>A!$AB$40</v>
      </c>
      <c r="AH40" s="58"/>
      <c r="AI40" s="58"/>
      <c r="AJ40" s="58"/>
      <c r="AK40" s="58"/>
      <c r="AL40" s="58"/>
      <c r="AM40" s="58"/>
      <c r="AN40" s="58"/>
      <c r="AO40" s="58"/>
      <c r="AP40" s="58"/>
      <c r="AQ40" s="58"/>
    </row>
    <row r="41" spans="29:43" ht="18.75" customHeight="1" x14ac:dyDescent="0.25">
      <c r="AC41" s="58"/>
      <c r="AD41" s="58"/>
      <c r="AE41" s="59" t="s">
        <v>65</v>
      </c>
      <c r="AF41" s="58"/>
      <c r="AG41" s="58" t="str">
        <f t="shared" si="1"/>
        <v>A!$AB$41</v>
      </c>
      <c r="AH41" s="58"/>
      <c r="AI41" s="58"/>
      <c r="AJ41" s="58"/>
      <c r="AK41" s="58"/>
      <c r="AL41" s="58"/>
      <c r="AM41" s="58"/>
      <c r="AN41" s="58"/>
      <c r="AO41" s="58"/>
      <c r="AP41" s="58"/>
      <c r="AQ41" s="58"/>
    </row>
    <row r="42" spans="29:43" ht="18.75" customHeight="1" x14ac:dyDescent="0.25">
      <c r="AC42" s="58"/>
      <c r="AD42" s="58"/>
      <c r="AE42" s="59" t="s">
        <v>63</v>
      </c>
      <c r="AF42" s="58"/>
      <c r="AG42" s="58" t="str">
        <f t="shared" si="1"/>
        <v>A!$AB$42</v>
      </c>
      <c r="AH42" s="58"/>
      <c r="AI42" s="58"/>
      <c r="AJ42" s="58"/>
      <c r="AK42" s="58"/>
      <c r="AL42" s="58"/>
      <c r="AM42" s="58"/>
      <c r="AN42" s="58"/>
      <c r="AO42" s="58"/>
      <c r="AP42" s="58"/>
      <c r="AQ42" s="58"/>
    </row>
    <row r="43" spans="29:43" ht="18.75" customHeight="1" x14ac:dyDescent="0.25">
      <c r="AC43" s="58"/>
      <c r="AD43" s="58"/>
      <c r="AE43" s="59" t="s">
        <v>68</v>
      </c>
      <c r="AF43" s="58"/>
      <c r="AG43" s="58" t="str">
        <f t="shared" si="1"/>
        <v>A!$AB$43</v>
      </c>
      <c r="AH43" s="58"/>
      <c r="AI43" s="58"/>
      <c r="AJ43" s="58"/>
      <c r="AK43" s="58"/>
      <c r="AL43" s="58"/>
      <c r="AM43" s="58"/>
      <c r="AN43" s="58"/>
      <c r="AO43" s="58"/>
      <c r="AP43" s="58"/>
      <c r="AQ43" s="58"/>
    </row>
    <row r="44" spans="29:43" ht="18.75" customHeight="1" x14ac:dyDescent="0.25">
      <c r="AC44" s="58"/>
      <c r="AD44" s="58"/>
      <c r="AE44" s="59" t="s">
        <v>4</v>
      </c>
      <c r="AF44" s="58"/>
      <c r="AG44" s="58" t="str">
        <f t="shared" si="1"/>
        <v>A!$AB$44</v>
      </c>
      <c r="AH44" s="58"/>
      <c r="AI44" s="58"/>
      <c r="AJ44" s="58"/>
      <c r="AK44" s="58"/>
      <c r="AL44" s="58"/>
      <c r="AM44" s="58"/>
      <c r="AN44" s="58"/>
      <c r="AO44" s="58"/>
      <c r="AP44" s="58"/>
      <c r="AQ44" s="58"/>
    </row>
    <row r="45" spans="29:43" ht="18.75" customHeight="1" x14ac:dyDescent="0.25">
      <c r="AC45" s="58"/>
      <c r="AD45" s="58"/>
      <c r="AE45" s="58" t="s">
        <v>99</v>
      </c>
      <c r="AF45" s="58"/>
      <c r="AG45" s="58" t="str">
        <f t="shared" si="1"/>
        <v>A!$AB$45</v>
      </c>
      <c r="AH45" s="58"/>
      <c r="AI45" s="58"/>
      <c r="AJ45" s="58"/>
      <c r="AK45" s="58"/>
      <c r="AL45" s="58"/>
      <c r="AM45" s="58"/>
      <c r="AN45" s="58"/>
      <c r="AO45" s="58"/>
      <c r="AP45" s="58"/>
      <c r="AQ45" s="58"/>
    </row>
  </sheetData>
  <mergeCells count="1">
    <mergeCell ref="M7:S7"/>
  </mergeCells>
  <dataValidations count="1">
    <dataValidation type="list" allowBlank="1" showInputMessage="1" showErrorMessage="1" sqref="M7:S7">
      <formula1>Paises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3" width="11" style="58" customWidth="1"/>
    <col min="24" max="24" width="11" style="76" customWidth="1"/>
    <col min="25" max="25" width="11" style="58" customWidth="1"/>
    <col min="26" max="26" width="11" style="58"/>
    <col min="27" max="27" width="14.875" style="58" bestFit="1" customWidth="1"/>
    <col min="28" max="28" width="6.625" style="58" customWidth="1"/>
    <col min="29" max="33" width="11" style="58"/>
    <col min="34" max="34" width="12.5" style="58" bestFit="1" customWidth="1"/>
    <col min="35" max="35" width="11" style="58"/>
    <col min="36" max="37" width="11" style="76"/>
    <col min="38" max="39" width="11" style="58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38</v>
      </c>
      <c r="C5" s="9">
        <f>Y5+VLOOKUP(Menu!$B$4,Menu!$C$5:$E$24,2,0)*VLOOKUP(Menu!$B$4,Menu!$C$5:$E$24,3,0)</f>
        <v>0.45833333333333337</v>
      </c>
      <c r="D5" s="88" t="s">
        <v>70</v>
      </c>
      <c r="E5" s="93"/>
      <c r="F5" s="90"/>
      <c r="G5" s="92"/>
      <c r="H5" s="90"/>
      <c r="I5" s="94"/>
      <c r="J5" s="89" t="s">
        <v>72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0.41666666666666669</v>
      </c>
    </row>
    <row r="6" spans="2:69" ht="9.9499999999999993" customHeight="1" x14ac:dyDescent="0.25">
      <c r="B6" s="4" t="s">
        <v>0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38</v>
      </c>
      <c r="C9" s="9">
        <f>Y9+VLOOKUP(Menu!$B$4,Menu!$C$5:$E$24,2,0)*VLOOKUP(Menu!$B$4,Menu!$C$5:$E$24,3,0)</f>
        <v>0.33333333333333337</v>
      </c>
      <c r="D9" s="88" t="s">
        <v>22</v>
      </c>
      <c r="E9" s="93"/>
      <c r="F9" s="90"/>
      <c r="G9" s="92"/>
      <c r="H9" s="90"/>
      <c r="I9" s="94"/>
      <c r="J9" s="89" t="s">
        <v>71</v>
      </c>
      <c r="L9" s="88" t="str">
        <f>+VLOOKUP(1,$Z$31:$AH$35,2,0)</f>
        <v>Colombia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0.29166666666666669</v>
      </c>
    </row>
    <row r="10" spans="2:69" ht="9.9499999999999993" customHeight="1" x14ac:dyDescent="0.25">
      <c r="B10" s="4" t="s">
        <v>75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87</v>
      </c>
      <c r="C13" s="9">
        <f>Y13+VLOOKUP(Menu!$B$4,Menu!$C$5:$E$24,2,0)*VLOOKUP(Menu!$B$4,Menu!$C$5:$E$24,3,0)</f>
        <v>0.45833333333333337</v>
      </c>
      <c r="D13" s="88" t="s">
        <v>70</v>
      </c>
      <c r="E13" s="93"/>
      <c r="F13" s="90"/>
      <c r="G13" s="92"/>
      <c r="H13" s="90"/>
      <c r="I13" s="94"/>
      <c r="J13" s="89" t="s">
        <v>22</v>
      </c>
      <c r="L13" s="96" t="str">
        <f>+VLOOKUP(2,$Z$31:$AH$35,2,0)</f>
        <v>Polonia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0.41666666666666669</v>
      </c>
    </row>
    <row r="14" spans="2:69" ht="9.9499999999999993" customHeight="1" x14ac:dyDescent="0.25">
      <c r="B14" s="4" t="s">
        <v>74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87</v>
      </c>
      <c r="C17" s="9">
        <f>Y17+VLOOKUP(Menu!$B$4,Menu!$C$5:$E$24,2,0)*VLOOKUP(Menu!$B$4,Menu!$C$5:$E$24,3,0)</f>
        <v>0.58333333333333326</v>
      </c>
      <c r="D17" s="88" t="s">
        <v>71</v>
      </c>
      <c r="E17" s="93"/>
      <c r="F17" s="90"/>
      <c r="G17" s="92"/>
      <c r="H17" s="90"/>
      <c r="I17" s="94"/>
      <c r="J17" s="89" t="s">
        <v>72</v>
      </c>
      <c r="L17" s="96" t="str">
        <f>+VLOOKUP(3,$Z$31:$AH$35,2,0)</f>
        <v>Japón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0.54166666666666663</v>
      </c>
    </row>
    <row r="18" spans="2:35" ht="9.9499999999999993" customHeight="1" x14ac:dyDescent="0.25">
      <c r="B18" s="4" t="s">
        <v>5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88</v>
      </c>
      <c r="C21" s="9">
        <f>Y21+VLOOKUP(Menu!$B$4,Menu!$C$5:$E$24,2,0)*VLOOKUP(Menu!$B$4,Menu!$C$5:$E$24,3,0)</f>
        <v>0.41666666666666669</v>
      </c>
      <c r="D21" s="88" t="s">
        <v>71</v>
      </c>
      <c r="E21" s="93"/>
      <c r="F21" s="90"/>
      <c r="G21" s="92"/>
      <c r="H21" s="90"/>
      <c r="I21" s="94"/>
      <c r="J21" s="89" t="s">
        <v>70</v>
      </c>
      <c r="L21" s="96" t="str">
        <f>+VLOOKUP(4,$Z$31:$AH$35,2,0)</f>
        <v>Senegal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0.375</v>
      </c>
    </row>
    <row r="22" spans="2:35" ht="9.9499999999999993" customHeight="1" x14ac:dyDescent="0.25">
      <c r="B22" s="4" t="s">
        <v>50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88</v>
      </c>
      <c r="C25" s="9">
        <f>Y25+VLOOKUP(Menu!$B$4,Menu!$C$5:$E$24,2,0)*VLOOKUP(Menu!$B$4,Menu!$C$5:$E$24,3,0)</f>
        <v>0.41666666666666669</v>
      </c>
      <c r="D25" s="88" t="s">
        <v>72</v>
      </c>
      <c r="E25" s="93"/>
      <c r="F25" s="90"/>
      <c r="G25" s="92"/>
      <c r="H25" s="90"/>
      <c r="I25" s="94"/>
      <c r="J25" s="89" t="s">
        <v>22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0.375</v>
      </c>
    </row>
    <row r="26" spans="2:35" ht="9.9499999999999993" customHeight="1" x14ac:dyDescent="0.25">
      <c r="B26" s="4" t="s">
        <v>49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B28" s="24"/>
      <c r="C28" s="24"/>
      <c r="D28" s="24"/>
      <c r="E28" s="24"/>
      <c r="F28" s="24"/>
      <c r="G28" s="24"/>
      <c r="H28" s="24"/>
      <c r="I28" s="24"/>
      <c r="J28" s="24"/>
      <c r="L28" s="17" t="str">
        <f>IF(AND(K25&lt;&gt;"",OR(U9=U13,U13=U17)),"Segundo:","")</f>
        <v/>
      </c>
      <c r="M28" s="101"/>
      <c r="N28" s="101"/>
      <c r="O28" s="101"/>
    </row>
    <row r="29" spans="2:35" x14ac:dyDescent="0.25">
      <c r="B29" s="24"/>
      <c r="C29" s="24"/>
      <c r="D29" s="24"/>
      <c r="E29" s="24"/>
      <c r="F29" s="24"/>
      <c r="G29" s="24"/>
      <c r="H29" s="24"/>
      <c r="I29" s="24"/>
      <c r="J29" s="24"/>
    </row>
    <row r="30" spans="2:35" x14ac:dyDescent="0.25">
      <c r="B30" s="21"/>
      <c r="C30" s="22"/>
      <c r="D30" s="106"/>
      <c r="E30" s="107"/>
      <c r="F30" s="108"/>
      <c r="G30" s="104"/>
      <c r="H30" s="108"/>
      <c r="I30" s="104"/>
      <c r="J30" s="105"/>
    </row>
    <row r="31" spans="2:35" x14ac:dyDescent="0.25">
      <c r="B31" s="23"/>
      <c r="C31" s="23"/>
      <c r="D31" s="106"/>
      <c r="E31" s="107"/>
      <c r="F31" s="108"/>
      <c r="G31" s="104"/>
      <c r="H31" s="108"/>
      <c r="I31" s="104"/>
      <c r="J31" s="105"/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B32" s="24"/>
      <c r="C32" s="24"/>
      <c r="D32" s="24"/>
      <c r="E32" s="24"/>
      <c r="F32" s="24"/>
      <c r="G32" s="24"/>
      <c r="H32" s="24"/>
      <c r="I32" s="24"/>
      <c r="J32" s="24"/>
      <c r="Z32" s="58">
        <f>RANK(AH32,$AH$32:$AH$35)</f>
        <v>1</v>
      </c>
      <c r="AA32" s="58" t="s">
        <v>22</v>
      </c>
      <c r="AB32" s="65">
        <f>IF(AND(F9&gt;H9,F9&lt;&gt;"",H9&lt;&gt;""),1,0)+IF(AND(H13&gt;F13,H13&lt;&gt;"",F13&lt;&gt;""),1,0)+IF(AND(H25&gt;F25,F25&lt;&gt;"",H25&lt;&gt;""),1,0)</f>
        <v>0</v>
      </c>
      <c r="AC32" s="65">
        <f>IF(AND(F9=H9,F9&lt;&gt;"",H9&lt;&gt;""),1,0)+IF(AND(H13=F13,H13&lt;&gt;"",F13&lt;&gt;""),1,0)+IF(AND(H25=F25,F25&lt;&gt;"",H25&lt;&gt;""),1,0)</f>
        <v>0</v>
      </c>
      <c r="AD32" s="65">
        <f>IF(AND(F9&lt;H9,F9&lt;&gt;"",H9&lt;&gt;""),1,0)+IF(AND(H13&lt;F13,H13&lt;&gt;"",F13&lt;&gt;""),1,0)+IF(AND(H25&lt;F25,F25&lt;&gt;"",H25&lt;&gt;""),1,0)</f>
        <v>0</v>
      </c>
      <c r="AE32" s="65">
        <f>F9+H13+H25</f>
        <v>0</v>
      </c>
      <c r="AF32" s="65">
        <f>H9+F13+F25</f>
        <v>0</v>
      </c>
      <c r="AG32" s="65">
        <f>AB32*3+AC32</f>
        <v>0</v>
      </c>
      <c r="AH32" s="69">
        <f>+AG32*100000+AE32-AF32+AE32/10+4/100000000</f>
        <v>4.0000000000000001E-8</v>
      </c>
      <c r="AI32" s="58" t="str">
        <f>IFERROR(VLOOKUP(AA32,A!$AA$41:$AC$73,3,FALSE),VLOOKUP("imz",A!$AA$41:$AC$73,3,FALSE))</f>
        <v>A!$AB$47</v>
      </c>
    </row>
    <row r="33" spans="2:35" x14ac:dyDescent="0.25">
      <c r="B33" s="24"/>
      <c r="C33" s="24"/>
      <c r="D33" s="24"/>
      <c r="E33" s="24"/>
      <c r="F33" s="24"/>
      <c r="G33" s="24"/>
      <c r="H33" s="24"/>
      <c r="I33" s="24"/>
      <c r="J33" s="24"/>
      <c r="Z33" s="58">
        <f>RANK(AH33,$AH$32:$AH$35)</f>
        <v>2</v>
      </c>
      <c r="AA33" s="58" t="s">
        <v>70</v>
      </c>
      <c r="AB33" s="65">
        <f>IF(AND(F5&gt;H5,F5&lt;&gt;"",H5&lt;&gt;""),1,0)+IF(AND(F13&gt;H13,F13&lt;&gt;"",H13&lt;&gt;""),1,0)+IF(AND(H21&gt;F21,F21&lt;&gt;"",H21&lt;&gt;""),1,0)</f>
        <v>0</v>
      </c>
      <c r="AC33" s="65">
        <f>IF(AND(F5=H5,F5&lt;&gt;"",H5&lt;&gt;""),1,0)+IF(AND(F13=H13,F13&lt;&gt;"",H13&lt;&gt;""),1,0)+IF(AND(H21=F21,F21&lt;&gt;"",H21&lt;&gt;""),1,0)</f>
        <v>0</v>
      </c>
      <c r="AD33" s="65">
        <f>IF(AND(F5&lt;H5,F5&lt;&gt;"",H5&lt;&gt;""),1,0)+IF(AND(F13&lt;H13,F13&lt;&gt;"",H13&lt;&gt;""),1,0)+IF(AND(H21&lt;F21,F21&lt;&gt;"",H21&lt;&gt;""),1,0)</f>
        <v>0</v>
      </c>
      <c r="AE33" s="65">
        <f>F5+F13+H21</f>
        <v>0</v>
      </c>
      <c r="AF33" s="65">
        <f>H5+H13+F21</f>
        <v>0</v>
      </c>
      <c r="AG33" s="65">
        <f>AB33*3+AC33</f>
        <v>0</v>
      </c>
      <c r="AH33" s="69">
        <f>+AG33*100000+AE33-AF33+AE33/10+3/100000000</f>
        <v>2.9999999999999997E-8</v>
      </c>
      <c r="AI33" s="58" t="str">
        <f>IFERROR(VLOOKUP(AA33,A!$AA$41:$AC$73,3,FALSE),VLOOKUP("imz",A!$AA$41:$AC$73,3,FALSE))</f>
        <v>A!$AB$64</v>
      </c>
    </row>
    <row r="34" spans="2:35" x14ac:dyDescent="0.25">
      <c r="Z34" s="58">
        <f>RANK(AH34,$AH$32:$AH$35)</f>
        <v>3</v>
      </c>
      <c r="AA34" s="58" t="s">
        <v>71</v>
      </c>
      <c r="AB34" s="65">
        <f>IF(AND(H9&gt;F9,H9&lt;&gt;"",F9&lt;&gt;""),1,0)+IF(AND(F17&gt;H17,F17&lt;&gt;"",H17&lt;&gt;""),1,0)+IF(AND(F21&gt;H21,F21&lt;&gt;"",H21&lt;&gt;""),1,0)</f>
        <v>0</v>
      </c>
      <c r="AC34" s="65">
        <f>IF(AND(H9=F9,H9&lt;&gt;"",F9&lt;&gt;""),1,0)+IF(AND(F17=H17,F17&lt;&gt;"",H17&lt;&gt;""),1,0)+IF(AND(F21=H21,F21&lt;&gt;"",H21&lt;&gt;""),1,0)</f>
        <v>0</v>
      </c>
      <c r="AD34" s="65">
        <f>IF(AND(H9&lt;F9,F9&lt;&gt;"",H9&lt;&gt;""),1,0)+IF(AND(F17&lt;H17,F17&lt;&gt;"",H17&lt;&gt;""),1,0)+IF(AND(F21&lt;H21,F21&lt;&gt;"",H21&lt;&gt;""),1,0)</f>
        <v>0</v>
      </c>
      <c r="AE34" s="65">
        <f>H9+F17+F21</f>
        <v>0</v>
      </c>
      <c r="AF34" s="65">
        <f>F9+H17+H21</f>
        <v>0</v>
      </c>
      <c r="AG34" s="65">
        <f>AB34*3+AC34</f>
        <v>0</v>
      </c>
      <c r="AH34" s="69">
        <f>+AG34*100000+AE34-AF34+AE34/10+2/100000000</f>
        <v>2E-8</v>
      </c>
      <c r="AI34" s="58" t="str">
        <f>IFERROR(VLOOKUP(AA34,A!$AA$41:$AC$73,3,FALSE),VLOOKUP("imz",A!$AA$41:$AC$73,3,FALSE))</f>
        <v>A!$AB$58</v>
      </c>
    </row>
    <row r="35" spans="2:35" x14ac:dyDescent="0.25">
      <c r="Z35" s="58">
        <f>RANK(AH35,$AH$32:$AH$35)</f>
        <v>4</v>
      </c>
      <c r="AA35" s="58" t="s">
        <v>72</v>
      </c>
      <c r="AB35" s="65">
        <f>IF(AND(H5&gt;F5,F5&lt;&gt;"",H5&lt;&gt;""),1,0)+IF(AND(H17&gt;F17,H17&lt;&gt;"",F17&lt;&gt;""),1,0)+IF(AND(F25&gt;H25,F25&lt;&gt;"",H25&lt;&gt;""),1,0)</f>
        <v>0</v>
      </c>
      <c r="AC35" s="65">
        <f>IF(AND(H5=F5,F5&lt;&gt;"",H5&lt;&gt;""),1,0)+IF(AND(H17=F17,F17&lt;&gt;"",H17&lt;&gt;""),1,0)+IF(AND(F25=H25,F25&lt;&gt;"",H25&lt;&gt;""),1,0)</f>
        <v>0</v>
      </c>
      <c r="AD35" s="65">
        <f>IF(AND(H5&lt;F5,H5&lt;&gt;"",F5&lt;&gt;""),1,0)+IF(AND(H17&lt;F17,F17&lt;&gt;"",H17&lt;&gt;""),1,0)+IF(AND(F25&lt;H25,F25&lt;&gt;"",H25&lt;&gt;""),1,0)</f>
        <v>0</v>
      </c>
      <c r="AE35" s="65">
        <f>H5+H17+F25</f>
        <v>0</v>
      </c>
      <c r="AF35" s="65">
        <f>F5+F17+H25</f>
        <v>0</v>
      </c>
      <c r="AG35" s="65">
        <f>AB35*3+AC35</f>
        <v>0</v>
      </c>
      <c r="AH35" s="69">
        <f>+AG35*100000+AE35-AF35+AE35/10+1/100000000</f>
        <v>1E-8</v>
      </c>
      <c r="AI35" s="58" t="str">
        <f>IFERROR(VLOOKUP(AA35,A!$AA$41:$AC$73,3,FALSE),VLOOKUP("imz",A!$AA$41:$AC$73,3,FALSE))</f>
        <v>A!$AB$67</v>
      </c>
    </row>
    <row r="37" spans="2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:35" x14ac:dyDescent="0.25">
      <c r="AB39" s="66"/>
      <c r="AC39" s="67"/>
    </row>
  </sheetData>
  <mergeCells count="96">
    <mergeCell ref="I30:I31"/>
    <mergeCell ref="J30:J31"/>
    <mergeCell ref="D30:D31"/>
    <mergeCell ref="E30:E31"/>
    <mergeCell ref="F30:F31"/>
    <mergeCell ref="G30:G31"/>
    <mergeCell ref="H30:H31"/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1" priority="2">
      <formula>L27&lt;&gt;""</formula>
    </cfRule>
  </conditionalFormatting>
  <conditionalFormatting sqref="M28:O28">
    <cfRule type="expression" dxfId="0" priority="1">
      <formula>L28&lt;&gt;""</formula>
    </cfRule>
  </conditionalFormatting>
  <pageMargins left="0.7" right="0.7" top="0.75" bottom="0.75" header="0.3" footer="0.3"/>
  <pageSetup orientation="portrait" r:id="rId1"/>
  <ignoredErrors>
    <ignoredError sqref="B5 B9" twoDigitTextYear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Q17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7" customWidth="1"/>
    <col min="3" max="3" width="5.625" customWidth="1"/>
    <col min="4" max="4" width="12.625" customWidth="1"/>
    <col min="5" max="5" width="5.125" customWidth="1"/>
    <col min="6" max="7" width="4.125" customWidth="1"/>
    <col min="8" max="8" width="1.625" customWidth="1"/>
    <col min="9" max="10" width="4.125" customWidth="1"/>
    <col min="11" max="11" width="5.125" customWidth="1"/>
    <col min="12" max="12" width="12.625" customWidth="1"/>
    <col min="13" max="13" width="10.375" customWidth="1"/>
    <col min="14" max="14" width="7" customWidth="1"/>
    <col min="15" max="15" width="5.625" customWidth="1"/>
    <col min="16" max="16" width="12.625" customWidth="1"/>
    <col min="17" max="17" width="5.125" customWidth="1"/>
    <col min="18" max="19" width="4.125" customWidth="1"/>
    <col min="20" max="20" width="1.625" customWidth="1"/>
    <col min="21" max="22" width="4.125" customWidth="1"/>
    <col min="23" max="23" width="5.125" customWidth="1"/>
    <col min="24" max="24" width="12.625" customWidth="1"/>
    <col min="26" max="43" width="11" style="58" customWidth="1"/>
    <col min="49" max="49" width="11" style="24"/>
  </cols>
  <sheetData>
    <row r="1" spans="1:69" ht="36" customHeight="1" x14ac:dyDescent="0.25">
      <c r="U1" s="29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1:69" ht="24" customHeight="1" x14ac:dyDescent="0.35">
      <c r="B2" s="32" t="s">
        <v>13</v>
      </c>
      <c r="C2" s="6"/>
      <c r="U2" s="29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1:69" ht="70.5" customHeight="1" x14ac:dyDescent="0.25">
      <c r="G3" s="44" t="s">
        <v>9</v>
      </c>
      <c r="J3" s="44" t="s">
        <v>9</v>
      </c>
      <c r="S3" s="44" t="s">
        <v>9</v>
      </c>
      <c r="T3" s="44"/>
      <c r="U3" s="13"/>
      <c r="V3" s="44" t="s">
        <v>9</v>
      </c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1:69" ht="11.1" customHeight="1" x14ac:dyDescent="0.25">
      <c r="A4" s="43" t="s">
        <v>129</v>
      </c>
      <c r="B4" s="8" t="s">
        <v>90</v>
      </c>
      <c r="C4" s="9">
        <f>Z4+VLOOKUP(Menu!$B$4,Menu!$C$5:$E$24,2,0)*VLOOKUP(Menu!$B$4,Menu!$C$5:$E$24,3,0)</f>
        <v>0.41666666666666669</v>
      </c>
      <c r="D4" s="88" t="str">
        <f>IF('C'!AA37="","1°C",'C'!AA37)</f>
        <v>1°C</v>
      </c>
      <c r="E4" s="93"/>
      <c r="F4" s="90"/>
      <c r="G4" s="90"/>
      <c r="H4" s="92"/>
      <c r="I4" s="90"/>
      <c r="J4" s="90"/>
      <c r="K4" s="94"/>
      <c r="L4" s="89" t="str">
        <f>IF(D!AA38="","2°D",D!AA38)</f>
        <v>2°D</v>
      </c>
      <c r="N4" s="8" t="s">
        <v>92</v>
      </c>
      <c r="O4" s="9">
        <f>AA4+VLOOKUP(Menu!$B$4,Menu!$C$5:$E$24,2,0)*VLOOKUP(Menu!$B$4,Menu!$C$5:$E$24,3,0)</f>
        <v>0.41666666666666669</v>
      </c>
      <c r="P4" s="88" t="str">
        <f>IF(E!AA37="","1°E",E!AA37)</f>
        <v>1°E</v>
      </c>
      <c r="Q4" s="93"/>
      <c r="R4" s="90"/>
      <c r="S4" s="90"/>
      <c r="T4" s="92"/>
      <c r="U4" s="90"/>
      <c r="V4" s="90"/>
      <c r="W4" s="94"/>
      <c r="X4" s="89" t="str">
        <f>IF(F!AA38="","2°F",F!AA38)</f>
        <v>2°F</v>
      </c>
      <c r="Y4" s="43" t="s">
        <v>134</v>
      </c>
      <c r="Z4" s="71">
        <v>0.375</v>
      </c>
      <c r="AA4" s="71">
        <v>0.375</v>
      </c>
      <c r="AB4" s="58" t="str">
        <f>IF(AND(F4&lt;&gt;"",I4&lt;&gt;"",D4&lt;&gt;"",L4&lt;&gt;""),IF(F4=I4,IF(G4&gt;J4,D4,L4),IF(F4&gt;I4,D4,L4)),"")</f>
        <v/>
      </c>
      <c r="AC4" s="58" t="str">
        <f>IF(AND(R4&lt;&gt;"",U4&lt;&gt;"",P4&lt;&gt;"",X4&lt;&gt;""),IF(R4=U4,IF(S4&gt;V4,P4,X4),IF(R4&gt;U4,P4,X4)),"")</f>
        <v/>
      </c>
      <c r="AE4" s="58" t="str">
        <f>IFERROR(VLOOKUP(D4,A!$AA$41:$AC$73,3,FALSE),VLOOKUP("imz",A!$AA$41:$AC$73,3,FALSE))</f>
        <v>A!$AB$73</v>
      </c>
      <c r="AF4" s="58" t="str">
        <f>IFERROR(VLOOKUP(L4,A!$AA$41:$AC$73,3,FALSE),VLOOKUP("imz",A!$AA$41:$AC$73,3,FALSE))</f>
        <v>A!$AB$73</v>
      </c>
      <c r="AH4" s="58" t="str">
        <f>IFERROR(VLOOKUP(P4,A!$AA$41:$AC$73,3,FALSE),VLOOKUP("imz",A!$AA$41:$AC$73,3,FALSE))</f>
        <v>A!$AB$73</v>
      </c>
      <c r="AI4" s="58" t="str">
        <f>IFERROR(VLOOKUP(X4,A!$AA$41:$AC$73,3,FALSE),VLOOKUP("imz",A!$AA$41:$AC$73,3,FALSE))</f>
        <v>A!$AB$73</v>
      </c>
    </row>
    <row r="5" spans="1:69" ht="9.9499999999999993" customHeight="1" x14ac:dyDescent="0.25">
      <c r="B5" s="4" t="s">
        <v>74</v>
      </c>
      <c r="C5" s="4"/>
      <c r="D5" s="88"/>
      <c r="E5" s="93"/>
      <c r="F5" s="91"/>
      <c r="G5" s="91"/>
      <c r="H5" s="92"/>
      <c r="I5" s="91"/>
      <c r="J5" s="91"/>
      <c r="K5" s="94"/>
      <c r="L5" s="89"/>
      <c r="N5" s="4" t="s">
        <v>49</v>
      </c>
      <c r="O5" s="4"/>
      <c r="P5" s="88"/>
      <c r="Q5" s="93"/>
      <c r="R5" s="91"/>
      <c r="S5" s="91"/>
      <c r="T5" s="92"/>
      <c r="U5" s="91"/>
      <c r="V5" s="91"/>
      <c r="W5" s="94"/>
      <c r="X5" s="89"/>
      <c r="Z5" s="72"/>
      <c r="AA5" s="72"/>
    </row>
    <row r="6" spans="1:69" ht="9.9499999999999993" customHeight="1" x14ac:dyDescent="0.25"/>
    <row r="7" spans="1:69" ht="9.9499999999999993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69" ht="11.1" customHeight="1" x14ac:dyDescent="0.25">
      <c r="A8" s="43" t="s">
        <v>130</v>
      </c>
      <c r="B8" s="8" t="s">
        <v>90</v>
      </c>
      <c r="C8" s="9">
        <f>Z8+VLOOKUP(Menu!$B$4,Menu!$C$5:$E$24,2,0)*VLOOKUP(Menu!$B$4,Menu!$C$5:$E$24,3,0)</f>
        <v>0.58333333333333326</v>
      </c>
      <c r="D8" s="88" t="str">
        <f>IF(A!AA37="","1°A",A!AA37)</f>
        <v>1°A</v>
      </c>
      <c r="E8" s="109"/>
      <c r="F8" s="90"/>
      <c r="G8" s="90"/>
      <c r="H8" s="110"/>
      <c r="I8" s="90"/>
      <c r="J8" s="90"/>
      <c r="K8" s="94"/>
      <c r="L8" s="89" t="str">
        <f>IF(B!AA38="","2°B",B!AA38)</f>
        <v>2°B</v>
      </c>
      <c r="N8" s="8" t="s">
        <v>92</v>
      </c>
      <c r="O8" s="9">
        <f>AA8+VLOOKUP(Menu!$B$4,Menu!$C$5:$E$24,2,0)*VLOOKUP(Menu!$B$4,Menu!$C$5:$E$24,3,0)</f>
        <v>0.58333333333333326</v>
      </c>
      <c r="P8" s="88" t="str">
        <f>IF(G!AA37="","1°G",G!AA37)</f>
        <v>1°G</v>
      </c>
      <c r="Q8" s="109"/>
      <c r="R8" s="90"/>
      <c r="S8" s="90"/>
      <c r="T8" s="110"/>
      <c r="U8" s="90"/>
      <c r="V8" s="90"/>
      <c r="W8" s="94"/>
      <c r="X8" s="89" t="str">
        <f>IF(H!AA38="","2°H",H!AA38)</f>
        <v>2°H</v>
      </c>
      <c r="Y8" s="43" t="s">
        <v>135</v>
      </c>
      <c r="Z8" s="71">
        <v>0.54166666666666663</v>
      </c>
      <c r="AA8" s="71">
        <v>0.54166666666666663</v>
      </c>
      <c r="AB8" s="58" t="str">
        <f>IF(AND(F8&lt;&gt;"",I8&lt;&gt;"",D8&lt;&gt;"",L8&lt;&gt;""),IF(F8=I8,IF(G8&gt;J8,D8,L8),IF(F8&gt;I8,D8,L8)),"")</f>
        <v/>
      </c>
      <c r="AC8" s="58" t="str">
        <f>IF(AND(R8&lt;&gt;"",U8&lt;&gt;"",P8&lt;&gt;"",X8&lt;&gt;""),IF(R8=U8,IF(S8&gt;V8,P8,X8),IF(R8&gt;U8,P8,X8)),"")</f>
        <v/>
      </c>
      <c r="AE8" s="58" t="str">
        <f>IFERROR(VLOOKUP(D8,A!$AA$41:$AC$73,3,FALSE),VLOOKUP("imz",A!$AA$41:$AC$73,3,FALSE))</f>
        <v>A!$AB$73</v>
      </c>
      <c r="AF8" s="58" t="str">
        <f>IFERROR(VLOOKUP(L8,A!$AA$41:$AC$73,3,FALSE),VLOOKUP("imz",A!$AA$41:$AC$73,3,FALSE))</f>
        <v>A!$AB$73</v>
      </c>
      <c r="AH8" s="58" t="str">
        <f>IFERROR(VLOOKUP(P8,A!$AA$41:$AC$73,3,FALSE),VLOOKUP("imz",A!$AA$41:$AC$73,3,FALSE))</f>
        <v>A!$AB$73</v>
      </c>
      <c r="AI8" s="58" t="str">
        <f>IFERROR(VLOOKUP(X8,A!$AA$41:$AC$73,3,FALSE),VLOOKUP("imz",A!$AA$41:$AC$73,3,FALSE))</f>
        <v>A!$AB$73</v>
      </c>
    </row>
    <row r="9" spans="1:69" ht="9.9499999999999993" customHeight="1" x14ac:dyDescent="0.25">
      <c r="B9" s="4" t="s">
        <v>73</v>
      </c>
      <c r="C9" s="4"/>
      <c r="D9" s="88"/>
      <c r="E9" s="109"/>
      <c r="F9" s="91"/>
      <c r="G9" s="91"/>
      <c r="H9" s="110"/>
      <c r="I9" s="91"/>
      <c r="J9" s="91"/>
      <c r="K9" s="94"/>
      <c r="L9" s="89"/>
      <c r="N9" s="4" t="s">
        <v>89</v>
      </c>
      <c r="O9" s="4"/>
      <c r="P9" s="88"/>
      <c r="Q9" s="109"/>
      <c r="R9" s="91"/>
      <c r="S9" s="91"/>
      <c r="T9" s="110"/>
      <c r="U9" s="91"/>
      <c r="V9" s="91"/>
      <c r="W9" s="94"/>
      <c r="X9" s="89"/>
      <c r="Z9" s="72"/>
      <c r="AA9" s="72"/>
    </row>
    <row r="10" spans="1:69" ht="9.9499999999999993" customHeight="1" x14ac:dyDescent="0.25"/>
    <row r="11" spans="1:69" ht="9.9499999999999993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69" ht="11.1" customHeight="1" x14ac:dyDescent="0.25">
      <c r="A12" s="43" t="s">
        <v>131</v>
      </c>
      <c r="B12" s="8" t="s">
        <v>91</v>
      </c>
      <c r="C12" s="9">
        <f>Z12+VLOOKUP(Menu!$B$4,Menu!$C$5:$E$24,2,0)*VLOOKUP(Menu!$B$4,Menu!$C$5:$E$24,3,0)</f>
        <v>0.41666666666666669</v>
      </c>
      <c r="D12" s="88" t="str">
        <f>IF(B!AA37="","1°B",B!AA37)</f>
        <v>1°B</v>
      </c>
      <c r="E12" s="109"/>
      <c r="F12" s="90"/>
      <c r="G12" s="90"/>
      <c r="H12" s="110"/>
      <c r="I12" s="90"/>
      <c r="J12" s="90"/>
      <c r="K12" s="94"/>
      <c r="L12" s="89" t="str">
        <f>IF(A!AA38="","2°A",A!AA38)</f>
        <v>2°A</v>
      </c>
      <c r="N12" s="8" t="s">
        <v>93</v>
      </c>
      <c r="O12" s="9">
        <f>AA12+VLOOKUP(Menu!$B$4,Menu!$C$5:$E$24,2,0)*VLOOKUP(Menu!$B$4,Menu!$C$5:$E$24,3,0)</f>
        <v>0.41666666666666669</v>
      </c>
      <c r="P12" s="88" t="str">
        <f>IF(F!AA37="","1°F",F!AA37)</f>
        <v>1°F</v>
      </c>
      <c r="Q12" s="109"/>
      <c r="R12" s="90"/>
      <c r="S12" s="90"/>
      <c r="T12" s="110"/>
      <c r="U12" s="90"/>
      <c r="V12" s="90"/>
      <c r="W12" s="94"/>
      <c r="X12" s="89" t="str">
        <f>IF(E!AA38="","2°E",E!AA38)</f>
        <v>2°E</v>
      </c>
      <c r="Y12" s="43" t="s">
        <v>136</v>
      </c>
      <c r="Z12" s="71">
        <v>0.375</v>
      </c>
      <c r="AA12" s="71">
        <v>0.375</v>
      </c>
      <c r="AB12" s="58" t="str">
        <f>IF(AND(F12&lt;&gt;"",I12&lt;&gt;"",D12&lt;&gt;"",L12&lt;&gt;""),IF(F12=I12,IF(G12&gt;J12,D12,L12),IF(F12&gt;I12,D12,L12)),"")</f>
        <v/>
      </c>
      <c r="AC12" s="58" t="str">
        <f>IF(AND(R12&lt;&gt;"",U12&lt;&gt;"",P12&lt;&gt;"",X12&lt;&gt;""),IF(R12=U12,IF(S12&gt;V12,P12,X12),IF(R12&gt;U12,P12,X12)),"")</f>
        <v/>
      </c>
      <c r="AE12" s="58" t="str">
        <f>IFERROR(VLOOKUP(D12,A!$AA$41:$AC$73,3,FALSE),VLOOKUP("imz",A!$AA$41:$AC$73,3,FALSE))</f>
        <v>A!$AB$73</v>
      </c>
      <c r="AF12" s="58" t="str">
        <f>IFERROR(VLOOKUP(L12,A!$AA$41:$AC$73,3,FALSE),VLOOKUP("imz",A!$AA$41:$AC$73,3,FALSE))</f>
        <v>A!$AB$73</v>
      </c>
      <c r="AH12" s="58" t="str">
        <f>IFERROR(VLOOKUP(P12,A!$AA$41:$AC$73,3,FALSE),VLOOKUP("imz",A!$AA$41:$AC$73,3,FALSE))</f>
        <v>A!$AB$73</v>
      </c>
      <c r="AI12" s="58" t="str">
        <f>IFERROR(VLOOKUP(X12,A!$AA$41:$AC$73,3,FALSE),VLOOKUP("imz",A!$AA$41:$AC$73,3,FALSE))</f>
        <v>A!$AB$73</v>
      </c>
    </row>
    <row r="13" spans="1:69" ht="9.9499999999999993" customHeight="1" x14ac:dyDescent="0.25">
      <c r="B13" s="4" t="s">
        <v>0</v>
      </c>
      <c r="C13" s="4"/>
      <c r="D13" s="88"/>
      <c r="E13" s="109"/>
      <c r="F13" s="91"/>
      <c r="G13" s="91"/>
      <c r="H13" s="110"/>
      <c r="I13" s="91"/>
      <c r="J13" s="91"/>
      <c r="K13" s="94"/>
      <c r="L13" s="89"/>
      <c r="N13" s="4" t="s">
        <v>82</v>
      </c>
      <c r="O13" s="4"/>
      <c r="P13" s="88"/>
      <c r="Q13" s="109"/>
      <c r="R13" s="91"/>
      <c r="S13" s="91"/>
      <c r="T13" s="110"/>
      <c r="U13" s="91"/>
      <c r="V13" s="91"/>
      <c r="W13" s="94"/>
      <c r="X13" s="89"/>
      <c r="Z13" s="72"/>
      <c r="AA13" s="72"/>
    </row>
    <row r="14" spans="1:69" ht="9.9499999999999993" customHeight="1" x14ac:dyDescent="0.25"/>
    <row r="15" spans="1:69" ht="9.9499999999999993" customHeight="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69" ht="11.1" customHeight="1" x14ac:dyDescent="0.25">
      <c r="A16" s="43" t="s">
        <v>132</v>
      </c>
      <c r="B16" s="8" t="s">
        <v>91</v>
      </c>
      <c r="C16" s="9">
        <f>Z16+VLOOKUP(Menu!$B$4,Menu!$C$5:$E$24,2,0)*VLOOKUP(Menu!$B$4,Menu!$C$5:$E$24,3,0)</f>
        <v>0.58333333333333326</v>
      </c>
      <c r="D16" s="88" t="str">
        <f>IF(D!AA37="","1°D",D!AA37)</f>
        <v>1°D</v>
      </c>
      <c r="E16" s="109"/>
      <c r="F16" s="90"/>
      <c r="G16" s="90"/>
      <c r="H16" s="110"/>
      <c r="I16" s="90"/>
      <c r="J16" s="90"/>
      <c r="K16" s="94"/>
      <c r="L16" s="89" t="str">
        <f>IF('C'!AA38="","2°C",'C'!AA38)</f>
        <v>2°C</v>
      </c>
      <c r="N16" s="8" t="s">
        <v>93</v>
      </c>
      <c r="O16" s="9">
        <f>AA16+VLOOKUP(Menu!$B$4,Menu!$C$5:$E$24,2,0)*VLOOKUP(Menu!$B$4,Menu!$C$5:$E$24,3,0)</f>
        <v>0.58333333333333326</v>
      </c>
      <c r="P16" s="88" t="str">
        <f>IF(H!AA37="","1°H",H!AA37)</f>
        <v>1°H</v>
      </c>
      <c r="Q16" s="109"/>
      <c r="R16" s="90"/>
      <c r="S16" s="90"/>
      <c r="T16" s="110"/>
      <c r="U16" s="90"/>
      <c r="V16" s="90"/>
      <c r="W16" s="94"/>
      <c r="X16" s="89" t="str">
        <f>IF(G!AA38="","2°G",G!AA38)</f>
        <v>2°G</v>
      </c>
      <c r="Y16" s="43" t="s">
        <v>137</v>
      </c>
      <c r="Z16" s="71">
        <v>0.54166666666666663</v>
      </c>
      <c r="AA16" s="71">
        <v>0.54166666666666663</v>
      </c>
      <c r="AB16" s="58" t="str">
        <f>IF(AND(F16&lt;&gt;"",I16&lt;&gt;"",D16&lt;&gt;"",L16&lt;&gt;""),IF(F16=I16,IF(G16&gt;J16,D16,L16),IF(F16&gt;I16,D16,L16)),"")</f>
        <v/>
      </c>
      <c r="AC16" s="58" t="str">
        <f>IF(AND(R16&lt;&gt;"",U16&lt;&gt;"",P16&lt;&gt;"",X16&lt;&gt;""),IF(R16=U16,IF(S16&gt;V16,P16,X16),IF(R16&gt;U16,P16,X16)),"")</f>
        <v/>
      </c>
      <c r="AE16" s="58" t="str">
        <f>IFERROR(VLOOKUP(D16,A!$AA$41:$AC$73,3,FALSE),VLOOKUP("imz",A!$AA$41:$AC$73,3,FALSE))</f>
        <v>A!$AB$73</v>
      </c>
      <c r="AF16" s="58" t="str">
        <f>IFERROR(VLOOKUP(L16,A!$AA$41:$AC$73,3,FALSE),VLOOKUP("imz",A!$AA$41:$AC$73,3,FALSE))</f>
        <v>A!$AB$73</v>
      </c>
      <c r="AH16" s="58" t="str">
        <f>IFERROR(VLOOKUP(P16,A!$AA$41:$AC$73,3,FALSE),VLOOKUP("imz",A!$AA$41:$AC$73,3,FALSE))</f>
        <v>A!$AB$73</v>
      </c>
      <c r="AI16" s="58" t="str">
        <f>IFERROR(VLOOKUP(X16,A!$AA$41:$AC$73,3,FALSE),VLOOKUP("imz",A!$AA$41:$AC$73,3,FALSE))</f>
        <v>A!$AB$73</v>
      </c>
    </row>
    <row r="17" spans="2:24" ht="9.9499999999999993" customHeight="1" x14ac:dyDescent="0.25">
      <c r="B17" s="4" t="s">
        <v>80</v>
      </c>
      <c r="C17" s="4"/>
      <c r="D17" s="88"/>
      <c r="E17" s="109"/>
      <c r="F17" s="91"/>
      <c r="G17" s="91"/>
      <c r="H17" s="110"/>
      <c r="I17" s="91"/>
      <c r="J17" s="91"/>
      <c r="K17" s="94"/>
      <c r="L17" s="89"/>
      <c r="N17" s="4" t="s">
        <v>0</v>
      </c>
      <c r="O17" s="4"/>
      <c r="P17" s="88"/>
      <c r="Q17" s="109"/>
      <c r="R17" s="91"/>
      <c r="S17" s="91"/>
      <c r="T17" s="110"/>
      <c r="U17" s="91"/>
      <c r="V17" s="91"/>
      <c r="W17" s="94"/>
      <c r="X17" s="89"/>
    </row>
  </sheetData>
  <mergeCells count="72">
    <mergeCell ref="G16:G17"/>
    <mergeCell ref="I4:I5"/>
    <mergeCell ref="I8:I9"/>
    <mergeCell ref="I12:I13"/>
    <mergeCell ref="I16:I17"/>
    <mergeCell ref="K8:K9"/>
    <mergeCell ref="L8:L9"/>
    <mergeCell ref="D12:D13"/>
    <mergeCell ref="E12:E13"/>
    <mergeCell ref="F12:F13"/>
    <mergeCell ref="H12:H13"/>
    <mergeCell ref="J12:J13"/>
    <mergeCell ref="K12:K13"/>
    <mergeCell ref="G8:G9"/>
    <mergeCell ref="G12:G13"/>
    <mergeCell ref="D8:D9"/>
    <mergeCell ref="E8:E9"/>
    <mergeCell ref="F8:F9"/>
    <mergeCell ref="H8:H9"/>
    <mergeCell ref="J8:J9"/>
    <mergeCell ref="V16:V17"/>
    <mergeCell ref="V12:V13"/>
    <mergeCell ref="V8:V9"/>
    <mergeCell ref="V4:V5"/>
    <mergeCell ref="L12:L13"/>
    <mergeCell ref="S4:S5"/>
    <mergeCell ref="S8:S9"/>
    <mergeCell ref="S12:S13"/>
    <mergeCell ref="S16:S17"/>
    <mergeCell ref="U4:U5"/>
    <mergeCell ref="U8:U9"/>
    <mergeCell ref="U12:U13"/>
    <mergeCell ref="U16:U17"/>
    <mergeCell ref="Q16:Q17"/>
    <mergeCell ref="R16:R17"/>
    <mergeCell ref="T16:T17"/>
    <mergeCell ref="X12:X13"/>
    <mergeCell ref="D16:D17"/>
    <mergeCell ref="E16:E17"/>
    <mergeCell ref="F16:F17"/>
    <mergeCell ref="H16:H17"/>
    <mergeCell ref="J16:J17"/>
    <mergeCell ref="K16:K17"/>
    <mergeCell ref="L16:L17"/>
    <mergeCell ref="P12:P13"/>
    <mergeCell ref="Q12:Q13"/>
    <mergeCell ref="R12:R13"/>
    <mergeCell ref="T12:T13"/>
    <mergeCell ref="W16:W17"/>
    <mergeCell ref="X16:X17"/>
    <mergeCell ref="P16:P17"/>
    <mergeCell ref="W12:W13"/>
    <mergeCell ref="X8:X9"/>
    <mergeCell ref="P8:P9"/>
    <mergeCell ref="Q8:Q9"/>
    <mergeCell ref="R8:R9"/>
    <mergeCell ref="T8:T9"/>
    <mergeCell ref="W8:W9"/>
    <mergeCell ref="X4:X5"/>
    <mergeCell ref="L4:L5"/>
    <mergeCell ref="D4:D5"/>
    <mergeCell ref="E4:E5"/>
    <mergeCell ref="F4:F5"/>
    <mergeCell ref="H4:H5"/>
    <mergeCell ref="J4:J5"/>
    <mergeCell ref="K4:K5"/>
    <mergeCell ref="G4:G5"/>
    <mergeCell ref="P4:P5"/>
    <mergeCell ref="Q4:Q5"/>
    <mergeCell ref="R4:R5"/>
    <mergeCell ref="T4:T5"/>
    <mergeCell ref="W4:W5"/>
  </mergeCells>
  <pageMargins left="0.7" right="0.7" top="0.75" bottom="0.75" header="0.3" footer="0.3"/>
  <pageSetup orientation="portrait" r:id="rId1"/>
  <ignoredErrors>
    <ignoredError sqref="N12 N16" twoDigitTextYear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Q9"/>
  <sheetViews>
    <sheetView showGridLines="0" workbookViewId="0"/>
  </sheetViews>
  <sheetFormatPr baseColWidth="10" defaultRowHeight="15.75" x14ac:dyDescent="0.25"/>
  <cols>
    <col min="1" max="1" width="2.875" customWidth="1"/>
    <col min="2" max="2" width="7" customWidth="1"/>
    <col min="3" max="3" width="5.625" customWidth="1"/>
    <col min="4" max="4" width="12.625" customWidth="1"/>
    <col min="5" max="5" width="5.125" customWidth="1"/>
    <col min="6" max="7" width="4.125" customWidth="1"/>
    <col min="8" max="8" width="1.625" customWidth="1"/>
    <col min="9" max="10" width="4.125" customWidth="1"/>
    <col min="11" max="11" width="5.125" customWidth="1"/>
    <col min="12" max="12" width="12.625" customWidth="1"/>
    <col min="13" max="13" width="10.25" customWidth="1"/>
    <col min="14" max="14" width="7" customWidth="1"/>
    <col min="15" max="15" width="5.625" customWidth="1"/>
    <col min="16" max="16" width="12.625" customWidth="1"/>
    <col min="17" max="17" width="5.125" customWidth="1"/>
    <col min="18" max="19" width="4.125" customWidth="1"/>
    <col min="20" max="20" width="1.625" customWidth="1"/>
    <col min="21" max="22" width="4.125" customWidth="1"/>
    <col min="23" max="23" width="5.125" customWidth="1"/>
    <col min="24" max="24" width="12.625" customWidth="1"/>
    <col min="26" max="39" width="11" style="58"/>
  </cols>
  <sheetData>
    <row r="1" spans="1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1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1:69" ht="70.5" customHeight="1" x14ac:dyDescent="0.25">
      <c r="G3" s="44" t="s">
        <v>9</v>
      </c>
      <c r="H3" s="44"/>
      <c r="I3" s="44"/>
      <c r="J3" s="44" t="s">
        <v>9</v>
      </c>
      <c r="K3" s="44"/>
      <c r="L3" s="44"/>
      <c r="M3" s="44"/>
      <c r="N3" s="44"/>
      <c r="O3" s="44"/>
      <c r="P3" s="44"/>
      <c r="Q3" s="44"/>
      <c r="R3" s="44"/>
      <c r="S3" s="44" t="s">
        <v>9</v>
      </c>
      <c r="T3" s="44"/>
      <c r="U3" s="13"/>
      <c r="V3" s="44" t="s">
        <v>9</v>
      </c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1:69" ht="11.1" customHeight="1" x14ac:dyDescent="0.25">
      <c r="A4" s="43" t="s">
        <v>138</v>
      </c>
      <c r="B4" s="8" t="s">
        <v>94</v>
      </c>
      <c r="C4" s="9">
        <f>AA4+VLOOKUP(Menu!$B$4,Menu!$C$5:$E$24,2,0)*VLOOKUP(Menu!$B$4,Menu!$C$5:$E$24,3,0)</f>
        <v>0.41666666666666669</v>
      </c>
      <c r="D4" s="88" t="str">
        <f>IF(Octavos!AB4="","Ganador O1",Octavos!AB4)</f>
        <v>Ganador O1</v>
      </c>
      <c r="E4" s="93"/>
      <c r="F4" s="90"/>
      <c r="G4" s="90"/>
      <c r="H4" s="92"/>
      <c r="I4" s="90"/>
      <c r="J4" s="90"/>
      <c r="K4" s="94"/>
      <c r="L4" s="89" t="str">
        <f>IF(Octavos!AB8="","Ganador O2",Octavos!AB8)</f>
        <v>Ganador O2</v>
      </c>
      <c r="N4" s="8" t="s">
        <v>95</v>
      </c>
      <c r="O4" s="9">
        <f>AB4+VLOOKUP(Menu!$B$4,Menu!$C$5:$E$24,2,0)*VLOOKUP(Menu!$B$4,Menu!$C$5:$E$24,3,0)</f>
        <v>0.41666666666666669</v>
      </c>
      <c r="P4" s="88" t="str">
        <f>IF(Octavos!AB12="","Ganador O5",Octavos!AB12)</f>
        <v>Ganador O5</v>
      </c>
      <c r="Q4" s="93"/>
      <c r="R4" s="90"/>
      <c r="S4" s="90"/>
      <c r="T4" s="92"/>
      <c r="U4" s="90"/>
      <c r="V4" s="90"/>
      <c r="W4" s="94"/>
      <c r="X4" s="89" t="str">
        <f>IF(Octavos!AB16="","Ganador O6",Octavos!AB16)</f>
        <v>Ganador O6</v>
      </c>
      <c r="Y4" s="52" t="s">
        <v>140</v>
      </c>
      <c r="AA4" s="71">
        <v>0.375</v>
      </c>
      <c r="AB4" s="71">
        <v>0.375</v>
      </c>
      <c r="AC4" s="58" t="str">
        <f>IF(AND(F4&lt;&gt;"",I4&lt;&gt;"",D4&lt;&gt;"",L4&lt;&gt;""),IF(F4=I4,IF(G4&gt;J4,D4,L4),IF(F4&gt;I4,D4,L4)),"")</f>
        <v/>
      </c>
      <c r="AD4" s="58" t="str">
        <f>IF(AND(R4&lt;&gt;"",U4&lt;&gt;"",P4&lt;&gt;"",X4&lt;&gt;""),IF(R4=U4,IF(S4&gt;V4,P4,X4),IF(R4&gt;U4,P4,X4)),"")</f>
        <v/>
      </c>
      <c r="AE4" s="58" t="str">
        <f>IFERROR(VLOOKUP(D4,A!$AA$41:$AC$73,3,FALSE),VLOOKUP("imz",A!$AA$41:$AC$73,3,FALSE))</f>
        <v>A!$AB$73</v>
      </c>
      <c r="AF4" s="58" t="str">
        <f>IFERROR(VLOOKUP(L4,A!$AA$41:$AC$73,3,FALSE),VLOOKUP("imz",A!$AA$41:$AC$73,3,FALSE))</f>
        <v>A!$AB$73</v>
      </c>
      <c r="AH4" s="58" t="str">
        <f>IFERROR(VLOOKUP(P4,A!$AA$41:$AC$73,3,FALSE),VLOOKUP("imz",A!$AA$41:$AC$73,3,FALSE))</f>
        <v>A!$AB$73</v>
      </c>
      <c r="AI4" s="58" t="str">
        <f>IFERROR(VLOOKUP(X4,A!$AA$41:$AC$73,3,FALSE),VLOOKUP("imz",A!$AA$41:$AC$73,3,FALSE))</f>
        <v>A!$AB$73</v>
      </c>
    </row>
    <row r="5" spans="1:69" ht="9.9499999999999993" customHeight="1" x14ac:dyDescent="0.25">
      <c r="B5" s="4" t="s">
        <v>80</v>
      </c>
      <c r="C5" s="4"/>
      <c r="D5" s="88"/>
      <c r="E5" s="93"/>
      <c r="F5" s="91"/>
      <c r="G5" s="91"/>
      <c r="H5" s="92"/>
      <c r="I5" s="91"/>
      <c r="J5" s="91"/>
      <c r="K5" s="94"/>
      <c r="L5" s="89"/>
      <c r="N5" s="4" t="s">
        <v>73</v>
      </c>
      <c r="O5" s="4"/>
      <c r="P5" s="88"/>
      <c r="Q5" s="93"/>
      <c r="R5" s="91"/>
      <c r="S5" s="91"/>
      <c r="T5" s="92"/>
      <c r="U5" s="91"/>
      <c r="V5" s="91"/>
      <c r="W5" s="94"/>
      <c r="X5" s="89"/>
      <c r="AA5" s="72"/>
      <c r="AB5" s="72"/>
    </row>
    <row r="6" spans="1:69" ht="9.9499999999999993" customHeight="1" x14ac:dyDescent="0.25"/>
    <row r="7" spans="1:69" ht="9.9499999999999993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69" ht="11.1" customHeight="1" x14ac:dyDescent="0.25">
      <c r="A8" s="43" t="s">
        <v>139</v>
      </c>
      <c r="B8" s="8" t="s">
        <v>94</v>
      </c>
      <c r="C8" s="9">
        <f>AA8+VLOOKUP(Menu!$B$4,Menu!$C$5:$E$24,2,0)*VLOOKUP(Menu!$B$4,Menu!$C$5:$E$24,3,0)</f>
        <v>0.58333333333333326</v>
      </c>
      <c r="D8" s="88" t="str">
        <f>IF(Octavos!AC4="","Ganador O3",Octavos!AC4)</f>
        <v>Ganador O3</v>
      </c>
      <c r="E8" s="109"/>
      <c r="F8" s="90"/>
      <c r="G8" s="90"/>
      <c r="H8" s="110"/>
      <c r="I8" s="90"/>
      <c r="J8" s="90"/>
      <c r="K8" s="94"/>
      <c r="L8" s="89" t="str">
        <f>IF(Octavos!AC8="","Ganador O4",Octavos!AC8)</f>
        <v>Ganador O4</v>
      </c>
      <c r="N8" s="8" t="s">
        <v>95</v>
      </c>
      <c r="O8" s="9">
        <f>AB8+VLOOKUP(Menu!$B$4,Menu!$C$5:$E$24,2,0)*VLOOKUP(Menu!$B$4,Menu!$C$5:$E$24,3,0)</f>
        <v>0.58333333333333326</v>
      </c>
      <c r="P8" s="88" t="str">
        <f>IF(Octavos!AC12="","Ganador O7",Octavos!AC12)</f>
        <v>Ganador O7</v>
      </c>
      <c r="Q8" s="109"/>
      <c r="R8" s="90"/>
      <c r="S8" s="90"/>
      <c r="T8" s="110"/>
      <c r="U8" s="90"/>
      <c r="V8" s="90"/>
      <c r="W8" s="94"/>
      <c r="X8" s="89" t="str">
        <f>IF(Octavos!AC16="","Ganador O8",Octavos!AC16)</f>
        <v>Ganador O8</v>
      </c>
      <c r="Y8" s="52" t="s">
        <v>141</v>
      </c>
      <c r="AA8" s="71">
        <v>0.54166666666666663</v>
      </c>
      <c r="AB8" s="71">
        <v>0.54166666666666663</v>
      </c>
      <c r="AC8" s="58" t="str">
        <f>IF(AND(F8&lt;&gt;"",I8&lt;&gt;"",D8&lt;&gt;"",L8&lt;&gt;""),IF(F8=I8,IF(G8&gt;J8,D8,L8),IF(F8&gt;I8,D8,L8)),"")</f>
        <v/>
      </c>
      <c r="AD8" s="58" t="str">
        <f>IF(AND(R8&lt;&gt;"",U8&lt;&gt;"",P8&lt;&gt;"",X8&lt;&gt;""),IF(R8=U8,IF(S8&gt;V8,P8,X8),IF(R8&gt;U8,P8,X8)),"")</f>
        <v/>
      </c>
      <c r="AE8" s="58" t="str">
        <f>IFERROR(VLOOKUP(D8,A!$AA$41:$AC$73,3,FALSE),VLOOKUP("imz",A!$AA$41:$AC$73,3,FALSE))</f>
        <v>A!$AB$73</v>
      </c>
      <c r="AF8" s="58" t="str">
        <f>IFERROR(VLOOKUP(L8,A!$AA$41:$AC$73,3,FALSE),VLOOKUP("imz",A!$AA$41:$AC$73,3,FALSE))</f>
        <v>A!$AB$73</v>
      </c>
      <c r="AH8" s="58" t="str">
        <f>IFERROR(VLOOKUP(P8,A!$AA$41:$AC$73,3,FALSE),VLOOKUP("imz",A!$AA$41:$AC$73,3,FALSE))</f>
        <v>A!$AB$73</v>
      </c>
      <c r="AI8" s="58" t="str">
        <f>IFERROR(VLOOKUP(X8,A!$AA$41:$AC$73,3,FALSE),VLOOKUP("imz",A!$AA$41:$AC$73,3,FALSE))</f>
        <v>A!$AB$73</v>
      </c>
    </row>
    <row r="9" spans="1:69" ht="9.9499999999999993" customHeight="1" x14ac:dyDescent="0.25">
      <c r="B9" s="4" t="s">
        <v>74</v>
      </c>
      <c r="C9" s="4"/>
      <c r="D9" s="88"/>
      <c r="E9" s="109"/>
      <c r="F9" s="91"/>
      <c r="G9" s="91"/>
      <c r="H9" s="110"/>
      <c r="I9" s="91"/>
      <c r="J9" s="91"/>
      <c r="K9" s="94"/>
      <c r="L9" s="89"/>
      <c r="N9" s="4" t="s">
        <v>49</v>
      </c>
      <c r="O9" s="4"/>
      <c r="P9" s="88"/>
      <c r="Q9" s="109"/>
      <c r="R9" s="91"/>
      <c r="S9" s="91"/>
      <c r="T9" s="110"/>
      <c r="U9" s="91"/>
      <c r="V9" s="91"/>
      <c r="W9" s="94"/>
      <c r="X9" s="89"/>
    </row>
  </sheetData>
  <mergeCells count="36">
    <mergeCell ref="K8:K9"/>
    <mergeCell ref="L8:L9"/>
    <mergeCell ref="P8:P9"/>
    <mergeCell ref="L4:L5"/>
    <mergeCell ref="P4:P5"/>
    <mergeCell ref="K4:K5"/>
    <mergeCell ref="U4:U5"/>
    <mergeCell ref="U8:U9"/>
    <mergeCell ref="Q8:Q9"/>
    <mergeCell ref="S8:S9"/>
    <mergeCell ref="T8:T9"/>
    <mergeCell ref="Q4:Q5"/>
    <mergeCell ref="S4:S5"/>
    <mergeCell ref="T4:T5"/>
    <mergeCell ref="R4:R5"/>
    <mergeCell ref="R8:R9"/>
    <mergeCell ref="V8:V9"/>
    <mergeCell ref="W8:W9"/>
    <mergeCell ref="X8:X9"/>
    <mergeCell ref="W4:W5"/>
    <mergeCell ref="X4:X5"/>
    <mergeCell ref="V4:V5"/>
    <mergeCell ref="D8:D9"/>
    <mergeCell ref="E8:E9"/>
    <mergeCell ref="G8:G9"/>
    <mergeCell ref="H8:H9"/>
    <mergeCell ref="J8:J9"/>
    <mergeCell ref="F8:F9"/>
    <mergeCell ref="I8:I9"/>
    <mergeCell ref="D4:D5"/>
    <mergeCell ref="E4:E5"/>
    <mergeCell ref="G4:G5"/>
    <mergeCell ref="H4:H5"/>
    <mergeCell ref="J4:J5"/>
    <mergeCell ref="F4:F5"/>
    <mergeCell ref="I4:I5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BQ9"/>
  <sheetViews>
    <sheetView showGridLines="0" workbookViewId="0"/>
  </sheetViews>
  <sheetFormatPr baseColWidth="10" defaultRowHeight="15.75" x14ac:dyDescent="0.25"/>
  <cols>
    <col min="1" max="1" width="2.875" customWidth="1"/>
    <col min="2" max="2" width="7" customWidth="1"/>
    <col min="3" max="3" width="5.625" customWidth="1"/>
    <col min="4" max="4" width="12.625" customWidth="1"/>
    <col min="5" max="5" width="5.125" customWidth="1"/>
    <col min="6" max="7" width="4.125" customWidth="1"/>
    <col min="8" max="8" width="1.625" customWidth="1"/>
    <col min="9" max="10" width="4.125" customWidth="1"/>
    <col min="11" max="11" width="5.125" customWidth="1"/>
    <col min="12" max="12" width="12.625" customWidth="1"/>
    <col min="27" max="35" width="11" style="58"/>
  </cols>
  <sheetData>
    <row r="1" spans="1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1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1:69" ht="70.5" customHeight="1" x14ac:dyDescent="0.25">
      <c r="G3" s="44" t="s">
        <v>9</v>
      </c>
      <c r="H3" s="44"/>
      <c r="I3" s="44"/>
      <c r="J3" s="44" t="s">
        <v>9</v>
      </c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1:69" ht="11.1" customHeight="1" x14ac:dyDescent="0.25">
      <c r="A4" s="47" t="s">
        <v>147</v>
      </c>
      <c r="B4" s="8" t="s">
        <v>96</v>
      </c>
      <c r="C4" s="9">
        <f>AA4+VLOOKUP(Menu!$B$4,Menu!$C$5:$E$24,2,0)*VLOOKUP(Menu!$B$4,Menu!$C$5:$E$24,3,0)</f>
        <v>0.58333333333333326</v>
      </c>
      <c r="D4" s="88" t="str">
        <f>IF(Cuartos!AC4="","Ganador C1",Cuartos!AC4)</f>
        <v>Ganador C1</v>
      </c>
      <c r="E4" s="93"/>
      <c r="F4" s="90"/>
      <c r="G4" s="90"/>
      <c r="H4" s="92"/>
      <c r="I4" s="90"/>
      <c r="J4" s="90"/>
      <c r="K4" s="94"/>
      <c r="L4" s="89" t="str">
        <f>IF(Cuartos!AC8="","Ganador C2",Cuartos!AC8)</f>
        <v>Ganador C2</v>
      </c>
      <c r="AA4" s="71">
        <v>0.54166666666666663</v>
      </c>
      <c r="AB4" s="58" t="str">
        <f>IF(AND(F4&lt;&gt;"",I4&lt;&gt;"",D4&lt;&gt;"",L4&lt;&gt;""),IF(F4=I4,IF(G4&gt;J4,D4,L4),IF(F4&gt;I4,D4,L4)),"")</f>
        <v/>
      </c>
      <c r="AC4" s="58" t="str">
        <f>IF(AB4=L4,D4,L4)</f>
        <v>Ganador C2</v>
      </c>
      <c r="AE4" s="58" t="str">
        <f>IFERROR(VLOOKUP(D4,A!$AA$41:$AC$73,3,FALSE),VLOOKUP("imz",A!$AA$41:$AC$73,3,FALSE))</f>
        <v>A!$AB$73</v>
      </c>
      <c r="AF4" s="58" t="str">
        <f>IFERROR(VLOOKUP(L4,A!$AA$41:$AC$73,3,FALSE),VLOOKUP("imz",A!$AA$41:$AC$73,3,FALSE))</f>
        <v>A!$AB$73</v>
      </c>
    </row>
    <row r="5" spans="1:69" ht="9.9499999999999993" customHeight="1" x14ac:dyDescent="0.25">
      <c r="A5" s="47"/>
      <c r="B5" s="4" t="s">
        <v>82</v>
      </c>
      <c r="C5" s="4"/>
      <c r="D5" s="88"/>
      <c r="E5" s="93"/>
      <c r="F5" s="91"/>
      <c r="G5" s="91"/>
      <c r="H5" s="92"/>
      <c r="I5" s="91"/>
      <c r="J5" s="91"/>
      <c r="K5" s="94"/>
      <c r="L5" s="89"/>
      <c r="AA5" s="72"/>
    </row>
    <row r="6" spans="1:69" ht="9.9499999999999993" customHeight="1" x14ac:dyDescent="0.25">
      <c r="A6" s="47"/>
    </row>
    <row r="7" spans="1:69" ht="9.9499999999999993" customHeight="1" x14ac:dyDescent="0.25">
      <c r="A7" s="47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69" ht="11.1" customHeight="1" x14ac:dyDescent="0.25">
      <c r="A8" s="47" t="s">
        <v>148</v>
      </c>
      <c r="B8" s="8" t="s">
        <v>97</v>
      </c>
      <c r="C8" s="9">
        <f>AA8+VLOOKUP(Menu!$B$4,Menu!$C$5:$E$24,2,0)*VLOOKUP(Menu!$B$4,Menu!$C$5:$E$24,3,0)</f>
        <v>0.58333333333333326</v>
      </c>
      <c r="D8" s="88" t="str">
        <f>IF(Cuartos!AD4="","Ganador C3",Cuartos!AD4)</f>
        <v>Ganador C3</v>
      </c>
      <c r="E8" s="109"/>
      <c r="F8" s="90"/>
      <c r="G8" s="90"/>
      <c r="H8" s="110"/>
      <c r="I8" s="90"/>
      <c r="J8" s="90"/>
      <c r="K8" s="94"/>
      <c r="L8" s="89" t="str">
        <f>IF(Cuartos!AD8="","Ganador C4",Cuartos!AD8)</f>
        <v>Ganador C4</v>
      </c>
      <c r="AA8" s="71">
        <v>0.54166666666666663</v>
      </c>
      <c r="AB8" s="58" t="str">
        <f>IF(AND(F8&lt;&gt;"",I8&lt;&gt;"",D8&lt;&gt;"",L8&lt;&gt;""),IF(F8=I8,IF(G8&gt;J8,D8,L8),IF(F8&gt;I8,D8,L8)),"")</f>
        <v/>
      </c>
      <c r="AC8" s="58" t="str">
        <f>IF(AB8=L8,D8,L8)</f>
        <v>Ganador C4</v>
      </c>
      <c r="AE8" s="58" t="str">
        <f>IFERROR(VLOOKUP(D8,A!$AA$41:$AC$73,3,FALSE),VLOOKUP("imz",A!$AA$41:$AC$73,3,FALSE))</f>
        <v>A!$AB$73</v>
      </c>
      <c r="AF8" s="58" t="str">
        <f>IFERROR(VLOOKUP(L8,A!$AA$41:$AC$73,3,FALSE),VLOOKUP("imz",A!$AA$41:$AC$73,3,FALSE))</f>
        <v>A!$AB$73</v>
      </c>
    </row>
    <row r="9" spans="1:69" ht="9.9499999999999993" customHeight="1" x14ac:dyDescent="0.25">
      <c r="B9" s="4" t="s">
        <v>0</v>
      </c>
      <c r="C9" s="4"/>
      <c r="D9" s="88"/>
      <c r="E9" s="109"/>
      <c r="F9" s="91"/>
      <c r="G9" s="91"/>
      <c r="H9" s="110"/>
      <c r="I9" s="91"/>
      <c r="J9" s="91"/>
      <c r="K9" s="94"/>
      <c r="L9" s="89"/>
    </row>
  </sheetData>
  <mergeCells count="18">
    <mergeCell ref="J8:J9"/>
    <mergeCell ref="K8:K9"/>
    <mergeCell ref="L8:L9"/>
    <mergeCell ref="D8:D9"/>
    <mergeCell ref="E8:E9"/>
    <mergeCell ref="F8:F9"/>
    <mergeCell ref="G8:G9"/>
    <mergeCell ref="H8:H9"/>
    <mergeCell ref="I8:I9"/>
    <mergeCell ref="L4:L5"/>
    <mergeCell ref="D4:D5"/>
    <mergeCell ref="E4:E5"/>
    <mergeCell ref="G4:G5"/>
    <mergeCell ref="H4:H5"/>
    <mergeCell ref="J4:J5"/>
    <mergeCell ref="K4:K5"/>
    <mergeCell ref="F4:F5"/>
    <mergeCell ref="I4:I5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BS25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25" customWidth="1"/>
    <col min="3" max="3" width="5.625" customWidth="1"/>
    <col min="4" max="4" width="14.625" customWidth="1"/>
    <col min="5" max="5" width="5.125" customWidth="1"/>
    <col min="6" max="7" width="4.125" customWidth="1"/>
    <col min="8" max="8" width="1.625" customWidth="1"/>
    <col min="9" max="10" width="4.125" customWidth="1"/>
    <col min="11" max="11" width="5.125" customWidth="1"/>
    <col min="12" max="12" width="14.625" customWidth="1"/>
    <col min="13" max="13" width="6.375" customWidth="1"/>
    <col min="14" max="14" width="12.125" customWidth="1"/>
    <col min="15" max="15" width="1" customWidth="1"/>
    <col min="16" max="16" width="7.5" customWidth="1"/>
    <col min="17" max="17" width="11.125" customWidth="1"/>
    <col min="18" max="18" width="2.75" customWidth="1"/>
    <col min="20" max="20" width="0.875" customWidth="1"/>
    <col min="21" max="21" width="7.5" customWidth="1"/>
    <col min="22" max="22" width="11.125" customWidth="1"/>
    <col min="29" max="29" width="11" style="57"/>
    <col min="30" max="43" width="11" style="25"/>
  </cols>
  <sheetData>
    <row r="1" spans="1:71" ht="36" customHeight="1" x14ac:dyDescent="0.25">
      <c r="W1" s="29"/>
      <c r="AY1" s="26"/>
      <c r="BF1" s="25"/>
      <c r="BG1" s="25"/>
      <c r="BH1" s="25"/>
      <c r="BI1" s="25"/>
      <c r="BJ1" s="25"/>
      <c r="BK1" s="25"/>
      <c r="BL1" s="25"/>
      <c r="BQ1" s="25"/>
      <c r="BR1" s="25"/>
      <c r="BS1" s="25"/>
    </row>
    <row r="2" spans="1:71" ht="24" customHeight="1" x14ac:dyDescent="0.35">
      <c r="B2" s="32" t="s">
        <v>13</v>
      </c>
      <c r="C2" s="6"/>
      <c r="W2" s="29"/>
      <c r="AY2" s="27"/>
      <c r="BF2" s="25"/>
      <c r="BG2" s="25"/>
      <c r="BH2" s="25"/>
      <c r="BI2" s="25"/>
      <c r="BJ2" s="25"/>
      <c r="BK2" s="25"/>
      <c r="BL2" s="25"/>
      <c r="BQ2" s="25"/>
      <c r="BR2" s="25"/>
      <c r="BS2" s="25"/>
    </row>
    <row r="3" spans="1:71" ht="70.5" customHeight="1" x14ac:dyDescent="0.25">
      <c r="W3" s="29"/>
      <c r="AY3" s="27"/>
      <c r="BF3" s="25"/>
      <c r="BG3" s="25"/>
      <c r="BH3" s="25"/>
      <c r="BI3" s="25"/>
      <c r="BJ3" s="25"/>
      <c r="BK3" s="25"/>
      <c r="BL3" s="25"/>
      <c r="BQ3" s="25"/>
      <c r="BR3" s="25"/>
      <c r="BS3" s="25"/>
    </row>
    <row r="4" spans="1:71" ht="18.75" x14ac:dyDescent="0.25">
      <c r="B4" s="5" t="s">
        <v>142</v>
      </c>
      <c r="C4" s="5"/>
      <c r="W4" s="29"/>
      <c r="AN4" s="25" t="s">
        <v>150</v>
      </c>
      <c r="AY4" s="24"/>
      <c r="BF4" s="25"/>
      <c r="BG4" s="25"/>
      <c r="BH4" s="25"/>
      <c r="BI4" s="25"/>
      <c r="BJ4" s="25"/>
      <c r="BK4" s="25"/>
      <c r="BL4" s="25"/>
      <c r="BQ4" s="25"/>
      <c r="BR4" s="25"/>
      <c r="BS4" s="25"/>
    </row>
    <row r="5" spans="1:71" ht="18.75" x14ac:dyDescent="0.25">
      <c r="B5" s="5"/>
      <c r="C5" s="5"/>
      <c r="G5" s="51" t="s">
        <v>9</v>
      </c>
      <c r="H5" s="51"/>
      <c r="I5" s="51"/>
      <c r="J5" s="51" t="s">
        <v>9</v>
      </c>
      <c r="N5" s="54" t="s">
        <v>145</v>
      </c>
      <c r="O5" s="45"/>
      <c r="P5" s="49"/>
      <c r="Q5" s="50" t="str">
        <f>AJ24</f>
        <v/>
      </c>
      <c r="R5" s="48"/>
      <c r="S5" s="53" t="s">
        <v>146</v>
      </c>
      <c r="T5" s="45"/>
      <c r="U5" s="49"/>
      <c r="V5" s="50" t="str">
        <f>AJ25</f>
        <v/>
      </c>
      <c r="W5" s="29"/>
      <c r="AJ5" s="87" t="s">
        <v>151</v>
      </c>
      <c r="AK5" s="87"/>
      <c r="AY5" s="24"/>
      <c r="BF5" s="25"/>
      <c r="BG5" s="25"/>
      <c r="BH5" s="25"/>
      <c r="BI5" s="25"/>
      <c r="BJ5" s="25"/>
      <c r="BK5" s="25"/>
      <c r="BL5" s="25"/>
      <c r="BQ5" s="25"/>
      <c r="BR5" s="25"/>
      <c r="BS5" s="25"/>
    </row>
    <row r="6" spans="1:71" ht="11.1" customHeight="1" x14ac:dyDescent="0.25">
      <c r="B6" s="8" t="s">
        <v>133</v>
      </c>
      <c r="C6" s="9">
        <f>AC6+VLOOKUP(Menu!$B$4,Menu!$C$5:$E$24,2,0)*VLOOKUP(Menu!$B$4,Menu!$C$5:$E$24,3,0)</f>
        <v>0.41666666666666669</v>
      </c>
      <c r="D6" s="88" t="str">
        <f>IF(Semifinales!AB4="","Perdedor S1",Semifinales!AC4)</f>
        <v>Perdedor S1</v>
      </c>
      <c r="E6" s="93"/>
      <c r="F6" s="90"/>
      <c r="G6" s="90"/>
      <c r="H6" s="92"/>
      <c r="I6" s="90"/>
      <c r="J6" s="90"/>
      <c r="K6" s="94"/>
      <c r="L6" s="89" t="str">
        <f>IF(Semifinales!AB8="","Perderdor S2",Semifinales!AC8)</f>
        <v>Perderdor S2</v>
      </c>
      <c r="N6" s="46"/>
      <c r="O6" s="46"/>
      <c r="AC6" s="70">
        <v>0.375</v>
      </c>
      <c r="AG6" s="25" t="str">
        <f>IFERROR(VLOOKUP(D6,A!$AA$41:$AC$73,3,FALSE),VLOOKUP("imz",A!$AA$41:$AC$73,3,FALSE))</f>
        <v>A!$AB$73</v>
      </c>
      <c r="AH6" s="25" t="str">
        <f>IFERROR(VLOOKUP(L6,A!$AA$41:$AC$73,3,FALSE),VLOOKUP("imz",A!$AA$41:$AC$73,3,FALSE))</f>
        <v>A!$AB$73</v>
      </c>
      <c r="AK6" s="25" t="str">
        <f>IF(AJ23=D6,L6,D6)</f>
        <v>Perdedor S1</v>
      </c>
      <c r="AN6" s="25" t="str">
        <f>IFERROR(VLOOKUP(Q5,A!$AA$41:$AC$73,3,FALSE),VLOOKUP("imz",A!$AA$41:$AC$73,3,FALSE))</f>
        <v>A!$AB$73</v>
      </c>
      <c r="AP6" s="25" t="str">
        <f>IFERROR(VLOOKUP(V5,A!$AA$41:$AC$73,3,FALSE),VLOOKUP("imz",A!$AA$41:$AC$73,3,FALSE))</f>
        <v>A!$AB$73</v>
      </c>
    </row>
    <row r="7" spans="1:71" ht="9.9499999999999993" customHeight="1" x14ac:dyDescent="0.25">
      <c r="B7" s="4" t="s">
        <v>52</v>
      </c>
      <c r="C7" s="4"/>
      <c r="D7" s="88"/>
      <c r="E7" s="93"/>
      <c r="F7" s="91"/>
      <c r="G7" s="91"/>
      <c r="H7" s="92"/>
      <c r="I7" s="91"/>
      <c r="J7" s="91"/>
      <c r="K7" s="94"/>
      <c r="L7" s="89"/>
      <c r="N7" s="46"/>
      <c r="O7" s="46"/>
    </row>
    <row r="8" spans="1:71" ht="18.75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N8" s="54" t="s">
        <v>142</v>
      </c>
      <c r="O8" s="45"/>
      <c r="P8" s="49"/>
      <c r="Q8" s="50" t="str">
        <f>AJ23</f>
        <v/>
      </c>
      <c r="R8" s="48"/>
      <c r="AN8" s="25" t="str">
        <f>IFERROR(VLOOKUP(Q8,A!$AA$41:$AC$73,3,FALSE),VLOOKUP("imz",A!$AA$41:$AC$73,3,FALSE))</f>
        <v>A!$AB$73</v>
      </c>
    </row>
    <row r="9" spans="1:71" ht="18.75" x14ac:dyDescent="0.25">
      <c r="A9" s="24"/>
      <c r="B9" s="5" t="s">
        <v>143</v>
      </c>
      <c r="C9" s="5"/>
      <c r="N9" s="46"/>
      <c r="O9" s="46"/>
    </row>
    <row r="10" spans="1:71" ht="18.75" x14ac:dyDescent="0.25">
      <c r="A10" s="24"/>
      <c r="B10" s="5"/>
      <c r="C10" s="5"/>
      <c r="N10" s="54" t="s">
        <v>144</v>
      </c>
      <c r="O10" s="45"/>
      <c r="P10" s="49"/>
      <c r="Q10" s="50" t="str">
        <f>AJ22</f>
        <v/>
      </c>
      <c r="R10" s="48"/>
      <c r="AN10" s="25" t="str">
        <f>IFERROR(VLOOKUP(Q10,A!$AA$41:$AC$73,3,FALSE),VLOOKUP("imz",A!$AA$41:$AC$73,3,FALSE))</f>
        <v>A!$AB$73</v>
      </c>
    </row>
    <row r="11" spans="1:71" ht="11.1" customHeight="1" x14ac:dyDescent="0.25">
      <c r="B11" s="8" t="s">
        <v>98</v>
      </c>
      <c r="C11" s="9">
        <f>AC11+VLOOKUP(Menu!$B$4,Menu!$C$5:$E$24,2,0)*VLOOKUP(Menu!$B$4,Menu!$C$5:$E$24,3,0)</f>
        <v>0.58333333333333326</v>
      </c>
      <c r="D11" s="88" t="str">
        <f>IF(Semifinales!AB4="","Ganador S1",Semifinales!AB4)</f>
        <v>Ganador S1</v>
      </c>
      <c r="E11" s="93"/>
      <c r="F11" s="90"/>
      <c r="G11" s="90"/>
      <c r="H11" s="92"/>
      <c r="I11" s="90"/>
      <c r="J11" s="90"/>
      <c r="K11" s="94"/>
      <c r="L11" s="89" t="str">
        <f>IF(Semifinales!AB8="","Ganador S2",Semifinales!AB8)</f>
        <v>Ganador S2</v>
      </c>
      <c r="N11" s="46"/>
      <c r="O11" s="46"/>
      <c r="AC11" s="70">
        <v>0.54166666666666663</v>
      </c>
      <c r="AG11" s="25" t="str">
        <f>IFERROR(VLOOKUP(D11,A!$AA$41:$AC$73,3,FALSE),VLOOKUP("imz",A!$AA$41:$AC$73,3,FALSE))</f>
        <v>A!$AB$73</v>
      </c>
      <c r="AH11" s="25" t="str">
        <f>IFERROR(VLOOKUP(L11,A!$AA$41:$AC$73,3,FALSE),VLOOKUP("imz",A!$AA$41:$AC$73,3,FALSE))</f>
        <v>A!$AB$73</v>
      </c>
      <c r="AK11" s="25" t="str">
        <f>IF(AJ25=D11,L11,D11)</f>
        <v>Ganador S1</v>
      </c>
    </row>
    <row r="12" spans="1:71" ht="9.9499999999999993" customHeight="1" x14ac:dyDescent="0.25">
      <c r="B12" s="4" t="s">
        <v>0</v>
      </c>
      <c r="C12" s="4"/>
      <c r="D12" s="88"/>
      <c r="E12" s="93"/>
      <c r="F12" s="91"/>
      <c r="G12" s="91"/>
      <c r="H12" s="92"/>
      <c r="I12" s="91"/>
      <c r="J12" s="91"/>
      <c r="K12" s="94"/>
      <c r="L12" s="89"/>
      <c r="N12" s="46"/>
      <c r="O12" s="46"/>
    </row>
    <row r="20" spans="35:36" x14ac:dyDescent="0.25">
      <c r="AJ20" s="25" t="s">
        <v>155</v>
      </c>
    </row>
    <row r="22" spans="35:36" x14ac:dyDescent="0.25">
      <c r="AI22" s="25" t="s">
        <v>153</v>
      </c>
      <c r="AJ22" s="25" t="str">
        <f>IF(AND(F6&lt;&gt;"",I6&lt;&gt;"",D6&lt;&gt;"",L6&lt;&gt;""),IF(F6=I6,IF(G6&gt;J6,L6,D6),IF(F6&gt;I6,L6,G6)),"")</f>
        <v/>
      </c>
    </row>
    <row r="23" spans="35:36" x14ac:dyDescent="0.25">
      <c r="AI23" s="25" t="s">
        <v>152</v>
      </c>
      <c r="AJ23" s="25" t="str">
        <f>IF(AND(F6&lt;&gt;"",I6&lt;&gt;"",D6&lt;&gt;"",L6&lt;&gt;""),IF(F6=I6,IF(G6&gt;J6,D6,L6),IF(F6&gt;I6,D6,L6)),"")</f>
        <v/>
      </c>
    </row>
    <row r="24" spans="35:36" x14ac:dyDescent="0.25">
      <c r="AI24" s="25" t="s">
        <v>145</v>
      </c>
      <c r="AJ24" s="25" t="str">
        <f>IF(AND(F11&lt;&gt;"",I11&lt;&gt;"",D11&lt;&gt;"",L11&lt;&gt;""),IF(F11=I11,IF(G11&gt;J11,L11,D11),IF(F11&gt;I11,L11,D11)),"")</f>
        <v/>
      </c>
    </row>
    <row r="25" spans="35:36" x14ac:dyDescent="0.25">
      <c r="AI25" s="25" t="s">
        <v>154</v>
      </c>
      <c r="AJ25" s="25" t="str">
        <f>IF(AND(F11&lt;&gt;"",I11&lt;&gt;"",D11&lt;&gt;"",L11&lt;&gt;""),IF(F11=I11,IF(G11&gt;J11,D11,L11),IF(F11&gt;I11,D11,L11)),"")</f>
        <v/>
      </c>
    </row>
  </sheetData>
  <mergeCells count="19">
    <mergeCell ref="D6:D7"/>
    <mergeCell ref="E6:E7"/>
    <mergeCell ref="D11:D12"/>
    <mergeCell ref="E11:E12"/>
    <mergeCell ref="G11:G12"/>
    <mergeCell ref="AJ5:AK5"/>
    <mergeCell ref="F11:F12"/>
    <mergeCell ref="I11:I12"/>
    <mergeCell ref="L11:L12"/>
    <mergeCell ref="K11:K12"/>
    <mergeCell ref="I6:I7"/>
    <mergeCell ref="J6:J7"/>
    <mergeCell ref="K6:K7"/>
    <mergeCell ref="L6:L7"/>
    <mergeCell ref="H11:H12"/>
    <mergeCell ref="J11:J12"/>
    <mergeCell ref="F6:F7"/>
    <mergeCell ref="G6:G7"/>
    <mergeCell ref="H6:H7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Q21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10.875" customWidth="1"/>
    <col min="3" max="3" width="7" customWidth="1"/>
    <col min="4" max="4" width="14.625" customWidth="1"/>
    <col min="5" max="5" width="5.625" customWidth="1"/>
    <col min="6" max="6" width="6.625" customWidth="1"/>
    <col min="7" max="7" width="5.625" customWidth="1"/>
    <col min="8" max="8" width="14.625" customWidth="1"/>
    <col min="9" max="9" width="4.125" customWidth="1"/>
    <col min="10" max="10" width="1.625" customWidth="1"/>
    <col min="11" max="11" width="4.125" customWidth="1"/>
    <col min="12" max="12" width="5.125" customWidth="1"/>
    <col min="13" max="13" width="13.625" customWidth="1"/>
    <col min="26" max="26" width="11" customWidth="1"/>
    <col min="27" max="27" width="11" style="58" customWidth="1"/>
    <col min="28" max="35" width="11" customWidth="1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102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32.1" customHeight="1" x14ac:dyDescent="0.25"/>
    <row r="4" spans="2:69" ht="30.95" customHeight="1" thickBot="1" x14ac:dyDescent="0.3">
      <c r="B4" s="5" t="s">
        <v>103</v>
      </c>
      <c r="C4" s="5"/>
    </row>
    <row r="5" spans="2:69" ht="13.5" customHeight="1" x14ac:dyDescent="0.25">
      <c r="B5" s="37"/>
      <c r="C5" s="37"/>
      <c r="D5" s="38"/>
      <c r="E5" s="38"/>
      <c r="F5" s="37"/>
      <c r="G5" s="37"/>
      <c r="H5" s="37"/>
    </row>
    <row r="6" spans="2:69" ht="16.5" customHeight="1" x14ac:dyDescent="0.25">
      <c r="B6" s="39" t="s">
        <v>0</v>
      </c>
      <c r="C6" s="40">
        <f>AA6+VLOOKUP(Menu!$B$4,Menu!$C$5:$E$24,2,0)*VLOOKUP(Menu!$B$4,Menu!$C$5:$E$24,3,0)</f>
        <v>0.45833333333333337</v>
      </c>
      <c r="D6" s="41" t="s">
        <v>1</v>
      </c>
      <c r="E6" s="41"/>
      <c r="F6" s="36" t="s">
        <v>104</v>
      </c>
      <c r="G6" s="36"/>
      <c r="H6" s="42" t="s">
        <v>2</v>
      </c>
      <c r="AA6" s="80">
        <v>0.41666666666666669</v>
      </c>
    </row>
    <row r="7" spans="2:69" ht="21" customHeight="1" x14ac:dyDescent="0.25"/>
    <row r="8" spans="2:69" ht="30.95" customHeight="1" thickBot="1" x14ac:dyDescent="0.3">
      <c r="B8" s="5" t="s">
        <v>105</v>
      </c>
      <c r="C8" s="5"/>
      <c r="AA8" s="81"/>
    </row>
    <row r="9" spans="2:69" ht="13.5" customHeight="1" x14ac:dyDescent="0.25">
      <c r="B9" s="37"/>
      <c r="C9" s="37"/>
      <c r="D9" s="38"/>
      <c r="E9" s="38"/>
      <c r="F9" s="37"/>
      <c r="G9" s="37"/>
      <c r="H9" s="37"/>
    </row>
    <row r="10" spans="2:69" ht="16.5" customHeight="1" x14ac:dyDescent="0.25">
      <c r="B10" s="39" t="s">
        <v>5</v>
      </c>
      <c r="C10" s="40">
        <f>AA10+VLOOKUP(Menu!$B$4,Menu!$C$5:$E$24,2,0)*VLOOKUP(Menu!$B$4,Menu!$C$5:$E$24,3,0)</f>
        <v>0.33333333333333337</v>
      </c>
      <c r="D10" s="41" t="s">
        <v>3</v>
      </c>
      <c r="E10" s="41"/>
      <c r="F10" s="36" t="s">
        <v>104</v>
      </c>
      <c r="G10" s="36"/>
      <c r="H10" s="42" t="s">
        <v>4</v>
      </c>
      <c r="AA10" s="80">
        <v>0.29166666666666669</v>
      </c>
    </row>
    <row r="11" spans="2:69" ht="9" customHeight="1" x14ac:dyDescent="0.25">
      <c r="C11" s="40"/>
      <c r="D11" s="41"/>
      <c r="E11" s="41"/>
      <c r="F11" s="36"/>
      <c r="G11" s="36"/>
      <c r="H11" s="42"/>
      <c r="AA11" s="80"/>
    </row>
    <row r="12" spans="2:69" ht="9" customHeight="1" x14ac:dyDescent="0.25">
      <c r="B12" s="2"/>
      <c r="C12" s="2"/>
      <c r="D12" s="2"/>
      <c r="E12" s="2"/>
      <c r="F12" s="2"/>
      <c r="G12" s="2"/>
      <c r="H12" s="2"/>
    </row>
    <row r="13" spans="2:69" ht="16.5" customHeight="1" x14ac:dyDescent="0.25">
      <c r="B13" s="39" t="s">
        <v>52</v>
      </c>
      <c r="C13" s="40">
        <f>AA13+VLOOKUP(Menu!$B$4,Menu!$C$5:$E$24,2,0)*VLOOKUP(Menu!$B$4,Menu!$C$5:$E$24,3,0)</f>
        <v>0.45833333333333337</v>
      </c>
      <c r="D13" s="41" t="s">
        <v>53</v>
      </c>
      <c r="E13" s="41"/>
      <c r="F13" s="36" t="s">
        <v>104</v>
      </c>
      <c r="G13" s="36"/>
      <c r="H13" s="42" t="s">
        <v>55</v>
      </c>
      <c r="AA13" s="80">
        <v>0.41666666666666669</v>
      </c>
    </row>
    <row r="14" spans="2:69" ht="9" customHeight="1" x14ac:dyDescent="0.25">
      <c r="C14" s="40"/>
      <c r="D14" s="41"/>
      <c r="E14" s="41"/>
      <c r="F14" s="36"/>
      <c r="G14" s="36"/>
      <c r="H14" s="42"/>
      <c r="AA14" s="80"/>
    </row>
    <row r="15" spans="2:69" ht="9" customHeight="1" x14ac:dyDescent="0.25">
      <c r="B15" s="2"/>
      <c r="C15" s="2"/>
      <c r="D15" s="2"/>
      <c r="E15" s="2"/>
      <c r="F15" s="2"/>
      <c r="G15" s="2"/>
      <c r="H15" s="2"/>
    </row>
    <row r="16" spans="2:69" ht="16.5" customHeight="1" x14ac:dyDescent="0.25">
      <c r="B16" s="39" t="s">
        <v>73</v>
      </c>
      <c r="C16" s="40">
        <f>AA16+VLOOKUP(Menu!$B$4,Menu!$C$5:$E$24,2,0)*VLOOKUP(Menu!$B$4,Menu!$C$5:$E$24,3,0)</f>
        <v>0.58333333333333326</v>
      </c>
      <c r="D16" s="41" t="s">
        <v>54</v>
      </c>
      <c r="E16" s="41"/>
      <c r="F16" s="36" t="s">
        <v>104</v>
      </c>
      <c r="G16" s="36"/>
      <c r="H16" s="42" t="s">
        <v>26</v>
      </c>
      <c r="AA16" s="80">
        <v>0.54166666666666663</v>
      </c>
    </row>
    <row r="17" spans="2:27" ht="21" customHeight="1" x14ac:dyDescent="0.25"/>
    <row r="18" spans="2:27" ht="30.95" customHeight="1" thickBot="1" x14ac:dyDescent="0.3">
      <c r="B18" s="5" t="s">
        <v>106</v>
      </c>
      <c r="C18" s="5"/>
      <c r="AA18" s="81"/>
    </row>
    <row r="19" spans="2:27" ht="13.5" customHeight="1" x14ac:dyDescent="0.25">
      <c r="B19" s="37"/>
      <c r="C19" s="37"/>
      <c r="D19" s="38"/>
      <c r="E19" s="38"/>
      <c r="F19" s="37"/>
      <c r="G19" s="37"/>
      <c r="H19" s="37"/>
    </row>
    <row r="20" spans="2:27" ht="16.5" customHeight="1" x14ac:dyDescent="0.25">
      <c r="B20" s="39" t="s">
        <v>74</v>
      </c>
      <c r="C20" s="40">
        <f>AA20+VLOOKUP(Menu!$B$4,Menu!$C$5:$E$24,2,0)*VLOOKUP(Menu!$B$4,Menu!$C$5:$E$24,3,0)</f>
        <v>0.25</v>
      </c>
      <c r="D20" s="41" t="s">
        <v>56</v>
      </c>
      <c r="E20" s="41"/>
      <c r="F20" s="36" t="s">
        <v>104</v>
      </c>
      <c r="G20" s="36"/>
      <c r="H20" s="42" t="s">
        <v>58</v>
      </c>
      <c r="AA20" s="80">
        <v>0.20833333333333334</v>
      </c>
    </row>
    <row r="21" spans="2:27" ht="9" customHeight="1" x14ac:dyDescent="0.25">
      <c r="C21" s="40"/>
      <c r="D21" s="41"/>
      <c r="E21" s="41"/>
      <c r="F21" s="36"/>
      <c r="G21" s="36"/>
      <c r="H21" s="42"/>
      <c r="AA21" s="80"/>
    </row>
    <row r="22" spans="2:27" ht="9" customHeight="1" x14ac:dyDescent="0.25">
      <c r="B22" s="2"/>
      <c r="C22" s="2"/>
      <c r="D22" s="2"/>
      <c r="E22" s="2"/>
      <c r="F22" s="2"/>
      <c r="G22" s="2"/>
      <c r="H22" s="2"/>
    </row>
    <row r="23" spans="2:27" ht="16.5" customHeight="1" x14ac:dyDescent="0.25">
      <c r="B23" s="39" t="s">
        <v>0</v>
      </c>
      <c r="C23" s="40">
        <f>AA23+VLOOKUP(Menu!$B$4,Menu!$C$5:$E$24,2,0)*VLOOKUP(Menu!$B$4,Menu!$C$5:$E$24,3,0)</f>
        <v>0.375</v>
      </c>
      <c r="D23" s="41" t="s">
        <v>19</v>
      </c>
      <c r="E23" s="41"/>
      <c r="F23" s="36" t="s">
        <v>104</v>
      </c>
      <c r="G23" s="36"/>
      <c r="H23" s="42" t="s">
        <v>61</v>
      </c>
      <c r="AA23" s="80">
        <v>0.33333333333333331</v>
      </c>
    </row>
    <row r="24" spans="2:27" ht="9" customHeight="1" x14ac:dyDescent="0.25">
      <c r="C24" s="40"/>
      <c r="D24" s="41"/>
      <c r="E24" s="41"/>
      <c r="F24" s="36"/>
      <c r="G24" s="36"/>
      <c r="H24" s="42"/>
      <c r="AA24" s="80"/>
    </row>
    <row r="25" spans="2:27" ht="9" customHeight="1" x14ac:dyDescent="0.25">
      <c r="B25" s="2"/>
      <c r="C25" s="2"/>
      <c r="D25" s="2"/>
      <c r="E25" s="2"/>
      <c r="F25" s="2"/>
      <c r="G25" s="2"/>
      <c r="H25" s="2"/>
    </row>
    <row r="26" spans="2:27" ht="16.5" customHeight="1" x14ac:dyDescent="0.25">
      <c r="B26" s="39" t="s">
        <v>75</v>
      </c>
      <c r="C26" s="40">
        <f>AA26+VLOOKUP(Menu!$B$4,Menu!$C$5:$E$24,2,0)*VLOOKUP(Menu!$B$4,Menu!$C$5:$E$24,3,0)</f>
        <v>0.5</v>
      </c>
      <c r="D26" s="41" t="s">
        <v>34</v>
      </c>
      <c r="E26" s="41"/>
      <c r="F26" s="36" t="s">
        <v>104</v>
      </c>
      <c r="G26" s="36"/>
      <c r="H26" s="42" t="s">
        <v>57</v>
      </c>
      <c r="AA26" s="80">
        <v>0.45833333333333331</v>
      </c>
    </row>
    <row r="27" spans="2:27" ht="9" customHeight="1" x14ac:dyDescent="0.25">
      <c r="B27" s="39"/>
      <c r="C27" s="40"/>
      <c r="D27" s="41"/>
      <c r="E27" s="41"/>
      <c r="F27" s="36"/>
      <c r="G27" s="36"/>
      <c r="H27" s="42"/>
      <c r="AA27" s="80"/>
    </row>
    <row r="28" spans="2:27" ht="9" customHeight="1" x14ac:dyDescent="0.25">
      <c r="B28" s="2"/>
      <c r="C28" s="2"/>
      <c r="D28" s="2"/>
      <c r="E28" s="2"/>
      <c r="F28" s="2"/>
      <c r="G28" s="2"/>
      <c r="H28" s="2"/>
    </row>
    <row r="29" spans="2:27" ht="16.5" customHeight="1" x14ac:dyDescent="0.25">
      <c r="B29" s="39" t="s">
        <v>76</v>
      </c>
      <c r="C29" s="40">
        <f>AA29+VLOOKUP(Menu!$B$4,Menu!$C$5:$E$24,2,0)*VLOOKUP(Menu!$B$4,Menu!$C$5:$E$24,3,0)</f>
        <v>0.625</v>
      </c>
      <c r="D29" s="41" t="s">
        <v>59</v>
      </c>
      <c r="E29" s="41"/>
      <c r="F29" s="36" t="s">
        <v>104</v>
      </c>
      <c r="G29" s="36"/>
      <c r="H29" s="42" t="s">
        <v>60</v>
      </c>
      <c r="AA29" s="80">
        <v>0.58333333333333337</v>
      </c>
    </row>
    <row r="30" spans="2:27" ht="21" customHeight="1" x14ac:dyDescent="0.25"/>
    <row r="31" spans="2:27" ht="30.75" customHeight="1" thickBot="1" x14ac:dyDescent="0.3">
      <c r="B31" s="5" t="s">
        <v>107</v>
      </c>
      <c r="C31" s="5"/>
      <c r="AA31" s="81"/>
    </row>
    <row r="32" spans="2:27" ht="13.5" customHeight="1" x14ac:dyDescent="0.25">
      <c r="B32" s="37"/>
      <c r="C32" s="37"/>
      <c r="D32" s="38"/>
      <c r="E32" s="38"/>
      <c r="F32" s="37"/>
      <c r="G32" s="37"/>
      <c r="H32" s="37"/>
    </row>
    <row r="33" spans="2:27" x14ac:dyDescent="0.25">
      <c r="B33" s="39" t="s">
        <v>49</v>
      </c>
      <c r="C33" s="40">
        <f>AA33+VLOOKUP(Menu!$B$4,Menu!$C$5:$E$24,2,0)*VLOOKUP(Menu!$B$4,Menu!$C$5:$E$24,3,0)</f>
        <v>0.33333333333333337</v>
      </c>
      <c r="D33" s="41" t="s">
        <v>23</v>
      </c>
      <c r="E33" s="41"/>
      <c r="F33" s="36" t="s">
        <v>104</v>
      </c>
      <c r="G33" s="36"/>
      <c r="H33" s="42" t="s">
        <v>62</v>
      </c>
      <c r="AA33" s="80">
        <v>0.29166666666666669</v>
      </c>
    </row>
    <row r="34" spans="2:27" ht="9" customHeight="1" x14ac:dyDescent="0.25">
      <c r="C34" s="40"/>
      <c r="D34" s="41"/>
      <c r="E34" s="41"/>
      <c r="F34" s="36"/>
      <c r="G34" s="36"/>
      <c r="H34" s="42"/>
      <c r="AA34" s="80"/>
    </row>
    <row r="35" spans="2:27" ht="9" customHeight="1" x14ac:dyDescent="0.25">
      <c r="B35" s="2"/>
      <c r="C35" s="2"/>
      <c r="D35" s="2"/>
      <c r="E35" s="2"/>
      <c r="F35" s="2"/>
      <c r="G35" s="2"/>
      <c r="H35" s="2"/>
    </row>
    <row r="36" spans="2:27" x14ac:dyDescent="0.25">
      <c r="B36" s="39" t="s">
        <v>0</v>
      </c>
      <c r="C36" s="40">
        <f>AA36+VLOOKUP(Menu!$B$4,Menu!$C$5:$E$24,2,0)*VLOOKUP(Menu!$B$4,Menu!$C$5:$E$24,3,0)</f>
        <v>0.45833333333333337</v>
      </c>
      <c r="D36" s="41" t="s">
        <v>64</v>
      </c>
      <c r="E36" s="41"/>
      <c r="F36" s="36" t="s">
        <v>104</v>
      </c>
      <c r="G36" s="36"/>
      <c r="H36" s="42" t="s">
        <v>30</v>
      </c>
      <c r="AA36" s="80">
        <v>0.41666666666666669</v>
      </c>
    </row>
    <row r="37" spans="2:27" ht="9" customHeight="1" x14ac:dyDescent="0.25">
      <c r="C37" s="40"/>
      <c r="D37" s="41"/>
      <c r="E37" s="41"/>
      <c r="F37" s="36"/>
      <c r="G37" s="36"/>
      <c r="H37" s="42"/>
      <c r="AA37" s="80"/>
    </row>
    <row r="38" spans="2:27" ht="9" customHeight="1" x14ac:dyDescent="0.25">
      <c r="B38" s="2"/>
      <c r="C38" s="2"/>
      <c r="D38" s="2"/>
      <c r="E38" s="2"/>
      <c r="F38" s="2"/>
      <c r="G38" s="2"/>
      <c r="H38" s="2"/>
    </row>
    <row r="39" spans="2:27" x14ac:dyDescent="0.25">
      <c r="B39" s="39" t="s">
        <v>89</v>
      </c>
      <c r="C39" s="40">
        <f>AA39+VLOOKUP(Menu!$B$4,Menu!$C$5:$E$24,2,0)*VLOOKUP(Menu!$B$4,Menu!$C$5:$E$24,3,0)</f>
        <v>0.58333333333333326</v>
      </c>
      <c r="D39" s="41" t="s">
        <v>18</v>
      </c>
      <c r="E39" s="41"/>
      <c r="F39" s="36" t="s">
        <v>104</v>
      </c>
      <c r="G39" s="36"/>
      <c r="H39" s="42" t="s">
        <v>63</v>
      </c>
      <c r="AA39" s="80">
        <v>0.54166666666666663</v>
      </c>
    </row>
    <row r="40" spans="2:27" ht="21" customHeight="1" x14ac:dyDescent="0.25">
      <c r="B40" s="39"/>
      <c r="C40" s="40"/>
      <c r="D40" s="41"/>
      <c r="E40" s="41"/>
      <c r="F40" s="36"/>
      <c r="G40" s="36"/>
      <c r="H40" s="42"/>
      <c r="AA40" s="80"/>
    </row>
    <row r="41" spans="2:27" ht="30.75" customHeight="1" thickBot="1" x14ac:dyDescent="0.3">
      <c r="B41" s="5" t="s">
        <v>108</v>
      </c>
      <c r="C41" s="5"/>
      <c r="AA41" s="81"/>
    </row>
    <row r="42" spans="2:27" ht="13.5" customHeight="1" x14ac:dyDescent="0.25">
      <c r="B42" s="37"/>
      <c r="C42" s="37"/>
      <c r="D42" s="38"/>
      <c r="E42" s="38"/>
      <c r="F42" s="37"/>
      <c r="G42" s="37"/>
      <c r="H42" s="37"/>
    </row>
    <row r="43" spans="2:27" x14ac:dyDescent="0.25">
      <c r="B43" s="39" t="s">
        <v>80</v>
      </c>
      <c r="C43" s="40">
        <f>AA43+VLOOKUP(Menu!$B$4,Menu!$C$5:$E$24,2,0)*VLOOKUP(Menu!$B$4,Menu!$C$5:$E$24,3,0)</f>
        <v>0.33333333333333337</v>
      </c>
      <c r="D43" s="41" t="s">
        <v>65</v>
      </c>
      <c r="E43" s="41"/>
      <c r="F43" s="36" t="s">
        <v>104</v>
      </c>
      <c r="G43" s="36"/>
      <c r="H43" s="42" t="s">
        <v>66</v>
      </c>
      <c r="AA43" s="80">
        <v>0.29166666666666669</v>
      </c>
    </row>
    <row r="44" spans="2:27" ht="9" customHeight="1" x14ac:dyDescent="0.25">
      <c r="C44" s="40"/>
      <c r="D44" s="41"/>
      <c r="E44" s="41"/>
      <c r="F44" s="36"/>
      <c r="G44" s="36"/>
      <c r="H44" s="42"/>
      <c r="AA44" s="80"/>
    </row>
    <row r="45" spans="2:27" ht="9" customHeight="1" x14ac:dyDescent="0.25">
      <c r="B45" s="2"/>
      <c r="C45" s="2"/>
      <c r="D45" s="2"/>
      <c r="E45" s="2"/>
      <c r="F45" s="2"/>
      <c r="G45" s="2"/>
      <c r="H45" s="2"/>
    </row>
    <row r="46" spans="2:27" x14ac:dyDescent="0.25">
      <c r="B46" s="39" t="s">
        <v>73</v>
      </c>
      <c r="C46" s="40">
        <f>AA46+VLOOKUP(Menu!$B$4,Menu!$C$5:$E$24,2,0)*VLOOKUP(Menu!$B$4,Menu!$C$5:$E$24,3,0)</f>
        <v>0.45833333333333337</v>
      </c>
      <c r="D46" s="41" t="s">
        <v>67</v>
      </c>
      <c r="E46" s="41"/>
      <c r="F46" s="36" t="s">
        <v>104</v>
      </c>
      <c r="G46" s="36"/>
      <c r="H46" s="42" t="s">
        <v>32</v>
      </c>
      <c r="AA46" s="80">
        <v>0.41666666666666669</v>
      </c>
    </row>
    <row r="47" spans="2:27" ht="9" customHeight="1" x14ac:dyDescent="0.25">
      <c r="C47" s="40"/>
      <c r="D47" s="41"/>
      <c r="E47" s="41"/>
      <c r="F47" s="36"/>
      <c r="G47" s="36"/>
      <c r="H47" s="42"/>
      <c r="AA47" s="80"/>
    </row>
    <row r="48" spans="2:27" ht="9" customHeight="1" x14ac:dyDescent="0.25">
      <c r="B48" s="2"/>
      <c r="C48" s="2"/>
      <c r="D48" s="2"/>
      <c r="E48" s="2"/>
      <c r="F48" s="2"/>
      <c r="G48" s="2"/>
      <c r="H48" s="2"/>
    </row>
    <row r="49" spans="2:27" x14ac:dyDescent="0.25">
      <c r="B49" s="39" t="s">
        <v>50</v>
      </c>
      <c r="C49" s="40">
        <f>AA49+VLOOKUP(Menu!$B$4,Menu!$C$5:$E$24,2,0)*VLOOKUP(Menu!$B$4,Menu!$C$5:$E$24,3,0)</f>
        <v>0.58333333333333326</v>
      </c>
      <c r="D49" s="41" t="s">
        <v>68</v>
      </c>
      <c r="E49" s="41"/>
      <c r="F49" s="36" t="s">
        <v>104</v>
      </c>
      <c r="G49" s="36"/>
      <c r="H49" s="42" t="s">
        <v>69</v>
      </c>
      <c r="AA49" s="80">
        <v>0.54166666666666663</v>
      </c>
    </row>
    <row r="50" spans="2:27" ht="21" customHeight="1" x14ac:dyDescent="0.25"/>
    <row r="51" spans="2:27" ht="19.5" thickBot="1" x14ac:dyDescent="0.3">
      <c r="B51" s="5" t="s">
        <v>109</v>
      </c>
      <c r="C51" s="5"/>
      <c r="AA51" s="81"/>
    </row>
    <row r="52" spans="2:27" ht="13.5" customHeight="1" x14ac:dyDescent="0.25">
      <c r="B52" s="37"/>
      <c r="C52" s="37"/>
      <c r="D52" s="38"/>
      <c r="E52" s="38"/>
      <c r="F52" s="37"/>
      <c r="G52" s="37"/>
      <c r="H52" s="37"/>
    </row>
    <row r="53" spans="2:27" x14ac:dyDescent="0.25">
      <c r="B53" s="39" t="s">
        <v>0</v>
      </c>
      <c r="C53" s="40">
        <f>AA53+VLOOKUP(Menu!$B$4,Menu!$C$5:$E$24,2,0)*VLOOKUP(Menu!$B$4,Menu!$C$5:$E$24,3,0)</f>
        <v>0.33333333333333337</v>
      </c>
      <c r="D53" s="41" t="s">
        <v>22</v>
      </c>
      <c r="E53" s="41"/>
      <c r="F53" s="36" t="s">
        <v>104</v>
      </c>
      <c r="G53" s="36"/>
      <c r="H53" s="42" t="s">
        <v>71</v>
      </c>
      <c r="AA53" s="80">
        <v>0.29166666666666669</v>
      </c>
    </row>
    <row r="54" spans="2:27" ht="9" customHeight="1" x14ac:dyDescent="0.25">
      <c r="C54" s="40"/>
      <c r="D54" s="41"/>
      <c r="E54" s="41"/>
      <c r="F54" s="36"/>
      <c r="G54" s="36"/>
      <c r="H54" s="42"/>
      <c r="AA54" s="80"/>
    </row>
    <row r="55" spans="2:27" ht="9" customHeight="1" x14ac:dyDescent="0.25">
      <c r="B55" s="2"/>
      <c r="C55" s="2"/>
      <c r="D55" s="2"/>
      <c r="E55" s="2"/>
      <c r="F55" s="2"/>
      <c r="G55" s="2"/>
      <c r="H55" s="2"/>
    </row>
    <row r="56" spans="2:27" x14ac:dyDescent="0.25">
      <c r="B56" s="39" t="s">
        <v>75</v>
      </c>
      <c r="C56" s="40">
        <f>AA56+VLOOKUP(Menu!$B$4,Menu!$C$5:$E$24,2,0)*VLOOKUP(Menu!$B$4,Menu!$C$5:$E$24,3,0)</f>
        <v>0.45833333333333337</v>
      </c>
      <c r="D56" s="41" t="s">
        <v>70</v>
      </c>
      <c r="E56" s="41"/>
      <c r="F56" s="36" t="s">
        <v>104</v>
      </c>
      <c r="G56" s="36"/>
      <c r="H56" s="42" t="s">
        <v>72</v>
      </c>
      <c r="AA56" s="80">
        <v>0.41666666666666669</v>
      </c>
    </row>
    <row r="57" spans="2:27" ht="9" customHeight="1" x14ac:dyDescent="0.25"/>
    <row r="58" spans="2:27" ht="9" customHeight="1" x14ac:dyDescent="0.25">
      <c r="B58" s="2"/>
      <c r="C58" s="2"/>
      <c r="D58" s="2"/>
      <c r="E58" s="2"/>
      <c r="F58" s="2"/>
      <c r="G58" s="2"/>
      <c r="H58" s="2"/>
    </row>
    <row r="59" spans="2:27" x14ac:dyDescent="0.25">
      <c r="B59" s="39" t="s">
        <v>52</v>
      </c>
      <c r="C59" s="40">
        <f>AA59+VLOOKUP(Menu!$B$4,Menu!$C$5:$E$24,2,0)*VLOOKUP(Menu!$B$4,Menu!$C$5:$E$24,3,0)</f>
        <v>0.58333333333333326</v>
      </c>
      <c r="D59" s="41" t="s">
        <v>1</v>
      </c>
      <c r="E59" s="41"/>
      <c r="F59" s="36" t="s">
        <v>104</v>
      </c>
      <c r="G59" s="36"/>
      <c r="H59" s="42" t="s">
        <v>3</v>
      </c>
      <c r="AA59" s="80">
        <v>0.54166666666666663</v>
      </c>
    </row>
    <row r="60" spans="2:27" ht="21" customHeight="1" x14ac:dyDescent="0.25"/>
    <row r="61" spans="2:27" ht="19.5" thickBot="1" x14ac:dyDescent="0.3">
      <c r="B61" s="5" t="s">
        <v>110</v>
      </c>
      <c r="C61" s="5"/>
      <c r="AA61" s="81"/>
    </row>
    <row r="62" spans="2:27" ht="13.5" customHeight="1" x14ac:dyDescent="0.25">
      <c r="B62" s="37"/>
      <c r="C62" s="37"/>
      <c r="D62" s="38"/>
      <c r="E62" s="38"/>
      <c r="F62" s="37"/>
      <c r="G62" s="37"/>
      <c r="H62" s="37"/>
    </row>
    <row r="63" spans="2:27" x14ac:dyDescent="0.25">
      <c r="B63" s="39" t="s">
        <v>0</v>
      </c>
      <c r="C63" s="40">
        <f>AA63+VLOOKUP(Menu!$B$4,Menu!$C$5:$E$24,2,0)*VLOOKUP(Menu!$B$4,Menu!$C$5:$E$24,3,0)</f>
        <v>0.33333333333333337</v>
      </c>
      <c r="D63" s="41" t="s">
        <v>54</v>
      </c>
      <c r="E63" s="41"/>
      <c r="F63" s="36" t="s">
        <v>104</v>
      </c>
      <c r="G63" s="36"/>
      <c r="H63" s="42" t="s">
        <v>53</v>
      </c>
      <c r="AA63" s="80">
        <v>0.29166666666666669</v>
      </c>
    </row>
    <row r="64" spans="2:27" ht="9" customHeight="1" x14ac:dyDescent="0.25">
      <c r="C64" s="40"/>
      <c r="D64" s="41"/>
      <c r="E64" s="41"/>
      <c r="F64" s="36"/>
      <c r="G64" s="36"/>
      <c r="H64" s="42"/>
      <c r="AA64" s="80"/>
    </row>
    <row r="65" spans="2:27" ht="9" customHeight="1" x14ac:dyDescent="0.25">
      <c r="B65" s="2"/>
      <c r="C65" s="2"/>
      <c r="D65" s="2"/>
      <c r="E65" s="2"/>
      <c r="F65" s="2"/>
      <c r="G65" s="2"/>
      <c r="H65" s="2"/>
    </row>
    <row r="66" spans="2:27" x14ac:dyDescent="0.25">
      <c r="B66" s="39" t="s">
        <v>51</v>
      </c>
      <c r="C66" s="40">
        <f>AA66+VLOOKUP(Menu!$B$4,Menu!$C$5:$E$24,2,0)*VLOOKUP(Menu!$B$4,Menu!$C$5:$E$24,3,0)</f>
        <v>0.45833333333333337</v>
      </c>
      <c r="D66" s="41" t="s">
        <v>4</v>
      </c>
      <c r="E66" s="41"/>
      <c r="F66" s="36" t="s">
        <v>104</v>
      </c>
      <c r="G66" s="36"/>
      <c r="H66" s="42" t="s">
        <v>2</v>
      </c>
      <c r="AA66" s="80">
        <v>0.41666666666666669</v>
      </c>
    </row>
    <row r="67" spans="2:27" ht="9" customHeight="1" x14ac:dyDescent="0.25"/>
    <row r="68" spans="2:27" ht="9" customHeight="1" x14ac:dyDescent="0.25">
      <c r="B68" s="2"/>
      <c r="C68" s="2"/>
      <c r="D68" s="2"/>
      <c r="E68" s="2"/>
      <c r="F68" s="2"/>
      <c r="G68" s="2"/>
      <c r="H68" s="2"/>
    </row>
    <row r="69" spans="2:27" x14ac:dyDescent="0.25">
      <c r="B69" s="39" t="s">
        <v>74</v>
      </c>
      <c r="C69" s="40">
        <f>AA69+VLOOKUP(Menu!$B$4,Menu!$C$5:$E$24,2,0)*VLOOKUP(Menu!$B$4,Menu!$C$5:$E$24,3,0)</f>
        <v>0.58333333333333326</v>
      </c>
      <c r="D69" s="41" t="s">
        <v>26</v>
      </c>
      <c r="E69" s="41"/>
      <c r="F69" s="36" t="s">
        <v>104</v>
      </c>
      <c r="G69" s="36"/>
      <c r="H69" s="42" t="s">
        <v>55</v>
      </c>
      <c r="AA69" s="80">
        <v>0.54166666666666663</v>
      </c>
    </row>
    <row r="70" spans="2:27" ht="21" customHeight="1" x14ac:dyDescent="0.25"/>
    <row r="71" spans="2:27" ht="19.5" thickBot="1" x14ac:dyDescent="0.3">
      <c r="B71" s="5" t="s">
        <v>111</v>
      </c>
      <c r="C71" s="5"/>
      <c r="AA71" s="81"/>
    </row>
    <row r="72" spans="2:27" ht="13.5" customHeight="1" x14ac:dyDescent="0.25">
      <c r="B72" s="37"/>
      <c r="C72" s="37"/>
      <c r="D72" s="38"/>
      <c r="E72" s="38"/>
      <c r="F72" s="37"/>
      <c r="G72" s="37"/>
      <c r="H72" s="37"/>
    </row>
    <row r="73" spans="2:27" x14ac:dyDescent="0.25">
      <c r="B73" s="39" t="s">
        <v>5</v>
      </c>
      <c r="C73" s="40">
        <f>AA73+VLOOKUP(Menu!$B$4,Menu!$C$5:$E$24,2,0)*VLOOKUP(Menu!$B$4,Menu!$C$5:$E$24,3,0)</f>
        <v>0.33333333333333337</v>
      </c>
      <c r="D73" s="41" t="s">
        <v>56</v>
      </c>
      <c r="E73" s="41"/>
      <c r="F73" s="36" t="s">
        <v>104</v>
      </c>
      <c r="G73" s="36"/>
      <c r="H73" s="42" t="s">
        <v>34</v>
      </c>
      <c r="AA73" s="80">
        <v>0.29166666666666669</v>
      </c>
    </row>
    <row r="74" spans="2:27" ht="9" customHeight="1" x14ac:dyDescent="0.25">
      <c r="C74" s="40"/>
      <c r="D74" s="41"/>
      <c r="E74" s="41"/>
      <c r="F74" s="36"/>
      <c r="G74" s="36"/>
      <c r="H74" s="42"/>
      <c r="AA74" s="80"/>
    </row>
    <row r="75" spans="2:27" ht="9" customHeight="1" x14ac:dyDescent="0.25">
      <c r="B75" s="2"/>
      <c r="C75" s="2"/>
      <c r="D75" s="2"/>
      <c r="E75" s="2"/>
      <c r="F75" s="2"/>
      <c r="G75" s="2"/>
      <c r="H75" s="2"/>
    </row>
    <row r="76" spans="2:27" x14ac:dyDescent="0.25">
      <c r="B76" s="39" t="s">
        <v>49</v>
      </c>
      <c r="C76" s="40">
        <f>AA76+VLOOKUP(Menu!$B$4,Menu!$C$5:$E$24,2,0)*VLOOKUP(Menu!$B$4,Menu!$C$5:$E$24,3,0)</f>
        <v>0.45833333333333337</v>
      </c>
      <c r="D76" s="41" t="s">
        <v>57</v>
      </c>
      <c r="E76" s="41"/>
      <c r="F76" s="36" t="s">
        <v>104</v>
      </c>
      <c r="G76" s="36"/>
      <c r="H76" s="42" t="s">
        <v>58</v>
      </c>
      <c r="AA76" s="80">
        <v>0.41666666666666669</v>
      </c>
    </row>
    <row r="77" spans="2:27" ht="9" customHeight="1" x14ac:dyDescent="0.25"/>
    <row r="78" spans="2:27" ht="9" customHeight="1" x14ac:dyDescent="0.25">
      <c r="B78" s="2"/>
      <c r="C78" s="2"/>
      <c r="D78" s="2"/>
      <c r="E78" s="2"/>
      <c r="F78" s="2"/>
      <c r="G78" s="2"/>
      <c r="H78" s="2"/>
    </row>
    <row r="79" spans="2:27" x14ac:dyDescent="0.25">
      <c r="B79" s="39" t="s">
        <v>80</v>
      </c>
      <c r="C79" s="40">
        <f>AA79+VLOOKUP(Menu!$B$4,Menu!$C$5:$E$24,2,0)*VLOOKUP(Menu!$B$4,Menu!$C$5:$E$24,3,0)</f>
        <v>0.58333333333333326</v>
      </c>
      <c r="D79" s="41" t="s">
        <v>19</v>
      </c>
      <c r="E79" s="41"/>
      <c r="F79" s="36" t="s">
        <v>104</v>
      </c>
      <c r="G79" s="36"/>
      <c r="H79" s="42" t="s">
        <v>59</v>
      </c>
      <c r="AA79" s="80">
        <v>0.54166666666666663</v>
      </c>
    </row>
    <row r="80" spans="2:27" ht="21" customHeight="1" x14ac:dyDescent="0.25"/>
    <row r="81" spans="2:27" ht="19.5" thickBot="1" x14ac:dyDescent="0.3">
      <c r="B81" s="5" t="s">
        <v>112</v>
      </c>
      <c r="C81" s="5"/>
      <c r="AA81" s="81"/>
    </row>
    <row r="82" spans="2:27" ht="13.5" customHeight="1" x14ac:dyDescent="0.25">
      <c r="B82" s="37"/>
      <c r="C82" s="37"/>
      <c r="D82" s="38"/>
      <c r="E82" s="38"/>
      <c r="F82" s="37"/>
      <c r="G82" s="37"/>
      <c r="H82" s="37"/>
    </row>
    <row r="83" spans="2:27" x14ac:dyDescent="0.25">
      <c r="B83" s="39" t="s">
        <v>52</v>
      </c>
      <c r="C83" s="40">
        <f>AA83+VLOOKUP(Menu!$B$4,Menu!$C$5:$E$24,2,0)*VLOOKUP(Menu!$B$4,Menu!$C$5:$E$24,3,0)</f>
        <v>0.33333333333333337</v>
      </c>
      <c r="D83" s="41" t="s">
        <v>18</v>
      </c>
      <c r="E83" s="41"/>
      <c r="F83" s="36" t="s">
        <v>104</v>
      </c>
      <c r="G83" s="36"/>
      <c r="H83" s="42" t="s">
        <v>23</v>
      </c>
      <c r="AA83" s="80">
        <v>0.29166666666666669</v>
      </c>
    </row>
    <row r="84" spans="2:27" ht="9" customHeight="1" x14ac:dyDescent="0.25">
      <c r="C84" s="40"/>
      <c r="D84" s="41"/>
      <c r="E84" s="41"/>
      <c r="F84" s="36"/>
      <c r="G84" s="36"/>
      <c r="H84" s="42"/>
      <c r="AA84" s="80"/>
    </row>
    <row r="85" spans="2:27" ht="9" customHeight="1" x14ac:dyDescent="0.25">
      <c r="B85" s="2"/>
      <c r="C85" s="2"/>
      <c r="D85" s="2"/>
      <c r="E85" s="2"/>
      <c r="F85" s="2"/>
      <c r="G85" s="2"/>
      <c r="H85" s="2"/>
    </row>
    <row r="86" spans="2:27" x14ac:dyDescent="0.25">
      <c r="B86" s="39" t="s">
        <v>50</v>
      </c>
      <c r="C86" s="40">
        <f>AA86+VLOOKUP(Menu!$B$4,Menu!$C$5:$E$24,2,0)*VLOOKUP(Menu!$B$4,Menu!$C$5:$E$24,3,0)</f>
        <v>0.45833333333333337</v>
      </c>
      <c r="D86" s="41" t="s">
        <v>60</v>
      </c>
      <c r="E86" s="41"/>
      <c r="F86" s="36" t="s">
        <v>104</v>
      </c>
      <c r="G86" s="36"/>
      <c r="H86" s="42" t="s">
        <v>61</v>
      </c>
      <c r="AA86" s="80">
        <v>0.41666666666666669</v>
      </c>
    </row>
    <row r="87" spans="2:27" ht="9" customHeight="1" x14ac:dyDescent="0.25"/>
    <row r="88" spans="2:27" ht="9" customHeight="1" x14ac:dyDescent="0.25">
      <c r="B88" s="2"/>
      <c r="C88" s="2"/>
      <c r="D88" s="2"/>
      <c r="E88" s="2"/>
      <c r="F88" s="2"/>
      <c r="G88" s="2"/>
      <c r="H88" s="2"/>
    </row>
    <row r="89" spans="2:27" x14ac:dyDescent="0.25">
      <c r="B89" s="39" t="s">
        <v>76</v>
      </c>
      <c r="C89" s="40">
        <f>AA89+VLOOKUP(Menu!$B$4,Menu!$C$5:$E$24,2,0)*VLOOKUP(Menu!$B$4,Menu!$C$5:$E$24,3,0)</f>
        <v>0.58333333333333326</v>
      </c>
      <c r="D89" s="41" t="s">
        <v>62</v>
      </c>
      <c r="E89" s="41"/>
      <c r="F89" s="36" t="s">
        <v>104</v>
      </c>
      <c r="G89" s="36"/>
      <c r="H89" s="42" t="s">
        <v>63</v>
      </c>
      <c r="AA89" s="80">
        <v>0.54166666666666663</v>
      </c>
    </row>
    <row r="90" spans="2:27" ht="21" customHeight="1" x14ac:dyDescent="0.25"/>
    <row r="91" spans="2:27" ht="19.5" thickBot="1" x14ac:dyDescent="0.3">
      <c r="B91" s="5" t="s">
        <v>113</v>
      </c>
      <c r="C91" s="5"/>
      <c r="AA91" s="81"/>
    </row>
    <row r="92" spans="2:27" ht="13.5" customHeight="1" x14ac:dyDescent="0.25">
      <c r="B92" s="37"/>
      <c r="C92" s="37"/>
      <c r="D92" s="38"/>
      <c r="E92" s="38"/>
      <c r="F92" s="37"/>
      <c r="G92" s="37"/>
      <c r="H92" s="37"/>
    </row>
    <row r="93" spans="2:27" x14ac:dyDescent="0.25">
      <c r="B93" s="39" t="s">
        <v>0</v>
      </c>
      <c r="C93" s="40">
        <f>AA93+VLOOKUP(Menu!$B$4,Menu!$C$5:$E$24,2,0)*VLOOKUP(Menu!$B$4,Menu!$C$5:$E$24,3,0)</f>
        <v>0.33333333333333337</v>
      </c>
      <c r="D93" s="41" t="s">
        <v>67</v>
      </c>
      <c r="E93" s="41"/>
      <c r="F93" s="36" t="s">
        <v>104</v>
      </c>
      <c r="G93" s="36"/>
      <c r="H93" s="42" t="s">
        <v>68</v>
      </c>
      <c r="AA93" s="80">
        <v>0.29166666666666669</v>
      </c>
    </row>
    <row r="94" spans="2:27" ht="9" customHeight="1" x14ac:dyDescent="0.25">
      <c r="C94" s="40"/>
      <c r="D94" s="41"/>
      <c r="E94" s="41"/>
      <c r="F94" s="36"/>
      <c r="G94" s="36"/>
      <c r="H94" s="42"/>
      <c r="AA94" s="80"/>
    </row>
    <row r="95" spans="2:27" ht="9" customHeight="1" x14ac:dyDescent="0.25">
      <c r="B95" s="2"/>
      <c r="C95" s="2"/>
      <c r="D95" s="2"/>
      <c r="E95" s="2"/>
      <c r="F95" s="2"/>
      <c r="G95" s="2"/>
      <c r="H95" s="2"/>
    </row>
    <row r="96" spans="2:27" x14ac:dyDescent="0.25">
      <c r="B96" s="39" t="s">
        <v>73</v>
      </c>
      <c r="C96" s="40">
        <f>AA96+VLOOKUP(Menu!$B$4,Menu!$C$5:$E$24,2,0)*VLOOKUP(Menu!$B$4,Menu!$C$5:$E$24,3,0)</f>
        <v>0.45833333333333337</v>
      </c>
      <c r="D96" s="41" t="s">
        <v>64</v>
      </c>
      <c r="E96" s="41"/>
      <c r="F96" s="36" t="s">
        <v>104</v>
      </c>
      <c r="G96" s="36"/>
      <c r="H96" s="42" t="s">
        <v>65</v>
      </c>
      <c r="AA96" s="80">
        <v>0.41666666666666669</v>
      </c>
    </row>
    <row r="97" spans="2:27" ht="9" customHeight="1" x14ac:dyDescent="0.25"/>
    <row r="98" spans="2:27" ht="9" customHeight="1" x14ac:dyDescent="0.25">
      <c r="B98" s="2"/>
      <c r="C98" s="2"/>
      <c r="D98" s="2"/>
      <c r="E98" s="2"/>
      <c r="F98" s="2"/>
      <c r="G98" s="2"/>
      <c r="H98" s="2"/>
    </row>
    <row r="99" spans="2:27" x14ac:dyDescent="0.25">
      <c r="B99" s="39" t="s">
        <v>89</v>
      </c>
      <c r="C99" s="40">
        <f>AA99+VLOOKUP(Menu!$B$4,Menu!$C$5:$E$24,2,0)*VLOOKUP(Menu!$B$4,Menu!$C$5:$E$24,3,0)</f>
        <v>0.58333333333333326</v>
      </c>
      <c r="D99" s="41" t="s">
        <v>66</v>
      </c>
      <c r="E99" s="41"/>
      <c r="F99" s="36" t="s">
        <v>104</v>
      </c>
      <c r="G99" s="36"/>
      <c r="H99" s="42" t="s">
        <v>30</v>
      </c>
      <c r="AA99" s="80">
        <v>0.54166666666666663</v>
      </c>
    </row>
    <row r="100" spans="2:27" ht="21" customHeight="1" x14ac:dyDescent="0.25"/>
    <row r="101" spans="2:27" ht="19.5" thickBot="1" x14ac:dyDescent="0.3">
      <c r="B101" s="5" t="s">
        <v>114</v>
      </c>
      <c r="C101" s="5"/>
      <c r="AA101" s="81"/>
    </row>
    <row r="102" spans="2:27" ht="13.5" customHeight="1" x14ac:dyDescent="0.25">
      <c r="B102" s="37"/>
      <c r="C102" s="37"/>
      <c r="D102" s="38"/>
      <c r="E102" s="38"/>
      <c r="F102" s="37"/>
      <c r="G102" s="37"/>
      <c r="H102" s="37"/>
    </row>
    <row r="103" spans="2:27" x14ac:dyDescent="0.25">
      <c r="B103" s="39" t="s">
        <v>80</v>
      </c>
      <c r="C103" s="40">
        <f>AA103+VLOOKUP(Menu!$B$4,Menu!$C$5:$E$24,2,0)*VLOOKUP(Menu!$B$4,Menu!$C$5:$E$24,3,0)</f>
        <v>0.33333333333333337</v>
      </c>
      <c r="D103" s="41" t="s">
        <v>69</v>
      </c>
      <c r="E103" s="41"/>
      <c r="F103" s="36" t="s">
        <v>104</v>
      </c>
      <c r="G103" s="36"/>
      <c r="H103" s="42" t="s">
        <v>32</v>
      </c>
      <c r="AA103" s="80">
        <v>0.29166666666666669</v>
      </c>
    </row>
    <row r="104" spans="2:27" ht="9" customHeight="1" x14ac:dyDescent="0.25">
      <c r="C104" s="40"/>
      <c r="D104" s="41"/>
      <c r="E104" s="41"/>
      <c r="F104" s="36"/>
      <c r="G104" s="36"/>
      <c r="H104" s="42"/>
      <c r="AA104" s="80"/>
    </row>
    <row r="105" spans="2:27" ht="9" customHeight="1" x14ac:dyDescent="0.25">
      <c r="B105" s="2"/>
      <c r="C105" s="2"/>
      <c r="D105" s="2"/>
      <c r="E105" s="2"/>
      <c r="F105" s="2"/>
      <c r="G105" s="2"/>
      <c r="H105" s="2"/>
    </row>
    <row r="106" spans="2:27" x14ac:dyDescent="0.25">
      <c r="B106" s="39" t="s">
        <v>74</v>
      </c>
      <c r="C106" s="40">
        <f>AA106+VLOOKUP(Menu!$B$4,Menu!$C$5:$E$24,2,0)*VLOOKUP(Menu!$B$4,Menu!$C$5:$E$24,3,0)</f>
        <v>0.45833333333333337</v>
      </c>
      <c r="D106" s="41" t="s">
        <v>70</v>
      </c>
      <c r="E106" s="41"/>
      <c r="F106" s="36" t="s">
        <v>104</v>
      </c>
      <c r="G106" s="36"/>
      <c r="H106" s="42" t="s">
        <v>22</v>
      </c>
      <c r="AA106" s="80">
        <v>0.41666666666666669</v>
      </c>
    </row>
    <row r="107" spans="2:27" ht="9" customHeight="1" x14ac:dyDescent="0.25"/>
    <row r="108" spans="2:27" ht="9" customHeight="1" x14ac:dyDescent="0.25">
      <c r="B108" s="2"/>
      <c r="C108" s="2"/>
      <c r="D108" s="2"/>
      <c r="E108" s="2"/>
      <c r="F108" s="2"/>
      <c r="G108" s="2"/>
      <c r="H108" s="2"/>
    </row>
    <row r="109" spans="2:27" x14ac:dyDescent="0.25">
      <c r="B109" s="39" t="s">
        <v>5</v>
      </c>
      <c r="C109" s="40">
        <f>AA109+VLOOKUP(Menu!$B$4,Menu!$C$5:$E$24,2,0)*VLOOKUP(Menu!$B$4,Menu!$C$5:$E$24,3,0)</f>
        <v>0.58333333333333326</v>
      </c>
      <c r="D109" s="41" t="s">
        <v>71</v>
      </c>
      <c r="E109" s="41"/>
      <c r="F109" s="36" t="s">
        <v>104</v>
      </c>
      <c r="G109" s="36"/>
      <c r="H109" s="42" t="s">
        <v>72</v>
      </c>
      <c r="AA109" s="80">
        <v>0.54166666666666663</v>
      </c>
    </row>
    <row r="110" spans="2:27" ht="21" customHeight="1" x14ac:dyDescent="0.25"/>
    <row r="111" spans="2:27" ht="19.5" thickBot="1" x14ac:dyDescent="0.3">
      <c r="B111" s="5" t="s">
        <v>115</v>
      </c>
      <c r="C111" s="5"/>
      <c r="AA111" s="81"/>
    </row>
    <row r="112" spans="2:27" ht="13.5" customHeight="1" x14ac:dyDescent="0.25">
      <c r="B112" s="37"/>
      <c r="C112" s="37"/>
      <c r="D112" s="38"/>
      <c r="E112" s="38"/>
      <c r="F112" s="37"/>
      <c r="G112" s="37"/>
      <c r="H112" s="37"/>
    </row>
    <row r="113" spans="2:27" x14ac:dyDescent="0.25">
      <c r="B113" s="39" t="s">
        <v>50</v>
      </c>
      <c r="C113" s="40">
        <f>AA113+VLOOKUP(Menu!$B$4,Menu!$C$5:$E$24,2,0)*VLOOKUP(Menu!$B$4,Menu!$C$5:$E$24,3,0)</f>
        <v>0.41666666666666669</v>
      </c>
      <c r="D113" s="41" t="s">
        <v>2</v>
      </c>
      <c r="E113" s="41"/>
      <c r="F113" s="36" t="s">
        <v>104</v>
      </c>
      <c r="G113" s="36"/>
      <c r="H113" s="42" t="s">
        <v>3</v>
      </c>
      <c r="AA113" s="80">
        <v>0.375</v>
      </c>
    </row>
    <row r="114" spans="2:27" ht="9" customHeight="1" x14ac:dyDescent="0.25">
      <c r="C114" s="40"/>
      <c r="D114" s="41"/>
      <c r="E114" s="41"/>
      <c r="F114" s="36"/>
      <c r="G114" s="36"/>
      <c r="H114" s="42"/>
      <c r="AA114" s="80"/>
    </row>
    <row r="115" spans="2:27" ht="9" customHeight="1" x14ac:dyDescent="0.25">
      <c r="B115" s="2"/>
      <c r="C115" s="2"/>
      <c r="D115" s="2"/>
      <c r="E115" s="2"/>
      <c r="F115" s="2"/>
      <c r="G115" s="2"/>
      <c r="H115" s="2"/>
    </row>
    <row r="116" spans="2:27" x14ac:dyDescent="0.25">
      <c r="B116" s="39" t="s">
        <v>49</v>
      </c>
      <c r="C116" s="40">
        <f>AA116+VLOOKUP(Menu!$B$4,Menu!$C$5:$E$24,2,0)*VLOOKUP(Menu!$B$4,Menu!$C$5:$E$24,3,0)</f>
        <v>0.41666666666666669</v>
      </c>
      <c r="D116" s="41" t="s">
        <v>4</v>
      </c>
      <c r="E116" s="41"/>
      <c r="F116" s="36" t="s">
        <v>104</v>
      </c>
      <c r="G116" s="36"/>
      <c r="H116" s="42" t="s">
        <v>1</v>
      </c>
      <c r="AA116" s="80">
        <v>0.375</v>
      </c>
    </row>
    <row r="117" spans="2:27" ht="9" customHeight="1" x14ac:dyDescent="0.25">
      <c r="C117" s="40"/>
      <c r="D117" s="41"/>
      <c r="E117" s="41"/>
      <c r="F117" s="36"/>
      <c r="G117" s="36"/>
      <c r="H117" s="42"/>
      <c r="AA117" s="80"/>
    </row>
    <row r="118" spans="2:27" ht="9" customHeight="1" x14ac:dyDescent="0.25">
      <c r="B118" s="2"/>
      <c r="C118" s="2"/>
      <c r="D118" s="2"/>
      <c r="E118" s="2"/>
      <c r="F118" s="2"/>
      <c r="G118" s="2"/>
      <c r="H118" s="2"/>
    </row>
    <row r="119" spans="2:27" x14ac:dyDescent="0.25">
      <c r="B119" s="39" t="s">
        <v>75</v>
      </c>
      <c r="C119" s="40">
        <f>AA119+VLOOKUP(Menu!$B$4,Menu!$C$5:$E$24,2,0)*VLOOKUP(Menu!$B$4,Menu!$C$5:$E$24,3,0)</f>
        <v>0.58333333333333326</v>
      </c>
      <c r="D119" s="41" t="s">
        <v>55</v>
      </c>
      <c r="E119" s="41"/>
      <c r="F119" s="36" t="s">
        <v>104</v>
      </c>
      <c r="G119" s="36"/>
      <c r="H119" s="42" t="s">
        <v>54</v>
      </c>
      <c r="AA119" s="80">
        <v>0.54166666666666663</v>
      </c>
    </row>
    <row r="120" spans="2:27" ht="9" customHeight="1" x14ac:dyDescent="0.25">
      <c r="B120" s="39"/>
      <c r="C120" s="40"/>
      <c r="D120" s="41"/>
      <c r="E120" s="41"/>
      <c r="F120" s="36"/>
      <c r="G120" s="36"/>
      <c r="H120" s="42"/>
      <c r="AA120" s="80"/>
    </row>
    <row r="121" spans="2:27" ht="9" customHeight="1" x14ac:dyDescent="0.25">
      <c r="B121" s="2"/>
      <c r="C121" s="2"/>
      <c r="D121" s="2"/>
      <c r="E121" s="2"/>
      <c r="F121" s="2"/>
      <c r="G121" s="2"/>
      <c r="H121" s="2"/>
    </row>
    <row r="122" spans="2:27" x14ac:dyDescent="0.25">
      <c r="B122" s="39" t="s">
        <v>76</v>
      </c>
      <c r="C122" s="40">
        <f>AA122+VLOOKUP(Menu!$B$4,Menu!$C$5:$E$24,2,0)*VLOOKUP(Menu!$B$4,Menu!$C$5:$E$24,3,0)</f>
        <v>0.58333333333333326</v>
      </c>
      <c r="D122" s="41" t="s">
        <v>26</v>
      </c>
      <c r="E122" s="41"/>
      <c r="F122" s="36" t="s">
        <v>104</v>
      </c>
      <c r="G122" s="36"/>
      <c r="H122" s="42" t="s">
        <v>53</v>
      </c>
      <c r="AA122" s="80">
        <v>0.54166666666666663</v>
      </c>
    </row>
    <row r="123" spans="2:27" ht="21" customHeight="1" x14ac:dyDescent="0.25"/>
    <row r="124" spans="2:27" ht="19.5" thickBot="1" x14ac:dyDescent="0.3">
      <c r="B124" s="5" t="s">
        <v>116</v>
      </c>
      <c r="C124" s="5"/>
      <c r="AA124" s="81"/>
    </row>
    <row r="125" spans="2:27" ht="13.5" customHeight="1" x14ac:dyDescent="0.25">
      <c r="B125" s="37"/>
      <c r="C125" s="37"/>
      <c r="D125" s="38"/>
      <c r="E125" s="38"/>
      <c r="F125" s="37"/>
      <c r="G125" s="37"/>
      <c r="H125" s="37"/>
    </row>
    <row r="126" spans="2:27" x14ac:dyDescent="0.25">
      <c r="B126" s="39" t="s">
        <v>73</v>
      </c>
      <c r="C126" s="40">
        <f>AA126+VLOOKUP(Menu!$B$4,Menu!$C$5:$E$24,2,0)*VLOOKUP(Menu!$B$4,Menu!$C$5:$E$24,3,0)</f>
        <v>0.41666666666666669</v>
      </c>
      <c r="D126" s="41" t="s">
        <v>58</v>
      </c>
      <c r="E126" s="41"/>
      <c r="F126" s="36" t="s">
        <v>104</v>
      </c>
      <c r="G126" s="36"/>
      <c r="H126" s="42" t="s">
        <v>34</v>
      </c>
      <c r="AA126" s="80">
        <v>0.375</v>
      </c>
    </row>
    <row r="127" spans="2:27" ht="9" customHeight="1" x14ac:dyDescent="0.25">
      <c r="C127" s="40"/>
      <c r="D127" s="41"/>
      <c r="E127" s="41"/>
      <c r="F127" s="36"/>
      <c r="G127" s="36"/>
      <c r="H127" s="42"/>
      <c r="AA127" s="80"/>
    </row>
    <row r="128" spans="2:27" ht="9" customHeight="1" x14ac:dyDescent="0.25">
      <c r="B128" s="2"/>
      <c r="C128" s="2"/>
      <c r="D128" s="2"/>
      <c r="E128" s="2"/>
      <c r="F128" s="2"/>
      <c r="G128" s="2"/>
      <c r="H128" s="2"/>
    </row>
    <row r="129" spans="2:27" x14ac:dyDescent="0.25">
      <c r="B129" s="39" t="s">
        <v>0</v>
      </c>
      <c r="C129" s="40">
        <f>AA129+VLOOKUP(Menu!$B$4,Menu!$C$5:$E$24,2,0)*VLOOKUP(Menu!$B$4,Menu!$C$5:$E$24,3,0)</f>
        <v>0.41666666666666669</v>
      </c>
      <c r="D129" s="41" t="s">
        <v>57</v>
      </c>
      <c r="E129" s="41"/>
      <c r="F129" s="36" t="s">
        <v>104</v>
      </c>
      <c r="G129" s="36"/>
      <c r="H129" s="42" t="s">
        <v>56</v>
      </c>
      <c r="AA129" s="80">
        <v>0.375</v>
      </c>
    </row>
    <row r="130" spans="2:27" ht="9" customHeight="1" x14ac:dyDescent="0.25">
      <c r="C130" s="40"/>
      <c r="D130" s="41"/>
      <c r="E130" s="41"/>
      <c r="F130" s="36"/>
      <c r="G130" s="36"/>
      <c r="H130" s="42"/>
      <c r="AA130" s="80"/>
    </row>
    <row r="131" spans="2:27" ht="9" customHeight="1" x14ac:dyDescent="0.25">
      <c r="B131" s="2"/>
      <c r="C131" s="2"/>
      <c r="D131" s="2"/>
      <c r="E131" s="2"/>
      <c r="F131" s="2"/>
      <c r="G131" s="2"/>
      <c r="H131" s="2"/>
    </row>
    <row r="132" spans="2:27" x14ac:dyDescent="0.25">
      <c r="B132" s="39" t="s">
        <v>51</v>
      </c>
      <c r="C132" s="40">
        <f>AA132+VLOOKUP(Menu!$B$4,Menu!$C$5:$E$24,2,0)*VLOOKUP(Menu!$B$4,Menu!$C$5:$E$24,3,0)</f>
        <v>0.58333333333333326</v>
      </c>
      <c r="D132" s="41" t="s">
        <v>61</v>
      </c>
      <c r="E132" s="41"/>
      <c r="F132" s="36" t="s">
        <v>104</v>
      </c>
      <c r="G132" s="36"/>
      <c r="H132" s="42" t="s">
        <v>59</v>
      </c>
      <c r="AA132" s="80">
        <v>0.54166666666666663</v>
      </c>
    </row>
    <row r="133" spans="2:27" ht="9" customHeight="1" x14ac:dyDescent="0.25">
      <c r="B133" s="39"/>
      <c r="C133" s="40"/>
      <c r="D133" s="41"/>
      <c r="E133" s="41"/>
      <c r="F133" s="36"/>
      <c r="G133" s="36"/>
      <c r="H133" s="42"/>
      <c r="AA133" s="80"/>
    </row>
    <row r="134" spans="2:27" ht="9" customHeight="1" x14ac:dyDescent="0.25">
      <c r="B134" s="2"/>
      <c r="C134" s="2"/>
      <c r="D134" s="2"/>
      <c r="E134" s="2"/>
      <c r="F134" s="2"/>
      <c r="G134" s="2"/>
      <c r="H134" s="2"/>
    </row>
    <row r="135" spans="2:27" x14ac:dyDescent="0.25">
      <c r="B135" s="39" t="s">
        <v>82</v>
      </c>
      <c r="C135" s="40">
        <f>AA135+VLOOKUP(Menu!$B$4,Menu!$C$5:$E$24,2,0)*VLOOKUP(Menu!$B$4,Menu!$C$5:$E$24,3,0)</f>
        <v>0.58333333333333326</v>
      </c>
      <c r="D135" s="41" t="s">
        <v>60</v>
      </c>
      <c r="E135" s="41"/>
      <c r="F135" s="36" t="s">
        <v>104</v>
      </c>
      <c r="G135" s="36"/>
      <c r="H135" s="42" t="s">
        <v>19</v>
      </c>
      <c r="AA135" s="80">
        <v>0.54166666666666663</v>
      </c>
    </row>
    <row r="136" spans="2:27" ht="21" customHeight="1" x14ac:dyDescent="0.25"/>
    <row r="137" spans="2:27" ht="19.5" thickBot="1" x14ac:dyDescent="0.3">
      <c r="B137" s="5" t="s">
        <v>117</v>
      </c>
      <c r="C137" s="5"/>
      <c r="AA137" s="81"/>
    </row>
    <row r="138" spans="2:27" ht="13.5" customHeight="1" x14ac:dyDescent="0.25">
      <c r="B138" s="37"/>
      <c r="C138" s="37"/>
      <c r="D138" s="38"/>
      <c r="E138" s="38"/>
      <c r="F138" s="37"/>
      <c r="G138" s="37"/>
      <c r="H138" s="37"/>
    </row>
    <row r="139" spans="2:27" x14ac:dyDescent="0.25">
      <c r="B139" s="39" t="s">
        <v>74</v>
      </c>
      <c r="C139" s="40">
        <f>AA139+VLOOKUP(Menu!$B$4,Menu!$C$5:$E$24,2,0)*VLOOKUP(Menu!$B$4,Menu!$C$5:$E$24,3,0)</f>
        <v>0.41666666666666669</v>
      </c>
      <c r="D139" s="41" t="s">
        <v>66</v>
      </c>
      <c r="E139" s="41"/>
      <c r="F139" s="36" t="s">
        <v>104</v>
      </c>
      <c r="G139" s="36"/>
      <c r="H139" s="42" t="s">
        <v>64</v>
      </c>
      <c r="AA139" s="80">
        <v>0.375</v>
      </c>
    </row>
    <row r="140" spans="2:27" ht="9" customHeight="1" x14ac:dyDescent="0.25">
      <c r="C140" s="40"/>
      <c r="D140" s="41"/>
      <c r="E140" s="41"/>
      <c r="F140" s="36"/>
      <c r="G140" s="36"/>
      <c r="H140" s="42"/>
      <c r="AA140" s="80"/>
    </row>
    <row r="141" spans="2:27" ht="9" customHeight="1" x14ac:dyDescent="0.25">
      <c r="B141" s="2"/>
      <c r="C141" s="2"/>
      <c r="D141" s="2"/>
      <c r="E141" s="2"/>
      <c r="F141" s="2"/>
      <c r="G141" s="2"/>
      <c r="H141" s="2"/>
    </row>
    <row r="142" spans="2:27" x14ac:dyDescent="0.25">
      <c r="B142" s="39" t="s">
        <v>5</v>
      </c>
      <c r="C142" s="40">
        <f>AA142+VLOOKUP(Menu!$B$4,Menu!$C$5:$E$24,2,0)*VLOOKUP(Menu!$B$4,Menu!$C$5:$E$24,3,0)</f>
        <v>0.41666666666666669</v>
      </c>
      <c r="D142" s="41" t="s">
        <v>30</v>
      </c>
      <c r="E142" s="41"/>
      <c r="F142" s="36" t="s">
        <v>104</v>
      </c>
      <c r="G142" s="36"/>
      <c r="H142" s="42" t="s">
        <v>65</v>
      </c>
      <c r="AA142" s="80">
        <v>0.375</v>
      </c>
    </row>
    <row r="143" spans="2:27" ht="9" customHeight="1" x14ac:dyDescent="0.25">
      <c r="C143" s="40"/>
      <c r="D143" s="41"/>
      <c r="E143" s="41"/>
      <c r="F143" s="36"/>
      <c r="G143" s="36"/>
      <c r="H143" s="42"/>
      <c r="AA143" s="80"/>
    </row>
    <row r="144" spans="2:27" ht="9" customHeight="1" x14ac:dyDescent="0.25">
      <c r="B144" s="2"/>
      <c r="C144" s="2"/>
      <c r="D144" s="2"/>
      <c r="E144" s="2"/>
      <c r="F144" s="2"/>
      <c r="G144" s="2"/>
      <c r="H144" s="2"/>
    </row>
    <row r="145" spans="2:27" x14ac:dyDescent="0.25">
      <c r="B145" s="39" t="s">
        <v>0</v>
      </c>
      <c r="C145" s="40">
        <f>AA145+VLOOKUP(Menu!$B$4,Menu!$C$5:$E$24,2,0)*VLOOKUP(Menu!$B$4,Menu!$C$5:$E$24,3,0)</f>
        <v>0.58333333333333326</v>
      </c>
      <c r="D145" s="41" t="s">
        <v>62</v>
      </c>
      <c r="E145" s="41"/>
      <c r="F145" s="36" t="s">
        <v>104</v>
      </c>
      <c r="G145" s="36"/>
      <c r="H145" s="42" t="s">
        <v>18</v>
      </c>
      <c r="AA145" s="80">
        <v>0.54166666666666663</v>
      </c>
    </row>
    <row r="146" spans="2:27" ht="9" customHeight="1" x14ac:dyDescent="0.25">
      <c r="B146" s="39"/>
      <c r="C146" s="40"/>
      <c r="D146" s="41"/>
      <c r="E146" s="41"/>
      <c r="F146" s="36"/>
      <c r="G146" s="36"/>
      <c r="H146" s="42"/>
      <c r="AA146" s="80"/>
    </row>
    <row r="147" spans="2:27" ht="9" customHeight="1" x14ac:dyDescent="0.25">
      <c r="B147" s="2"/>
      <c r="C147" s="2"/>
      <c r="D147" s="2"/>
      <c r="E147" s="2"/>
      <c r="F147" s="2"/>
      <c r="G147" s="2"/>
      <c r="H147" s="2"/>
    </row>
    <row r="148" spans="2:27" x14ac:dyDescent="0.25">
      <c r="B148" s="39" t="s">
        <v>80</v>
      </c>
      <c r="C148" s="40">
        <f>AA148+VLOOKUP(Menu!$B$4,Menu!$C$5:$E$24,2,0)*VLOOKUP(Menu!$B$4,Menu!$C$5:$E$24,3,0)</f>
        <v>0.58333333333333326</v>
      </c>
      <c r="D148" s="41" t="s">
        <v>63</v>
      </c>
      <c r="E148" s="41"/>
      <c r="F148" s="36" t="s">
        <v>104</v>
      </c>
      <c r="G148" s="36"/>
      <c r="H148" s="42" t="s">
        <v>23</v>
      </c>
      <c r="AA148" s="80">
        <v>0.54166666666666663</v>
      </c>
    </row>
    <row r="149" spans="2:27" ht="21" customHeight="1" x14ac:dyDescent="0.25"/>
    <row r="150" spans="2:27" ht="19.5" thickBot="1" x14ac:dyDescent="0.3">
      <c r="B150" s="5" t="s">
        <v>118</v>
      </c>
      <c r="C150" s="5"/>
      <c r="AA150" s="81"/>
    </row>
    <row r="151" spans="2:27" ht="13.5" customHeight="1" x14ac:dyDescent="0.25">
      <c r="B151" s="37"/>
      <c r="C151" s="37"/>
      <c r="D151" s="38"/>
      <c r="E151" s="38"/>
      <c r="F151" s="37"/>
      <c r="G151" s="37"/>
      <c r="H151" s="37"/>
    </row>
    <row r="152" spans="2:27" x14ac:dyDescent="0.25">
      <c r="B152" s="39" t="s">
        <v>50</v>
      </c>
      <c r="C152" s="40">
        <f>AA152+VLOOKUP(Menu!$B$4,Menu!$C$5:$E$24,2,0)*VLOOKUP(Menu!$B$4,Menu!$C$5:$E$24,3,0)</f>
        <v>0.41666666666666669</v>
      </c>
      <c r="D152" s="41" t="s">
        <v>71</v>
      </c>
      <c r="E152" s="41"/>
      <c r="F152" s="36" t="s">
        <v>104</v>
      </c>
      <c r="G152" s="36"/>
      <c r="H152" s="42" t="s">
        <v>70</v>
      </c>
      <c r="AA152" s="80">
        <v>0.375</v>
      </c>
    </row>
    <row r="153" spans="2:27" ht="9" customHeight="1" x14ac:dyDescent="0.25">
      <c r="C153" s="40"/>
      <c r="D153" s="41"/>
      <c r="E153" s="41"/>
      <c r="F153" s="36"/>
      <c r="G153" s="36"/>
      <c r="H153" s="42"/>
      <c r="AA153" s="80"/>
    </row>
    <row r="154" spans="2:27" ht="9" customHeight="1" x14ac:dyDescent="0.25">
      <c r="B154" s="2"/>
      <c r="C154" s="2"/>
      <c r="D154" s="2"/>
      <c r="E154" s="2"/>
      <c r="F154" s="2"/>
      <c r="G154" s="2"/>
      <c r="H154" s="2"/>
    </row>
    <row r="155" spans="2:27" x14ac:dyDescent="0.25">
      <c r="B155" s="39" t="s">
        <v>49</v>
      </c>
      <c r="C155" s="40">
        <f>AA155+VLOOKUP(Menu!$B$4,Menu!$C$5:$E$24,2,0)*VLOOKUP(Menu!$B$4,Menu!$C$5:$E$24,3,0)</f>
        <v>0.41666666666666669</v>
      </c>
      <c r="D155" s="41" t="s">
        <v>72</v>
      </c>
      <c r="E155" s="41"/>
      <c r="F155" s="36" t="s">
        <v>104</v>
      </c>
      <c r="G155" s="36"/>
      <c r="H155" s="42" t="s">
        <v>22</v>
      </c>
      <c r="AA155" s="80">
        <v>0.375</v>
      </c>
    </row>
    <row r="156" spans="2:27" ht="9" customHeight="1" x14ac:dyDescent="0.25">
      <c r="C156" s="40"/>
      <c r="D156" s="41"/>
      <c r="E156" s="41"/>
      <c r="F156" s="36"/>
      <c r="G156" s="36"/>
      <c r="H156" s="42"/>
      <c r="AA156" s="80"/>
    </row>
    <row r="157" spans="2:27" ht="9" customHeight="1" x14ac:dyDescent="0.25">
      <c r="B157" s="2"/>
      <c r="C157" s="2"/>
      <c r="D157" s="2"/>
      <c r="E157" s="2"/>
      <c r="F157" s="2"/>
      <c r="G157" s="2"/>
      <c r="H157" s="2"/>
    </row>
    <row r="158" spans="2:27" x14ac:dyDescent="0.25">
      <c r="B158" s="39" t="s">
        <v>76</v>
      </c>
      <c r="C158" s="40">
        <f>AA158+VLOOKUP(Menu!$B$4,Menu!$C$5:$E$24,2,0)*VLOOKUP(Menu!$B$4,Menu!$C$5:$E$24,3,0)</f>
        <v>0.58333333333333326</v>
      </c>
      <c r="D158" s="41" t="s">
        <v>69</v>
      </c>
      <c r="E158" s="41"/>
      <c r="F158" s="36" t="s">
        <v>104</v>
      </c>
      <c r="G158" s="36"/>
      <c r="H158" s="42" t="s">
        <v>67</v>
      </c>
      <c r="AA158" s="80">
        <v>0.54166666666666663</v>
      </c>
    </row>
    <row r="159" spans="2:27" ht="9" customHeight="1" x14ac:dyDescent="0.25">
      <c r="B159" s="39"/>
      <c r="C159" s="40"/>
      <c r="D159" s="41"/>
      <c r="E159" s="41"/>
      <c r="F159" s="36"/>
      <c r="G159" s="36"/>
      <c r="H159" s="42"/>
      <c r="AA159" s="80"/>
    </row>
    <row r="160" spans="2:27" ht="9" customHeight="1" x14ac:dyDescent="0.25">
      <c r="B160" s="2"/>
      <c r="C160" s="2"/>
      <c r="D160" s="2"/>
      <c r="E160" s="2"/>
      <c r="F160" s="2"/>
      <c r="G160" s="2"/>
      <c r="H160" s="2"/>
    </row>
    <row r="161" spans="2:34" x14ac:dyDescent="0.25">
      <c r="B161" s="39" t="s">
        <v>75</v>
      </c>
      <c r="C161" s="40">
        <f>AA161+VLOOKUP(Menu!$B$4,Menu!$C$5:$E$24,2,0)*VLOOKUP(Menu!$B$4,Menu!$C$5:$E$24,3,0)</f>
        <v>0.58333333333333326</v>
      </c>
      <c r="D161" s="41" t="s">
        <v>32</v>
      </c>
      <c r="E161" s="41"/>
      <c r="F161" s="36" t="s">
        <v>104</v>
      </c>
      <c r="G161" s="36"/>
      <c r="H161" s="42" t="s">
        <v>68</v>
      </c>
      <c r="AA161" s="80">
        <v>0.54166666666666663</v>
      </c>
    </row>
    <row r="162" spans="2:34" ht="21" customHeight="1" x14ac:dyDescent="0.25"/>
    <row r="163" spans="2:34" ht="19.5" thickBot="1" x14ac:dyDescent="0.3">
      <c r="B163" s="5" t="s">
        <v>119</v>
      </c>
      <c r="C163" s="5"/>
      <c r="AA163" s="81"/>
    </row>
    <row r="164" spans="2:34" ht="13.5" customHeight="1" x14ac:dyDescent="0.25">
      <c r="B164" s="37"/>
      <c r="C164" s="37"/>
      <c r="D164" s="38"/>
      <c r="E164" s="38"/>
      <c r="F164" s="37"/>
      <c r="G164" s="37"/>
      <c r="H164" s="37"/>
    </row>
    <row r="165" spans="2:34" x14ac:dyDescent="0.25">
      <c r="B165" s="39" t="s">
        <v>74</v>
      </c>
      <c r="C165" s="40">
        <f>AA165+VLOOKUP(Menu!$B$4,Menu!$C$5:$E$24,2,0)*VLOOKUP(Menu!$B$4,Menu!$C$5:$E$24,3,0)</f>
        <v>0.41666666666666669</v>
      </c>
      <c r="D165" s="41" t="str">
        <f>Octavos!D4</f>
        <v>1°C</v>
      </c>
      <c r="E165" s="41"/>
      <c r="F165" s="36" t="s">
        <v>104</v>
      </c>
      <c r="G165" s="36"/>
      <c r="H165" s="42" t="str">
        <f>Octavos!L4</f>
        <v>2°D</v>
      </c>
      <c r="AA165" s="80">
        <v>0.375</v>
      </c>
      <c r="AG165" t="str">
        <f>IFERROR(VLOOKUP(D165,A!$AA$41:$AC$73,3,FALSE),VLOOKUP("imz",A!$AA$41:$AC$73,3,FALSE))</f>
        <v>A!$AB$73</v>
      </c>
      <c r="AH165" t="str">
        <f>IFERROR(VLOOKUP(H165,A!$AA$41:$AC$73,3,FALSE),VLOOKUP("imz",A!$AA$41:$AC$73,3,FALSE))</f>
        <v>A!$AB$73</v>
      </c>
    </row>
    <row r="166" spans="2:34" ht="9" customHeight="1" x14ac:dyDescent="0.25">
      <c r="C166" s="40"/>
      <c r="D166" s="41"/>
      <c r="E166" s="41"/>
      <c r="F166" s="36"/>
      <c r="G166" s="36"/>
      <c r="H166" s="42"/>
      <c r="AA166" s="80"/>
    </row>
    <row r="167" spans="2:34" ht="9" customHeight="1" x14ac:dyDescent="0.25">
      <c r="B167" s="2"/>
      <c r="C167" s="2"/>
      <c r="D167" s="2"/>
      <c r="E167" s="2"/>
      <c r="F167" s="2"/>
      <c r="G167" s="2"/>
      <c r="H167" s="2"/>
    </row>
    <row r="168" spans="2:34" x14ac:dyDescent="0.25">
      <c r="B168" s="39" t="s">
        <v>73</v>
      </c>
      <c r="C168" s="40">
        <f>AA168+VLOOKUP(Menu!$B$4,Menu!$C$5:$E$24,2,0)*VLOOKUP(Menu!$B$4,Menu!$C$5:$E$24,3,0)</f>
        <v>0.58333333333333326</v>
      </c>
      <c r="D168" s="41" t="str">
        <f>IF(Octavos!D8="","1ºA",Octavos!D8)</f>
        <v>1°A</v>
      </c>
      <c r="E168" s="41"/>
      <c r="F168" s="36" t="s">
        <v>104</v>
      </c>
      <c r="G168" s="36"/>
      <c r="H168" s="42" t="str">
        <f>IF(Octavos!L8="","2ºB",Octavos!L8)</f>
        <v>2°B</v>
      </c>
      <c r="AA168" s="80">
        <v>0.54166666666666663</v>
      </c>
      <c r="AG168" t="str">
        <f>IFERROR(VLOOKUP(D168,A!$AA$41:$AC$73,3,FALSE),VLOOKUP("imz",A!$AA$41:$AC$73,3,FALSE))</f>
        <v>A!$AB$73</v>
      </c>
      <c r="AH168" t="str">
        <f>IFERROR(VLOOKUP(H168,A!$AA$41:$AC$73,3,FALSE),VLOOKUP("imz",A!$AA$41:$AC$73,3,FALSE))</f>
        <v>A!$AB$73</v>
      </c>
    </row>
    <row r="169" spans="2:34" ht="21" customHeight="1" x14ac:dyDescent="0.25">
      <c r="C169" s="40"/>
      <c r="D169" s="41"/>
      <c r="E169" s="41"/>
      <c r="F169" s="36"/>
      <c r="G169" s="36"/>
      <c r="H169" s="42"/>
      <c r="AA169" s="80"/>
    </row>
    <row r="170" spans="2:34" ht="19.5" thickBot="1" x14ac:dyDescent="0.3">
      <c r="B170" s="5" t="s">
        <v>120</v>
      </c>
      <c r="C170" s="5"/>
      <c r="AA170" s="81"/>
    </row>
    <row r="171" spans="2:34" ht="13.5" customHeight="1" x14ac:dyDescent="0.25">
      <c r="B171" s="37"/>
      <c r="C171" s="37"/>
      <c r="D171" s="38"/>
      <c r="E171" s="38"/>
      <c r="F171" s="37"/>
      <c r="G171" s="37"/>
      <c r="H171" s="37"/>
    </row>
    <row r="172" spans="2:34" x14ac:dyDescent="0.25">
      <c r="B172" s="39" t="s">
        <v>0</v>
      </c>
      <c r="C172" s="40">
        <f>AA172+VLOOKUP(Menu!$B$4,Menu!$C$5:$E$24,2,0)*VLOOKUP(Menu!$B$4,Menu!$C$5:$E$24,3,0)</f>
        <v>0.41666666666666669</v>
      </c>
      <c r="D172" s="41" t="str">
        <f>IF(Octavos!D12="","1ºB",Octavos!D12)</f>
        <v>1°B</v>
      </c>
      <c r="E172" s="41"/>
      <c r="F172" s="36" t="s">
        <v>104</v>
      </c>
      <c r="G172" s="36"/>
      <c r="H172" s="42" t="str">
        <f>IF(Octavos!L12="","2ºA",Octavos!L12)</f>
        <v>2°A</v>
      </c>
      <c r="AA172" s="80">
        <v>0.375</v>
      </c>
      <c r="AG172" t="str">
        <f>IFERROR(VLOOKUP(D172,A!$AA$41:$AC$73,3,FALSE),VLOOKUP("imz",A!$AA$41:$AC$73,3,FALSE))</f>
        <v>A!$AB$73</v>
      </c>
      <c r="AH172" t="str">
        <f>IFERROR(VLOOKUP(H172,A!$AA$41:$AC$73,3,FALSE),VLOOKUP("imz",A!$AA$41:$AC$73,3,FALSE))</f>
        <v>A!$AB$73</v>
      </c>
    </row>
    <row r="173" spans="2:34" ht="9" customHeight="1" x14ac:dyDescent="0.25">
      <c r="C173" s="40"/>
      <c r="D173" s="41"/>
      <c r="E173" s="41"/>
      <c r="F173" s="36"/>
      <c r="G173" s="36"/>
      <c r="H173" s="42"/>
      <c r="AA173" s="80"/>
    </row>
    <row r="174" spans="2:34" ht="9" customHeight="1" x14ac:dyDescent="0.25">
      <c r="B174" s="2"/>
      <c r="C174" s="2"/>
      <c r="D174" s="2"/>
      <c r="E174" s="2"/>
      <c r="F174" s="2"/>
      <c r="G174" s="2"/>
      <c r="H174" s="2"/>
    </row>
    <row r="175" spans="2:34" x14ac:dyDescent="0.25">
      <c r="B175" s="39" t="s">
        <v>80</v>
      </c>
      <c r="C175" s="40">
        <f>AA175+VLOOKUP(Menu!$B$4,Menu!$C$5:$E$24,2,0)*VLOOKUP(Menu!$B$4,Menu!$C$5:$E$24,3,0)</f>
        <v>0.58333333333333326</v>
      </c>
      <c r="D175" s="41" t="str">
        <f>Octavos!D16</f>
        <v>1°D</v>
      </c>
      <c r="E175" s="41"/>
      <c r="F175" s="36" t="s">
        <v>104</v>
      </c>
      <c r="G175" s="36"/>
      <c r="H175" s="42" t="str">
        <f>IF(Octavos!L16="","2ºC",Octavos!L16)</f>
        <v>2°C</v>
      </c>
      <c r="AA175" s="80">
        <v>0.54166666666666663</v>
      </c>
      <c r="AG175" t="str">
        <f>IFERROR(VLOOKUP(D175,A!$AA$41:$AC$73,3,FALSE),VLOOKUP("imz",A!$AA$41:$AC$73,3,FALSE))</f>
        <v>A!$AB$73</v>
      </c>
      <c r="AH175" t="str">
        <f>IFERROR(VLOOKUP(H175,A!$AA$41:$AC$73,3,FALSE),VLOOKUP("imz",A!$AA$41:$AC$73,3,FALSE))</f>
        <v>A!$AB$73</v>
      </c>
    </row>
    <row r="176" spans="2:34" ht="21" customHeight="1" x14ac:dyDescent="0.25"/>
    <row r="177" spans="2:34" ht="19.5" thickBot="1" x14ac:dyDescent="0.3">
      <c r="B177" s="5" t="s">
        <v>121</v>
      </c>
      <c r="C177" s="5"/>
      <c r="AA177" s="81"/>
    </row>
    <row r="178" spans="2:34" ht="13.5" customHeight="1" x14ac:dyDescent="0.25">
      <c r="B178" s="37"/>
      <c r="C178" s="37"/>
      <c r="D178" s="38"/>
      <c r="E178" s="38"/>
      <c r="F178" s="37"/>
      <c r="G178" s="37"/>
      <c r="H178" s="37"/>
    </row>
    <row r="179" spans="2:34" x14ac:dyDescent="0.25">
      <c r="B179" s="39" t="s">
        <v>49</v>
      </c>
      <c r="C179" s="40">
        <f>AA179+VLOOKUP(Menu!$B$4,Menu!$C$5:$E$24,2,0)*VLOOKUP(Menu!$B$4,Menu!$C$5:$E$24,3,0)</f>
        <v>0.41666666666666669</v>
      </c>
      <c r="D179" s="41" t="str">
        <f>IF(Octavos!P4="","1ºE",Octavos!P4)</f>
        <v>1°E</v>
      </c>
      <c r="E179" s="41"/>
      <c r="F179" s="36" t="s">
        <v>104</v>
      </c>
      <c r="G179" s="36"/>
      <c r="H179" s="42" t="str">
        <f>IF(Octavos!X4="","2ºF",Octavos!X4)</f>
        <v>2°F</v>
      </c>
      <c r="AA179" s="80">
        <v>0.375</v>
      </c>
      <c r="AG179" t="str">
        <f>IFERROR(VLOOKUP(D179,A!$AA$41:$AC$73,3,FALSE),VLOOKUP("imz",A!$AA$41:$AC$73,3,FALSE))</f>
        <v>A!$AB$73</v>
      </c>
      <c r="AH179" t="str">
        <f>IFERROR(VLOOKUP(H179,A!$AA$41:$AC$73,3,FALSE),VLOOKUP("imz",A!$AA$41:$AC$73,3,FALSE))</f>
        <v>A!$AB$73</v>
      </c>
    </row>
    <row r="180" spans="2:34" ht="9" customHeight="1" x14ac:dyDescent="0.25">
      <c r="C180" s="40"/>
      <c r="D180" s="41"/>
      <c r="E180" s="41"/>
      <c r="F180" s="36"/>
      <c r="G180" s="36"/>
      <c r="H180" s="42"/>
      <c r="AA180" s="80"/>
    </row>
    <row r="181" spans="2:34" ht="9" customHeight="1" x14ac:dyDescent="0.25">
      <c r="B181" s="2"/>
      <c r="C181" s="2"/>
      <c r="D181" s="2"/>
      <c r="E181" s="2"/>
      <c r="F181" s="2"/>
      <c r="G181" s="2"/>
      <c r="H181" s="2"/>
    </row>
    <row r="182" spans="2:34" x14ac:dyDescent="0.25">
      <c r="B182" s="39" t="s">
        <v>89</v>
      </c>
      <c r="C182" s="40">
        <f>AA182+VLOOKUP(Menu!$B$4,Menu!$C$5:$E$24,2,0)*VLOOKUP(Menu!$B$4,Menu!$C$5:$E$24,3,0)</f>
        <v>0.58333333333333326</v>
      </c>
      <c r="D182" s="41" t="str">
        <f>IF(Octavos!P8="","1ºG",Octavos!P8)</f>
        <v>1°G</v>
      </c>
      <c r="E182" s="41"/>
      <c r="F182" s="36" t="s">
        <v>104</v>
      </c>
      <c r="G182" s="36"/>
      <c r="H182" s="42" t="str">
        <f>IF(Octavos!X8="","2ºH",Octavos!X8)</f>
        <v>2°H</v>
      </c>
      <c r="M182" s="14"/>
      <c r="AA182" s="80">
        <v>0.54166666666666663</v>
      </c>
      <c r="AG182" t="str">
        <f>IFERROR(VLOOKUP(D182,A!$AA$41:$AC$73,3,FALSE),VLOOKUP("imz",A!$AA$41:$AC$73,3,FALSE))</f>
        <v>A!$AB$73</v>
      </c>
      <c r="AH182" t="str">
        <f>IFERROR(VLOOKUP(H182,A!$AA$41:$AC$73,3,FALSE),VLOOKUP("imz",A!$AA$41:$AC$73,3,FALSE))</f>
        <v>A!$AB$73</v>
      </c>
    </row>
    <row r="183" spans="2:34" ht="21" customHeight="1" x14ac:dyDescent="0.25"/>
    <row r="184" spans="2:34" ht="19.5" thickBot="1" x14ac:dyDescent="0.3">
      <c r="B184" s="5" t="s">
        <v>122</v>
      </c>
      <c r="C184" s="5"/>
      <c r="AA184" s="81"/>
    </row>
    <row r="185" spans="2:34" ht="13.5" customHeight="1" x14ac:dyDescent="0.25">
      <c r="B185" s="37"/>
      <c r="C185" s="37"/>
      <c r="D185" s="38"/>
      <c r="E185" s="38"/>
      <c r="F185" s="37"/>
      <c r="G185" s="37"/>
      <c r="H185" s="37"/>
    </row>
    <row r="186" spans="2:34" x14ac:dyDescent="0.25">
      <c r="B186" s="39" t="s">
        <v>82</v>
      </c>
      <c r="C186" s="40">
        <f>AA186+VLOOKUP(Menu!$B$4,Menu!$C$5:$E$24,2,0)*VLOOKUP(Menu!$B$4,Menu!$C$5:$E$24,3,0)</f>
        <v>0.41666666666666669</v>
      </c>
      <c r="D186" s="41" t="str">
        <f>IF(Octavos!P12="","1ºF",Octavos!P12)</f>
        <v>1°F</v>
      </c>
      <c r="E186" s="41"/>
      <c r="F186" s="36" t="s">
        <v>104</v>
      </c>
      <c r="G186" s="36"/>
      <c r="H186" s="42" t="str">
        <f>IF(Octavos!X12="","2ºE",Octavos!X12)</f>
        <v>2°E</v>
      </c>
      <c r="AA186" s="80">
        <v>0.375</v>
      </c>
      <c r="AG186" t="str">
        <f>IFERROR(VLOOKUP(D186,A!$AA$41:$AC$73,3,FALSE),VLOOKUP("imz",A!$AA$41:$AC$73,3,FALSE))</f>
        <v>A!$AB$73</v>
      </c>
      <c r="AH186" t="str">
        <f>IFERROR(VLOOKUP(H186,A!$AA$41:$AC$73,3,FALSE),VLOOKUP("imz",A!$AA$41:$AC$73,3,FALSE))</f>
        <v>A!$AB$73</v>
      </c>
    </row>
    <row r="187" spans="2:34" ht="9" customHeight="1" x14ac:dyDescent="0.25">
      <c r="C187" s="40"/>
      <c r="D187" s="41"/>
      <c r="E187" s="41"/>
      <c r="F187" s="36"/>
      <c r="G187" s="36"/>
      <c r="H187" s="42"/>
      <c r="AA187" s="80"/>
    </row>
    <row r="188" spans="2:34" ht="9" customHeight="1" x14ac:dyDescent="0.25">
      <c r="B188" s="2"/>
      <c r="C188" s="2"/>
      <c r="D188" s="2"/>
      <c r="E188" s="2"/>
      <c r="F188" s="2"/>
      <c r="G188" s="2"/>
      <c r="H188" s="2"/>
    </row>
    <row r="189" spans="2:34" x14ac:dyDescent="0.25">
      <c r="B189" s="39" t="s">
        <v>0</v>
      </c>
      <c r="C189" s="40">
        <f>AA189+VLOOKUP(Menu!$B$4,Menu!$C$5:$E$24,2,0)*VLOOKUP(Menu!$B$4,Menu!$C$5:$E$24,3,0)</f>
        <v>0.58333333333333326</v>
      </c>
      <c r="D189" s="41" t="str">
        <f>IF(Octavos!P16="","1ºH",Octavos!P16)</f>
        <v>1°H</v>
      </c>
      <c r="E189" s="41"/>
      <c r="F189" s="36" t="s">
        <v>104</v>
      </c>
      <c r="G189" s="36"/>
      <c r="H189" s="42" t="str">
        <f>IF(Octavos!X16="","2ºG",Octavos!X16)</f>
        <v>2°G</v>
      </c>
      <c r="AA189" s="80">
        <v>0.54166666666666663</v>
      </c>
      <c r="AG189" t="str">
        <f>IFERROR(VLOOKUP(D189,A!$AA$41:$AC$73,3,FALSE),VLOOKUP("imz",A!$AA$41:$AC$73,3,FALSE))</f>
        <v>A!$AB$73</v>
      </c>
      <c r="AH189" t="str">
        <f>IFERROR(VLOOKUP(H189,A!$AA$41:$AC$73,3,FALSE),VLOOKUP("imz",A!$AA$41:$AC$73,3,FALSE))</f>
        <v>A!$AB$73</v>
      </c>
    </row>
    <row r="190" spans="2:34" ht="21" customHeight="1" x14ac:dyDescent="0.25"/>
    <row r="191" spans="2:34" ht="19.5" thickBot="1" x14ac:dyDescent="0.3">
      <c r="B191" s="5" t="s">
        <v>123</v>
      </c>
      <c r="C191" s="5"/>
      <c r="AA191" s="81"/>
    </row>
    <row r="192" spans="2:34" ht="13.5" customHeight="1" x14ac:dyDescent="0.25">
      <c r="B192" s="37"/>
      <c r="C192" s="37"/>
      <c r="D192" s="38"/>
      <c r="E192" s="38"/>
      <c r="F192" s="37"/>
      <c r="G192" s="37"/>
      <c r="H192" s="37"/>
    </row>
    <row r="193" spans="2:34" x14ac:dyDescent="0.25">
      <c r="B193" s="39" t="s">
        <v>80</v>
      </c>
      <c r="C193" s="40">
        <f>AA193+VLOOKUP(Menu!$B$4,Menu!$C$5:$E$24,2,0)*VLOOKUP(Menu!$B$4,Menu!$C$5:$E$24,3,0)</f>
        <v>0.41666666666666669</v>
      </c>
      <c r="D193" s="41" t="str">
        <f>Cuartos!D4</f>
        <v>Ganador O1</v>
      </c>
      <c r="E193" s="41"/>
      <c r="F193" s="36" t="s">
        <v>104</v>
      </c>
      <c r="G193" s="36"/>
      <c r="H193" s="42" t="str">
        <f>Cuartos!L4</f>
        <v>Ganador O2</v>
      </c>
      <c r="AA193" s="80">
        <v>0.375</v>
      </c>
      <c r="AG193" t="str">
        <f>IFERROR(VLOOKUP(D193,A!$AA$41:$AC$73,3,FALSE),VLOOKUP("imz",A!$AA$41:$AC$73,3,FALSE))</f>
        <v>A!$AB$73</v>
      </c>
      <c r="AH193" t="str">
        <f>IFERROR(VLOOKUP(H193,A!$AA$41:$AC$73,3,FALSE),VLOOKUP("imz",A!$AA$41:$AC$73,3,FALSE))</f>
        <v>A!$AB$73</v>
      </c>
    </row>
    <row r="194" spans="2:34" ht="9" customHeight="1" x14ac:dyDescent="0.25">
      <c r="C194" s="40"/>
      <c r="D194" s="41"/>
      <c r="E194" s="41"/>
      <c r="F194" s="36"/>
      <c r="G194" s="36"/>
      <c r="H194" s="42"/>
      <c r="AA194" s="80"/>
    </row>
    <row r="195" spans="2:34" ht="9" customHeight="1" x14ac:dyDescent="0.25">
      <c r="B195" s="2"/>
      <c r="C195" s="2"/>
      <c r="D195" s="2"/>
      <c r="E195" s="2"/>
      <c r="F195" s="2"/>
      <c r="G195" s="2"/>
      <c r="H195" s="2"/>
    </row>
    <row r="196" spans="2:34" x14ac:dyDescent="0.25">
      <c r="B196" s="39" t="s">
        <v>74</v>
      </c>
      <c r="C196" s="40">
        <f>AA196+VLOOKUP(Menu!$B$4,Menu!$C$5:$E$24,2,0)*VLOOKUP(Menu!$B$4,Menu!$C$5:$E$24,3,0)</f>
        <v>0.58333333333333326</v>
      </c>
      <c r="D196" s="41" t="str">
        <f>Cuartos!D8</f>
        <v>Ganador O3</v>
      </c>
      <c r="E196" s="41"/>
      <c r="F196" s="36" t="s">
        <v>104</v>
      </c>
      <c r="G196" s="36"/>
      <c r="H196" s="42" t="str">
        <f>Cuartos!L8</f>
        <v>Ganador O4</v>
      </c>
      <c r="AA196" s="80">
        <v>0.54166666666666663</v>
      </c>
      <c r="AG196" t="str">
        <f>IFERROR(VLOOKUP(D196,A!$AA$41:$AC$73,3,FALSE),VLOOKUP("imz",A!$AA$41:$AC$73,3,FALSE))</f>
        <v>A!$AB$73</v>
      </c>
      <c r="AH196" t="str">
        <f>IFERROR(VLOOKUP(H196,A!$AA$41:$AC$73,3,FALSE),VLOOKUP("imz",A!$AA$41:$AC$73,3,FALSE))</f>
        <v>A!$AB$73</v>
      </c>
    </row>
    <row r="197" spans="2:34" ht="21" customHeight="1" x14ac:dyDescent="0.25"/>
    <row r="198" spans="2:34" ht="19.5" thickBot="1" x14ac:dyDescent="0.3">
      <c r="B198" s="5" t="s">
        <v>124</v>
      </c>
      <c r="C198" s="5"/>
      <c r="AA198" s="81"/>
    </row>
    <row r="199" spans="2:34" ht="13.5" customHeight="1" x14ac:dyDescent="0.25">
      <c r="B199" s="37"/>
      <c r="C199" s="37"/>
      <c r="D199" s="38"/>
      <c r="E199" s="38"/>
      <c r="F199" s="37"/>
      <c r="G199" s="37"/>
      <c r="H199" s="37"/>
    </row>
    <row r="200" spans="2:34" x14ac:dyDescent="0.25">
      <c r="B200" s="39" t="s">
        <v>73</v>
      </c>
      <c r="C200" s="40">
        <f>AA200+VLOOKUP(Menu!$B$4,Menu!$C$5:$E$24,2,0)*VLOOKUP(Menu!$B$4,Menu!$C$5:$E$24,3,0)</f>
        <v>0.41666666666666669</v>
      </c>
      <c r="D200" s="41" t="str">
        <f>Cuartos!P4</f>
        <v>Ganador O5</v>
      </c>
      <c r="E200" s="41"/>
      <c r="F200" s="36" t="s">
        <v>104</v>
      </c>
      <c r="G200" s="36"/>
      <c r="H200" s="42" t="str">
        <f>Cuartos!X4</f>
        <v>Ganador O6</v>
      </c>
      <c r="AA200" s="80">
        <v>0.375</v>
      </c>
      <c r="AG200" t="str">
        <f>IFERROR(VLOOKUP(D200,A!$AA$41:$AC$73,3,FALSE),VLOOKUP("imz",A!$AA$41:$AC$73,3,FALSE))</f>
        <v>A!$AB$73</v>
      </c>
      <c r="AH200" t="str">
        <f>IFERROR(VLOOKUP(H200,A!$AA$41:$AC$73,3,FALSE),VLOOKUP("imz",A!$AA$41:$AC$73,3,FALSE))</f>
        <v>A!$AB$73</v>
      </c>
    </row>
    <row r="201" spans="2:34" ht="9" customHeight="1" x14ac:dyDescent="0.25">
      <c r="C201" s="40"/>
      <c r="D201" s="41"/>
      <c r="E201" s="41"/>
      <c r="F201" s="36"/>
      <c r="G201" s="36"/>
      <c r="H201" s="42"/>
      <c r="AA201" s="80"/>
    </row>
    <row r="202" spans="2:34" ht="9" customHeight="1" x14ac:dyDescent="0.25">
      <c r="B202" s="2"/>
      <c r="C202" s="2"/>
      <c r="D202" s="2"/>
      <c r="E202" s="2"/>
      <c r="F202" s="2"/>
      <c r="G202" s="2"/>
      <c r="H202" s="2"/>
    </row>
    <row r="203" spans="2:34" x14ac:dyDescent="0.25">
      <c r="B203" s="39" t="s">
        <v>49</v>
      </c>
      <c r="C203" s="40">
        <f>AA203+VLOOKUP(Menu!$B$4,Menu!$C$5:$E$24,2,0)*VLOOKUP(Menu!$B$4,Menu!$C$5:$E$24,3,0)</f>
        <v>0.58333333333333326</v>
      </c>
      <c r="D203" s="41" t="str">
        <f>Cuartos!P8</f>
        <v>Ganador O7</v>
      </c>
      <c r="E203" s="41"/>
      <c r="F203" s="36" t="s">
        <v>104</v>
      </c>
      <c r="G203" s="36"/>
      <c r="H203" s="42" t="str">
        <f>Cuartos!X8</f>
        <v>Ganador O8</v>
      </c>
      <c r="AA203" s="80">
        <v>0.54166666666666663</v>
      </c>
      <c r="AG203" t="str">
        <f>IFERROR(VLOOKUP(D203,A!$AA$41:$AC$73,3,FALSE),VLOOKUP("imz",A!$AA$41:$AC$73,3,FALSE))</f>
        <v>A!$AB$73</v>
      </c>
      <c r="AH203" t="str">
        <f>IFERROR(VLOOKUP(H203,A!$AA$41:$AC$73,3,FALSE),VLOOKUP("imz",A!$AA$41:$AC$73,3,FALSE))</f>
        <v>A!$AB$73</v>
      </c>
    </row>
    <row r="204" spans="2:34" ht="21" customHeight="1" x14ac:dyDescent="0.25"/>
    <row r="205" spans="2:34" ht="19.5" thickBot="1" x14ac:dyDescent="0.3">
      <c r="B205" s="5" t="s">
        <v>125</v>
      </c>
      <c r="C205" s="5"/>
      <c r="AA205" s="81"/>
    </row>
    <row r="206" spans="2:34" ht="13.5" customHeight="1" x14ac:dyDescent="0.25">
      <c r="B206" s="37"/>
      <c r="C206" s="37"/>
      <c r="D206" s="38"/>
      <c r="E206" s="38"/>
      <c r="F206" s="37"/>
      <c r="G206" s="37"/>
      <c r="H206" s="37"/>
    </row>
    <row r="207" spans="2:34" x14ac:dyDescent="0.25">
      <c r="B207" s="39" t="s">
        <v>82</v>
      </c>
      <c r="C207" s="40">
        <f>AA207+VLOOKUP(Menu!$B$4,Menu!$C$5:$E$24,2,0)*VLOOKUP(Menu!$B$4,Menu!$C$5:$E$24,3,0)</f>
        <v>0.58333333333333326</v>
      </c>
      <c r="D207" s="41" t="str">
        <f>Semifinales!D4</f>
        <v>Ganador C1</v>
      </c>
      <c r="E207" s="41"/>
      <c r="F207" s="36" t="s">
        <v>104</v>
      </c>
      <c r="G207" s="36"/>
      <c r="H207" s="42" t="str">
        <f>Semifinales!L4</f>
        <v>Ganador C2</v>
      </c>
      <c r="AA207" s="80">
        <v>0.54166666666666663</v>
      </c>
      <c r="AG207" t="str">
        <f>IFERROR(VLOOKUP(D207,A!$AA$41:$AC$73,3,FALSE),VLOOKUP("imz",A!$AA$41:$AC$73,3,FALSE))</f>
        <v>A!$AB$73</v>
      </c>
      <c r="AH207" t="str">
        <f>IFERROR(VLOOKUP(H207,A!$AA$41:$AC$73,3,FALSE),VLOOKUP("imz",A!$AA$41:$AC$73,3,FALSE))</f>
        <v>A!$AB$73</v>
      </c>
    </row>
    <row r="208" spans="2:34" ht="21" customHeight="1" x14ac:dyDescent="0.25">
      <c r="C208" s="40"/>
      <c r="D208" s="41"/>
      <c r="E208" s="41"/>
      <c r="F208" s="36"/>
      <c r="G208" s="36"/>
      <c r="H208" s="42"/>
      <c r="AA208" s="80"/>
    </row>
    <row r="209" spans="2:34" ht="19.5" thickBot="1" x14ac:dyDescent="0.3">
      <c r="B209" s="5" t="s">
        <v>126</v>
      </c>
      <c r="C209" s="5"/>
      <c r="AA209" s="81"/>
    </row>
    <row r="210" spans="2:34" ht="13.5" customHeight="1" x14ac:dyDescent="0.25">
      <c r="B210" s="37"/>
      <c r="C210" s="37"/>
      <c r="D210" s="38"/>
      <c r="E210" s="38"/>
      <c r="F210" s="37"/>
      <c r="G210" s="37"/>
      <c r="H210" s="37"/>
    </row>
    <row r="211" spans="2:34" x14ac:dyDescent="0.25">
      <c r="B211" s="39" t="s">
        <v>0</v>
      </c>
      <c r="C211" s="40">
        <f>AA211+VLOOKUP(Menu!$B$4,Menu!$C$5:$E$24,2,0)*VLOOKUP(Menu!$B$4,Menu!$C$5:$E$24,3,0)</f>
        <v>0.58333333333333326</v>
      </c>
      <c r="D211" s="41" t="str">
        <f>Semifinales!D8</f>
        <v>Ganador C3</v>
      </c>
      <c r="E211" s="41"/>
      <c r="F211" s="36" t="s">
        <v>104</v>
      </c>
      <c r="G211" s="36"/>
      <c r="H211" s="42" t="str">
        <f>Semifinales!L8</f>
        <v>Ganador C4</v>
      </c>
      <c r="AA211" s="80">
        <v>0.54166666666666663</v>
      </c>
      <c r="AG211" t="str">
        <f>IFERROR(VLOOKUP(D211,A!$AA$41:$AC$73,3,FALSE),VLOOKUP("imz",A!$AA$41:$AC$73,3,FALSE))</f>
        <v>A!$AB$73</v>
      </c>
      <c r="AH211" t="str">
        <f>IFERROR(VLOOKUP(H211,A!$AA$41:$AC$73,3,FALSE),VLOOKUP("imz",A!$AA$41:$AC$73,3,FALSE))</f>
        <v>A!$AB$73</v>
      </c>
    </row>
    <row r="212" spans="2:34" ht="21" customHeight="1" x14ac:dyDescent="0.25"/>
    <row r="213" spans="2:34" ht="19.5" thickBot="1" x14ac:dyDescent="0.3">
      <c r="B213" s="5" t="s">
        <v>127</v>
      </c>
      <c r="C213" s="5"/>
      <c r="AA213" s="81"/>
    </row>
    <row r="214" spans="2:34" ht="13.5" customHeight="1" x14ac:dyDescent="0.25">
      <c r="B214" s="37"/>
      <c r="C214" s="37"/>
      <c r="D214" s="38"/>
      <c r="E214" s="38"/>
      <c r="F214" s="37"/>
      <c r="G214" s="37"/>
      <c r="H214" s="37"/>
    </row>
    <row r="215" spans="2:34" x14ac:dyDescent="0.25">
      <c r="B215" s="39" t="s">
        <v>82</v>
      </c>
      <c r="C215" s="40">
        <f>AA215+VLOOKUP(Menu!$B$4,Menu!$C$5:$E$24,2,0)*VLOOKUP(Menu!$B$4,Menu!$C$5:$E$24,3,0)</f>
        <v>0.41666666666666669</v>
      </c>
      <c r="D215" s="41" t="str">
        <f>Final!D6</f>
        <v>Perdedor S1</v>
      </c>
      <c r="E215" s="41"/>
      <c r="F215" s="36" t="s">
        <v>104</v>
      </c>
      <c r="G215" s="36"/>
      <c r="H215" s="42" t="str">
        <f>Final!L6</f>
        <v>Perderdor S2</v>
      </c>
      <c r="AA215" s="80">
        <v>0.375</v>
      </c>
      <c r="AB215" t="s">
        <v>149</v>
      </c>
      <c r="AC215" t="s">
        <v>149</v>
      </c>
      <c r="AG215" t="str">
        <f>IFERROR(VLOOKUP(D215,A!$AA$41:$AC$73,3,FALSE),VLOOKUP("imz",A!$AA$41:$AC$73,3,FALSE))</f>
        <v>A!$AB$73</v>
      </c>
      <c r="AH215" t="str">
        <f>IFERROR(VLOOKUP(H215,A!$AA$41:$AC$73,3,FALSE),VLOOKUP("imz",A!$AA$41:$AC$73,3,FALSE))</f>
        <v>A!$AB$73</v>
      </c>
    </row>
    <row r="216" spans="2:34" ht="21" customHeight="1" x14ac:dyDescent="0.25"/>
    <row r="217" spans="2:34" ht="19.5" thickBot="1" x14ac:dyDescent="0.3">
      <c r="B217" s="5" t="s">
        <v>128</v>
      </c>
      <c r="C217" s="5"/>
      <c r="AA217" s="81"/>
    </row>
    <row r="218" spans="2:34" ht="13.5" customHeight="1" x14ac:dyDescent="0.25">
      <c r="B218" s="37"/>
      <c r="C218" s="37"/>
      <c r="D218" s="38"/>
      <c r="E218" s="38"/>
      <c r="F218" s="37"/>
      <c r="G218" s="37"/>
      <c r="H218" s="37"/>
    </row>
    <row r="219" spans="2:34" x14ac:dyDescent="0.25">
      <c r="B219" s="39" t="s">
        <v>0</v>
      </c>
      <c r="C219" s="40">
        <f>AA219+VLOOKUP(Menu!$B$4,Menu!$C$5:$E$24,2,0)*VLOOKUP(Menu!$B$4,Menu!$C$5:$E$24,3,0)</f>
        <v>0.58333333333333326</v>
      </c>
      <c r="D219" s="41" t="str">
        <f>Final!D11</f>
        <v>Ganador S1</v>
      </c>
      <c r="E219" s="41"/>
      <c r="F219" s="36" t="s">
        <v>104</v>
      </c>
      <c r="G219" s="36"/>
      <c r="H219" s="42" t="str">
        <f>Final!L11</f>
        <v>Ganador S2</v>
      </c>
      <c r="AA219" s="80">
        <v>0.54166666666666663</v>
      </c>
      <c r="AG219" t="str">
        <f>IFERROR(VLOOKUP(D219,A!$AA$41:$AC$73,3,FALSE),VLOOKUP("imz",A!$AA$41:$AC$73,3,FALSE))</f>
        <v>A!$AB$73</v>
      </c>
      <c r="AH219" t="str">
        <f>IFERROR(VLOOKUP(H219,A!$AA$41:$AC$73,3,FALSE),VLOOKUP("imz",A!$AA$41:$AC$73,3,FALSE))</f>
        <v>A!$AB$73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4:E24"/>
  <sheetViews>
    <sheetView zoomScale="90" zoomScaleNormal="90" workbookViewId="0">
      <selection activeCell="A4" sqref="A4"/>
    </sheetView>
  </sheetViews>
  <sheetFormatPr baseColWidth="10" defaultRowHeight="15.75" x14ac:dyDescent="0.25"/>
  <cols>
    <col min="1" max="1" width="18" customWidth="1"/>
    <col min="2" max="2" width="17.5" customWidth="1"/>
    <col min="3" max="3" width="21.5" customWidth="1"/>
    <col min="4" max="4" width="12.375" bestFit="1" customWidth="1"/>
  </cols>
  <sheetData>
    <row r="4" spans="1:5" x14ac:dyDescent="0.25">
      <c r="A4" t="s">
        <v>101</v>
      </c>
      <c r="B4" t="str">
        <f>Eleccion</f>
        <v>Bolivia</v>
      </c>
      <c r="C4" s="87" t="s">
        <v>100</v>
      </c>
      <c r="D4" s="87"/>
      <c r="E4" s="87"/>
    </row>
    <row r="5" spans="1:5" x14ac:dyDescent="0.25">
      <c r="C5" s="29" t="s">
        <v>19</v>
      </c>
      <c r="D5" s="16">
        <v>8.3333333333333329E-2</v>
      </c>
      <c r="E5">
        <v>1</v>
      </c>
    </row>
    <row r="6" spans="1:5" x14ac:dyDescent="0.25">
      <c r="C6" s="29" t="s">
        <v>20</v>
      </c>
      <c r="D6" s="16">
        <v>4.1666666666666664E-2</v>
      </c>
      <c r="E6">
        <v>1</v>
      </c>
    </row>
    <row r="7" spans="1:5" x14ac:dyDescent="0.25">
      <c r="C7" s="29" t="s">
        <v>18</v>
      </c>
      <c r="D7" s="16">
        <v>0.125</v>
      </c>
      <c r="E7">
        <v>1</v>
      </c>
    </row>
    <row r="8" spans="1:5" x14ac:dyDescent="0.25">
      <c r="C8" s="29" t="s">
        <v>21</v>
      </c>
      <c r="D8" s="16">
        <v>4.1666666666666664E-2</v>
      </c>
      <c r="E8">
        <v>1</v>
      </c>
    </row>
    <row r="9" spans="1:5" x14ac:dyDescent="0.25">
      <c r="C9" s="29" t="s">
        <v>22</v>
      </c>
      <c r="D9" s="16">
        <v>0</v>
      </c>
      <c r="E9">
        <v>1</v>
      </c>
    </row>
    <row r="10" spans="1:5" x14ac:dyDescent="0.25">
      <c r="C10" s="29" t="s">
        <v>23</v>
      </c>
      <c r="D10" s="16">
        <v>4.1666666666666664E-2</v>
      </c>
      <c r="E10">
        <v>-1</v>
      </c>
    </row>
    <row r="11" spans="1:5" x14ac:dyDescent="0.25">
      <c r="C11" s="29" t="s">
        <v>24</v>
      </c>
      <c r="D11" s="16">
        <v>0</v>
      </c>
      <c r="E11">
        <v>1</v>
      </c>
    </row>
    <row r="12" spans="1:5" x14ac:dyDescent="0.25">
      <c r="C12" s="29" t="s">
        <v>25</v>
      </c>
      <c r="D12" s="16">
        <v>4.1666666666666664E-2</v>
      </c>
      <c r="E12">
        <v>-1</v>
      </c>
    </row>
    <row r="13" spans="1:5" x14ac:dyDescent="0.25">
      <c r="C13" s="29" t="s">
        <v>26</v>
      </c>
      <c r="D13" s="16">
        <v>0.29166666666666669</v>
      </c>
      <c r="E13">
        <v>1</v>
      </c>
    </row>
    <row r="14" spans="1:5" x14ac:dyDescent="0.25">
      <c r="C14" s="29" t="s">
        <v>27</v>
      </c>
      <c r="D14" s="16">
        <v>8.3333333333333329E-2</v>
      </c>
      <c r="E14">
        <v>-1</v>
      </c>
    </row>
    <row r="15" spans="1:5" x14ac:dyDescent="0.25">
      <c r="C15" s="29" t="s">
        <v>28</v>
      </c>
      <c r="D15" s="16">
        <v>4.1666666666666664E-2</v>
      </c>
      <c r="E15">
        <v>-1</v>
      </c>
    </row>
    <row r="16" spans="1:5" x14ac:dyDescent="0.25">
      <c r="C16" s="29" t="s">
        <v>29</v>
      </c>
      <c r="D16" s="16">
        <v>4.1666666666666664E-2</v>
      </c>
      <c r="E16">
        <v>-1</v>
      </c>
    </row>
    <row r="17" spans="3:5" x14ac:dyDescent="0.25">
      <c r="C17" s="29" t="s">
        <v>30</v>
      </c>
      <c r="D17" s="16">
        <v>0</v>
      </c>
      <c r="E17">
        <v>-1</v>
      </c>
    </row>
    <row r="18" spans="3:5" x14ac:dyDescent="0.25">
      <c r="C18" s="29" t="s">
        <v>31</v>
      </c>
      <c r="D18" s="16">
        <v>4.1666666666666664E-2</v>
      </c>
      <c r="E18">
        <v>-1</v>
      </c>
    </row>
    <row r="19" spans="3:5" x14ac:dyDescent="0.25">
      <c r="C19" s="29" t="s">
        <v>32</v>
      </c>
      <c r="D19" s="16">
        <v>0</v>
      </c>
      <c r="E19">
        <v>1</v>
      </c>
    </row>
    <row r="20" spans="3:5" x14ac:dyDescent="0.25">
      <c r="C20" s="29" t="s">
        <v>33</v>
      </c>
      <c r="D20" s="16">
        <v>8.3333333333333329E-2</v>
      </c>
      <c r="E20">
        <v>1</v>
      </c>
    </row>
    <row r="21" spans="3:5" x14ac:dyDescent="0.25">
      <c r="C21" s="29" t="s">
        <v>34</v>
      </c>
      <c r="D21" s="16">
        <v>0</v>
      </c>
      <c r="E21">
        <v>1</v>
      </c>
    </row>
    <row r="22" spans="3:5" x14ac:dyDescent="0.25">
      <c r="C22" s="29" t="s">
        <v>35</v>
      </c>
      <c r="D22" s="16">
        <v>4.1666666666666664E-2</v>
      </c>
      <c r="E22">
        <v>1</v>
      </c>
    </row>
    <row r="23" spans="3:5" x14ac:dyDescent="0.25">
      <c r="C23" s="29" t="s">
        <v>4</v>
      </c>
      <c r="D23" s="16">
        <v>8.3333333333333329E-2</v>
      </c>
      <c r="E23">
        <v>1</v>
      </c>
    </row>
    <row r="24" spans="3:5" x14ac:dyDescent="0.25">
      <c r="C24" s="29" t="s">
        <v>36</v>
      </c>
      <c r="D24" s="16">
        <v>4.1666666666666664E-2</v>
      </c>
      <c r="E24">
        <v>1</v>
      </c>
    </row>
  </sheetData>
  <mergeCells count="1"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Q73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0" width="5.125" customWidth="1"/>
    <col min="21" max="21" width="5.125" style="29" customWidth="1"/>
    <col min="22" max="23" width="11" customWidth="1"/>
    <col min="24" max="25" width="11" style="58" customWidth="1"/>
    <col min="26" max="26" width="11" style="58"/>
    <col min="27" max="27" width="12.5" style="58" customWidth="1"/>
    <col min="28" max="28" width="4.75" style="58" customWidth="1"/>
    <col min="29" max="32" width="11" style="58"/>
    <col min="34" max="34" width="12.5" bestFit="1" customWidth="1"/>
    <col min="36" max="36" width="4.375" customWidth="1"/>
    <col min="48" max="48" width="8" customWidth="1"/>
    <col min="49" max="49" width="5" style="27" customWidth="1"/>
    <col min="56" max="62" width="11" style="25"/>
    <col min="67" max="69" width="11" style="25"/>
  </cols>
  <sheetData>
    <row r="1" spans="2:49" ht="36" customHeight="1" x14ac:dyDescent="0.25">
      <c r="AW1" s="26"/>
    </row>
    <row r="2" spans="2:49" ht="24" customHeight="1" x14ac:dyDescent="0.35">
      <c r="B2" s="32" t="s">
        <v>13</v>
      </c>
      <c r="C2" s="6"/>
    </row>
    <row r="3" spans="2:49" ht="50.1" customHeight="1" x14ac:dyDescent="0.25"/>
    <row r="4" spans="2:49" ht="30.95" customHeight="1" x14ac:dyDescent="0.25">
      <c r="B4" s="5" t="s">
        <v>14</v>
      </c>
      <c r="C4" s="5"/>
      <c r="L4" s="5" t="s">
        <v>15</v>
      </c>
      <c r="M4" s="5"/>
      <c r="Y4" s="62" t="s">
        <v>41</v>
      </c>
    </row>
    <row r="5" spans="2:49" x14ac:dyDescent="0.25">
      <c r="B5" s="8" t="s">
        <v>16</v>
      </c>
      <c r="C5" s="33">
        <f>Y5+VLOOKUP(Menu!$B$4,Menu!$C$5:$E$24,2,0)*VLOOKUP(Menu!$B$4,Menu!$C$5:$E$24,3,0)</f>
        <v>0.45833333333333337</v>
      </c>
      <c r="D5" s="88" t="s">
        <v>1</v>
      </c>
      <c r="E5" s="93"/>
      <c r="F5" s="90">
        <v>5</v>
      </c>
      <c r="G5" s="92"/>
      <c r="H5" s="90">
        <v>0</v>
      </c>
      <c r="I5" s="94"/>
      <c r="J5" s="89" t="s">
        <v>2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98" t="s">
        <v>12</v>
      </c>
      <c r="Y5" s="63">
        <v>0.41666666666666669</v>
      </c>
    </row>
    <row r="6" spans="2:49" ht="9.9499999999999993" customHeight="1" x14ac:dyDescent="0.25">
      <c r="B6" s="4" t="s">
        <v>0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98"/>
      <c r="Y6" s="64"/>
    </row>
    <row r="7" spans="2:49" ht="5.0999999999999996" customHeight="1" x14ac:dyDescent="0.25">
      <c r="Y7" s="65"/>
    </row>
    <row r="8" spans="2:4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30"/>
      <c r="Y8" s="65"/>
    </row>
    <row r="9" spans="2:49" x14ac:dyDescent="0.25">
      <c r="B9" s="8" t="s">
        <v>37</v>
      </c>
      <c r="C9" s="33">
        <f>Y9+VLOOKUP(Menu!$B$4,Menu!$C$5:$E$24,2,0)*VLOOKUP(Menu!$B$4,Menu!$C$5:$E$24,3,0)</f>
        <v>0.33333333333333337</v>
      </c>
      <c r="D9" s="88" t="s">
        <v>3</v>
      </c>
      <c r="E9" s="93"/>
      <c r="F9" s="90">
        <v>0</v>
      </c>
      <c r="G9" s="92"/>
      <c r="H9" s="90">
        <v>1</v>
      </c>
      <c r="I9" s="94"/>
      <c r="J9" s="89" t="s">
        <v>4</v>
      </c>
      <c r="L9" s="88" t="str">
        <f>+VLOOKUP(1,$Z$31:$AH$35,2,0)</f>
        <v>Rusia</v>
      </c>
      <c r="M9" s="3"/>
      <c r="N9" s="97">
        <f>+O9+P9+Q9</f>
        <v>1</v>
      </c>
      <c r="O9" s="97">
        <f>VLOOKUP(1,$Z$31:$AH$35,3,0)</f>
        <v>1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5</v>
      </c>
      <c r="S9" s="97">
        <f>VLOOKUP(1,$Z$31:$AH$35,7,0)</f>
        <v>0</v>
      </c>
      <c r="T9" s="97">
        <f>+R9-S9</f>
        <v>5</v>
      </c>
      <c r="U9" s="99">
        <f>+O9*3+P9</f>
        <v>3</v>
      </c>
      <c r="Y9" s="63">
        <v>0.29166666666666669</v>
      </c>
    </row>
    <row r="10" spans="2:49" ht="9.9499999999999993" customHeight="1" x14ac:dyDescent="0.25">
      <c r="B10" s="4" t="s">
        <v>5</v>
      </c>
      <c r="C10" s="4"/>
      <c r="D10" s="88"/>
      <c r="E10" s="93"/>
      <c r="F10" s="91"/>
      <c r="G10" s="92"/>
      <c r="H10" s="91"/>
      <c r="I10" s="94"/>
      <c r="J10" s="89"/>
      <c r="L10" s="88"/>
      <c r="M10" s="3"/>
      <c r="N10" s="97"/>
      <c r="O10" s="97"/>
      <c r="P10" s="97"/>
      <c r="Q10" s="97"/>
      <c r="R10" s="97"/>
      <c r="S10" s="97"/>
      <c r="T10" s="97"/>
      <c r="U10" s="99"/>
      <c r="Y10" s="64"/>
    </row>
    <row r="11" spans="2:49" ht="5.0999999999999996" customHeight="1" x14ac:dyDescent="0.25">
      <c r="N11" s="1"/>
      <c r="O11" s="1"/>
      <c r="P11" s="1"/>
      <c r="Q11" s="1"/>
      <c r="R11" s="1"/>
      <c r="S11" s="1"/>
      <c r="T11" s="1"/>
      <c r="U11" s="28"/>
      <c r="Y11" s="65"/>
    </row>
    <row r="12" spans="2:4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31"/>
      <c r="Y12" s="65"/>
    </row>
    <row r="13" spans="2:49" x14ac:dyDescent="0.25">
      <c r="B13" s="8" t="s">
        <v>38</v>
      </c>
      <c r="C13" s="33">
        <f>Y13+VLOOKUP(Menu!$B$4,Menu!$C$5:$E$24,2,0)*VLOOKUP(Menu!$B$4,Menu!$C$5:$E$24,3,0)</f>
        <v>0.58333333333333326</v>
      </c>
      <c r="D13" s="88" t="s">
        <v>1</v>
      </c>
      <c r="E13" s="93"/>
      <c r="F13" s="90"/>
      <c r="G13" s="92"/>
      <c r="H13" s="90"/>
      <c r="I13" s="94"/>
      <c r="J13" s="89" t="s">
        <v>3</v>
      </c>
      <c r="L13" s="96" t="str">
        <f>+VLOOKUP(2,$Z$31:$AH$35,2,0)</f>
        <v>Uruguay</v>
      </c>
      <c r="M13" s="7"/>
      <c r="N13" s="97">
        <f>+O13+P13+Q13</f>
        <v>1</v>
      </c>
      <c r="O13" s="97">
        <f>VLOOKUP(2,$Z$31:$AH$35,3,0)</f>
        <v>1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1</v>
      </c>
      <c r="S13" s="97">
        <f>VLOOKUP(2,$Z$31:$AH$35,7,0)</f>
        <v>0</v>
      </c>
      <c r="T13" s="97">
        <f>+R13-S13</f>
        <v>1</v>
      </c>
      <c r="U13" s="99">
        <f>+O13*3+P13</f>
        <v>3</v>
      </c>
      <c r="Y13" s="63">
        <v>0.54166666666666663</v>
      </c>
    </row>
    <row r="14" spans="2:49" ht="9.9499999999999993" customHeight="1" x14ac:dyDescent="0.25">
      <c r="B14" s="4" t="s">
        <v>52</v>
      </c>
      <c r="C14" s="4"/>
      <c r="D14" s="88"/>
      <c r="E14" s="93"/>
      <c r="F14" s="91"/>
      <c r="G14" s="92"/>
      <c r="H14" s="91"/>
      <c r="I14" s="94"/>
      <c r="J14" s="89"/>
      <c r="L14" s="96"/>
      <c r="M14" s="7"/>
      <c r="N14" s="97"/>
      <c r="O14" s="97"/>
      <c r="P14" s="97"/>
      <c r="Q14" s="97"/>
      <c r="R14" s="97"/>
      <c r="S14" s="97"/>
      <c r="T14" s="97"/>
      <c r="U14" s="99"/>
      <c r="Y14" s="64"/>
    </row>
    <row r="15" spans="2:49" ht="5.0999999999999996" customHeight="1" x14ac:dyDescent="0.25">
      <c r="N15" s="1"/>
      <c r="O15" s="1"/>
      <c r="P15" s="1"/>
      <c r="Q15" s="1"/>
      <c r="R15" s="1"/>
      <c r="S15" s="1"/>
      <c r="T15" s="1"/>
      <c r="U15" s="28"/>
      <c r="Y15" s="65"/>
    </row>
    <row r="16" spans="2:4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31"/>
      <c r="Y16" s="65"/>
    </row>
    <row r="17" spans="2:35" x14ac:dyDescent="0.25">
      <c r="B17" s="8" t="s">
        <v>40</v>
      </c>
      <c r="C17" s="33">
        <f>Y17+VLOOKUP(Menu!$B$4,Menu!$C$5:$E$24,2,0)*VLOOKUP(Menu!$B$4,Menu!$C$5:$E$24,3,0)</f>
        <v>0.45833333333333337</v>
      </c>
      <c r="D17" s="88" t="s">
        <v>4</v>
      </c>
      <c r="E17" s="93"/>
      <c r="F17" s="90"/>
      <c r="G17" s="92"/>
      <c r="H17" s="90"/>
      <c r="I17" s="94"/>
      <c r="J17" s="89" t="s">
        <v>2</v>
      </c>
      <c r="L17" s="96" t="str">
        <f>+VLOOKUP(3,$Z$31:$AH$35,2,0)</f>
        <v>Egipto</v>
      </c>
      <c r="M17" s="7"/>
      <c r="N17" s="97">
        <f>+O17+P17+Q17</f>
        <v>1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1</v>
      </c>
      <c r="R17" s="97">
        <f>VLOOKUP(3,$Z$31:$AH$35,6,0)</f>
        <v>0</v>
      </c>
      <c r="S17" s="97">
        <f>VLOOKUP(3,$Z$31:$AH$35,7,0)</f>
        <v>1</v>
      </c>
      <c r="T17" s="97">
        <f>+R17-S17</f>
        <v>-1</v>
      </c>
      <c r="U17" s="99">
        <f>+O17*3+P17</f>
        <v>0</v>
      </c>
      <c r="Y17" s="63">
        <v>0.41666666666666669</v>
      </c>
    </row>
    <row r="18" spans="2:35" ht="9.9499999999999993" customHeight="1" x14ac:dyDescent="0.25">
      <c r="B18" s="4" t="s">
        <v>51</v>
      </c>
      <c r="C18" s="4"/>
      <c r="D18" s="88"/>
      <c r="E18" s="93"/>
      <c r="F18" s="91"/>
      <c r="G18" s="92"/>
      <c r="H18" s="91"/>
      <c r="I18" s="94"/>
      <c r="J18" s="89"/>
      <c r="L18" s="96"/>
      <c r="M18" s="7"/>
      <c r="N18" s="97"/>
      <c r="O18" s="97"/>
      <c r="P18" s="97"/>
      <c r="Q18" s="97"/>
      <c r="R18" s="97"/>
      <c r="S18" s="97"/>
      <c r="T18" s="97"/>
      <c r="U18" s="99"/>
      <c r="Y18" s="64"/>
    </row>
    <row r="19" spans="2:35" ht="5.0999999999999996" customHeight="1" x14ac:dyDescent="0.25">
      <c r="N19" s="1"/>
      <c r="O19" s="1"/>
      <c r="P19" s="1"/>
      <c r="Q19" s="1"/>
      <c r="R19" s="1"/>
      <c r="S19" s="1"/>
      <c r="T19" s="1"/>
      <c r="U19" s="2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31"/>
      <c r="Y20" s="65"/>
    </row>
    <row r="21" spans="2:35" x14ac:dyDescent="0.25">
      <c r="B21" s="8" t="s">
        <v>39</v>
      </c>
      <c r="C21" s="33">
        <f>Y21+VLOOKUP(Menu!$B$4,Menu!$C$5:$E$24,2,0)*VLOOKUP(Menu!$B$4,Menu!$C$5:$E$24,3,0)</f>
        <v>0.41666666666666669</v>
      </c>
      <c r="D21" s="88" t="s">
        <v>2</v>
      </c>
      <c r="E21" s="93"/>
      <c r="F21" s="90"/>
      <c r="G21" s="92"/>
      <c r="H21" s="90"/>
      <c r="I21" s="94"/>
      <c r="J21" s="89" t="s">
        <v>3</v>
      </c>
      <c r="L21" s="96" t="str">
        <f>+VLOOKUP(4,$Z$31:$AH$35,2,0)</f>
        <v>Arabia Saudí</v>
      </c>
      <c r="M21" s="7"/>
      <c r="N21" s="97">
        <f>+O21+P21+Q21</f>
        <v>1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1</v>
      </c>
      <c r="R21" s="97">
        <f>VLOOKUP(4,$Z$31:$AH$35,6,0)</f>
        <v>0</v>
      </c>
      <c r="S21" s="97">
        <f>VLOOKUP(4,$Z$31:$AH$35,7,0)</f>
        <v>5</v>
      </c>
      <c r="T21" s="97">
        <f>+R21-S21</f>
        <v>-5</v>
      </c>
      <c r="U21" s="99">
        <f>+O21*3+P21</f>
        <v>0</v>
      </c>
      <c r="Y21" s="63">
        <v>0.375</v>
      </c>
    </row>
    <row r="22" spans="2:35" ht="9.9499999999999993" customHeight="1" x14ac:dyDescent="0.25">
      <c r="B22" s="4" t="s">
        <v>50</v>
      </c>
      <c r="C22" s="4"/>
      <c r="D22" s="88"/>
      <c r="E22" s="93"/>
      <c r="F22" s="91"/>
      <c r="G22" s="92"/>
      <c r="H22" s="91"/>
      <c r="I22" s="94"/>
      <c r="J22" s="89"/>
      <c r="L22" s="96"/>
      <c r="M22" s="7"/>
      <c r="N22" s="97"/>
      <c r="O22" s="97"/>
      <c r="P22" s="97"/>
      <c r="Q22" s="97"/>
      <c r="R22" s="97"/>
      <c r="S22" s="97"/>
      <c r="T22" s="97"/>
      <c r="U22" s="99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39</v>
      </c>
      <c r="C25" s="33">
        <f>Y25+VLOOKUP(Menu!$B$4,Menu!$C$5:$E$24,2,0)*VLOOKUP(Menu!$B$4,Menu!$C$5:$E$24,3,0)</f>
        <v>0.41666666666666669</v>
      </c>
      <c r="D25" s="88" t="s">
        <v>4</v>
      </c>
      <c r="E25" s="93"/>
      <c r="F25" s="90"/>
      <c r="G25" s="92"/>
      <c r="H25" s="90"/>
      <c r="I25" s="94"/>
      <c r="J25" s="89" t="s">
        <v>1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0.375</v>
      </c>
    </row>
    <row r="26" spans="2:35" ht="9.9499999999999993" customHeight="1" x14ac:dyDescent="0.25">
      <c r="B26" s="4" t="s">
        <v>49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15"/>
    </row>
    <row r="31" spans="2:35" x14ac:dyDescent="0.25"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60" t="s">
        <v>47</v>
      </c>
      <c r="AH31" s="11" t="s">
        <v>48</v>
      </c>
    </row>
    <row r="32" spans="2:35" x14ac:dyDescent="0.25">
      <c r="Z32" s="58">
        <f>RANK(AH32,$AH$32:$AH$35)</f>
        <v>1</v>
      </c>
      <c r="AA32" s="58" t="s">
        <v>1</v>
      </c>
      <c r="AB32" s="65">
        <f>IF(AND(F5&gt;H5,F5&lt;&gt;"",H5&lt;&gt;""),1,0)+IF(AND(F13&gt;H13,F13&lt;&gt;"",H13&lt;&gt;""),1,0)+IF(AND(H25&gt;F25,F25&lt;&gt;"",H25&lt;&gt;""),1,0)</f>
        <v>1</v>
      </c>
      <c r="AC32" s="65">
        <f>IF(AND(F5=H5,F5&lt;&gt;"",H5&lt;&gt;""),1,0)+IF(AND(F13=H13,F13&lt;&gt;"",H13&lt;&gt;""),1,0)+IF(AND(H25=F25,F25&lt;&gt;"",H25&lt;&gt;""),1,0)</f>
        <v>0</v>
      </c>
      <c r="AD32" s="65">
        <f>IF(AND(F5&lt;H5,F5&lt;&gt;"",H5&lt;&gt;""),1,0)+IF(AND(F13&lt;H13,F13&lt;&gt;"",H13&lt;&gt;""),1,0)+IF(AND(H25&lt;F25,F25&lt;&gt;"",H25&lt;&gt;""),1,0)</f>
        <v>0</v>
      </c>
      <c r="AE32" s="65">
        <f>F5+F13+H25</f>
        <v>5</v>
      </c>
      <c r="AF32" s="65">
        <f>H5+H13+F25</f>
        <v>0</v>
      </c>
      <c r="AG32" s="61">
        <f>AB32*3+AC32</f>
        <v>3</v>
      </c>
      <c r="AH32" s="12">
        <f>+AG32*100000+AE32-AF32+AE32/10+4/100000000</f>
        <v>300005.50000003999</v>
      </c>
      <c r="AI32" t="str">
        <f>IFERROR(VLOOKUP(AA32,$AA$41:$AC$73,3,FALSE),VLOOKUP("imz",$AA$41:$AC$73,3,FALSE))</f>
        <v>A!$AB$66</v>
      </c>
    </row>
    <row r="33" spans="26:35" x14ac:dyDescent="0.25">
      <c r="Z33" s="58">
        <f>RANK(AH33,$AH$32:$AH$35)</f>
        <v>4</v>
      </c>
      <c r="AA33" s="58" t="s">
        <v>2</v>
      </c>
      <c r="AB33" s="65">
        <f>IF(AND(H5&gt;F5,F5&lt;&gt;"",H5&lt;&gt;""),1,0)+IF(AND(H17&gt;F17,F17&lt;&gt;"",H17&lt;&gt;""),1,0)+IF(AND(F21&gt;H21,F21&lt;&gt;"",H21&lt;&gt;""),1,0)</f>
        <v>0</v>
      </c>
      <c r="AC33" s="65">
        <f>IF(AND(H5=F5,F5&lt;&gt;"",H5&lt;&gt;""),1,0)+IF(AND(H17=F17,F17&lt;&gt;"",H17&lt;&gt;""),1,0)+IF(AND(F21=H21,F21&lt;&gt;"",H21&lt;&gt;""),1,0)</f>
        <v>0</v>
      </c>
      <c r="AD33" s="65">
        <f>IF(AND(H5&lt;F5,F5&lt;&gt;"",H5&lt;&gt;""),1,0)+IF(AND(H17&lt;F17,F17&lt;&gt;"",H17&lt;&gt;""),1,0)+IF(AND(F21&lt;H21,F21&lt;&gt;"",H21&lt;&gt;""),1,0)</f>
        <v>1</v>
      </c>
      <c r="AE33" s="65">
        <f>H5+H17+F21</f>
        <v>0</v>
      </c>
      <c r="AF33" s="65">
        <f>F5+F17+H21</f>
        <v>5</v>
      </c>
      <c r="AG33" s="61">
        <f>AB33*3+AC33</f>
        <v>0</v>
      </c>
      <c r="AH33" s="12">
        <f>+AG33*100000+AE33-AF33+AE33/10+3/100000000</f>
        <v>-4.9999999700000002</v>
      </c>
      <c r="AI33" t="str">
        <f>IFERROR(VLOOKUP(AA33,$AA$41:$AC$73,3,FALSE),VLOOKUP("imz",$AA$41:$AC$73,3,FALSE))</f>
        <v>A!$AB$42</v>
      </c>
    </row>
    <row r="34" spans="26:35" x14ac:dyDescent="0.25">
      <c r="Z34" s="58">
        <f>RANK(AH34,$AH$32:$AH$35)</f>
        <v>3</v>
      </c>
      <c r="AA34" s="58" t="s">
        <v>3</v>
      </c>
      <c r="AB34" s="65">
        <f>IF(AND(F9&gt;H9,F9&lt;&gt;"",H9&lt;&gt;""),1,0)+IF(AND(H13&gt;F13,F13&lt;&gt;"",H13&lt;&gt;""),1,0)+IF(AND(H21&gt;F21,F21&lt;&gt;"",H21&lt;&gt;""),1,0)</f>
        <v>0</v>
      </c>
      <c r="AC34" s="65">
        <f>IF(AND(F9=H9,F9&lt;&gt;"",H9&lt;&gt;""),1,0)+IF(AND(H13=F13,F13&lt;&gt;"",H13&lt;&gt;""),1,0)+IF(AND(H21=F21,F21&lt;&gt;"",H21&lt;&gt;""),1,0)</f>
        <v>0</v>
      </c>
      <c r="AD34" s="65">
        <f>IF(AND(F9&lt;H9,F9&lt;&gt;"",H9&lt;&gt;""),1,0)+IF(AND(H13&lt;F13,F13&lt;&gt;"",H13&lt;&gt;""),1,0)+IF(AND(H21&lt;F21,F21&lt;&gt;"",H21&lt;&gt;""),1,0)</f>
        <v>1</v>
      </c>
      <c r="AE34" s="65">
        <f>F9+H13+H21</f>
        <v>0</v>
      </c>
      <c r="AF34" s="65">
        <f>H9+F13+F21</f>
        <v>1</v>
      </c>
      <c r="AG34" s="61">
        <f>AB34*3+AC34</f>
        <v>0</v>
      </c>
      <c r="AH34" s="12">
        <f>+AG34*100000+AE34-AF34+AE34/10+2/100000000</f>
        <v>-0.99999998000000001</v>
      </c>
      <c r="AI34" t="str">
        <f>IFERROR(VLOOKUP(AA34,$AA$41:$AC$73,3,FALSE),VLOOKUP("imz",$AA$41:$AC$73,3,FALSE))</f>
        <v>A!$AB$52</v>
      </c>
    </row>
    <row r="35" spans="26:35" x14ac:dyDescent="0.25">
      <c r="Z35" s="58">
        <f>RANK(AH35,$AH$32:$AH$35)</f>
        <v>2</v>
      </c>
      <c r="AA35" s="58" t="s">
        <v>4</v>
      </c>
      <c r="AB35" s="65">
        <f>IF(AND(H9&gt;F9,F9&lt;&gt;"",H9&lt;&gt;""),1,0)+IF(AND(F17&gt;H17,F17&lt;&gt;"",H17&lt;&gt;""),1,0)+IF(AND(F25&gt;H25,F25&lt;&gt;"",H25&lt;&gt;""),1,0)</f>
        <v>1</v>
      </c>
      <c r="AC35" s="65">
        <f>IF(AND(H9=F9,F9&lt;&gt;"",H9&lt;&gt;""),1,0)+IF(AND(F17=H17,F17&lt;&gt;"",H17&lt;&gt;""),1,0)+IF(AND(F25=H25,F25&lt;&gt;"",H25&lt;&gt;""),1,0)</f>
        <v>0</v>
      </c>
      <c r="AD35" s="65">
        <f>IF(AND(H9&lt;F9,F9&lt;&gt;"",H9&lt;&gt;""),1,0)+IF(AND(F17&lt;H17,F17&lt;&gt;"",H17&lt;&gt;""),1,0)+IF(AND(F25&lt;H25,F25&lt;&gt;"",H25&lt;&gt;""),1,0)</f>
        <v>0</v>
      </c>
      <c r="AE35" s="65">
        <f>H9+F17+F25</f>
        <v>1</v>
      </c>
      <c r="AF35" s="65">
        <f>F9+H17+H25</f>
        <v>0</v>
      </c>
      <c r="AG35" s="61">
        <f>AB35*3+AC35</f>
        <v>3</v>
      </c>
      <c r="AH35" s="12">
        <f>+AG35*100000+AE35-AF35+AE35/10+1/100000000</f>
        <v>300001.10000000999</v>
      </c>
      <c r="AI35" t="str">
        <f>IFERROR(VLOOKUP(AA35,$AA$41:$AC$73,3,FALSE),VLOOKUP("imz",$AA$41:$AC$73,3,FALSE))</f>
        <v>A!$AB$72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  <row r="41" spans="26:35" ht="18.75" customHeight="1" x14ac:dyDescent="0.25">
      <c r="AA41" s="59" t="s">
        <v>64</v>
      </c>
      <c r="AC41" s="58" t="str">
        <f>"A!$AB$" &amp; ROW()</f>
        <v>A!$AB$41</v>
      </c>
    </row>
    <row r="42" spans="26:35" ht="18.75" customHeight="1" x14ac:dyDescent="0.25">
      <c r="AA42" s="59" t="s">
        <v>2</v>
      </c>
      <c r="AC42" s="58" t="str">
        <f>"A!$AB$" &amp; ROW()</f>
        <v>A!$AB$42</v>
      </c>
    </row>
    <row r="43" spans="26:35" ht="18.75" customHeight="1" x14ac:dyDescent="0.25">
      <c r="AA43" s="59" t="s">
        <v>19</v>
      </c>
      <c r="AC43" s="58" t="str">
        <f t="shared" ref="AC43:AC51" si="0">"A!$AB$" &amp; ROW()</f>
        <v>A!$AB$43</v>
      </c>
    </row>
    <row r="44" spans="26:35" ht="18.75" customHeight="1" x14ac:dyDescent="0.25">
      <c r="AA44" s="59" t="s">
        <v>58</v>
      </c>
      <c r="AC44" s="58" t="str">
        <f t="shared" si="0"/>
        <v>A!$AB$44</v>
      </c>
    </row>
    <row r="45" spans="26:35" ht="18.75" customHeight="1" x14ac:dyDescent="0.25">
      <c r="AA45" s="59" t="s">
        <v>67</v>
      </c>
      <c r="AC45" s="58" t="str">
        <f t="shared" si="0"/>
        <v>A!$AB$45</v>
      </c>
    </row>
    <row r="46" spans="26:35" ht="18.75" customHeight="1" x14ac:dyDescent="0.25">
      <c r="AA46" s="59" t="s">
        <v>18</v>
      </c>
      <c r="AC46" s="58" t="str">
        <f t="shared" si="0"/>
        <v>A!$AB$46</v>
      </c>
    </row>
    <row r="47" spans="26:35" ht="18.75" customHeight="1" x14ac:dyDescent="0.25">
      <c r="AA47" s="59" t="s">
        <v>22</v>
      </c>
      <c r="AC47" s="58" t="str">
        <f t="shared" si="0"/>
        <v>A!$AB$47</v>
      </c>
    </row>
    <row r="48" spans="26:35" ht="18.75" customHeight="1" x14ac:dyDescent="0.25">
      <c r="AA48" s="59" t="s">
        <v>66</v>
      </c>
      <c r="AC48" s="58" t="str">
        <f t="shared" si="0"/>
        <v>A!$AB$48</v>
      </c>
    </row>
    <row r="49" spans="27:29" ht="18.75" customHeight="1" x14ac:dyDescent="0.25">
      <c r="AA49" s="59" t="s">
        <v>23</v>
      </c>
      <c r="AC49" s="58" t="str">
        <f t="shared" si="0"/>
        <v>A!$AB$49</v>
      </c>
    </row>
    <row r="50" spans="27:29" ht="18.75" customHeight="1" x14ac:dyDescent="0.25">
      <c r="AA50" s="59" t="s">
        <v>59</v>
      </c>
      <c r="AC50" s="58" t="str">
        <f t="shared" si="0"/>
        <v>A!$AB$50</v>
      </c>
    </row>
    <row r="51" spans="27:29" ht="18.75" customHeight="1" x14ac:dyDescent="0.25">
      <c r="AA51" s="59" t="s">
        <v>57</v>
      </c>
      <c r="AC51" s="58" t="str">
        <f t="shared" si="0"/>
        <v>A!$AB$51</v>
      </c>
    </row>
    <row r="52" spans="27:29" ht="18.75" customHeight="1" x14ac:dyDescent="0.25">
      <c r="AA52" s="59" t="s">
        <v>3</v>
      </c>
      <c r="AC52" s="58" t="str">
        <f>"A!$AB$" &amp; ROW()</f>
        <v>A!$AB$52</v>
      </c>
    </row>
    <row r="53" spans="27:29" ht="18.75" customHeight="1" x14ac:dyDescent="0.25">
      <c r="AA53" s="59" t="s">
        <v>26</v>
      </c>
      <c r="AC53" s="58" t="str">
        <f>"A!$AB$" &amp; ROW()</f>
        <v>A!$AB$53</v>
      </c>
    </row>
    <row r="54" spans="27:29" ht="18.75" customHeight="1" x14ac:dyDescent="0.25">
      <c r="AA54" s="59" t="s">
        <v>56</v>
      </c>
      <c r="AC54" s="58" t="str">
        <f t="shared" ref="AC54:AC65" si="1">"A!$AB$" &amp; ROW()</f>
        <v>A!$AB$54</v>
      </c>
    </row>
    <row r="55" spans="27:29" ht="18.75" customHeight="1" x14ac:dyDescent="0.25">
      <c r="AA55" s="59" t="s">
        <v>69</v>
      </c>
      <c r="AC55" s="58" t="str">
        <f t="shared" si="1"/>
        <v>A!$AB$55</v>
      </c>
    </row>
    <row r="56" spans="27:29" ht="18.75" customHeight="1" x14ac:dyDescent="0.25">
      <c r="AA56" s="59" t="s">
        <v>55</v>
      </c>
      <c r="AC56" s="58" t="str">
        <f t="shared" si="1"/>
        <v>A!$AB$56</v>
      </c>
    </row>
    <row r="57" spans="27:29" ht="18.75" customHeight="1" x14ac:dyDescent="0.25">
      <c r="AA57" s="59" t="s">
        <v>61</v>
      </c>
      <c r="AC57" s="58" t="str">
        <f t="shared" si="1"/>
        <v>A!$AB$57</v>
      </c>
    </row>
    <row r="58" spans="27:29" ht="18.75" customHeight="1" x14ac:dyDescent="0.25">
      <c r="AA58" s="59" t="s">
        <v>71</v>
      </c>
      <c r="AC58" s="58" t="str">
        <f t="shared" si="1"/>
        <v>A!$AB$58</v>
      </c>
    </row>
    <row r="59" spans="27:29" ht="18.75" customHeight="1" x14ac:dyDescent="0.25">
      <c r="AA59" s="59" t="s">
        <v>53</v>
      </c>
      <c r="AC59" s="58" t="str">
        <f t="shared" si="1"/>
        <v>A!$AB$59</v>
      </c>
    </row>
    <row r="60" spans="27:29" ht="18.75" customHeight="1" x14ac:dyDescent="0.25">
      <c r="AA60" s="59" t="s">
        <v>30</v>
      </c>
      <c r="AC60" s="58" t="str">
        <f t="shared" si="1"/>
        <v>A!$AB$60</v>
      </c>
    </row>
    <row r="61" spans="27:29" ht="18.75" customHeight="1" x14ac:dyDescent="0.25">
      <c r="AA61" s="59" t="s">
        <v>60</v>
      </c>
      <c r="AC61" s="58" t="str">
        <f t="shared" si="1"/>
        <v>A!$AB$61</v>
      </c>
    </row>
    <row r="62" spans="27:29" ht="18.75" customHeight="1" x14ac:dyDescent="0.25">
      <c r="AA62" s="59" t="s">
        <v>32</v>
      </c>
      <c r="AC62" s="58" t="str">
        <f t="shared" si="1"/>
        <v>A!$AB$62</v>
      </c>
    </row>
    <row r="63" spans="27:29" ht="18.75" customHeight="1" x14ac:dyDescent="0.25">
      <c r="AA63" s="59" t="s">
        <v>34</v>
      </c>
      <c r="AC63" s="58" t="str">
        <f t="shared" si="1"/>
        <v>A!$AB$63</v>
      </c>
    </row>
    <row r="64" spans="27:29" ht="18.75" customHeight="1" x14ac:dyDescent="0.25">
      <c r="AA64" s="59" t="s">
        <v>70</v>
      </c>
      <c r="AC64" s="58" t="str">
        <f t="shared" si="1"/>
        <v>A!$AB$64</v>
      </c>
    </row>
    <row r="65" spans="27:29" ht="18.75" customHeight="1" x14ac:dyDescent="0.25">
      <c r="AA65" s="59" t="s">
        <v>54</v>
      </c>
      <c r="AC65" s="58" t="str">
        <f t="shared" si="1"/>
        <v>A!$AB$65</v>
      </c>
    </row>
    <row r="66" spans="27:29" ht="18.75" customHeight="1" x14ac:dyDescent="0.25">
      <c r="AA66" s="59" t="s">
        <v>1</v>
      </c>
      <c r="AC66" s="58" t="str">
        <f t="shared" ref="AC66:AC73" si="2">"A!$AB$" &amp; ROW()</f>
        <v>A!$AB$66</v>
      </c>
    </row>
    <row r="67" spans="27:29" ht="18.75" customHeight="1" x14ac:dyDescent="0.25">
      <c r="AA67" s="59" t="s">
        <v>72</v>
      </c>
      <c r="AC67" s="58" t="str">
        <f t="shared" si="2"/>
        <v>A!$AB$67</v>
      </c>
    </row>
    <row r="68" spans="27:29" ht="18.75" customHeight="1" x14ac:dyDescent="0.25">
      <c r="AA68" s="59" t="s">
        <v>62</v>
      </c>
      <c r="AC68" s="58" t="str">
        <f t="shared" si="2"/>
        <v>A!$AB$68</v>
      </c>
    </row>
    <row r="69" spans="27:29" ht="18.75" customHeight="1" x14ac:dyDescent="0.25">
      <c r="AA69" s="59" t="s">
        <v>65</v>
      </c>
      <c r="AC69" s="58" t="str">
        <f t="shared" si="2"/>
        <v>A!$AB$69</v>
      </c>
    </row>
    <row r="70" spans="27:29" ht="18.75" customHeight="1" x14ac:dyDescent="0.25">
      <c r="AA70" s="59" t="s">
        <v>63</v>
      </c>
      <c r="AC70" s="58" t="str">
        <f t="shared" si="2"/>
        <v>A!$AB$70</v>
      </c>
    </row>
    <row r="71" spans="27:29" ht="18.75" customHeight="1" x14ac:dyDescent="0.25">
      <c r="AA71" s="59" t="s">
        <v>68</v>
      </c>
      <c r="AC71" s="58" t="str">
        <f t="shared" si="2"/>
        <v>A!$AB$71</v>
      </c>
    </row>
    <row r="72" spans="27:29" ht="18.75" customHeight="1" x14ac:dyDescent="0.25">
      <c r="AA72" s="59" t="s">
        <v>4</v>
      </c>
      <c r="AC72" s="58" t="str">
        <f t="shared" si="2"/>
        <v>A!$AB$72</v>
      </c>
    </row>
    <row r="73" spans="27:29" ht="18.75" customHeight="1" x14ac:dyDescent="0.25">
      <c r="AA73" s="58" t="s">
        <v>99</v>
      </c>
      <c r="AC73" s="58" t="str">
        <f t="shared" si="2"/>
        <v>A!$AB$73</v>
      </c>
    </row>
  </sheetData>
  <mergeCells count="89">
    <mergeCell ref="K25:X25"/>
    <mergeCell ref="M27:O27"/>
    <mergeCell ref="M28:O28"/>
    <mergeCell ref="O5:O6"/>
    <mergeCell ref="O13:O14"/>
    <mergeCell ref="O17:O18"/>
    <mergeCell ref="P5:P6"/>
    <mergeCell ref="Q5:Q6"/>
    <mergeCell ref="Q9:Q10"/>
    <mergeCell ref="Q13:Q14"/>
    <mergeCell ref="Q17:Q18"/>
    <mergeCell ref="R5:R6"/>
    <mergeCell ref="T9:T10"/>
    <mergeCell ref="T13:T14"/>
    <mergeCell ref="T17:T18"/>
    <mergeCell ref="T21:T22"/>
    <mergeCell ref="U9:U10"/>
    <mergeCell ref="U13:U14"/>
    <mergeCell ref="U17:U18"/>
    <mergeCell ref="U21:U22"/>
    <mergeCell ref="R9:R10"/>
    <mergeCell ref="R13:R14"/>
    <mergeCell ref="R17:R18"/>
    <mergeCell ref="R21:R22"/>
    <mergeCell ref="S9:S10"/>
    <mergeCell ref="S13:S14"/>
    <mergeCell ref="S17:S18"/>
    <mergeCell ref="S21:S22"/>
    <mergeCell ref="Q21:Q22"/>
    <mergeCell ref="S5:S6"/>
    <mergeCell ref="T5:T6"/>
    <mergeCell ref="U5:U6"/>
    <mergeCell ref="L9:L10"/>
    <mergeCell ref="L13:L14"/>
    <mergeCell ref="L17:L18"/>
    <mergeCell ref="N9:N10"/>
    <mergeCell ref="N13:N14"/>
    <mergeCell ref="N17:N18"/>
    <mergeCell ref="O9:O10"/>
    <mergeCell ref="O21:O22"/>
    <mergeCell ref="P9:P10"/>
    <mergeCell ref="P13:P14"/>
    <mergeCell ref="P17:P18"/>
    <mergeCell ref="P21:P22"/>
    <mergeCell ref="J25:J26"/>
    <mergeCell ref="N5:N6"/>
    <mergeCell ref="L21:L22"/>
    <mergeCell ref="N21:N22"/>
    <mergeCell ref="D25:D26"/>
    <mergeCell ref="E25:E26"/>
    <mergeCell ref="F25:F26"/>
    <mergeCell ref="G25:G26"/>
    <mergeCell ref="H25:H26"/>
    <mergeCell ref="I25:I26"/>
    <mergeCell ref="E21:E22"/>
    <mergeCell ref="F21:F22"/>
    <mergeCell ref="G21:G22"/>
    <mergeCell ref="H21:H22"/>
    <mergeCell ref="I21:I22"/>
    <mergeCell ref="J21:J22"/>
    <mergeCell ref="I9:I10"/>
    <mergeCell ref="J17:J18"/>
    <mergeCell ref="E13:E14"/>
    <mergeCell ref="F13:F14"/>
    <mergeCell ref="G13:G14"/>
    <mergeCell ref="H13:H14"/>
    <mergeCell ref="I13:I14"/>
    <mergeCell ref="J13:J14"/>
    <mergeCell ref="E17:E18"/>
    <mergeCell ref="F17:F18"/>
    <mergeCell ref="G17:G18"/>
    <mergeCell ref="H17:H18"/>
    <mergeCell ref="I17:I18"/>
    <mergeCell ref="D13:D14"/>
    <mergeCell ref="D17:D18"/>
    <mergeCell ref="D21:D22"/>
    <mergeCell ref="J9:J10"/>
    <mergeCell ref="D5:D6"/>
    <mergeCell ref="F5:F6"/>
    <mergeCell ref="G5:G6"/>
    <mergeCell ref="H5:H6"/>
    <mergeCell ref="E5:E6"/>
    <mergeCell ref="I5:I6"/>
    <mergeCell ref="J5:J6"/>
    <mergeCell ref="D9:D10"/>
    <mergeCell ref="E9:E10"/>
    <mergeCell ref="F9:F10"/>
    <mergeCell ref="G9:G10"/>
    <mergeCell ref="H9:H10"/>
  </mergeCells>
  <conditionalFormatting sqref="M27:O27">
    <cfRule type="expression" dxfId="15" priority="6">
      <formula>L27&lt;&gt;""</formula>
    </cfRule>
  </conditionalFormatting>
  <conditionalFormatting sqref="M28:O28">
    <cfRule type="expression" dxfId="14" priority="1">
      <formula>L28&lt;&gt;""</formula>
    </cfRule>
  </conditionalFormatting>
  <pageMargins left="0.7" right="0.7" top="0.75" bottom="0.75" header="0.3" footer="0.3"/>
  <pageSetup orientation="portrait" r:id="rId1"/>
  <ignoredErrors>
    <ignoredError sqref="B13" twoDigitTextYear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1:BQ39"/>
  <sheetViews>
    <sheetView showGridLines="0" tabSelected="1" zoomScaleNormal="100" workbookViewId="0">
      <selection activeCell="K10" sqref="K10"/>
    </sheetView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5" width="11" style="58" customWidth="1"/>
    <col min="26" max="26" width="11" style="58"/>
    <col min="27" max="27" width="12" style="58" bestFit="1" customWidth="1"/>
    <col min="28" max="28" width="8.75" style="58" customWidth="1"/>
    <col min="29" max="33" width="11" style="58"/>
    <col min="34" max="34" width="12.5" style="58" bestFit="1" customWidth="1"/>
    <col min="35" max="50" width="11" style="58"/>
  </cols>
  <sheetData>
    <row r="1" spans="2:69" ht="36" customHeight="1" x14ac:dyDescent="0.25">
      <c r="U1" s="29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37</v>
      </c>
      <c r="C5" s="9">
        <f>Y5+VLOOKUP(Menu!$B$4,Menu!$C$5:$E$24,2,0)*VLOOKUP(Menu!$B$4,Menu!$C$5:$E$24,3,0)</f>
        <v>0.45833333333333337</v>
      </c>
      <c r="D5" s="88" t="s">
        <v>53</v>
      </c>
      <c r="E5" s="93"/>
      <c r="F5" s="90">
        <v>0</v>
      </c>
      <c r="G5" s="92"/>
      <c r="H5" s="90">
        <v>1</v>
      </c>
      <c r="I5" s="94"/>
      <c r="J5" s="89" t="s">
        <v>55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0.41666666666666669</v>
      </c>
    </row>
    <row r="6" spans="2:69" ht="9.9499999999999993" customHeight="1" x14ac:dyDescent="0.25">
      <c r="B6" s="4" t="s">
        <v>52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37</v>
      </c>
      <c r="C9" s="9">
        <f>Y9+VLOOKUP(Menu!$B$4,Menu!$C$5:$E$24,2,0)*VLOOKUP(Menu!$B$4,Menu!$C$5:$E$24,3,0)</f>
        <v>0.58333333333333326</v>
      </c>
      <c r="D9" s="88" t="s">
        <v>54</v>
      </c>
      <c r="E9" s="93"/>
      <c r="F9" s="90">
        <v>3</v>
      </c>
      <c r="G9" s="92"/>
      <c r="H9" s="90">
        <v>3</v>
      </c>
      <c r="I9" s="94"/>
      <c r="J9" s="89" t="s">
        <v>26</v>
      </c>
      <c r="L9" s="88" t="str">
        <f>+VLOOKUP(1,$Z$31:$AH$35,2,0)</f>
        <v>Irán</v>
      </c>
      <c r="M9" s="19"/>
      <c r="N9" s="97">
        <f>+O9+P9+Q9</f>
        <v>1</v>
      </c>
      <c r="O9" s="97">
        <f>VLOOKUP(1,$Z$31:$AH$35,3,0)</f>
        <v>1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1</v>
      </c>
      <c r="S9" s="97">
        <f>VLOOKUP(1,$Z$31:$AH$35,7,0)</f>
        <v>0</v>
      </c>
      <c r="T9" s="97">
        <f>+R9-S9</f>
        <v>1</v>
      </c>
      <c r="U9" s="103">
        <f>+O9*3+P9</f>
        <v>3</v>
      </c>
      <c r="Y9" s="63">
        <v>0.54166666666666663</v>
      </c>
    </row>
    <row r="10" spans="2:69" ht="9.9499999999999993" customHeight="1" x14ac:dyDescent="0.25">
      <c r="B10" s="4" t="s">
        <v>73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40</v>
      </c>
      <c r="C13" s="9">
        <f>Y13+VLOOKUP(Menu!$B$4,Menu!$C$5:$E$24,2,0)*VLOOKUP(Menu!$B$4,Menu!$C$5:$E$24,3,0)</f>
        <v>0.33333333333333337</v>
      </c>
      <c r="D13" s="88" t="s">
        <v>54</v>
      </c>
      <c r="E13" s="93"/>
      <c r="F13" s="90"/>
      <c r="G13" s="92"/>
      <c r="H13" s="90"/>
      <c r="I13" s="94"/>
      <c r="J13" s="89" t="s">
        <v>53</v>
      </c>
      <c r="L13" s="96" t="str">
        <f>+VLOOKUP(2,$Z$31:$AH$35,2,0)</f>
        <v>España</v>
      </c>
      <c r="M13" s="20"/>
      <c r="N13" s="97">
        <f>+O13+P13+Q13</f>
        <v>1</v>
      </c>
      <c r="O13" s="97">
        <f>VLOOKUP(2,$Z$31:$AH$35,3,0)</f>
        <v>0</v>
      </c>
      <c r="P13" s="97">
        <f>VLOOKUP(2,$Z$31:$AH$35,4,0)</f>
        <v>1</v>
      </c>
      <c r="Q13" s="97">
        <f>VLOOKUP(2,$Z$31:$AH$35,5,0)</f>
        <v>0</v>
      </c>
      <c r="R13" s="97">
        <f>VLOOKUP(2,$Z$31:$AH$35,6,0)</f>
        <v>3</v>
      </c>
      <c r="S13" s="97">
        <f>VLOOKUP(2,$Z$31:$AH$35,7,0)</f>
        <v>3</v>
      </c>
      <c r="T13" s="97">
        <f>+R13-S13</f>
        <v>0</v>
      </c>
      <c r="U13" s="103">
        <f>+O13*3+P13</f>
        <v>1</v>
      </c>
      <c r="Y13" s="63">
        <v>0.29166666666666669</v>
      </c>
    </row>
    <row r="14" spans="2:69" ht="9.9499999999999993" customHeight="1" x14ac:dyDescent="0.25">
      <c r="B14" s="4" t="s">
        <v>0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40</v>
      </c>
      <c r="C17" s="9">
        <f>Y17+VLOOKUP(Menu!$B$4,Menu!$C$5:$E$24,2,0)*VLOOKUP(Menu!$B$4,Menu!$C$5:$E$24,3,0)</f>
        <v>0.58333333333333326</v>
      </c>
      <c r="D17" s="88" t="s">
        <v>26</v>
      </c>
      <c r="E17" s="93"/>
      <c r="F17" s="90"/>
      <c r="G17" s="92"/>
      <c r="H17" s="90"/>
      <c r="I17" s="94"/>
      <c r="J17" s="89" t="s">
        <v>55</v>
      </c>
      <c r="L17" s="96" t="str">
        <f>+VLOOKUP(3,$Z$31:$AH$35,2,0)</f>
        <v>Portugal</v>
      </c>
      <c r="M17" s="20"/>
      <c r="N17" s="97">
        <f>+O17+P17+Q17</f>
        <v>1</v>
      </c>
      <c r="O17" s="97">
        <f>VLOOKUP(3,$Z$31:$AH$35,3,0)</f>
        <v>0</v>
      </c>
      <c r="P17" s="97">
        <f>VLOOKUP(3,$Z$31:$AH$35,4,0)</f>
        <v>1</v>
      </c>
      <c r="Q17" s="97">
        <f>VLOOKUP(3,$Z$31:$AH$35,5,0)</f>
        <v>0</v>
      </c>
      <c r="R17" s="97">
        <f>VLOOKUP(3,$Z$31:$AH$35,6,0)</f>
        <v>3</v>
      </c>
      <c r="S17" s="97">
        <f>VLOOKUP(3,$Z$31:$AH$35,7,0)</f>
        <v>3</v>
      </c>
      <c r="T17" s="97">
        <f>+R17-S17</f>
        <v>0</v>
      </c>
      <c r="U17" s="103">
        <f>+O17*3+P17</f>
        <v>1</v>
      </c>
      <c r="Y17" s="63">
        <v>0.54166666666666663</v>
      </c>
    </row>
    <row r="18" spans="2:35" ht="9.9499999999999993" customHeight="1" x14ac:dyDescent="0.25">
      <c r="B18" s="4" t="s">
        <v>74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39</v>
      </c>
      <c r="C21" s="9">
        <f>Y21+VLOOKUP(Menu!$B$4,Menu!$C$5:$E$24,2,0)*VLOOKUP(Menu!$B$4,Menu!$C$5:$E$24,3,0)</f>
        <v>0.58333333333333326</v>
      </c>
      <c r="D21" s="88" t="s">
        <v>55</v>
      </c>
      <c r="E21" s="93"/>
      <c r="F21" s="90"/>
      <c r="G21" s="92"/>
      <c r="H21" s="90"/>
      <c r="I21" s="94"/>
      <c r="J21" s="89" t="s">
        <v>54</v>
      </c>
      <c r="L21" s="96" t="str">
        <f>+VLOOKUP(4,$Z$31:$AH$35,2,0)</f>
        <v>Marruecos</v>
      </c>
      <c r="M21" s="20"/>
      <c r="N21" s="97">
        <f>+O21+P21+Q21</f>
        <v>1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1</v>
      </c>
      <c r="R21" s="97">
        <f>VLOOKUP(4,$Z$31:$AH$35,6,0)</f>
        <v>0</v>
      </c>
      <c r="S21" s="97">
        <f>VLOOKUP(4,$Z$31:$AH$35,7,0)</f>
        <v>1</v>
      </c>
      <c r="T21" s="97">
        <f>+R21-S21</f>
        <v>-1</v>
      </c>
      <c r="U21" s="103">
        <f>+O21*3+P21</f>
        <v>0</v>
      </c>
      <c r="Y21" s="63">
        <v>0.54166666666666663</v>
      </c>
    </row>
    <row r="22" spans="2:35" ht="9.9499999999999993" customHeight="1" x14ac:dyDescent="0.25">
      <c r="B22" s="4" t="s">
        <v>75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39</v>
      </c>
      <c r="C25" s="9">
        <f>Y25+VLOOKUP(Menu!$B$4,Menu!$C$5:$E$24,2,0)*VLOOKUP(Menu!$B$4,Menu!$C$5:$E$24,3,0)</f>
        <v>0.58333333333333326</v>
      </c>
      <c r="D25" s="88" t="s">
        <v>26</v>
      </c>
      <c r="E25" s="93"/>
      <c r="F25" s="90"/>
      <c r="G25" s="92"/>
      <c r="H25" s="90"/>
      <c r="I25" s="94"/>
      <c r="J25" s="89" t="s">
        <v>53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0.54166666666666663</v>
      </c>
    </row>
    <row r="26" spans="2:35" ht="9.9499999999999993" customHeight="1" x14ac:dyDescent="0.25">
      <c r="B26" s="4" t="s">
        <v>76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D30" s="88"/>
      <c r="J30" s="89"/>
    </row>
    <row r="31" spans="2:35" x14ac:dyDescent="0.25">
      <c r="B31" s="8"/>
      <c r="C31" s="9"/>
      <c r="D31" s="88"/>
      <c r="J31" s="89"/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B32" s="4"/>
      <c r="C32" s="4"/>
      <c r="Z32" s="58">
        <f>RANK(AH32,$AH$32:$AH$35)</f>
        <v>4</v>
      </c>
      <c r="AA32" s="58" t="s">
        <v>53</v>
      </c>
      <c r="AB32" s="65">
        <f>IF(AND(F5&gt;H5,F5&lt;&gt;"",H5&lt;&gt;""),1,0)+IF(AND(H13&gt;F13,H13&lt;&gt;"",F13&lt;&gt;""),1,0)+IF(AND(H25&gt;F25,F25&lt;&gt;"",H25&lt;&gt;""),1,0)</f>
        <v>0</v>
      </c>
      <c r="AC32" s="65">
        <f>IF(AND(F5=H5,F5&lt;&gt;"",H5&lt;&gt;""),1,0)+IF(AND(H13=F13,H13&lt;&gt;"",F13&lt;&gt;""),1,0)+IF(AND(H25=F25,F25&lt;&gt;"",H25&lt;&gt;""),1,0)</f>
        <v>0</v>
      </c>
      <c r="AD32" s="65">
        <f>IF(AND(F5&lt;H5,F5&lt;&gt;"",H5&lt;&gt;""),1,0)+IF(AND(H13&lt;F13,H13&lt;&gt;"",F13&lt;&gt;""),1,0)+IF(AND(H25&lt;F25,F25&lt;&gt;"",H25&lt;&gt;""),1,0)</f>
        <v>1</v>
      </c>
      <c r="AE32" s="65">
        <f>F5+H13+H25</f>
        <v>0</v>
      </c>
      <c r="AF32" s="65">
        <f>H5+F13+F25</f>
        <v>1</v>
      </c>
      <c r="AG32" s="65">
        <f>AB32*3+AC32</f>
        <v>0</v>
      </c>
      <c r="AH32" s="69">
        <f>+AG32*100000+AE32-AF32+AE32/10+4/100000000</f>
        <v>-0.99999996000000002</v>
      </c>
      <c r="AI32" s="58" t="str">
        <f>IFERROR(VLOOKUP(AA32,A!$AA$41:$AC$73,3,FALSE),VLOOKUP("imz",A!$AA$41:$AC$73,3,FALSE))</f>
        <v>A!$AB$59</v>
      </c>
    </row>
    <row r="33" spans="26:35" x14ac:dyDescent="0.25">
      <c r="Z33" s="58">
        <f>RANK(AH33,$AH$32:$AH$35)</f>
        <v>1</v>
      </c>
      <c r="AA33" s="58" t="s">
        <v>55</v>
      </c>
      <c r="AB33" s="65">
        <f>IF(AND(H5&gt;F5,H5&lt;&gt;"",F5&lt;&gt;""),1,0)+IF(AND(H17&gt;F17,F17&lt;&gt;"",H17&lt;&gt;""),1,0)+IF(AND(F21&gt;H21,F21&lt;&gt;"",H21&lt;&gt;""),1,0)</f>
        <v>1</v>
      </c>
      <c r="AC33" s="65">
        <f>IF(AND(H5=F5,F5&lt;&gt;"",H5&lt;&gt;""),1,0)+IF(AND(H17=F17,F17&lt;&gt;"",H17&lt;&gt;""),1,0)+IF(AND(F21=H21,F21&lt;&gt;"",H21&lt;&gt;""),1,0)</f>
        <v>0</v>
      </c>
      <c r="AD33" s="65">
        <f>IF(AND(H5&lt;F5,H5&lt;&gt;"",F5&lt;&gt;""),1,0)+IF(AND(H17&lt;F17,F17&lt;&gt;"",H17&lt;&gt;""),1,0)+IF(AND(F21&lt;H21,F21&lt;&gt;"",H21&lt;&gt;""),1,0)</f>
        <v>0</v>
      </c>
      <c r="AE33" s="65">
        <f>H5+H17+F21</f>
        <v>1</v>
      </c>
      <c r="AF33" s="65">
        <f>F5+F17+H21</f>
        <v>0</v>
      </c>
      <c r="AG33" s="65">
        <f>AB33*3+AC33</f>
        <v>3</v>
      </c>
      <c r="AH33" s="69">
        <f>+AG33*100000+AE33-AF33+AE33/10+3/100000000</f>
        <v>300001.10000002995</v>
      </c>
      <c r="AI33" s="58" t="str">
        <f>IFERROR(VLOOKUP(AA33,A!$AA$41:$AC$73,3,FALSE),VLOOKUP("imz",A!$AA$41:$AC$73,3,FALSE))</f>
        <v>A!$AB$56</v>
      </c>
    </row>
    <row r="34" spans="26:35" x14ac:dyDescent="0.25">
      <c r="Z34" s="58">
        <f>RANK(AH34,$AH$32:$AH$35)</f>
        <v>2</v>
      </c>
      <c r="AA34" s="58" t="s">
        <v>26</v>
      </c>
      <c r="AB34" s="65">
        <f>IF(AND(H9&gt;F9,F9&lt;&gt;"",H9&lt;&gt;""),1,0)+IF(AND(F17&gt;H17,H17&lt;&gt;"",F17&lt;&gt;""),1,0)+IF(AND(F25&gt;H25,H25&lt;&gt;"",F25&lt;&gt;""),1,0)</f>
        <v>0</v>
      </c>
      <c r="AC34" s="65">
        <f>IF(AND(F9=H9,F9&lt;&gt;"",H9&lt;&gt;""),1,0)+IF(AND(H17=F17,F17&lt;&gt;"",H17&lt;&gt;""),1,0)+IF(AND(H25=F25,F25&lt;&gt;"",H25&lt;&gt;""),1,0)</f>
        <v>1</v>
      </c>
      <c r="AD34" s="65">
        <f>IF(AND(H9&lt;F9,F9&lt;&gt;"",H9&lt;&gt;""),1,0)+IF(AND(F17&lt;H17,H17&lt;&gt;"",F17&lt;&gt;""),1,0)+IF(AND(F25&lt;H25,F25&lt;&gt;"",H25&lt;&gt;""),1,0)</f>
        <v>0</v>
      </c>
      <c r="AE34" s="65">
        <f>H9+F17+F25</f>
        <v>3</v>
      </c>
      <c r="AF34" s="65">
        <f>F9+H17+H25</f>
        <v>3</v>
      </c>
      <c r="AG34" s="65">
        <f>AB34*3+AC34</f>
        <v>1</v>
      </c>
      <c r="AH34" s="69">
        <f>+AG34*100000+AE34-AF34+AE34/10+2/100000000</f>
        <v>100000.30000002</v>
      </c>
      <c r="AI34" s="58" t="str">
        <f>IFERROR(VLOOKUP(AA34,A!$AA$41:$AC$73,3,FALSE),VLOOKUP("imz",A!$AA$41:$AC$73,3,FALSE))</f>
        <v>A!$AB$53</v>
      </c>
    </row>
    <row r="35" spans="26:35" x14ac:dyDescent="0.25">
      <c r="Z35" s="58">
        <f>RANK(AH35,$AH$32:$AH$35)</f>
        <v>3</v>
      </c>
      <c r="AA35" s="58" t="s">
        <v>54</v>
      </c>
      <c r="AB35" s="65">
        <f>IF(AND(F9&gt;H9,F9&lt;&gt;"",H9&lt;&gt;""),1,0)+IF(AND(F13&gt;H13,F13&lt;&gt;"",H13&lt;&gt;""),1,0)+IF(AND(H21&gt;F21,H21&lt;&gt;"",F21&lt;&gt;""),1,0)</f>
        <v>0</v>
      </c>
      <c r="AC35" s="65">
        <f>IF(AND(H9=F9,F9&lt;&gt;"",H9&lt;&gt;""),1,0)+IF(AND(F13=H13,F13&lt;&gt;"",H13&lt;&gt;""),1,0)+IF(AND(F21=H21,F21&lt;&gt;"",H21&lt;&gt;""),1,0)</f>
        <v>1</v>
      </c>
      <c r="AD35" s="65">
        <f>IF(AND(F9&lt;H9,F9&lt;&gt;"",H9&lt;&gt;""),1,0)+IF(AND(F13&lt;H13,F13&lt;&gt;"",H13&lt;&gt;""),1,0)+IF(AND(H21&lt;F21,H21&lt;&gt;"",F21&lt;&gt;""),1,0)</f>
        <v>0</v>
      </c>
      <c r="AE35" s="65">
        <f>F9+F13+H21</f>
        <v>3</v>
      </c>
      <c r="AF35" s="65">
        <f>H9+H13+F21</f>
        <v>3</v>
      </c>
      <c r="AG35" s="65">
        <f>AB35*3+AC35</f>
        <v>1</v>
      </c>
      <c r="AH35" s="69">
        <f>+AG35*100000+AE35-AF35+AE35/10+1/100000000</f>
        <v>100000.30000001</v>
      </c>
      <c r="AI35" s="58" t="str">
        <f>IFERROR(VLOOKUP(AA35,A!$AA$41:$AC$73,3,FALSE),VLOOKUP("imz",A!$AA$41:$AC$73,3,FALSE))</f>
        <v>A!$AB$65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</sheetData>
  <mergeCells count="91">
    <mergeCell ref="D30:D31"/>
    <mergeCell ref="J30:J31"/>
    <mergeCell ref="M27:O27"/>
    <mergeCell ref="M28:O28"/>
    <mergeCell ref="S21:S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T21:T22"/>
    <mergeCell ref="U21:U22"/>
    <mergeCell ref="P21:P22"/>
    <mergeCell ref="Q21:Q22"/>
    <mergeCell ref="R21:R22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13" priority="2">
      <formula>L27&lt;&gt;""</formula>
    </cfRule>
  </conditionalFormatting>
  <conditionalFormatting sqref="M28:O28">
    <cfRule type="expression" dxfId="12" priority="1">
      <formula>L28&lt;&gt;""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3" width="11" style="55" customWidth="1"/>
    <col min="24" max="24" width="11" style="76" customWidth="1"/>
    <col min="25" max="25" width="11" style="58" customWidth="1"/>
    <col min="26" max="26" width="11" style="76"/>
    <col min="27" max="27" width="14.875" style="76" bestFit="1" customWidth="1"/>
    <col min="28" max="28" width="6.625" style="76" customWidth="1"/>
    <col min="29" max="29" width="11" style="76"/>
    <col min="30" max="33" width="11" style="56"/>
    <col min="34" max="34" width="12.5" style="56" bestFit="1" customWidth="1"/>
    <col min="35" max="43" width="11" style="56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77</v>
      </c>
      <c r="C5" s="9">
        <f>Y5+VLOOKUP(Menu!$B$4,Menu!$C$5:$E$24,2,0)*VLOOKUP(Menu!$B$4,Menu!$C$5:$E$24,3,0)</f>
        <v>0.25</v>
      </c>
      <c r="D5" s="88" t="s">
        <v>56</v>
      </c>
      <c r="E5" s="93"/>
      <c r="F5" s="90"/>
      <c r="G5" s="92"/>
      <c r="H5" s="90"/>
      <c r="I5" s="94"/>
      <c r="J5" s="89" t="s">
        <v>58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0.20833333333333334</v>
      </c>
    </row>
    <row r="6" spans="2:69" ht="9.9499999999999993" customHeight="1" x14ac:dyDescent="0.25">
      <c r="B6" s="4" t="s">
        <v>74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77</v>
      </c>
      <c r="C9" s="9">
        <f>Y9+VLOOKUP(Menu!$B$4,Menu!$C$5:$E$24,2,0)*VLOOKUP(Menu!$B$4,Menu!$C$5:$E$24,3,0)</f>
        <v>0.5</v>
      </c>
      <c r="D9" s="88" t="s">
        <v>34</v>
      </c>
      <c r="E9" s="93"/>
      <c r="F9" s="90"/>
      <c r="G9" s="92"/>
      <c r="H9" s="90"/>
      <c r="I9" s="94"/>
      <c r="J9" s="89" t="s">
        <v>57</v>
      </c>
      <c r="L9" s="88" t="str">
        <f>+VLOOKUP(1,$Z$31:$AH$35,2,0)</f>
        <v>Francia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0.45833333333333331</v>
      </c>
    </row>
    <row r="10" spans="2:69" ht="9.9499999999999993" customHeight="1" x14ac:dyDescent="0.25">
      <c r="B10" s="4" t="s">
        <v>75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78</v>
      </c>
      <c r="C13" s="9">
        <f>Y13+VLOOKUP(Menu!$B$4,Menu!$C$5:$E$24,2,0)*VLOOKUP(Menu!$B$4,Menu!$C$5:$E$24,3,0)</f>
        <v>0.33333333333333337</v>
      </c>
      <c r="D13" s="88" t="s">
        <v>57</v>
      </c>
      <c r="E13" s="93"/>
      <c r="F13" s="90"/>
      <c r="G13" s="92"/>
      <c r="H13" s="90"/>
      <c r="I13" s="94"/>
      <c r="J13" s="89" t="s">
        <v>58</v>
      </c>
      <c r="L13" s="96" t="str">
        <f>+VLOOKUP(2,$Z$31:$AH$35,2,0)</f>
        <v>Australia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0.29166666666666669</v>
      </c>
    </row>
    <row r="14" spans="2:69" ht="9.9499999999999993" customHeight="1" x14ac:dyDescent="0.25">
      <c r="B14" s="4" t="s">
        <v>49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78</v>
      </c>
      <c r="C17" s="9">
        <f>Y17+VLOOKUP(Menu!$B$4,Menu!$C$5:$E$24,2,0)*VLOOKUP(Menu!$B$4,Menu!$C$5:$E$24,3,0)</f>
        <v>0.45833333333333337</v>
      </c>
      <c r="D17" s="88" t="s">
        <v>56</v>
      </c>
      <c r="E17" s="93"/>
      <c r="F17" s="90"/>
      <c r="G17" s="92"/>
      <c r="H17" s="90"/>
      <c r="I17" s="94"/>
      <c r="J17" s="89" t="s">
        <v>34</v>
      </c>
      <c r="L17" s="96" t="str">
        <f>+VLOOKUP(3,$Z$31:$AH$35,2,0)</f>
        <v>Perú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0.41666666666666669</v>
      </c>
    </row>
    <row r="18" spans="2:35" ht="9.9499999999999993" customHeight="1" x14ac:dyDescent="0.25">
      <c r="B18" s="4" t="s">
        <v>5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79</v>
      </c>
      <c r="C21" s="9">
        <f>Y21+VLOOKUP(Menu!$B$4,Menu!$C$5:$E$24,2,0)*VLOOKUP(Menu!$B$4,Menu!$C$5:$E$24,3,0)</f>
        <v>0.41666666666666669</v>
      </c>
      <c r="D21" s="88" t="s">
        <v>58</v>
      </c>
      <c r="E21" s="93"/>
      <c r="F21" s="90"/>
      <c r="G21" s="92"/>
      <c r="H21" s="90"/>
      <c r="I21" s="94"/>
      <c r="J21" s="89" t="s">
        <v>34</v>
      </c>
      <c r="L21" s="96" t="str">
        <f>+VLOOKUP(4,$Z$31:$AH$35,2,0)</f>
        <v>Dinamarca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0.375</v>
      </c>
    </row>
    <row r="22" spans="2:35" ht="9.9499999999999993" customHeight="1" x14ac:dyDescent="0.25">
      <c r="B22" s="4" t="s">
        <v>73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79</v>
      </c>
      <c r="C25" s="9">
        <f>Y25+VLOOKUP(Menu!$B$4,Menu!$C$5:$E$24,2,0)*VLOOKUP(Menu!$B$4,Menu!$C$5:$E$24,3,0)</f>
        <v>0.41666666666666669</v>
      </c>
      <c r="D25" s="88" t="s">
        <v>57</v>
      </c>
      <c r="E25" s="93"/>
      <c r="F25" s="90"/>
      <c r="G25" s="92"/>
      <c r="H25" s="90"/>
      <c r="I25" s="94"/>
      <c r="J25" s="89" t="s">
        <v>56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0.375</v>
      </c>
    </row>
    <row r="26" spans="2:35" ht="9.9499999999999993" customHeight="1" x14ac:dyDescent="0.25">
      <c r="B26" s="4" t="s">
        <v>0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15"/>
    </row>
    <row r="31" spans="2:35" x14ac:dyDescent="0.25">
      <c r="Z31" s="76" t="s">
        <v>42</v>
      </c>
      <c r="AA31" s="76" t="s">
        <v>43</v>
      </c>
      <c r="AB31" s="76" t="s">
        <v>44</v>
      </c>
      <c r="AC31" s="76" t="s">
        <v>45</v>
      </c>
      <c r="AD31" s="56" t="s">
        <v>46</v>
      </c>
      <c r="AE31" s="56" t="s">
        <v>10</v>
      </c>
      <c r="AF31" s="56" t="s">
        <v>11</v>
      </c>
      <c r="AG31" s="56" t="s">
        <v>47</v>
      </c>
      <c r="AH31" s="74" t="s">
        <v>48</v>
      </c>
    </row>
    <row r="32" spans="2:35" x14ac:dyDescent="0.25">
      <c r="Z32" s="76">
        <f>RANK(AH32,$AH$32:$AH$35)</f>
        <v>1</v>
      </c>
      <c r="AA32" s="76" t="s">
        <v>56</v>
      </c>
      <c r="AB32" s="77">
        <f>IF(AND(F5&gt;H5,F5&lt;&gt;"",H5&lt;&gt;""),1,0)+IF(AND(F17&gt;H17,F17&lt;&gt;"",H17&lt;&gt;""),1,0)+IF(AND(H25&gt;F25,F25&lt;&gt;"",H25&lt;&gt;""),1,0)</f>
        <v>0</v>
      </c>
      <c r="AC32" s="77">
        <f>IF(AND(F5=H5,F5&lt;&gt;"",H5&lt;&gt;""),1,0)+IF(AND(F17=H17,F17&lt;&gt;"",H17&lt;&gt;""),1,0)+IF(AND(H25=F25,F25&lt;&gt;"",H25&lt;&gt;""),1,0)</f>
        <v>0</v>
      </c>
      <c r="AD32" s="73">
        <f>IF(AND(F5&lt;H5,F5&lt;&gt;"",H5&lt;&gt;""),1,0)+IF(AND(F17&lt;H17,F17&lt;&gt;"",H17&lt;&gt;""),1,0)+IF(AND(H25&lt;F25,F25&lt;&gt;"",H25&lt;&gt;""),1,0)</f>
        <v>0</v>
      </c>
      <c r="AE32" s="73">
        <f>F5+F17+H25</f>
        <v>0</v>
      </c>
      <c r="AF32" s="73">
        <f>H5+H17+F25</f>
        <v>0</v>
      </c>
      <c r="AG32" s="73">
        <f>AB32*3+AC32</f>
        <v>0</v>
      </c>
      <c r="AH32" s="75">
        <f>+AG32*100000+AE32-AF32+AE32/10+4/100000000</f>
        <v>4.0000000000000001E-8</v>
      </c>
      <c r="AI32" s="56" t="str">
        <f>IFERROR(VLOOKUP(AA32,A!$AA$41:$AC$73,3,FALSE),VLOOKUP("imz",A!$AA$41:$AC$73,3,FALSE))</f>
        <v>A!$AB$54</v>
      </c>
    </row>
    <row r="33" spans="26:35" x14ac:dyDescent="0.25">
      <c r="Z33" s="76">
        <f>RANK(AH33,$AH$32:$AH$35)</f>
        <v>2</v>
      </c>
      <c r="AA33" s="76" t="s">
        <v>58</v>
      </c>
      <c r="AB33" s="77">
        <f>IF(AND(H5&gt;F5,F5&lt;&gt;"",H5&lt;&gt;""),1,0)+IF(AND(H13&gt;F13,H13&lt;&gt;"",F13&lt;&gt;""),1,0)+IF(AND(F21&gt;H21,F21&lt;&gt;"",H21&lt;&gt;""),1,0)</f>
        <v>0</v>
      </c>
      <c r="AC33" s="77">
        <f>IF(AND(H5=F5,F5&lt;&gt;"",H5&lt;&gt;""),1,0)+IF(AND(F13=H13,F13&lt;&gt;"",H13&lt;&gt;""),1,0)+IF(AND(F21=H21,F21&lt;&gt;"",H21&lt;&gt;""),1,0)</f>
        <v>0</v>
      </c>
      <c r="AD33" s="73">
        <f>IF(AND(H5&lt;F5,F5&lt;&gt;"",H5&lt;&gt;""),1,0)+IF(AND(H13&lt;F13,H13&lt;&gt;"",F13&lt;&gt;""),1,0)+IF(AND(F21&lt;H21,F21&lt;&gt;"",H21&lt;&gt;""),1,0)</f>
        <v>0</v>
      </c>
      <c r="AE33" s="73">
        <f>H5+H13+F21</f>
        <v>0</v>
      </c>
      <c r="AF33" s="73">
        <f>F5+F13+H21</f>
        <v>0</v>
      </c>
      <c r="AG33" s="73">
        <f>AB33*3+AC33</f>
        <v>0</v>
      </c>
      <c r="AH33" s="75">
        <f>+AG33*100000+AE33-AF33+AE33/10+3/100000000</f>
        <v>2.9999999999999997E-8</v>
      </c>
      <c r="AI33" s="56" t="str">
        <f>IFERROR(VLOOKUP(AA33,A!$AA$41:$AC$73,3,FALSE),VLOOKUP("imz",A!$AA$41:$AC$73,3,FALSE))</f>
        <v>A!$AB$44</v>
      </c>
    </row>
    <row r="34" spans="26:35" x14ac:dyDescent="0.25">
      <c r="Z34" s="76">
        <f>RANK(AH34,$AH$32:$AH$35)</f>
        <v>3</v>
      </c>
      <c r="AA34" s="76" t="s">
        <v>34</v>
      </c>
      <c r="AB34" s="77">
        <f>IF(AND(F9&gt;H9,F9&lt;&gt;"",H9&lt;&gt;""),1,0)+IF(AND(H17&gt;F17,H17&lt;&gt;"",F17&lt;&gt;""),1,0)+IF(AND(H21&gt;F21,F21&lt;&gt;"",H21&lt;&gt;""),1,0)</f>
        <v>0</v>
      </c>
      <c r="AC34" s="77">
        <f>IF(AND(F9=H9,F9&lt;&gt;"",H9&lt;&gt;""),1,0)+IF(AND(H17=F17,H17&lt;&gt;"",F17&lt;&gt;""),1,0)+IF(AND(H21=F21,F21&lt;&gt;"",H21&lt;&gt;""),1,0)</f>
        <v>0</v>
      </c>
      <c r="AD34" s="73">
        <f>IF(AND(F9&lt;H9,F9&lt;&gt;"",H9&lt;&gt;""),1,0)+IF(AND(H17&lt;F17,H17&lt;&gt;"",F17&lt;&gt;""),1,0)+IF(AND(H21&lt;F21,F21&lt;&gt;"",H21&lt;&gt;""),1,0)</f>
        <v>0</v>
      </c>
      <c r="AE34" s="73">
        <f>F9+H17+H21</f>
        <v>0</v>
      </c>
      <c r="AF34" s="73">
        <f>H9+F21+F17</f>
        <v>0</v>
      </c>
      <c r="AG34" s="73">
        <f>AB34*3+AC34</f>
        <v>0</v>
      </c>
      <c r="AH34" s="75">
        <f>+AG34*100000+AE34-AF34+AE34/10+2/100000000</f>
        <v>2E-8</v>
      </c>
      <c r="AI34" s="56" t="str">
        <f>IFERROR(VLOOKUP(AA34,A!$AA$41:$AC$73,3,FALSE),VLOOKUP("imz",A!$AA$41:$AC$73,3,FALSE))</f>
        <v>A!$AB$63</v>
      </c>
    </row>
    <row r="35" spans="26:35" x14ac:dyDescent="0.25">
      <c r="Z35" s="76">
        <f>RANK(AH35,$AH$32:$AH$35)</f>
        <v>4</v>
      </c>
      <c r="AA35" s="76" t="s">
        <v>57</v>
      </c>
      <c r="AB35" s="77">
        <f>IF(AND(H9&gt;F9,F9&lt;&gt;"",H9&lt;&gt;""),1,0)+IF(AND(F13&gt;H13,F13&lt;&gt;"",H13&lt;&gt;""),1,0)+IF(AND(F25&gt;H25,F25&lt;&gt;"",H25&lt;&gt;""),1,0)</f>
        <v>0</v>
      </c>
      <c r="AC35" s="77">
        <f>IF(AND(H9=F9,F9&lt;&gt;"",H9&lt;&gt;""),1,0)+IF(AND(F13=H13,F13&lt;&gt;"",H13&lt;&gt;""),1,0)+IF(AND(F25=H25,F25&lt;&gt;"",H25&lt;&gt;""),1,0)</f>
        <v>0</v>
      </c>
      <c r="AD35" s="73">
        <f>IF(AND(H9&lt;F9,F9&lt;&gt;"",H9&lt;&gt;""),1,0)+IF(AND(F13&lt;H13,F13&lt;&gt;"",H13&lt;&gt;""),1,0)+IF(AND(F25&lt;H25,F25&lt;&gt;"",H25&lt;&gt;""),1,0)</f>
        <v>0</v>
      </c>
      <c r="AE35" s="73">
        <f>H9+F13+F25</f>
        <v>0</v>
      </c>
      <c r="AF35" s="73">
        <f>F9+H13+H25</f>
        <v>0</v>
      </c>
      <c r="AG35" s="73">
        <f>AB35*3+AC35</f>
        <v>0</v>
      </c>
      <c r="AH35" s="75">
        <f>+AG35*100000+AE35-AF35+AE35/10+1/100000000</f>
        <v>1E-8</v>
      </c>
      <c r="AI35" s="56" t="str">
        <f>IFERROR(VLOOKUP(AA35,A!$AA$41:$AC$73,3,FALSE),VLOOKUP("imz",A!$AA$41:$AC$73,3,FALSE))</f>
        <v>A!$AB$51</v>
      </c>
    </row>
    <row r="37" spans="26:35" x14ac:dyDescent="0.25">
      <c r="AA37" s="76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76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78"/>
      <c r="AC39" s="79"/>
    </row>
  </sheetData>
  <mergeCells count="89"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8:O28">
    <cfRule type="expression" dxfId="11" priority="2">
      <formula>L28&lt;&gt;""</formula>
    </cfRule>
  </conditionalFormatting>
  <conditionalFormatting sqref="M27:O27">
    <cfRule type="expression" dxfId="10" priority="1">
      <formula>L27&lt;&gt;""</formula>
    </cfRule>
  </conditionalFormatting>
  <pageMargins left="0.7" right="0.7" top="0.75" bottom="0.75" header="0.3" footer="0.3"/>
  <pageSetup orientation="portrait" r:id="rId1"/>
  <ignoredErrors>
    <ignoredError sqref="B21 B25" twoDigitTextYear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5" width="11" style="58" customWidth="1"/>
    <col min="26" max="26" width="11" style="58"/>
    <col min="27" max="27" width="14.875" style="58" bestFit="1" customWidth="1"/>
    <col min="28" max="28" width="6.625" style="58" customWidth="1"/>
    <col min="29" max="33" width="11" style="58"/>
    <col min="34" max="34" width="12.5" style="58" bestFit="1" customWidth="1"/>
    <col min="35" max="43" width="11" style="58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77</v>
      </c>
      <c r="C5" s="9">
        <f>Y5+VLOOKUP(Menu!$B$4,Menu!$C$5:$E$24,2,0)*VLOOKUP(Menu!$B$4,Menu!$C$5:$E$24,3,0)</f>
        <v>0.375</v>
      </c>
      <c r="D5" s="88" t="s">
        <v>19</v>
      </c>
      <c r="E5" s="93"/>
      <c r="F5" s="90"/>
      <c r="G5" s="92"/>
      <c r="H5" s="90"/>
      <c r="I5" s="94"/>
      <c r="J5" s="89" t="s">
        <v>61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0.33333333333333331</v>
      </c>
    </row>
    <row r="6" spans="2:69" ht="9.9499999999999993" customHeight="1" x14ac:dyDescent="0.25">
      <c r="B6" s="4" t="s">
        <v>0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77</v>
      </c>
      <c r="C9" s="9">
        <f>Y9+VLOOKUP(Menu!$B$4,Menu!$C$5:$E$24,2,0)*VLOOKUP(Menu!$B$4,Menu!$C$5:$E$24,3,0)</f>
        <v>0.625</v>
      </c>
      <c r="D9" s="88" t="s">
        <v>59</v>
      </c>
      <c r="E9" s="93"/>
      <c r="F9" s="90"/>
      <c r="G9" s="92"/>
      <c r="H9" s="90"/>
      <c r="I9" s="94"/>
      <c r="J9" s="89" t="s">
        <v>60</v>
      </c>
      <c r="L9" s="88" t="str">
        <f>+VLOOKUP(1,$Z$31:$AH$35,2,0)</f>
        <v>Argentina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0.58333333333333337</v>
      </c>
    </row>
    <row r="10" spans="2:69" ht="9.9499999999999993" customHeight="1" x14ac:dyDescent="0.25">
      <c r="B10" s="4" t="s">
        <v>76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78</v>
      </c>
      <c r="C13" s="9">
        <f>Y13+VLOOKUP(Menu!$B$4,Menu!$C$5:$E$24,2,0)*VLOOKUP(Menu!$B$4,Menu!$C$5:$E$24,3,0)</f>
        <v>0.58333333333333326</v>
      </c>
      <c r="D13" s="88" t="s">
        <v>19</v>
      </c>
      <c r="E13" s="93"/>
      <c r="F13" s="90"/>
      <c r="G13" s="92"/>
      <c r="H13" s="90"/>
      <c r="I13" s="94"/>
      <c r="J13" s="89" t="s">
        <v>59</v>
      </c>
      <c r="L13" s="96" t="str">
        <f>+VLOOKUP(2,$Z$31:$AH$35,2,0)</f>
        <v>Islandia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0.54166666666666663</v>
      </c>
    </row>
    <row r="14" spans="2:69" ht="9.9499999999999993" customHeight="1" x14ac:dyDescent="0.25">
      <c r="B14" s="4" t="s">
        <v>80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81</v>
      </c>
      <c r="C17" s="9">
        <f>Y17+VLOOKUP(Menu!$B$4,Menu!$C$5:$E$24,2,0)*VLOOKUP(Menu!$B$4,Menu!$C$5:$E$24,3,0)</f>
        <v>0.45833333333333337</v>
      </c>
      <c r="D17" s="88" t="s">
        <v>60</v>
      </c>
      <c r="E17" s="93"/>
      <c r="F17" s="90"/>
      <c r="G17" s="92"/>
      <c r="H17" s="90"/>
      <c r="I17" s="94"/>
      <c r="J17" s="89" t="s">
        <v>61</v>
      </c>
      <c r="L17" s="96" t="str">
        <f>+VLOOKUP(3,$Z$31:$AH$35,2,0)</f>
        <v>Croacia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0.41666666666666669</v>
      </c>
    </row>
    <row r="18" spans="2:35" ht="9.9499999999999993" customHeight="1" x14ac:dyDescent="0.25">
      <c r="B18" s="4" t="s">
        <v>50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79</v>
      </c>
      <c r="C21" s="9">
        <f>Y21+VLOOKUP(Menu!$B$4,Menu!$C$5:$E$24,2,0)*VLOOKUP(Menu!$B$4,Menu!$C$5:$E$24,3,0)</f>
        <v>0.58333333333333326</v>
      </c>
      <c r="D21" s="88" t="s">
        <v>61</v>
      </c>
      <c r="E21" s="93"/>
      <c r="F21" s="90"/>
      <c r="G21" s="92"/>
      <c r="H21" s="90"/>
      <c r="I21" s="94"/>
      <c r="J21" s="89" t="s">
        <v>59</v>
      </c>
      <c r="L21" s="96" t="str">
        <f>+VLOOKUP(4,$Z$31:$AH$35,2,0)</f>
        <v>Nigeria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0.54166666666666663</v>
      </c>
    </row>
    <row r="22" spans="2:35" ht="9.9499999999999993" customHeight="1" x14ac:dyDescent="0.25">
      <c r="B22" s="4" t="s">
        <v>51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79</v>
      </c>
      <c r="C25" s="9">
        <f>Y25+VLOOKUP(Menu!$B$4,Menu!$C$5:$E$24,2,0)*VLOOKUP(Menu!$B$4,Menu!$C$5:$E$24,3,0)</f>
        <v>0.58333333333333326</v>
      </c>
      <c r="D25" s="88" t="s">
        <v>60</v>
      </c>
      <c r="E25" s="93"/>
      <c r="F25" s="90"/>
      <c r="G25" s="92"/>
      <c r="H25" s="90"/>
      <c r="I25" s="94"/>
      <c r="J25" s="89" t="s">
        <v>19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0.54166666666666663</v>
      </c>
    </row>
    <row r="26" spans="2:35" ht="9.9499999999999993" customHeight="1" x14ac:dyDescent="0.25">
      <c r="B26" s="4" t="s">
        <v>82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15"/>
    </row>
    <row r="31" spans="2:35" x14ac:dyDescent="0.25"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Z32" s="58">
        <f>RANK(AH32,$AH$32:$AH$35)</f>
        <v>1</v>
      </c>
      <c r="AA32" s="58" t="s">
        <v>19</v>
      </c>
      <c r="AB32" s="65">
        <f>IF(AND(F5&gt;H5,F5&lt;&gt;"",H5&lt;&gt;""),1,0)+IF(AND(F13&gt;H13,F13&lt;&gt;"",H13&lt;&gt;""),1,0)+IF(AND(H25&gt;F25,F25&lt;&gt;"",H25&lt;&gt;""),1,0)</f>
        <v>0</v>
      </c>
      <c r="AC32" s="65">
        <f>IF(AND(F5=H5,F5&lt;&gt;"",H5&lt;&gt;""),1,0)+IF(AND(F13=H13,F13&lt;&gt;"",H13&lt;&gt;""),1,0)+IF(AND(H25=F25,F25&lt;&gt;"",H25&lt;&gt;""),1,0)</f>
        <v>0</v>
      </c>
      <c r="AD32" s="65">
        <f>IF(AND(F5&lt;H5,F5&lt;&gt;"",H5&lt;&gt;""),1,0)+IF(AND(F13&lt;H13,F13&lt;&gt;"",H13&lt;&gt;""),1,0)+IF(AND(H25&lt;F25,F25&lt;&gt;"",H25&lt;&gt;""),1,0)</f>
        <v>0</v>
      </c>
      <c r="AE32" s="65">
        <f>F5+F13+H25</f>
        <v>0</v>
      </c>
      <c r="AF32" s="65">
        <f>H5+H13+F25</f>
        <v>0</v>
      </c>
      <c r="AG32" s="65">
        <f>AB32*3+AC32</f>
        <v>0</v>
      </c>
      <c r="AH32" s="69">
        <f>+AG32*100000+AE32-AF32+AE32/10+4/100000000</f>
        <v>4.0000000000000001E-8</v>
      </c>
      <c r="AI32" s="58" t="str">
        <f>IFERROR(VLOOKUP(AA32,A!$AA$41:$AC$73,3,FALSE),VLOOKUP("imz",A!$AA$41:$AC$73,3,FALSE))</f>
        <v>A!$AB$43</v>
      </c>
    </row>
    <row r="33" spans="26:35" x14ac:dyDescent="0.25">
      <c r="Z33" s="58">
        <f>RANK(AH33,$AH$32:$AH$35)</f>
        <v>2</v>
      </c>
      <c r="AA33" s="58" t="s">
        <v>61</v>
      </c>
      <c r="AB33" s="65">
        <f>IF(AND(H5&gt;F5,F5&lt;&gt;"",H5&lt;&gt;""),1,0)+IF(AND(H17&gt;F17,F17&lt;&gt;"",H17&lt;&gt;""),1,0)+IF(AND(F21&gt;H21,F21&lt;&gt;"",H21&lt;&gt;""),1,0)</f>
        <v>0</v>
      </c>
      <c r="AC33" s="65">
        <f>IF(AND(H5=F5,F5&lt;&gt;"",H5&lt;&gt;""),1,0)+IF(AND(H17=F17,F17&lt;&gt;"",H17&lt;&gt;""),1,0)+IF(AND(F21=H21,F21&lt;&gt;"",H21&lt;&gt;""),1,0)</f>
        <v>0</v>
      </c>
      <c r="AD33" s="65">
        <f>IF(AND(H5&lt;F5,F5&lt;&gt;"",H5&lt;&gt;""),1,0)+IF(AND(H17&lt;F17,F17&lt;&gt;"",H17&lt;&gt;""),1,0)+IF(AND(F21&lt;H21,F21&lt;&gt;"",H21&lt;&gt;""),1,0)</f>
        <v>0</v>
      </c>
      <c r="AE33" s="65">
        <f>H5+H17+F21</f>
        <v>0</v>
      </c>
      <c r="AF33" s="65">
        <f>F5+F17+H21</f>
        <v>0</v>
      </c>
      <c r="AG33" s="65">
        <f>AB33*3+AC33</f>
        <v>0</v>
      </c>
      <c r="AH33" s="69">
        <f>+AG33*100000+AE33-AF33+AE33/10+3/100000000</f>
        <v>2.9999999999999997E-8</v>
      </c>
      <c r="AI33" s="58" t="str">
        <f>IFERROR(VLOOKUP(AA33,A!$AA$41:$AC$73,3,FALSE),VLOOKUP("imz",A!$AA$41:$AC$73,3,FALSE))</f>
        <v>A!$AB$57</v>
      </c>
    </row>
    <row r="34" spans="26:35" x14ac:dyDescent="0.25">
      <c r="Z34" s="58">
        <f>RANK(AH34,$AH$32:$AH$35)</f>
        <v>3</v>
      </c>
      <c r="AA34" s="58" t="s">
        <v>59</v>
      </c>
      <c r="AB34" s="65">
        <f>IF(AND(F9&gt;H9,F9&lt;&gt;"",H9&lt;&gt;""),1,0)+IF(AND(H13&gt;F13,F13&lt;&gt;"",H13&lt;&gt;""),1,0)+IF(AND(H21&gt;F21,F21&lt;&gt;"",H21&lt;&gt;""),1,0)</f>
        <v>0</v>
      </c>
      <c r="AC34" s="65">
        <f>IF(AND(F9=H9,F9&lt;&gt;"",H9&lt;&gt;""),1,0)+IF(AND(H13=F13,F13&lt;&gt;"",H13&lt;&gt;""),1,0)+IF(AND(H21=F21,F21&lt;&gt;"",H21&lt;&gt;""),1,0)</f>
        <v>0</v>
      </c>
      <c r="AD34" s="65">
        <f>IF(AND(F9&lt;H9,F9&lt;&gt;"",H9&lt;&gt;""),1,0)+IF(AND(H13&lt;F13,F13&lt;&gt;"",H13&lt;&gt;""),1,0)+IF(AND(H21&lt;F21,F21&lt;&gt;"",H21&lt;&gt;""),1,0)</f>
        <v>0</v>
      </c>
      <c r="AE34" s="65">
        <f>F9+H13+H21</f>
        <v>0</v>
      </c>
      <c r="AF34" s="65">
        <f>H9+F13+F21</f>
        <v>0</v>
      </c>
      <c r="AG34" s="65">
        <f>AB34*3+AC34</f>
        <v>0</v>
      </c>
      <c r="AH34" s="69">
        <f>+AG34*100000+AE34-AF34+AE34/10+2/100000000</f>
        <v>2E-8</v>
      </c>
      <c r="AI34" s="58" t="str">
        <f>IFERROR(VLOOKUP(AA34,A!$AA$41:$AC$73,3,FALSE),VLOOKUP("imz",A!$AA$41:$AC$73,3,FALSE))</f>
        <v>A!$AB$50</v>
      </c>
    </row>
    <row r="35" spans="26:35" x14ac:dyDescent="0.25">
      <c r="Z35" s="58">
        <f>RANK(AH35,$AH$32:$AH$35)</f>
        <v>4</v>
      </c>
      <c r="AA35" s="58" t="s">
        <v>60</v>
      </c>
      <c r="AB35" s="65">
        <f>IF(AND(H9&gt;F9,F9&lt;&gt;"",H9&lt;&gt;""),1,0)+IF(AND(F17&gt;H17,F17&lt;&gt;"",H17&lt;&gt;""),1,0)+IF(AND(F25&gt;H25,F25&lt;&gt;"",H25&lt;&gt;""),1,0)</f>
        <v>0</v>
      </c>
      <c r="AC35" s="65">
        <f>IF(AND(H9=F9,F9&lt;&gt;"",H9&lt;&gt;""),1,0)+IF(AND(F17=H17,F17&lt;&gt;"",H17&lt;&gt;""),1,0)+IF(AND(F25=H25,F25&lt;&gt;"",H25&lt;&gt;""),1,0)</f>
        <v>0</v>
      </c>
      <c r="AD35" s="65">
        <f>IF(AND(H9&lt;F9,F9&lt;&gt;"",H9&lt;&gt;""),1,0)+IF(AND(F17&lt;H17,F17&lt;&gt;"",H17&lt;&gt;""),1,0)+IF(AND(F25&lt;H25,F25&lt;&gt;"",H25&lt;&gt;""),1,0)</f>
        <v>0</v>
      </c>
      <c r="AE35" s="65">
        <f>H9+F17+F25</f>
        <v>0</v>
      </c>
      <c r="AF35" s="65">
        <f>F9+H17+H25</f>
        <v>0</v>
      </c>
      <c r="AG35" s="65">
        <f>AB35*3+AC35</f>
        <v>0</v>
      </c>
      <c r="AH35" s="69">
        <f>+AG35*100000+AE35-AF35+AE35/10+1/100000000</f>
        <v>1E-8</v>
      </c>
      <c r="AI35" s="58" t="str">
        <f>IFERROR(VLOOKUP(AA35,A!$AA$41:$AC$73,3,FALSE),VLOOKUP("imz",A!$AA$41:$AC$73,3,FALSE))</f>
        <v>A!$AB$61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</sheetData>
  <mergeCells count="89"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9" priority="2">
      <formula>L27&lt;&gt;""</formula>
    </cfRule>
  </conditionalFormatting>
  <conditionalFormatting sqref="M28:O28">
    <cfRule type="expression" dxfId="8" priority="1">
      <formula>L28&lt;&gt;""</formula>
    </cfRule>
  </conditionalFormatting>
  <pageMargins left="0.7" right="0.7" top="0.75" bottom="0.75" header="0.3" footer="0.3"/>
  <pageSetup orientation="portrait" r:id="rId1"/>
  <ignoredErrors>
    <ignoredError sqref="B21:B25" twoDigitTextYear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5" width="11" style="58" customWidth="1"/>
    <col min="26" max="26" width="11" style="58"/>
    <col min="27" max="27" width="14.875" style="58" bestFit="1" customWidth="1"/>
    <col min="28" max="28" width="6.625" style="58" customWidth="1"/>
    <col min="29" max="33" width="11" style="58"/>
    <col min="34" max="34" width="12.5" style="58" bestFit="1" customWidth="1"/>
    <col min="35" max="39" width="11" style="58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83</v>
      </c>
      <c r="C5" s="9">
        <f>Y5+VLOOKUP(Menu!$B$4,Menu!$C$5:$E$24,2,0)*VLOOKUP(Menu!$B$4,Menu!$C$5:$E$24,3,0)</f>
        <v>0.33333333333333337</v>
      </c>
      <c r="D5" s="88" t="s">
        <v>23</v>
      </c>
      <c r="E5" s="93"/>
      <c r="F5" s="90"/>
      <c r="G5" s="92"/>
      <c r="H5" s="90"/>
      <c r="I5" s="94"/>
      <c r="J5" s="89" t="s">
        <v>62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0.29166666666666669</v>
      </c>
    </row>
    <row r="6" spans="2:69" ht="9.9499999999999993" customHeight="1" x14ac:dyDescent="0.25">
      <c r="B6" s="4" t="s">
        <v>49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83</v>
      </c>
      <c r="C9" s="9">
        <f>Y9+VLOOKUP(Menu!$B$4,Menu!$C$5:$E$24,2,0)*VLOOKUP(Menu!$B$4,Menu!$C$5:$E$24,3,0)</f>
        <v>0.58333333333333326</v>
      </c>
      <c r="D9" s="88" t="s">
        <v>18</v>
      </c>
      <c r="E9" s="93"/>
      <c r="F9" s="90"/>
      <c r="G9" s="92"/>
      <c r="H9" s="90"/>
      <c r="I9" s="94"/>
      <c r="J9" s="89" t="s">
        <v>63</v>
      </c>
      <c r="L9" s="88" t="str">
        <f>+VLOOKUP(1,$Z$31:$AH$35,2,0)</f>
        <v>Brasil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0.54166666666666663</v>
      </c>
    </row>
    <row r="10" spans="2:69" ht="9.9499999999999993" customHeight="1" x14ac:dyDescent="0.25">
      <c r="B10" s="4" t="s">
        <v>89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81</v>
      </c>
      <c r="C13" s="9">
        <f>Y13+VLOOKUP(Menu!$B$4,Menu!$C$5:$E$24,2,0)*VLOOKUP(Menu!$B$4,Menu!$C$5:$E$24,3,0)</f>
        <v>0.33333333333333337</v>
      </c>
      <c r="D13" s="88" t="s">
        <v>18</v>
      </c>
      <c r="E13" s="93"/>
      <c r="F13" s="90"/>
      <c r="G13" s="92"/>
      <c r="H13" s="90"/>
      <c r="I13" s="94"/>
      <c r="J13" s="89" t="s">
        <v>23</v>
      </c>
      <c r="L13" s="96" t="str">
        <f>+VLOOKUP(2,$Z$31:$AH$35,2,0)</f>
        <v>Costa Rica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0.29166666666666669</v>
      </c>
    </row>
    <row r="14" spans="2:69" ht="9.9499999999999993" customHeight="1" x14ac:dyDescent="0.25">
      <c r="B14" s="4" t="s">
        <v>52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81</v>
      </c>
      <c r="C17" s="9">
        <f>Y17+VLOOKUP(Menu!$B$4,Menu!$C$5:$E$24,2,0)*VLOOKUP(Menu!$B$4,Menu!$C$5:$E$24,3,0)</f>
        <v>0.58333333333333326</v>
      </c>
      <c r="D17" s="88" t="s">
        <v>62</v>
      </c>
      <c r="E17" s="93"/>
      <c r="F17" s="90"/>
      <c r="G17" s="92"/>
      <c r="H17" s="90"/>
      <c r="I17" s="94"/>
      <c r="J17" s="89" t="s">
        <v>63</v>
      </c>
      <c r="L17" s="96" t="str">
        <f>+VLOOKUP(3,$Z$31:$AH$35,2,0)</f>
        <v>Serbia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0.54166666666666663</v>
      </c>
    </row>
    <row r="18" spans="2:35" ht="9.9499999999999993" customHeight="1" x14ac:dyDescent="0.25">
      <c r="B18" s="4" t="s">
        <v>76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84</v>
      </c>
      <c r="C21" s="9">
        <f>Y21+VLOOKUP(Menu!$B$4,Menu!$C$5:$E$24,2,0)*VLOOKUP(Menu!$B$4,Menu!$C$5:$E$24,3,0)</f>
        <v>0.58333333333333326</v>
      </c>
      <c r="D21" s="88" t="s">
        <v>62</v>
      </c>
      <c r="E21" s="93"/>
      <c r="F21" s="90"/>
      <c r="G21" s="92"/>
      <c r="H21" s="90"/>
      <c r="I21" s="94"/>
      <c r="J21" s="89" t="s">
        <v>18</v>
      </c>
      <c r="L21" s="96" t="str">
        <f>+VLOOKUP(4,$Z$31:$AH$35,2,0)</f>
        <v>Suiza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0.54166666666666663</v>
      </c>
    </row>
    <row r="22" spans="2:35" ht="9.9499999999999993" customHeight="1" x14ac:dyDescent="0.25">
      <c r="B22" s="4" t="s">
        <v>0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84</v>
      </c>
      <c r="C25" s="9">
        <f>Y25+VLOOKUP(Menu!$B$4,Menu!$C$5:$E$24,2,0)*VLOOKUP(Menu!$B$4,Menu!$C$5:$E$24,3,0)</f>
        <v>0.58333333333333326</v>
      </c>
      <c r="D25" s="88" t="s">
        <v>63</v>
      </c>
      <c r="E25" s="93"/>
      <c r="F25" s="90"/>
      <c r="G25" s="92"/>
      <c r="H25" s="90"/>
      <c r="I25" s="94"/>
      <c r="J25" s="89" t="s">
        <v>23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0.54166666666666663</v>
      </c>
    </row>
    <row r="26" spans="2:35" ht="9.9499999999999993" customHeight="1" x14ac:dyDescent="0.25">
      <c r="B26" s="4" t="s">
        <v>80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21"/>
      <c r="C30" s="22"/>
      <c r="D30" s="106"/>
      <c r="E30" s="107"/>
      <c r="F30" s="108"/>
      <c r="G30" s="104"/>
      <c r="H30" s="108"/>
      <c r="I30" s="104"/>
      <c r="J30" s="105"/>
    </row>
    <row r="31" spans="2:35" x14ac:dyDescent="0.25">
      <c r="B31" s="23"/>
      <c r="C31" s="23"/>
      <c r="D31" s="106"/>
      <c r="E31" s="107"/>
      <c r="F31" s="108"/>
      <c r="G31" s="104"/>
      <c r="H31" s="108"/>
      <c r="I31" s="104"/>
      <c r="J31" s="105"/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B32" s="24"/>
      <c r="C32" s="24"/>
      <c r="D32" s="24"/>
      <c r="E32" s="24"/>
      <c r="F32" s="24"/>
      <c r="G32" s="24"/>
      <c r="H32" s="24"/>
      <c r="I32" s="24"/>
      <c r="J32" s="24"/>
      <c r="Z32" s="58">
        <f>RANK(AH32,$AH$32:$AH$35)</f>
        <v>1</v>
      </c>
      <c r="AA32" s="58" t="s">
        <v>18</v>
      </c>
      <c r="AB32" s="65">
        <f>IF(AND(F9&gt;H9,F9&lt;&gt;"",H9&lt;&gt;""),1,0)+IF(AND(F13&gt;H13,F13&lt;&gt;"",H13&lt;&gt;""),1,0)+IF(AND(H21&gt;F21,H21&lt;&gt;"",F21&lt;&gt;""),1,0)</f>
        <v>0</v>
      </c>
      <c r="AC32" s="65">
        <f>IF(AND(F9=H9,F9&lt;&gt;"",H9&lt;&gt;""),1,0)+IF(AND(F13=H13,F13&lt;&gt;"",H13&lt;&gt;""),1,0)+IF(AND(H21=F21,H21&lt;&gt;"",F21&lt;&gt;""),1,0)</f>
        <v>0</v>
      </c>
      <c r="AD32" s="65">
        <f>IF(AND(F9&lt;H9,F9&lt;&gt;"",H9&lt;&gt;""),1,0)+IF(AND(F13&lt;H13,F13&lt;&gt;"",H13&lt;&gt;""),1,0)+IF(AND(H21&lt;F21,H21&lt;&gt;"",F21&lt;&gt;""),1,0)</f>
        <v>0</v>
      </c>
      <c r="AE32" s="65">
        <f>F9+F13+H21</f>
        <v>0</v>
      </c>
      <c r="AF32" s="65">
        <f>H9+H13+F21</f>
        <v>0</v>
      </c>
      <c r="AG32" s="65">
        <f>AB32*3+AC32</f>
        <v>0</v>
      </c>
      <c r="AH32" s="69">
        <f>+AG32*100000+AE32-AF32+AE32/10+4/100000000</f>
        <v>4.0000000000000001E-8</v>
      </c>
      <c r="AI32" s="58" t="str">
        <f>IFERROR(VLOOKUP(AA32,A!$AA$41:$AC$73,3,FALSE),VLOOKUP("imz",A!$AA$41:$AC$73,3,FALSE))</f>
        <v>A!$AB$46</v>
      </c>
    </row>
    <row r="33" spans="26:35" x14ac:dyDescent="0.25">
      <c r="Z33" s="58">
        <f>RANK(AH33,$AH$32:$AH$35)</f>
        <v>2</v>
      </c>
      <c r="AA33" s="58" t="s">
        <v>23</v>
      </c>
      <c r="AB33" s="65">
        <f>IF(AND(F5&gt;H5,F5&lt;&gt;"",H5&lt;&gt;""),1,0)+IF(AND(H13&gt;F13,H13&lt;&gt;"",F13&lt;&gt;""),1,0)+IF(AND(H25&gt;F25,H25&lt;&gt;"",F25&lt;&gt;""),1,0)</f>
        <v>0</v>
      </c>
      <c r="AC33" s="65">
        <f>IF(AND(F5=H5,F5&lt;&gt;"",H5&lt;&gt;""),1,0)+IF(AND(H13=F13,H13&lt;&gt;"",F13&lt;&gt;""),1,0)+IF(AND(H25=F25,H25&lt;&gt;"",F25&lt;&gt;""),1,0)</f>
        <v>0</v>
      </c>
      <c r="AD33" s="65">
        <f>IF(AND(F5&lt;H5,F5&lt;&gt;"",H5&lt;&gt;""),1,0)+IF(AND(H13&lt;F13,H13&lt;&gt;"",F13&lt;&gt;""),1,0)+IF(AND(H25&lt;F25,H25&lt;&gt;"",F25&lt;&gt;""),1,0)</f>
        <v>0</v>
      </c>
      <c r="AE33" s="65">
        <f>F5+H13+H25</f>
        <v>0</v>
      </c>
      <c r="AF33" s="65">
        <f>H5+F13+F25</f>
        <v>0</v>
      </c>
      <c r="AG33" s="65">
        <f>AB33*3+AC33</f>
        <v>0</v>
      </c>
      <c r="AH33" s="69">
        <f>+AG33*100000+AE33-AF33+AE33/10+3/100000000</f>
        <v>2.9999999999999997E-8</v>
      </c>
      <c r="AI33" s="58" t="str">
        <f>IFERROR(VLOOKUP(AA33,A!$AA$41:$AC$73,3,FALSE),VLOOKUP("imz",A!$AA$41:$AC$73,3,FALSE))</f>
        <v>A!$AB$49</v>
      </c>
    </row>
    <row r="34" spans="26:35" x14ac:dyDescent="0.25">
      <c r="Z34" s="58">
        <f>RANK(AH34,$AH$32:$AH$35)</f>
        <v>3</v>
      </c>
      <c r="AA34" s="58" t="s">
        <v>62</v>
      </c>
      <c r="AB34" s="65">
        <f>IF(AND(H5&gt;F5,F5&lt;&gt;"",H5&lt;&gt;""),1,0)+IF(AND(F17&gt;H17,F17&lt;&gt;"",H17&lt;&gt;""),1,0)+IF(AND(F21&gt;H21,F21&lt;&gt;"",H21&lt;&gt;""),1,0)</f>
        <v>0</v>
      </c>
      <c r="AC34" s="65">
        <f>IF(AND(H5=F5,F5&lt;&gt;"",H5&lt;&gt;""),1,0)+IF(AND(F17=H17,F17&lt;&gt;"",H17&lt;&gt;""),1,0)+IF(AND(F21=H21,F21&lt;&gt;"",H21&lt;&gt;""),1,0)</f>
        <v>0</v>
      </c>
      <c r="AD34" s="65">
        <f>IF(AND(H5&lt;F5,F5&lt;&gt;"",H5&lt;&gt;""),1,0)+IF(AND(F17&lt;H17,F17&lt;&gt;"",H17&lt;&gt;""),1,0)+IF(AND(F21&lt;H21,F21&lt;&gt;"",H21&lt;&gt;""),1,0)</f>
        <v>0</v>
      </c>
      <c r="AE34" s="65">
        <f>H5+F17+F21</f>
        <v>0</v>
      </c>
      <c r="AF34" s="65">
        <f>F5+H17+H21</f>
        <v>0</v>
      </c>
      <c r="AG34" s="65">
        <f>AB34*3+AC34</f>
        <v>0</v>
      </c>
      <c r="AH34" s="69">
        <f>+AG34*100000+AE34-AF34+AE34/10+2/100000000</f>
        <v>2E-8</v>
      </c>
      <c r="AI34" s="58" t="str">
        <f>IFERROR(VLOOKUP(AA34,A!$AA$41:$AC$73,3,FALSE),VLOOKUP("imz",A!$AA$41:$AC$73,3,FALSE))</f>
        <v>A!$AB$68</v>
      </c>
    </row>
    <row r="35" spans="26:35" x14ac:dyDescent="0.25">
      <c r="Z35" s="58">
        <f>RANK(AH35,$AH$32:$AH$35)</f>
        <v>4</v>
      </c>
      <c r="AA35" s="58" t="s">
        <v>63</v>
      </c>
      <c r="AB35" s="65">
        <f>IF(AND(H9&gt;F9,H9&lt;&gt;"",F9&lt;&gt;""),1,0)+IF(AND(H17&gt;F17,F17&lt;&gt;"",H17&lt;&gt;""),1,0)+IF(AND(F25&gt;H25,F25&lt;&gt;"",H25&lt;&gt;""),1,0)</f>
        <v>0</v>
      </c>
      <c r="AC35" s="65">
        <f>IF(AND(H9=F9,H9&lt;&gt;"",F9&lt;&gt;""),1,0)+IF(AND(H17=F17,F17&lt;&gt;"",H17&lt;&gt;""),1,0)+IF(AND(F25=H25,F25&lt;&gt;"",H25&lt;&gt;""),1,0)</f>
        <v>0</v>
      </c>
      <c r="AD35" s="65">
        <f>IF(AND(H9&lt;F9,H9&lt;&gt;"",F9&lt;&gt;""),1,0)+IF(AND(H17&lt;F17,F17&lt;&gt;"",H17&lt;&gt;""),1,0)+IF(AND(F25&lt;H25,F25&lt;&gt;"",H25&lt;&gt;""),1,0)</f>
        <v>0</v>
      </c>
      <c r="AE35" s="65">
        <f>H9+H17+F25</f>
        <v>0</v>
      </c>
      <c r="AF35" s="65">
        <f>F9+F17+H25</f>
        <v>0</v>
      </c>
      <c r="AG35" s="65">
        <f>AB35*3+AC35</f>
        <v>0</v>
      </c>
      <c r="AH35" s="69">
        <f>+AG35*100000+AE35-AF35+AE35/10+1/100000000</f>
        <v>1E-8</v>
      </c>
      <c r="AI35" s="58" t="str">
        <f>IFERROR(VLOOKUP(AA35,A!$AA$41:$AC$73,3,FALSE),VLOOKUP("imz",A!$AA$41:$AC$73,3,FALSE))</f>
        <v>A!$AB$70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</sheetData>
  <mergeCells count="96">
    <mergeCell ref="I30:I31"/>
    <mergeCell ref="J30:J31"/>
    <mergeCell ref="D30:D31"/>
    <mergeCell ref="E30:E31"/>
    <mergeCell ref="F30:F31"/>
    <mergeCell ref="G30:G31"/>
    <mergeCell ref="H30:H31"/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7" priority="2">
      <formula>L27&lt;&gt;""</formula>
    </cfRule>
  </conditionalFormatting>
  <conditionalFormatting sqref="M28:O28">
    <cfRule type="expression" dxfId="6" priority="1">
      <formula>L28&lt;&gt;""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5" width="11" style="58" customWidth="1"/>
    <col min="26" max="26" width="11" style="58"/>
    <col min="27" max="27" width="14.875" style="58" bestFit="1" customWidth="1"/>
    <col min="28" max="28" width="6.625" style="58" customWidth="1"/>
    <col min="29" max="33" width="11" style="58"/>
    <col min="34" max="34" width="12.5" style="58" bestFit="1" customWidth="1"/>
    <col min="35" max="35" width="11" style="58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83</v>
      </c>
      <c r="C5" s="9">
        <f>Y5+VLOOKUP(Menu!$B$4,Menu!$C$5:$E$24,2,0)*VLOOKUP(Menu!$B$4,Menu!$C$5:$E$24,3,0)</f>
        <v>0.45833333333333337</v>
      </c>
      <c r="D5" s="88" t="s">
        <v>64</v>
      </c>
      <c r="E5" s="93"/>
      <c r="F5" s="90"/>
      <c r="G5" s="92"/>
      <c r="H5" s="90"/>
      <c r="I5" s="94"/>
      <c r="J5" s="89" t="s">
        <v>30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0.41666666666666669</v>
      </c>
    </row>
    <row r="6" spans="2:69" ht="9.9499999999999993" customHeight="1" x14ac:dyDescent="0.25">
      <c r="B6" s="4" t="s">
        <v>0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85</v>
      </c>
      <c r="C9" s="9">
        <f>Y9+VLOOKUP(Menu!$B$4,Menu!$C$5:$E$24,2,0)*VLOOKUP(Menu!$B$4,Menu!$C$5:$E$24,3,0)</f>
        <v>0.33333333333333337</v>
      </c>
      <c r="D9" s="88" t="s">
        <v>65</v>
      </c>
      <c r="E9" s="93"/>
      <c r="F9" s="90"/>
      <c r="G9" s="92"/>
      <c r="H9" s="90"/>
      <c r="I9" s="94"/>
      <c r="J9" s="89" t="s">
        <v>66</v>
      </c>
      <c r="L9" s="88" t="str">
        <f>+VLOOKUP(1,$Z$31:$AH$35,2,0)</f>
        <v>Alemania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0.29166666666666669</v>
      </c>
    </row>
    <row r="10" spans="2:69" ht="9.9499999999999993" customHeight="1" x14ac:dyDescent="0.25">
      <c r="B10" s="4" t="s">
        <v>80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86</v>
      </c>
      <c r="C13" s="9">
        <f>Y13+VLOOKUP(Menu!$B$4,Menu!$C$5:$E$24,2,0)*VLOOKUP(Menu!$B$4,Menu!$C$5:$E$24,3,0)</f>
        <v>0.45833333333333337</v>
      </c>
      <c r="D13" s="88" t="s">
        <v>64</v>
      </c>
      <c r="E13" s="93"/>
      <c r="F13" s="90"/>
      <c r="G13" s="92"/>
      <c r="H13" s="90"/>
      <c r="I13" s="94"/>
      <c r="J13" s="89" t="s">
        <v>65</v>
      </c>
      <c r="L13" s="96" t="str">
        <f>+VLOOKUP(2,$Z$31:$AH$35,2,0)</f>
        <v>Suecia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0.41666666666666669</v>
      </c>
    </row>
    <row r="14" spans="2:69" ht="9.9499999999999993" customHeight="1" x14ac:dyDescent="0.25">
      <c r="B14" s="4" t="s">
        <v>73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86</v>
      </c>
      <c r="C17" s="9">
        <f>Y17+VLOOKUP(Menu!$B$4,Menu!$C$5:$E$24,2,0)*VLOOKUP(Menu!$B$4,Menu!$C$5:$E$24,3,0)</f>
        <v>0.58333333333333326</v>
      </c>
      <c r="D17" s="88" t="s">
        <v>66</v>
      </c>
      <c r="E17" s="93"/>
      <c r="F17" s="90"/>
      <c r="G17" s="92"/>
      <c r="H17" s="90"/>
      <c r="I17" s="94"/>
      <c r="J17" s="89" t="s">
        <v>30</v>
      </c>
      <c r="L17" s="96" t="str">
        <f>+VLOOKUP(3,$Z$31:$AH$35,2,0)</f>
        <v>Corea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0.54166666666666663</v>
      </c>
    </row>
    <row r="18" spans="2:35" ht="9.9499999999999993" customHeight="1" x14ac:dyDescent="0.25">
      <c r="B18" s="4" t="s">
        <v>89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84</v>
      </c>
      <c r="C21" s="9">
        <f>Y21+VLOOKUP(Menu!$B$4,Menu!$C$5:$E$24,2,0)*VLOOKUP(Menu!$B$4,Menu!$C$5:$E$24,3,0)</f>
        <v>0.41666666666666669</v>
      </c>
      <c r="D21" s="88" t="s">
        <v>66</v>
      </c>
      <c r="E21" s="93"/>
      <c r="F21" s="90"/>
      <c r="G21" s="92"/>
      <c r="H21" s="90"/>
      <c r="I21" s="94"/>
      <c r="J21" s="89" t="s">
        <v>64</v>
      </c>
      <c r="L21" s="96" t="str">
        <f>+VLOOKUP(4,$Z$31:$AH$35,2,0)</f>
        <v>México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0.375</v>
      </c>
    </row>
    <row r="22" spans="2:35" ht="9.9499999999999993" customHeight="1" x14ac:dyDescent="0.25">
      <c r="B22" s="4" t="s">
        <v>74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84</v>
      </c>
      <c r="C25" s="9">
        <f>Y25+VLOOKUP(Menu!$B$4,Menu!$C$5:$E$24,2,0)*VLOOKUP(Menu!$B$4,Menu!$C$5:$E$24,3,0)</f>
        <v>0.41666666666666669</v>
      </c>
      <c r="D25" s="88" t="s">
        <v>30</v>
      </c>
      <c r="E25" s="93"/>
      <c r="F25" s="90"/>
      <c r="G25" s="92"/>
      <c r="H25" s="90"/>
      <c r="I25" s="94"/>
      <c r="J25" s="89" t="s">
        <v>65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0.375</v>
      </c>
    </row>
    <row r="26" spans="2:35" ht="9.9499999999999993" customHeight="1" x14ac:dyDescent="0.25">
      <c r="B26" s="4" t="s">
        <v>5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15"/>
    </row>
    <row r="31" spans="2:35" x14ac:dyDescent="0.25"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Z32" s="58">
        <f>RANK(AH32,$AH$32:$AH$35)</f>
        <v>1</v>
      </c>
      <c r="AA32" s="58" t="s">
        <v>64</v>
      </c>
      <c r="AB32" s="65">
        <f>IF(AND(F5&gt;H5,F5&lt;&gt;"",H5&lt;&gt;""),1,0)+IF(AND(F13&gt;H13,F13&lt;&gt;"",H13&lt;&gt;""),1,0)+IF(AND(H21&gt;F21,H21&lt;&gt;"",F21&lt;&gt;""),1,0)</f>
        <v>0</v>
      </c>
      <c r="AC32" s="65">
        <f>IF(AND(F5=H5,F5&lt;&gt;"",H5&lt;&gt;""),1,0)+IF(AND(F13=H13,F13&lt;&gt;"",H13&lt;&gt;""),1,0)+IF(AND(H21=F21,H21&lt;&gt;"",F21&lt;&gt;""),1,0)</f>
        <v>0</v>
      </c>
      <c r="AD32" s="65">
        <f>IF(AND(F5&lt;H5,F5&lt;&gt;"",H5&lt;&gt;""),1,0)+IF(AND(F13&lt;H13,F13&lt;&gt;"",H13&lt;&gt;""),1,0)+IF(AND(H21&lt;F21,H21&lt;&gt;"",F21&lt;&gt;""),1,0)</f>
        <v>0</v>
      </c>
      <c r="AE32" s="65">
        <f>F5+F13+H21</f>
        <v>0</v>
      </c>
      <c r="AF32" s="65">
        <f>H5+H13+F21</f>
        <v>0</v>
      </c>
      <c r="AG32" s="65">
        <f>AB32*3+AC32</f>
        <v>0</v>
      </c>
      <c r="AH32" s="69">
        <f>+AG32*100000+AE32-AF32+AE32/10+4/100000000</f>
        <v>4.0000000000000001E-8</v>
      </c>
      <c r="AI32" s="58" t="str">
        <f>IFERROR(VLOOKUP(AA32,A!$AA$41:$AC$73,3,FALSE),VLOOKUP("imz",A!$AA$41:$AC$73,3,FALSE))</f>
        <v>A!$AB$41</v>
      </c>
    </row>
    <row r="33" spans="26:35" x14ac:dyDescent="0.25">
      <c r="Z33" s="58">
        <f>RANK(AH33,$AH$32:$AH$35)</f>
        <v>2</v>
      </c>
      <c r="AA33" s="58" t="s">
        <v>65</v>
      </c>
      <c r="AB33" s="65">
        <f>IF(AND(F9&gt;H9,F9&lt;&gt;"",H9&lt;&gt;""),1,0)+IF(AND(H13&gt;F13,H13&lt;&gt;"",F13&lt;&gt;""),1,0)+IF(AND(H25&gt;F25,H25&lt;&gt;"",F25&lt;&gt;""),1,0)</f>
        <v>0</v>
      </c>
      <c r="AC33" s="65">
        <f>IF(AND(F9=H9,F9&lt;&gt;"",H9&lt;&gt;""),1,0)+IF(AND(H13=F13,H13&lt;&gt;"",F13&lt;&gt;""),1,0)+IF(AND(H25=F25,H25&lt;&gt;"",F25&lt;&gt;""),1,0)</f>
        <v>0</v>
      </c>
      <c r="AD33" s="65">
        <f>IF(AND(F9&lt;H9,F9&lt;&gt;"",H9&lt;&gt;""),1,0)+IF(AND(H13&lt;F13,H13&lt;&gt;"",F13&lt;&gt;""),1,0)+IF(AND(H25&lt;F25,H25&lt;&gt;"",F25&lt;&gt;""),1,0)</f>
        <v>0</v>
      </c>
      <c r="AE33" s="65">
        <f>F9+H13+H25</f>
        <v>0</v>
      </c>
      <c r="AF33" s="65">
        <f>H9+F13+F25</f>
        <v>0</v>
      </c>
      <c r="AG33" s="65">
        <f>AB33*3+AC33</f>
        <v>0</v>
      </c>
      <c r="AH33" s="69">
        <f>+AG33*100000+AE33-AF33+AE33/10+3/100000000</f>
        <v>2.9999999999999997E-8</v>
      </c>
      <c r="AI33" s="58" t="str">
        <f>IFERROR(VLOOKUP(AA33,A!$AA$41:$AC$73,3,FALSE),VLOOKUP("imz",A!$AA$41:$AC$73,3,FALSE))</f>
        <v>A!$AB$69</v>
      </c>
    </row>
    <row r="34" spans="26:35" x14ac:dyDescent="0.25">
      <c r="Z34" s="58">
        <f>RANK(AH34,$AH$32:$AH$35)</f>
        <v>3</v>
      </c>
      <c r="AA34" s="58" t="s">
        <v>66</v>
      </c>
      <c r="AB34" s="65">
        <f>IF(AND(H9&gt;F9,F9&lt;&gt;"",H9&lt;&gt;""),1,0)+IF(AND(F17&gt;H17,F17&lt;&gt;"",H17&lt;&gt;""),1,0)+IF(AND(F21&gt;H21,F21&lt;&gt;"",H21&lt;&gt;""),1,0)</f>
        <v>0</v>
      </c>
      <c r="AC34" s="65">
        <f>IF(AND(H9=F9,F9&lt;&gt;"",H9&lt;&gt;""),1,0)+IF(AND(F17=H17,F17&lt;&gt;"",H17&lt;&gt;""),1,0)+IF(AND(F21=H21,F21&lt;&gt;"",H21&lt;&gt;""),1,0)</f>
        <v>0</v>
      </c>
      <c r="AD34" s="65">
        <f>IF(AND(H9&lt;F9,F9&lt;&gt;"",H9&lt;&gt;""),1,0)+IF(AND(F17&lt;H17,F17&lt;&gt;"",H17&lt;&gt;""),1,0)+IF(AND(F21&lt;H21,F21&lt;&gt;"",H21&lt;&gt;""),1,0)</f>
        <v>0</v>
      </c>
      <c r="AE34" s="65">
        <f>H9+F17+F21</f>
        <v>0</v>
      </c>
      <c r="AF34" s="65">
        <f>F9+H17+H21</f>
        <v>0</v>
      </c>
      <c r="AG34" s="65">
        <f>AB34*3+AC34</f>
        <v>0</v>
      </c>
      <c r="AH34" s="69">
        <f>+AG34*100000+AE34-AF34+AE34/10+2/100000000</f>
        <v>2E-8</v>
      </c>
      <c r="AI34" s="58" t="str">
        <f>IFERROR(VLOOKUP(AA34,A!$AA$41:$AC$73,3,FALSE),VLOOKUP("imz",A!$AA$41:$AC$73,3,FALSE))</f>
        <v>A!$AB$48</v>
      </c>
    </row>
    <row r="35" spans="26:35" x14ac:dyDescent="0.25">
      <c r="Z35" s="58">
        <f>RANK(AH35,$AH$32:$AH$35)</f>
        <v>4</v>
      </c>
      <c r="AA35" s="58" t="s">
        <v>30</v>
      </c>
      <c r="AB35" s="65">
        <f>IF(AND(H5&gt;F5,H5&lt;&gt;"",F5&lt;&gt;""),1,0)+IF(AND(H17&gt;F17,F17&lt;&gt;"",H17&lt;&gt;""),1,0)+IF(AND(F25&gt;H25,F25&lt;&gt;"",H25&lt;&gt;""),1,0)</f>
        <v>0</v>
      </c>
      <c r="AC35" s="65">
        <f>IF(AND(H5=F5,H5&lt;&gt;"",F5&lt;&gt;""),1,0)+IF(AND(H17=F17,F17&lt;&gt;"",H17&lt;&gt;""),1,0)+IF(AND(F25=H25,F25&lt;&gt;"",H25&lt;&gt;""),1,0)</f>
        <v>0</v>
      </c>
      <c r="AD35" s="65">
        <f>IF(AND(H5&lt;F5,H5&lt;&gt;"",F5&lt;&gt;""),1,0)+IF(AND(H17&lt;F17,F17&lt;&gt;"",H17&lt;&gt;""),1,0)+IF(AND(F25&lt;H25,F25&lt;&gt;"",H25&lt;&gt;""),1,0)</f>
        <v>0</v>
      </c>
      <c r="AE35" s="65">
        <f>H5+H17+F25</f>
        <v>0</v>
      </c>
      <c r="AF35" s="65">
        <f>F5+F17+H25</f>
        <v>0</v>
      </c>
      <c r="AG35" s="65">
        <f>AB35*3+AC35</f>
        <v>0</v>
      </c>
      <c r="AH35" s="69">
        <f>+AG35*100000+AE35-AF35+AE35/10+1/100000000</f>
        <v>1E-8</v>
      </c>
      <c r="AI35" s="58" t="str">
        <f>IFERROR(VLOOKUP(AA35,A!$AA$41:$AC$73,3,FALSE),VLOOKUP("imz",A!$AA$41:$AC$73,3,FALSE))</f>
        <v>A!$AB$60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</sheetData>
  <mergeCells count="89"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5" priority="2">
      <formula>L27&lt;&gt;""</formula>
    </cfRule>
  </conditionalFormatting>
  <conditionalFormatting sqref="M28:O28">
    <cfRule type="expression" dxfId="4" priority="1">
      <formula>L28&lt;&gt;""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B1:BQ39"/>
  <sheetViews>
    <sheetView showGridLines="0" zoomScaleNormal="100" workbookViewId="0"/>
  </sheetViews>
  <sheetFormatPr baseColWidth="10" defaultRowHeight="15.75" x14ac:dyDescent="0.25"/>
  <cols>
    <col min="1" max="1" width="2.875" customWidth="1"/>
    <col min="2" max="2" width="8.125" customWidth="1"/>
    <col min="3" max="3" width="5.625" customWidth="1"/>
    <col min="4" max="4" width="13.625" customWidth="1"/>
    <col min="5" max="5" width="5.125" customWidth="1"/>
    <col min="6" max="6" width="4.125" customWidth="1"/>
    <col min="7" max="7" width="1.625" customWidth="1"/>
    <col min="8" max="8" width="4.125" customWidth="1"/>
    <col min="9" max="9" width="5.125" customWidth="1"/>
    <col min="10" max="10" width="13.625" customWidth="1"/>
    <col min="11" max="11" width="24.625" customWidth="1"/>
    <col min="12" max="12" width="12.125" customWidth="1"/>
    <col min="13" max="21" width="5.125" customWidth="1"/>
    <col min="22" max="22" width="11" customWidth="1"/>
    <col min="23" max="25" width="11" style="58" customWidth="1"/>
    <col min="26" max="26" width="11" style="58"/>
    <col min="27" max="27" width="14.875" style="58" bestFit="1" customWidth="1"/>
    <col min="28" max="28" width="6.625" style="58" customWidth="1"/>
    <col min="29" max="33" width="11" style="58"/>
    <col min="34" max="34" width="12.5" style="58" bestFit="1" customWidth="1"/>
    <col min="35" max="39" width="11" style="58"/>
  </cols>
  <sheetData>
    <row r="1" spans="2:69" ht="36" customHeight="1" x14ac:dyDescent="0.25">
      <c r="U1" s="29"/>
      <c r="AW1" s="26"/>
      <c r="BD1" s="25"/>
      <c r="BE1" s="25"/>
      <c r="BF1" s="25"/>
      <c r="BG1" s="25"/>
      <c r="BH1" s="25"/>
      <c r="BI1" s="25"/>
      <c r="BJ1" s="25"/>
      <c r="BO1" s="25"/>
      <c r="BP1" s="25"/>
      <c r="BQ1" s="25"/>
    </row>
    <row r="2" spans="2:69" ht="24" customHeight="1" x14ac:dyDescent="0.35">
      <c r="B2" s="32" t="s">
        <v>13</v>
      </c>
      <c r="C2" s="6"/>
      <c r="U2" s="29"/>
      <c r="AW2" s="27"/>
      <c r="BD2" s="25"/>
      <c r="BE2" s="25"/>
      <c r="BF2" s="25"/>
      <c r="BG2" s="25"/>
      <c r="BH2" s="25"/>
      <c r="BI2" s="25"/>
      <c r="BJ2" s="25"/>
      <c r="BO2" s="25"/>
      <c r="BP2" s="25"/>
      <c r="BQ2" s="25"/>
    </row>
    <row r="3" spans="2:69" ht="50.1" customHeight="1" x14ac:dyDescent="0.25">
      <c r="U3" s="29"/>
      <c r="AW3" s="27"/>
      <c r="BD3" s="25"/>
      <c r="BE3" s="25"/>
      <c r="BF3" s="25"/>
      <c r="BG3" s="25"/>
      <c r="BH3" s="25"/>
      <c r="BI3" s="25"/>
      <c r="BJ3" s="25"/>
      <c r="BO3" s="25"/>
      <c r="BP3" s="25"/>
      <c r="BQ3" s="25"/>
    </row>
    <row r="4" spans="2:69" ht="30.95" customHeight="1" x14ac:dyDescent="0.25">
      <c r="B4" s="5" t="s">
        <v>14</v>
      </c>
      <c r="C4" s="5"/>
      <c r="L4" s="5" t="s">
        <v>15</v>
      </c>
      <c r="M4" s="5"/>
      <c r="U4" s="29"/>
      <c r="Y4" s="62" t="s">
        <v>41</v>
      </c>
      <c r="AW4" s="27"/>
      <c r="BD4" s="25"/>
      <c r="BE4" s="25"/>
      <c r="BF4" s="25"/>
      <c r="BG4" s="25"/>
      <c r="BH4" s="25"/>
      <c r="BI4" s="25"/>
      <c r="BJ4" s="25"/>
      <c r="BO4" s="25"/>
      <c r="BP4" s="25"/>
      <c r="BQ4" s="25"/>
    </row>
    <row r="5" spans="2:69" x14ac:dyDescent="0.25">
      <c r="B5" s="8" t="s">
        <v>85</v>
      </c>
      <c r="C5" s="9">
        <f>Y5+VLOOKUP(Menu!$B$4,Menu!$C$5:$E$24,2,0)*VLOOKUP(Menu!$B$4,Menu!$C$5:$E$24,3,0)</f>
        <v>0.45833333333333337</v>
      </c>
      <c r="D5" s="88" t="s">
        <v>67</v>
      </c>
      <c r="E5" s="93"/>
      <c r="F5" s="90"/>
      <c r="G5" s="92"/>
      <c r="H5" s="90"/>
      <c r="I5" s="94"/>
      <c r="J5" s="89" t="s">
        <v>32</v>
      </c>
      <c r="N5" s="95" t="s">
        <v>6</v>
      </c>
      <c r="O5" s="95" t="s">
        <v>7</v>
      </c>
      <c r="P5" s="95" t="s">
        <v>8</v>
      </c>
      <c r="Q5" s="95" t="s">
        <v>9</v>
      </c>
      <c r="R5" s="95" t="s">
        <v>10</v>
      </c>
      <c r="S5" s="95" t="s">
        <v>11</v>
      </c>
      <c r="T5" s="95" t="s">
        <v>17</v>
      </c>
      <c r="U5" s="102" t="s">
        <v>12</v>
      </c>
      <c r="Y5" s="63">
        <v>0.41666666666666669</v>
      </c>
    </row>
    <row r="6" spans="2:69" ht="9.9499999999999993" customHeight="1" x14ac:dyDescent="0.25">
      <c r="B6" s="4" t="s">
        <v>73</v>
      </c>
      <c r="C6" s="4"/>
      <c r="D6" s="88"/>
      <c r="E6" s="93"/>
      <c r="F6" s="91"/>
      <c r="G6" s="92"/>
      <c r="H6" s="91"/>
      <c r="I6" s="94"/>
      <c r="J6" s="89"/>
      <c r="N6" s="95"/>
      <c r="O6" s="95"/>
      <c r="P6" s="95"/>
      <c r="Q6" s="95"/>
      <c r="R6" s="95"/>
      <c r="S6" s="95"/>
      <c r="T6" s="95"/>
      <c r="U6" s="102"/>
      <c r="Y6" s="64"/>
    </row>
    <row r="7" spans="2:69" ht="5.0999999999999996" customHeight="1" x14ac:dyDescent="0.25">
      <c r="Y7" s="65"/>
    </row>
    <row r="8" spans="2:69" ht="5.0999999999999996" customHeight="1" x14ac:dyDescent="0.25"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Y8" s="65"/>
    </row>
    <row r="9" spans="2:69" x14ac:dyDescent="0.25">
      <c r="B9" s="8" t="s">
        <v>85</v>
      </c>
      <c r="C9" s="9">
        <f>Y9+VLOOKUP(Menu!$B$4,Menu!$C$5:$E$24,2,0)*VLOOKUP(Menu!$B$4,Menu!$C$5:$E$24,3,0)</f>
        <v>0.58333333333333326</v>
      </c>
      <c r="D9" s="88" t="s">
        <v>68</v>
      </c>
      <c r="E9" s="93"/>
      <c r="F9" s="90"/>
      <c r="G9" s="92"/>
      <c r="H9" s="90"/>
      <c r="I9" s="94"/>
      <c r="J9" s="89" t="s">
        <v>69</v>
      </c>
      <c r="L9" s="88" t="str">
        <f>+VLOOKUP(1,$Z$31:$AH$35,2,0)</f>
        <v>Bélgica</v>
      </c>
      <c r="M9" s="19"/>
      <c r="N9" s="97">
        <f>+O9+P9+Q9</f>
        <v>0</v>
      </c>
      <c r="O9" s="97">
        <f>VLOOKUP(1,$Z$31:$AH$35,3,0)</f>
        <v>0</v>
      </c>
      <c r="P9" s="97">
        <f>VLOOKUP(1,$Z$31:$AH$35,4,0)</f>
        <v>0</v>
      </c>
      <c r="Q9" s="97">
        <f>VLOOKUP(1,$Z$31:$AH$35,5,0)</f>
        <v>0</v>
      </c>
      <c r="R9" s="97">
        <f>VLOOKUP(1,$Z$31:$AH$35,6,0)</f>
        <v>0</v>
      </c>
      <c r="S9" s="97">
        <f>VLOOKUP(1,$Z$31:$AH$35,7,0)</f>
        <v>0</v>
      </c>
      <c r="T9" s="97">
        <f>+R9-S9</f>
        <v>0</v>
      </c>
      <c r="U9" s="103">
        <f>+O9*3+P9</f>
        <v>0</v>
      </c>
      <c r="Y9" s="63">
        <v>0.54166666666666663</v>
      </c>
    </row>
    <row r="10" spans="2:69" ht="9.9499999999999993" customHeight="1" x14ac:dyDescent="0.25">
      <c r="B10" s="4" t="s">
        <v>50</v>
      </c>
      <c r="C10" s="4"/>
      <c r="D10" s="88"/>
      <c r="E10" s="93"/>
      <c r="F10" s="91"/>
      <c r="G10" s="92"/>
      <c r="H10" s="91"/>
      <c r="I10" s="94"/>
      <c r="J10" s="89"/>
      <c r="L10" s="88"/>
      <c r="M10" s="19"/>
      <c r="N10" s="97"/>
      <c r="O10" s="97"/>
      <c r="P10" s="97"/>
      <c r="Q10" s="97"/>
      <c r="R10" s="97"/>
      <c r="S10" s="97"/>
      <c r="T10" s="97"/>
      <c r="U10" s="103"/>
      <c r="Y10" s="64"/>
    </row>
    <row r="11" spans="2:69" ht="5.0999999999999996" customHeight="1" x14ac:dyDescent="0.25">
      <c r="N11" s="18"/>
      <c r="O11" s="18"/>
      <c r="P11" s="18"/>
      <c r="Q11" s="18"/>
      <c r="R11" s="18"/>
      <c r="S11" s="18"/>
      <c r="T11" s="18"/>
      <c r="U11" s="18"/>
      <c r="Y11" s="65"/>
    </row>
    <row r="12" spans="2:69" ht="5.0999999999999996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10"/>
      <c r="O12" s="10"/>
      <c r="P12" s="10"/>
      <c r="Q12" s="10"/>
      <c r="R12" s="10"/>
      <c r="S12" s="10"/>
      <c r="T12" s="10"/>
      <c r="U12" s="10"/>
      <c r="Y12" s="65"/>
    </row>
    <row r="13" spans="2:69" x14ac:dyDescent="0.25">
      <c r="B13" s="8" t="s">
        <v>86</v>
      </c>
      <c r="C13" s="9">
        <f>Y13+VLOOKUP(Menu!$B$4,Menu!$C$5:$E$24,2,0)*VLOOKUP(Menu!$B$4,Menu!$C$5:$E$24,3,0)</f>
        <v>0.33333333333333337</v>
      </c>
      <c r="D13" s="88" t="s">
        <v>67</v>
      </c>
      <c r="E13" s="93"/>
      <c r="F13" s="90"/>
      <c r="G13" s="92"/>
      <c r="H13" s="90"/>
      <c r="I13" s="94"/>
      <c r="J13" s="89" t="s">
        <v>68</v>
      </c>
      <c r="L13" s="96" t="str">
        <f>+VLOOKUP(2,$Z$31:$AH$35,2,0)</f>
        <v>Túnez</v>
      </c>
      <c r="M13" s="20"/>
      <c r="N13" s="97">
        <f>+O13+P13+Q13</f>
        <v>0</v>
      </c>
      <c r="O13" s="97">
        <f>VLOOKUP(2,$Z$31:$AH$35,3,0)</f>
        <v>0</v>
      </c>
      <c r="P13" s="97">
        <f>VLOOKUP(2,$Z$31:$AH$35,4,0)</f>
        <v>0</v>
      </c>
      <c r="Q13" s="97">
        <f>VLOOKUP(2,$Z$31:$AH$35,5,0)</f>
        <v>0</v>
      </c>
      <c r="R13" s="97">
        <f>VLOOKUP(2,$Z$31:$AH$35,6,0)</f>
        <v>0</v>
      </c>
      <c r="S13" s="97">
        <f>VLOOKUP(2,$Z$31:$AH$35,7,0)</f>
        <v>0</v>
      </c>
      <c r="T13" s="97">
        <f>+R13-S13</f>
        <v>0</v>
      </c>
      <c r="U13" s="103">
        <f>+O13*3+P13</f>
        <v>0</v>
      </c>
      <c r="Y13" s="63">
        <v>0.29166666666666669</v>
      </c>
    </row>
    <row r="14" spans="2:69" ht="9.9499999999999993" customHeight="1" x14ac:dyDescent="0.25">
      <c r="B14" s="4" t="s">
        <v>0</v>
      </c>
      <c r="C14" s="4"/>
      <c r="D14" s="88"/>
      <c r="E14" s="93"/>
      <c r="F14" s="91"/>
      <c r="G14" s="92"/>
      <c r="H14" s="91"/>
      <c r="I14" s="94"/>
      <c r="J14" s="89"/>
      <c r="L14" s="96"/>
      <c r="M14" s="20"/>
      <c r="N14" s="97"/>
      <c r="O14" s="97"/>
      <c r="P14" s="97"/>
      <c r="Q14" s="97"/>
      <c r="R14" s="97"/>
      <c r="S14" s="97"/>
      <c r="T14" s="97"/>
      <c r="U14" s="103"/>
      <c r="Y14" s="64"/>
    </row>
    <row r="15" spans="2:69" ht="5.0999999999999996" customHeight="1" x14ac:dyDescent="0.25">
      <c r="N15" s="18"/>
      <c r="O15" s="18"/>
      <c r="P15" s="18"/>
      <c r="Q15" s="18"/>
      <c r="R15" s="18"/>
      <c r="S15" s="18"/>
      <c r="T15" s="18"/>
      <c r="U15" s="18"/>
      <c r="Y15" s="65"/>
    </row>
    <row r="16" spans="2:69" ht="5.0999999999999996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L16" s="2"/>
      <c r="M16" s="2"/>
      <c r="N16" s="10"/>
      <c r="O16" s="10"/>
      <c r="P16" s="10"/>
      <c r="Q16" s="10"/>
      <c r="R16" s="10"/>
      <c r="S16" s="10"/>
      <c r="T16" s="10"/>
      <c r="U16" s="10"/>
      <c r="Y16" s="65"/>
    </row>
    <row r="17" spans="2:35" x14ac:dyDescent="0.25">
      <c r="B17" s="8" t="s">
        <v>87</v>
      </c>
      <c r="C17" s="9">
        <f>Y17+VLOOKUP(Menu!$B$4,Menu!$C$5:$E$24,2,0)*VLOOKUP(Menu!$B$4,Menu!$C$5:$E$24,3,0)</f>
        <v>0.33333333333333337</v>
      </c>
      <c r="D17" s="88" t="s">
        <v>69</v>
      </c>
      <c r="E17" s="93"/>
      <c r="F17" s="90"/>
      <c r="G17" s="92"/>
      <c r="H17" s="90"/>
      <c r="I17" s="94"/>
      <c r="J17" s="89" t="s">
        <v>32</v>
      </c>
      <c r="L17" s="96" t="str">
        <f>+VLOOKUP(3,$Z$31:$AH$35,2,0)</f>
        <v>Inglaterra</v>
      </c>
      <c r="M17" s="20"/>
      <c r="N17" s="97">
        <f>+O17+P17+Q17</f>
        <v>0</v>
      </c>
      <c r="O17" s="97">
        <f>VLOOKUP(3,$Z$31:$AH$35,3,0)</f>
        <v>0</v>
      </c>
      <c r="P17" s="97">
        <f>VLOOKUP(3,$Z$31:$AH$35,4,0)</f>
        <v>0</v>
      </c>
      <c r="Q17" s="97">
        <f>VLOOKUP(3,$Z$31:$AH$35,5,0)</f>
        <v>0</v>
      </c>
      <c r="R17" s="97">
        <f>VLOOKUP(3,$Z$31:$AH$35,6,0)</f>
        <v>0</v>
      </c>
      <c r="S17" s="97">
        <f>VLOOKUP(3,$Z$31:$AH$35,7,0)</f>
        <v>0</v>
      </c>
      <c r="T17" s="97">
        <f>+R17-S17</f>
        <v>0</v>
      </c>
      <c r="U17" s="103">
        <f>+O17*3+P17</f>
        <v>0</v>
      </c>
      <c r="Y17" s="63">
        <v>0.29166666666666669</v>
      </c>
    </row>
    <row r="18" spans="2:35" ht="9.9499999999999993" customHeight="1" x14ac:dyDescent="0.25">
      <c r="B18" s="4" t="s">
        <v>80</v>
      </c>
      <c r="C18" s="4"/>
      <c r="D18" s="88"/>
      <c r="E18" s="93"/>
      <c r="F18" s="91"/>
      <c r="G18" s="92"/>
      <c r="H18" s="91"/>
      <c r="I18" s="94"/>
      <c r="J18" s="89"/>
      <c r="L18" s="96"/>
      <c r="M18" s="20"/>
      <c r="N18" s="97"/>
      <c r="O18" s="97"/>
      <c r="P18" s="97"/>
      <c r="Q18" s="97"/>
      <c r="R18" s="97"/>
      <c r="S18" s="97"/>
      <c r="T18" s="97"/>
      <c r="U18" s="103"/>
      <c r="Y18" s="64"/>
    </row>
    <row r="19" spans="2:35" ht="5.0999999999999996" customHeight="1" x14ac:dyDescent="0.25">
      <c r="N19" s="18"/>
      <c r="O19" s="18"/>
      <c r="P19" s="18"/>
      <c r="Q19" s="18"/>
      <c r="R19" s="18"/>
      <c r="S19" s="18"/>
      <c r="T19" s="18"/>
      <c r="U19" s="18"/>
      <c r="Y19" s="65"/>
    </row>
    <row r="20" spans="2:35" ht="5.0999999999999996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L20" s="2"/>
      <c r="M20" s="2"/>
      <c r="N20" s="10"/>
      <c r="O20" s="10"/>
      <c r="P20" s="10"/>
      <c r="Q20" s="10"/>
      <c r="R20" s="10"/>
      <c r="S20" s="10"/>
      <c r="T20" s="10"/>
      <c r="U20" s="10"/>
      <c r="Y20" s="65"/>
    </row>
    <row r="21" spans="2:35" x14ac:dyDescent="0.25">
      <c r="B21" s="8" t="s">
        <v>88</v>
      </c>
      <c r="C21" s="9">
        <f>Y21+VLOOKUP(Menu!$B$4,Menu!$C$5:$E$24,2,0)*VLOOKUP(Menu!$B$4,Menu!$C$5:$E$24,3,0)</f>
        <v>0.58333333333333326</v>
      </c>
      <c r="D21" s="88" t="s">
        <v>69</v>
      </c>
      <c r="E21" s="93"/>
      <c r="F21" s="90"/>
      <c r="G21" s="92"/>
      <c r="H21" s="90"/>
      <c r="I21" s="94"/>
      <c r="J21" s="89" t="s">
        <v>67</v>
      </c>
      <c r="L21" s="96" t="str">
        <f>+VLOOKUP(4,$Z$31:$AH$35,2,0)</f>
        <v>Panamá</v>
      </c>
      <c r="M21" s="20"/>
      <c r="N21" s="97">
        <f>+O21+P21+Q21</f>
        <v>0</v>
      </c>
      <c r="O21" s="97">
        <f>VLOOKUP(4,$Z$31:$AH$35,3,0)</f>
        <v>0</v>
      </c>
      <c r="P21" s="97">
        <f>VLOOKUP(4,$Z$31:$AH$35,4,0)</f>
        <v>0</v>
      </c>
      <c r="Q21" s="97">
        <f>VLOOKUP(4,$Z$31:$AH$35,5,0)</f>
        <v>0</v>
      </c>
      <c r="R21" s="97">
        <f>VLOOKUP(4,$Z$31:$AH$35,6,0)</f>
        <v>0</v>
      </c>
      <c r="S21" s="97">
        <f>VLOOKUP(4,$Z$31:$AH$35,7,0)</f>
        <v>0</v>
      </c>
      <c r="T21" s="97">
        <f>+R21-S21</f>
        <v>0</v>
      </c>
      <c r="U21" s="103">
        <f>+O21*3+P21</f>
        <v>0</v>
      </c>
      <c r="Y21" s="63">
        <v>0.54166666666666663</v>
      </c>
    </row>
    <row r="22" spans="2:35" ht="9.9499999999999993" customHeight="1" x14ac:dyDescent="0.25">
      <c r="B22" s="4" t="s">
        <v>76</v>
      </c>
      <c r="C22" s="4"/>
      <c r="D22" s="88"/>
      <c r="E22" s="93"/>
      <c r="F22" s="91"/>
      <c r="G22" s="92"/>
      <c r="H22" s="91"/>
      <c r="I22" s="94"/>
      <c r="J22" s="89"/>
      <c r="L22" s="96"/>
      <c r="M22" s="20"/>
      <c r="N22" s="97"/>
      <c r="O22" s="97"/>
      <c r="P22" s="97"/>
      <c r="Q22" s="97"/>
      <c r="R22" s="97"/>
      <c r="S22" s="97"/>
      <c r="T22" s="97"/>
      <c r="U22" s="103"/>
      <c r="Y22" s="64"/>
    </row>
    <row r="23" spans="2:35" ht="5.0999999999999996" customHeight="1" x14ac:dyDescent="0.25">
      <c r="Y23" s="65"/>
    </row>
    <row r="24" spans="2:35" ht="5.0999999999999996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Y24" s="65"/>
    </row>
    <row r="25" spans="2:35" x14ac:dyDescent="0.25">
      <c r="B25" s="8" t="s">
        <v>88</v>
      </c>
      <c r="C25" s="9">
        <f>Y25+VLOOKUP(Menu!$B$4,Menu!$C$5:$E$24,2,0)*VLOOKUP(Menu!$B$4,Menu!$C$5:$E$24,3,0)</f>
        <v>0.58333333333333326</v>
      </c>
      <c r="D25" s="88" t="s">
        <v>32</v>
      </c>
      <c r="E25" s="93"/>
      <c r="F25" s="90"/>
      <c r="G25" s="92"/>
      <c r="H25" s="90"/>
      <c r="I25" s="94"/>
      <c r="J25" s="89" t="s">
        <v>68</v>
      </c>
      <c r="K25" s="100" t="str">
        <f>IF(OR(N9&lt;&gt;3,N13&lt;&gt;3,N17&lt;&gt;3,N21&lt;&gt;3),"",IF(U9=U13,"Debido a la paridad de resultados no se puede deducir automáticamente el resultado, se debe completar posición 1 y 2",IF(U13=U17,"Debido a la paridad de resultados no se puede deducir automáticamente el resultado, completar la posición Número 2","")))</f>
        <v/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63">
        <v>0.54166666666666663</v>
      </c>
    </row>
    <row r="26" spans="2:35" ht="9.9499999999999993" customHeight="1" x14ac:dyDescent="0.25">
      <c r="B26" s="4" t="s">
        <v>75</v>
      </c>
      <c r="C26" s="4"/>
      <c r="D26" s="88"/>
      <c r="E26" s="93"/>
      <c r="F26" s="91"/>
      <c r="G26" s="92"/>
      <c r="H26" s="91"/>
      <c r="I26" s="94"/>
      <c r="J26" s="89"/>
    </row>
    <row r="27" spans="2:35" x14ac:dyDescent="0.25">
      <c r="L27" s="17" t="str">
        <f>IF(AND(K25&lt;&gt;"",U9=U13),"Primero:","")</f>
        <v/>
      </c>
      <c r="M27" s="101"/>
      <c r="N27" s="101"/>
      <c r="O27" s="101"/>
    </row>
    <row r="28" spans="2:35" x14ac:dyDescent="0.25">
      <c r="L28" s="17" t="str">
        <f>IF(AND(K25&lt;&gt;"",OR(U9=U13,U13=U17)),"Segundo:","")</f>
        <v/>
      </c>
      <c r="M28" s="101"/>
      <c r="N28" s="101"/>
      <c r="O28" s="101"/>
    </row>
    <row r="30" spans="2:35" x14ac:dyDescent="0.25">
      <c r="B30" s="15"/>
    </row>
    <row r="31" spans="2:35" x14ac:dyDescent="0.25">
      <c r="Z31" s="58" t="s">
        <v>42</v>
      </c>
      <c r="AA31" s="58" t="s">
        <v>43</v>
      </c>
      <c r="AB31" s="58" t="s">
        <v>44</v>
      </c>
      <c r="AC31" s="58" t="s">
        <v>45</v>
      </c>
      <c r="AD31" s="58" t="s">
        <v>46</v>
      </c>
      <c r="AE31" s="58" t="s">
        <v>10</v>
      </c>
      <c r="AF31" s="58" t="s">
        <v>11</v>
      </c>
      <c r="AG31" s="58" t="s">
        <v>47</v>
      </c>
      <c r="AH31" s="68" t="s">
        <v>48</v>
      </c>
    </row>
    <row r="32" spans="2:35" x14ac:dyDescent="0.25">
      <c r="Z32" s="58">
        <f>RANK(AH32,$AH$32:$AH$35)</f>
        <v>1</v>
      </c>
      <c r="AA32" s="58" t="s">
        <v>67</v>
      </c>
      <c r="AB32" s="65">
        <f>IF(AND(F5&gt;H5,F5&lt;&gt;"",H5&lt;&gt;""),1,0)+IF(AND(F13&gt;H13,F13&lt;&gt;"",H13&lt;&gt;""),1,0)+IF(AND(H21&gt;F21,H21&lt;&gt;"",F21&lt;&gt;""),1,0)</f>
        <v>0</v>
      </c>
      <c r="AC32" s="65">
        <f>IF(AND(F5=H5,F5&lt;&gt;"",H5&lt;&gt;""),1,0)+IF(AND(F13=H13,F13&lt;&gt;"",H13&lt;&gt;""),1,0)+IF(AND(H21=F21,H21&lt;&gt;"",F21&lt;&gt;""),1,0)</f>
        <v>0</v>
      </c>
      <c r="AD32" s="65">
        <f>IF(AND(F5&lt;H5,F5&lt;&gt;"",H5&lt;&gt;""),1,0)+IF(AND(F13&lt;H13,F13&lt;&gt;"",H13&lt;&gt;""),1,0)+IF(AND(H21&lt;F21,H21&lt;&gt;"",F21&lt;&gt;""),1,0)</f>
        <v>0</v>
      </c>
      <c r="AE32" s="65">
        <f>F5+F13+H21</f>
        <v>0</v>
      </c>
      <c r="AF32" s="65">
        <f>H5+H13+F21</f>
        <v>0</v>
      </c>
      <c r="AG32" s="65">
        <f>AB32*3+AC32</f>
        <v>0</v>
      </c>
      <c r="AH32" s="69">
        <f>+AG32*100000+AE32-AF32+AE32/10+4/100000000</f>
        <v>4.0000000000000001E-8</v>
      </c>
      <c r="AI32" s="58" t="str">
        <f>IFERROR(VLOOKUP(AA32,A!$AA$41:$AC$73,3,FALSE),VLOOKUP("imz",A!$AA$41:$AC$73,3,FALSE))</f>
        <v>A!$AB$45</v>
      </c>
    </row>
    <row r="33" spans="26:35" x14ac:dyDescent="0.25">
      <c r="Z33" s="58">
        <f>RANK(AH33,$AH$32:$AH$35)</f>
        <v>2</v>
      </c>
      <c r="AA33" s="58" t="s">
        <v>68</v>
      </c>
      <c r="AB33" s="65">
        <f>IF(AND(F9&gt;H9,F9&lt;&gt;"",H9&lt;&gt;""),1,0)+IF(AND(H13&gt;F13,H13&lt;&gt;"",F13&lt;&gt;""),1,0)+IF(AND(H25&gt;F25,H25&lt;&gt;"",F25&lt;&gt;""),1,0)</f>
        <v>0</v>
      </c>
      <c r="AC33" s="65">
        <f>IF(AND(F9=H9,F9&lt;&gt;"",H9&lt;&gt;""),1,0)+IF(AND(H13=F13,H13&lt;&gt;"",F13&lt;&gt;""),1,0)+IF(AND(H25=F25,H25&lt;&gt;"",F25&lt;&gt;""),1,0)</f>
        <v>0</v>
      </c>
      <c r="AD33" s="65">
        <f>IF(AND(F9&lt;H9,F9&lt;&gt;"",H9&lt;&gt;""),1,0)+IF(AND(H13&lt;F13,H13&lt;&gt;"",F13&lt;&gt;""),1,0)+IF(AND(H25&lt;F25,H25&lt;&gt;"",F25&lt;&gt;""),1,0)</f>
        <v>0</v>
      </c>
      <c r="AE33" s="65">
        <f>F9+H13+H25</f>
        <v>0</v>
      </c>
      <c r="AF33" s="65">
        <f>H9+F13+F25</f>
        <v>0</v>
      </c>
      <c r="AG33" s="65">
        <f>AB33*3+AC33</f>
        <v>0</v>
      </c>
      <c r="AH33" s="69">
        <f>+AG33*100000+AE33-AF33+AE33/10+3/100000000</f>
        <v>2.9999999999999997E-8</v>
      </c>
      <c r="AI33" s="58" t="str">
        <f>IFERROR(VLOOKUP(AA33,A!$AA$41:$AC$73,3,FALSE),VLOOKUP("imz",A!$AA$41:$AC$73,3,FALSE))</f>
        <v>A!$AB$71</v>
      </c>
    </row>
    <row r="34" spans="26:35" x14ac:dyDescent="0.25">
      <c r="Z34" s="58">
        <f>RANK(AH34,$AH$32:$AH$35)</f>
        <v>3</v>
      </c>
      <c r="AA34" s="58" t="s">
        <v>69</v>
      </c>
      <c r="AB34" s="65">
        <f>IF(AND(H9&gt;F9,F9&lt;&gt;"",H9&lt;&gt;""),1,0)+IF(AND(F17&gt;H17,F17&lt;&gt;"",H17&lt;&gt;""),1,0)+IF(AND(F21&gt;H21,F21&lt;&gt;"",H21&lt;&gt;""),1,0)</f>
        <v>0</v>
      </c>
      <c r="AC34" s="65">
        <f>IF(AND(H9=F9,F9&lt;&gt;"",H9&lt;&gt;""),1,0)+IF(AND(F17=H17,F17&lt;&gt;"",H17&lt;&gt;""),1,0)+IF(AND(F21=H21,F21&lt;&gt;"",H21&lt;&gt;""),1,0)</f>
        <v>0</v>
      </c>
      <c r="AD34" s="65">
        <f>IF(AND(H9&lt;F9,F9&lt;&gt;"",H9&lt;&gt;""),1,0)+IF(AND(F17&lt;H17,F17&lt;&gt;"",H17&lt;&gt;""),1,0)+IF(AND(F21&lt;H21,F21&lt;&gt;"",H21&lt;&gt;""),1,0)</f>
        <v>0</v>
      </c>
      <c r="AE34" s="65">
        <f>H9+F17+F21</f>
        <v>0</v>
      </c>
      <c r="AF34" s="65">
        <f>F9+H17+H21</f>
        <v>0</v>
      </c>
      <c r="AG34" s="65">
        <f>AB34*3+AC34</f>
        <v>0</v>
      </c>
      <c r="AH34" s="69">
        <f>+AG34*100000+AE34-AF34+AE34/10+2/100000000</f>
        <v>2E-8</v>
      </c>
      <c r="AI34" s="58" t="str">
        <f>IFERROR(VLOOKUP(AA34,A!$AA$41:$AC$73,3,FALSE),VLOOKUP("imz",A!$AA$41:$AC$73,3,FALSE))</f>
        <v>A!$AB$55</v>
      </c>
    </row>
    <row r="35" spans="26:35" x14ac:dyDescent="0.25">
      <c r="Z35" s="58">
        <f>RANK(AH35,$AH$32:$AH$35)</f>
        <v>4</v>
      </c>
      <c r="AA35" s="58" t="s">
        <v>32</v>
      </c>
      <c r="AB35" s="65">
        <f>IF(AND(H5&gt;F5,H5&lt;&gt;"",F5&lt;&gt;""),1,0)+IF(AND(H17&gt;F17,F17&lt;&gt;"",H17&lt;&gt;""),1,0)+IF(AND(F25&gt;H25,F25&lt;&gt;"",H25&lt;&gt;""),1,0)</f>
        <v>0</v>
      </c>
      <c r="AC35" s="65">
        <f>IF(AND(H5=F5,H5&lt;&gt;"",F5&lt;&gt;""),1,0)+IF(AND(H17=F17,F17&lt;&gt;"",H17&lt;&gt;""),1,0)+IF(AND(F25=H25,F25&lt;&gt;"",H25&lt;&gt;""),1,0)</f>
        <v>0</v>
      </c>
      <c r="AD35" s="65">
        <f>IF(AND(H5&lt;F5,H5&lt;&gt;"",F5&lt;&gt;""),1,0)+IF(AND(H17&lt;F17,F17&lt;&gt;"",H17&lt;&gt;""),1,0)+IF(AND(F25&lt;H25,F25&lt;&gt;"",H25&lt;&gt;""),1,0)</f>
        <v>0</v>
      </c>
      <c r="AE35" s="65">
        <f>H5+H17+F25</f>
        <v>0</v>
      </c>
      <c r="AF35" s="65">
        <f>F5+F17+H25</f>
        <v>0</v>
      </c>
      <c r="AG35" s="65">
        <f>AB35*3+AC35</f>
        <v>0</v>
      </c>
      <c r="AH35" s="69">
        <f>+AG35*100000+AE35-AF35+AE35/10+1/100000000</f>
        <v>1E-8</v>
      </c>
      <c r="AI35" s="58" t="str">
        <f>IFERROR(VLOOKUP(AA35,A!$AA$41:$AC$73,3,FALSE),VLOOKUP("imz",A!$AA$41:$AC$73,3,FALSE))</f>
        <v>A!$AB$62</v>
      </c>
    </row>
    <row r="37" spans="26:35" x14ac:dyDescent="0.25">
      <c r="AA37" s="58" t="str">
        <f>+IF(AND(COUNTA(F5,H5,F9,H9,H13,F13,F17,H17,H21,F21,F25,H25)=12,L27=""),L9,IF(AND(COUNTA(F5,H5,F9,H9,H13,F13,F17,H17,H21,F21,F25,H25)=12,M27&lt;&gt;""),M27,""))</f>
        <v/>
      </c>
    </row>
    <row r="38" spans="26:35" x14ac:dyDescent="0.25">
      <c r="AA38" s="58" t="str">
        <f>+IF(AND(COUNTA(F5,H5,F9,H9,H13,F13,F17,H17,H21,F21,F25,H25)=12,L28=""),L13,IF(AND(COUNTA(F5,H5,F9,H9,H13,F13,F17,H17,H21,F21,F25,H25)=12,M28&lt;&gt;""),M28,""))</f>
        <v/>
      </c>
    </row>
    <row r="39" spans="26:35" x14ac:dyDescent="0.25">
      <c r="AB39" s="66"/>
      <c r="AC39" s="67"/>
    </row>
  </sheetData>
  <mergeCells count="89">
    <mergeCell ref="M27:O27"/>
    <mergeCell ref="M28:O28"/>
    <mergeCell ref="S21:S22"/>
    <mergeCell ref="T21:T22"/>
    <mergeCell ref="U21:U22"/>
    <mergeCell ref="P21:P22"/>
    <mergeCell ref="Q21:Q22"/>
    <mergeCell ref="R21:R22"/>
    <mergeCell ref="D25:D26"/>
    <mergeCell ref="E25:E26"/>
    <mergeCell ref="F25:F26"/>
    <mergeCell ref="G25:G26"/>
    <mergeCell ref="H25:H26"/>
    <mergeCell ref="I25:I26"/>
    <mergeCell ref="J25:J26"/>
    <mergeCell ref="L21:L22"/>
    <mergeCell ref="N21:N22"/>
    <mergeCell ref="O21:O22"/>
    <mergeCell ref="K25:X25"/>
    <mergeCell ref="S17:S18"/>
    <mergeCell ref="T17:T18"/>
    <mergeCell ref="U17:U18"/>
    <mergeCell ref="D21:D22"/>
    <mergeCell ref="E21:E22"/>
    <mergeCell ref="F21:F22"/>
    <mergeCell ref="G21:G22"/>
    <mergeCell ref="H21:H22"/>
    <mergeCell ref="I21:I22"/>
    <mergeCell ref="J21:J22"/>
    <mergeCell ref="L17:L18"/>
    <mergeCell ref="N17:N18"/>
    <mergeCell ref="O17:O18"/>
    <mergeCell ref="P17:P18"/>
    <mergeCell ref="Q17:Q18"/>
    <mergeCell ref="R17:R18"/>
    <mergeCell ref="S13:S14"/>
    <mergeCell ref="T13:T14"/>
    <mergeCell ref="U13:U14"/>
    <mergeCell ref="D17:D18"/>
    <mergeCell ref="E17:E18"/>
    <mergeCell ref="F17:F18"/>
    <mergeCell ref="G17:G18"/>
    <mergeCell ref="H17:H18"/>
    <mergeCell ref="I17:I18"/>
    <mergeCell ref="J17:J18"/>
    <mergeCell ref="L13:L14"/>
    <mergeCell ref="N13:N14"/>
    <mergeCell ref="O13:O14"/>
    <mergeCell ref="P13:P14"/>
    <mergeCell ref="Q13:Q14"/>
    <mergeCell ref="R13:R14"/>
    <mergeCell ref="S9:S10"/>
    <mergeCell ref="T9:T10"/>
    <mergeCell ref="U9:U10"/>
    <mergeCell ref="D13:D14"/>
    <mergeCell ref="E13:E14"/>
    <mergeCell ref="F13:F14"/>
    <mergeCell ref="G13:G14"/>
    <mergeCell ref="H13:H14"/>
    <mergeCell ref="I13:I14"/>
    <mergeCell ref="J13:J14"/>
    <mergeCell ref="L9:L10"/>
    <mergeCell ref="N9:N10"/>
    <mergeCell ref="O9:O10"/>
    <mergeCell ref="P9:P10"/>
    <mergeCell ref="Q9:Q10"/>
    <mergeCell ref="R9:R10"/>
    <mergeCell ref="S5:S6"/>
    <mergeCell ref="T5:T6"/>
    <mergeCell ref="U5:U6"/>
    <mergeCell ref="D9:D10"/>
    <mergeCell ref="E9:E10"/>
    <mergeCell ref="F9:F10"/>
    <mergeCell ref="G9:G10"/>
    <mergeCell ref="H9:H10"/>
    <mergeCell ref="I9:I10"/>
    <mergeCell ref="J9:J10"/>
    <mergeCell ref="J5:J6"/>
    <mergeCell ref="N5:N6"/>
    <mergeCell ref="O5:O6"/>
    <mergeCell ref="P5:P6"/>
    <mergeCell ref="Q5:Q6"/>
    <mergeCell ref="R5:R6"/>
    <mergeCell ref="I5:I6"/>
    <mergeCell ref="D5:D6"/>
    <mergeCell ref="E5:E6"/>
    <mergeCell ref="F5:F6"/>
    <mergeCell ref="G5:G6"/>
    <mergeCell ref="H5:H6"/>
  </mergeCells>
  <conditionalFormatting sqref="M27:O27">
    <cfRule type="expression" dxfId="3" priority="2">
      <formula>L27&lt;&gt;""</formula>
    </cfRule>
  </conditionalFormatting>
  <conditionalFormatting sqref="M28:O28">
    <cfRule type="expression" dxfId="2" priority="1">
      <formula>L28&lt;&gt;""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11</vt:i4>
      </vt:variant>
    </vt:vector>
  </HeadingPairs>
  <TitlesOfParts>
    <vt:vector size="26" baseType="lpstr">
      <vt:lpstr>Inicio</vt:lpstr>
      <vt:lpstr>Menu</vt:lpstr>
      <vt:lpstr>A</vt:lpstr>
      <vt:lpstr>B</vt:lpstr>
      <vt:lpstr>C</vt:lpstr>
      <vt:lpstr>D</vt:lpstr>
      <vt:lpstr>E</vt:lpstr>
      <vt:lpstr>F</vt:lpstr>
      <vt:lpstr>G</vt:lpstr>
      <vt:lpstr>H</vt:lpstr>
      <vt:lpstr>Octavos</vt:lpstr>
      <vt:lpstr>Cuartos</vt:lpstr>
      <vt:lpstr>Semifinales</vt:lpstr>
      <vt:lpstr>Final</vt:lpstr>
      <vt:lpstr>Calendario</vt:lpstr>
      <vt:lpstr>B!BD_Selecciones</vt:lpstr>
      <vt:lpstr>'C'!BD_Selecciones</vt:lpstr>
      <vt:lpstr>D!BD_Selecciones</vt:lpstr>
      <vt:lpstr>E!BD_Selecciones</vt:lpstr>
      <vt:lpstr>'F'!BD_Selecciones</vt:lpstr>
      <vt:lpstr>G!BD_Selecciones</vt:lpstr>
      <vt:lpstr>H!BD_Selecciones</vt:lpstr>
      <vt:lpstr>Inicio!BD_Selecciones</vt:lpstr>
      <vt:lpstr>BD_Selecciones</vt:lpstr>
      <vt:lpstr>Eleccion</vt:lpstr>
      <vt:lpstr>Paises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CO4 SRL</cp:lastModifiedBy>
  <dcterms:created xsi:type="dcterms:W3CDTF">2018-04-29T15:38:50Z</dcterms:created>
  <dcterms:modified xsi:type="dcterms:W3CDTF">2018-06-15T22:04:37Z</dcterms:modified>
</cp:coreProperties>
</file>